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mc:AlternateContent xmlns:mc="http://schemas.openxmlformats.org/markup-compatibility/2006">
    <mc:Choice Requires="x15">
      <x15ac:absPath xmlns:x15ac="http://schemas.microsoft.com/office/spreadsheetml/2010/11/ac" url="D:\box_in\Shell_of_Spreadsheets\"/>
    </mc:Choice>
  </mc:AlternateContent>
  <xr:revisionPtr revIDLastSave="0" documentId="13_ncr:1_{959D7606-147E-434B-BE55-D0740B6C5D87}" xr6:coauthVersionLast="47" xr6:coauthVersionMax="47" xr10:uidLastSave="{00000000-0000-0000-0000-000000000000}"/>
  <bookViews>
    <workbookView xWindow="-23148" yWindow="6876" windowWidth="23256" windowHeight="12576" tabRatio="795" activeTab="1" xr2:uid="{00000000-000D-0000-FFFF-FFFF00000000}"/>
  </bookViews>
  <sheets>
    <sheet name="输入值【1】" sheetId="63" r:id="rId1"/>
    <sheet name="输入值【2】" sheetId="64" r:id="rId2"/>
    <sheet name="酒店类别及相关数据" sheetId="67" r:id="rId3"/>
    <sheet name="2020年度全国各星级饭店经营情况表" sheetId="68" r:id="rId4"/>
    <sheet name="Sheet1" sheetId="69" r:id="rId5"/>
    <sheet name="输出值1-总投资估算表" sheetId="37" r:id="rId6"/>
    <sheet name="输出值2-营业收入估算表" sheetId="42" r:id="rId7"/>
    <sheet name="输出值3-增值税及其他税金估算表" sheetId="65" r:id="rId8"/>
    <sheet name="输出值4-总成本费用估算表" sheetId="43" r:id="rId9"/>
    <sheet name="输出值5-折旧摊销费用估算表" sheetId="66" r:id="rId10"/>
    <sheet name="输出值6-利润表" sheetId="45" r:id="rId11"/>
    <sheet name="输出值7-现金流量表" sheetId="46" r:id="rId12"/>
    <sheet name="输出值8-还本付息表" sheetId="44" r:id="rId13"/>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19" i="64" l="1"/>
  <c r="F19" i="64"/>
  <c r="E13" i="64"/>
  <c r="C8" i="63"/>
  <c r="C4" i="63"/>
  <c r="H99" i="64" l="1"/>
  <c r="I99" i="64"/>
  <c r="J99" i="64"/>
  <c r="K99" i="64"/>
  <c r="L99" i="64"/>
  <c r="M99" i="64"/>
  <c r="N99" i="64"/>
  <c r="O99" i="64"/>
  <c r="P99" i="64"/>
  <c r="Q99" i="64"/>
  <c r="R99" i="64"/>
  <c r="S99" i="64"/>
  <c r="T99" i="64"/>
  <c r="U99" i="64"/>
  <c r="V99" i="64"/>
  <c r="W99" i="64"/>
  <c r="G99" i="64"/>
  <c r="F13" i="64" l="1"/>
  <c r="D10" i="43" l="1"/>
  <c r="G14" i="64" l="1"/>
  <c r="C99" i="64"/>
  <c r="F99" i="64"/>
  <c r="B99" i="64"/>
  <c r="G13" i="64"/>
  <c r="F78" i="64" l="1"/>
  <c r="B94" i="64"/>
  <c r="L14" i="69" l="1"/>
  <c r="J14" i="69"/>
  <c r="H14" i="69"/>
  <c r="F14" i="69"/>
  <c r="L11" i="69"/>
  <c r="L10" i="69"/>
  <c r="L9" i="69"/>
  <c r="L8" i="69"/>
  <c r="J11" i="69"/>
  <c r="J10" i="69"/>
  <c r="J9" i="69"/>
  <c r="J8" i="69"/>
  <c r="H11" i="69"/>
  <c r="H10" i="69"/>
  <c r="H9" i="69"/>
  <c r="H8" i="69"/>
  <c r="L12" i="69"/>
  <c r="J12" i="69"/>
  <c r="H12" i="69"/>
  <c r="F12" i="69"/>
  <c r="F9" i="69"/>
  <c r="F10" i="69"/>
  <c r="F11" i="69"/>
  <c r="F8" i="69"/>
  <c r="K14" i="69"/>
  <c r="I14" i="69"/>
  <c r="G14" i="69"/>
  <c r="E14" i="69"/>
  <c r="I10" i="68"/>
  <c r="I8" i="68"/>
  <c r="D34" i="68" l="1"/>
  <c r="E34" i="68"/>
  <c r="F34" i="68"/>
  <c r="G34" i="68"/>
  <c r="H34" i="68"/>
  <c r="C34" i="68"/>
  <c r="G33" i="68" l="1"/>
  <c r="F33" i="68"/>
  <c r="E33" i="68"/>
  <c r="D33" i="68"/>
  <c r="C33" i="68"/>
  <c r="H36" i="68"/>
  <c r="G36" i="68"/>
  <c r="F36" i="68"/>
  <c r="E36" i="68"/>
  <c r="D36" i="68"/>
  <c r="C36" i="68"/>
  <c r="G35" i="68"/>
  <c r="F35" i="68"/>
  <c r="E35" i="68"/>
  <c r="D35" i="68"/>
  <c r="C35" i="68"/>
  <c r="D31" i="68" l="1"/>
  <c r="E31" i="68"/>
  <c r="F31" i="68"/>
  <c r="G31" i="68"/>
  <c r="D32" i="68"/>
  <c r="E32" i="68"/>
  <c r="F32" i="68"/>
  <c r="G32" i="68"/>
  <c r="C32" i="68"/>
  <c r="C31" i="68"/>
  <c r="H30" i="68"/>
  <c r="G147" i="67"/>
  <c r="G146" i="67"/>
  <c r="G145" i="67"/>
  <c r="F146" i="67"/>
  <c r="E147" i="67"/>
  <c r="E146" i="67"/>
  <c r="E145" i="67"/>
  <c r="D146" i="67"/>
  <c r="H35" i="68" l="1"/>
  <c r="H33" i="68"/>
  <c r="H32" i="68"/>
  <c r="H31" i="68"/>
  <c r="G141" i="67" l="1"/>
  <c r="F140" i="67"/>
  <c r="G140" i="67" s="1"/>
  <c r="D140" i="67"/>
  <c r="E140" i="67" s="1"/>
  <c r="E139" i="67" l="1"/>
  <c r="E141" i="67"/>
  <c r="G139" i="67"/>
  <c r="E54" i="67"/>
  <c r="D33" i="37" l="1"/>
  <c r="D32" i="37"/>
  <c r="E10" i="43"/>
  <c r="H13" i="64"/>
  <c r="I13" i="64" s="1"/>
  <c r="J13" i="64" s="1"/>
  <c r="K13" i="64" s="1"/>
  <c r="L13" i="64" s="1"/>
  <c r="M13" i="64" s="1"/>
  <c r="N13" i="64" s="1"/>
  <c r="O13" i="64" s="1"/>
  <c r="P13" i="64" s="1"/>
  <c r="Q13" i="64" s="1"/>
  <c r="R13" i="64" s="1"/>
  <c r="S13" i="64" s="1"/>
  <c r="T13" i="64" s="1"/>
  <c r="U13" i="64" s="1"/>
  <c r="F20" i="64"/>
  <c r="F21" i="64"/>
  <c r="G21" i="64" s="1"/>
  <c r="H21" i="64" s="1"/>
  <c r="I21" i="64" s="1"/>
  <c r="J21" i="64" s="1"/>
  <c r="K21" i="64" s="1"/>
  <c r="L21" i="64" s="1"/>
  <c r="M21" i="64" s="1"/>
  <c r="N21" i="64" s="1"/>
  <c r="O21" i="64" s="1"/>
  <c r="P21" i="64" s="1"/>
  <c r="Q21" i="64" s="1"/>
  <c r="R21" i="64" s="1"/>
  <c r="S21" i="64" s="1"/>
  <c r="T21" i="64" s="1"/>
  <c r="U21" i="64" s="1"/>
  <c r="V21" i="64" s="1"/>
  <c r="W21" i="64" s="1"/>
  <c r="F22" i="64"/>
  <c r="G22" i="64" s="1"/>
  <c r="H22" i="64" s="1"/>
  <c r="I22" i="64" s="1"/>
  <c r="J22" i="64" s="1"/>
  <c r="K22" i="64" s="1"/>
  <c r="L22" i="64" s="1"/>
  <c r="M22" i="64" s="1"/>
  <c r="N22" i="64" s="1"/>
  <c r="O22" i="64" s="1"/>
  <c r="P22" i="64" s="1"/>
  <c r="Q22" i="64" s="1"/>
  <c r="R22" i="64" s="1"/>
  <c r="S22" i="64" s="1"/>
  <c r="T22" i="64" s="1"/>
  <c r="U22" i="64" s="1"/>
  <c r="V22" i="64" s="1"/>
  <c r="W22" i="64" s="1"/>
  <c r="F23" i="64"/>
  <c r="G23" i="64" s="1"/>
  <c r="H23" i="64" s="1"/>
  <c r="I23" i="64" s="1"/>
  <c r="J23" i="64" s="1"/>
  <c r="K23" i="64" s="1"/>
  <c r="L23" i="64" s="1"/>
  <c r="M23" i="64" s="1"/>
  <c r="N23" i="64" s="1"/>
  <c r="O23" i="64" s="1"/>
  <c r="P23" i="64" s="1"/>
  <c r="Q23" i="64" s="1"/>
  <c r="R23" i="64" s="1"/>
  <c r="S23" i="64" s="1"/>
  <c r="T23" i="64" s="1"/>
  <c r="U23" i="64" s="1"/>
  <c r="V23" i="64" s="1"/>
  <c r="W23" i="64" s="1"/>
  <c r="F24" i="64"/>
  <c r="G24" i="64" s="1"/>
  <c r="H24" i="64" s="1"/>
  <c r="I24" i="64" s="1"/>
  <c r="J24" i="64" s="1"/>
  <c r="K24" i="64" s="1"/>
  <c r="L24" i="64" s="1"/>
  <c r="M24" i="64" s="1"/>
  <c r="N24" i="64" s="1"/>
  <c r="O24" i="64" s="1"/>
  <c r="P24" i="64" s="1"/>
  <c r="Q24" i="64" s="1"/>
  <c r="R24" i="64" s="1"/>
  <c r="S24" i="64" s="1"/>
  <c r="T24" i="64" s="1"/>
  <c r="U24" i="64" s="1"/>
  <c r="V24" i="64" s="1"/>
  <c r="W24" i="64" s="1"/>
  <c r="F25" i="64"/>
  <c r="G25" i="64" s="1"/>
  <c r="H25" i="64" s="1"/>
  <c r="I25" i="64" s="1"/>
  <c r="J25" i="64" s="1"/>
  <c r="K25" i="64" s="1"/>
  <c r="L25" i="64" s="1"/>
  <c r="M25" i="64" s="1"/>
  <c r="N25" i="64" s="1"/>
  <c r="O25" i="64" s="1"/>
  <c r="P25" i="64" s="1"/>
  <c r="Q25" i="64" s="1"/>
  <c r="R25" i="64" s="1"/>
  <c r="S25" i="64" s="1"/>
  <c r="T25" i="64" s="1"/>
  <c r="U25" i="64" s="1"/>
  <c r="V25" i="64" s="1"/>
  <c r="W25" i="64" s="1"/>
  <c r="F26" i="64"/>
  <c r="G26" i="64" s="1"/>
  <c r="H26" i="64" s="1"/>
  <c r="I26" i="64" s="1"/>
  <c r="J26" i="64" s="1"/>
  <c r="K26" i="64" s="1"/>
  <c r="L26" i="64" s="1"/>
  <c r="M26" i="64" s="1"/>
  <c r="N26" i="64" s="1"/>
  <c r="O26" i="64" s="1"/>
  <c r="P26" i="64" s="1"/>
  <c r="Q26" i="64" s="1"/>
  <c r="R26" i="64" s="1"/>
  <c r="S26" i="64" s="1"/>
  <c r="T26" i="64" s="1"/>
  <c r="U26" i="64" s="1"/>
  <c r="V26" i="64" s="1"/>
  <c r="W26" i="64" s="1"/>
  <c r="F27" i="64"/>
  <c r="G27" i="64" s="1"/>
  <c r="H27" i="64" s="1"/>
  <c r="I27" i="64" s="1"/>
  <c r="J27" i="64" s="1"/>
  <c r="K27" i="64" s="1"/>
  <c r="L27" i="64" s="1"/>
  <c r="M27" i="64" s="1"/>
  <c r="N27" i="64" s="1"/>
  <c r="O27" i="64" s="1"/>
  <c r="P27" i="64" s="1"/>
  <c r="Q27" i="64" s="1"/>
  <c r="R27" i="64" s="1"/>
  <c r="S27" i="64" s="1"/>
  <c r="T27" i="64" s="1"/>
  <c r="U27" i="64" s="1"/>
  <c r="V27" i="64" s="1"/>
  <c r="W27" i="64" s="1"/>
  <c r="F28" i="64"/>
  <c r="G28" i="64" s="1"/>
  <c r="H28" i="64" s="1"/>
  <c r="I28" i="64" s="1"/>
  <c r="J28" i="64" s="1"/>
  <c r="K28" i="64" s="1"/>
  <c r="L28" i="64" s="1"/>
  <c r="M28" i="64" s="1"/>
  <c r="N28" i="64" s="1"/>
  <c r="O28" i="64" s="1"/>
  <c r="P28" i="64" s="1"/>
  <c r="Q28" i="64" s="1"/>
  <c r="R28" i="64" s="1"/>
  <c r="S28" i="64" s="1"/>
  <c r="T28" i="64" s="1"/>
  <c r="U28" i="64" s="1"/>
  <c r="V28" i="64" s="1"/>
  <c r="W28" i="64" s="1"/>
  <c r="F29" i="64"/>
  <c r="G29" i="64" s="1"/>
  <c r="H29" i="64" s="1"/>
  <c r="I29" i="64" s="1"/>
  <c r="J29" i="64" s="1"/>
  <c r="K29" i="64" s="1"/>
  <c r="L29" i="64" s="1"/>
  <c r="M29" i="64" s="1"/>
  <c r="N29" i="64" s="1"/>
  <c r="O29" i="64" s="1"/>
  <c r="P29" i="64" s="1"/>
  <c r="Q29" i="64" s="1"/>
  <c r="R29" i="64" s="1"/>
  <c r="S29" i="64" s="1"/>
  <c r="T29" i="64" s="1"/>
  <c r="U29" i="64" s="1"/>
  <c r="V29" i="64" s="1"/>
  <c r="W29" i="64" s="1"/>
  <c r="F30" i="64"/>
  <c r="G30" i="64" s="1"/>
  <c r="H30" i="64" s="1"/>
  <c r="I30" i="64" s="1"/>
  <c r="J30" i="64" s="1"/>
  <c r="K30" i="64" s="1"/>
  <c r="L30" i="64" s="1"/>
  <c r="M30" i="64" s="1"/>
  <c r="N30" i="64" s="1"/>
  <c r="O30" i="64" s="1"/>
  <c r="P30" i="64" s="1"/>
  <c r="Q30" i="64" s="1"/>
  <c r="R30" i="64" s="1"/>
  <c r="S30" i="64" s="1"/>
  <c r="T30" i="64" s="1"/>
  <c r="U30" i="64" s="1"/>
  <c r="V30" i="64" s="1"/>
  <c r="W30" i="64" s="1"/>
  <c r="F31" i="64"/>
  <c r="G31" i="64" s="1"/>
  <c r="H31" i="64" s="1"/>
  <c r="I31" i="64" s="1"/>
  <c r="J31" i="64" s="1"/>
  <c r="K31" i="64" s="1"/>
  <c r="L31" i="64" s="1"/>
  <c r="M31" i="64" s="1"/>
  <c r="N31" i="64" s="1"/>
  <c r="O31" i="64" s="1"/>
  <c r="P31" i="64" s="1"/>
  <c r="Q31" i="64" s="1"/>
  <c r="R31" i="64" s="1"/>
  <c r="S31" i="64" s="1"/>
  <c r="T31" i="64" s="1"/>
  <c r="U31" i="64" s="1"/>
  <c r="V31" i="64" s="1"/>
  <c r="W31" i="64" s="1"/>
  <c r="F32" i="64"/>
  <c r="G32" i="64" s="1"/>
  <c r="H32" i="64" s="1"/>
  <c r="I32" i="64" s="1"/>
  <c r="J32" i="64" s="1"/>
  <c r="K32" i="64" s="1"/>
  <c r="L32" i="64" s="1"/>
  <c r="M32" i="64" s="1"/>
  <c r="N32" i="64" s="1"/>
  <c r="O32" i="64" s="1"/>
  <c r="P32" i="64" s="1"/>
  <c r="Q32" i="64" s="1"/>
  <c r="R32" i="64" s="1"/>
  <c r="S32" i="64" s="1"/>
  <c r="T32" i="64" s="1"/>
  <c r="U32" i="64" s="1"/>
  <c r="V32" i="64" s="1"/>
  <c r="W32" i="64" s="1"/>
  <c r="F33" i="64"/>
  <c r="G33" i="64" s="1"/>
  <c r="H33" i="64" s="1"/>
  <c r="I33" i="64" s="1"/>
  <c r="J33" i="64" s="1"/>
  <c r="K33" i="64" s="1"/>
  <c r="L33" i="64" s="1"/>
  <c r="M33" i="64" s="1"/>
  <c r="N33" i="64" s="1"/>
  <c r="O33" i="64" s="1"/>
  <c r="P33" i="64" s="1"/>
  <c r="Q33" i="64" s="1"/>
  <c r="R33" i="64" s="1"/>
  <c r="S33" i="64" s="1"/>
  <c r="T33" i="64" s="1"/>
  <c r="U33" i="64" s="1"/>
  <c r="V33" i="64" s="1"/>
  <c r="W33" i="64" s="1"/>
  <c r="F34" i="64"/>
  <c r="G34" i="64" s="1"/>
  <c r="H34" i="64" s="1"/>
  <c r="I34" i="64" s="1"/>
  <c r="J34" i="64" s="1"/>
  <c r="K34" i="64" s="1"/>
  <c r="L34" i="64" s="1"/>
  <c r="M34" i="64" s="1"/>
  <c r="N34" i="64" s="1"/>
  <c r="O34" i="64" s="1"/>
  <c r="P34" i="64" s="1"/>
  <c r="Q34" i="64" s="1"/>
  <c r="R34" i="64" s="1"/>
  <c r="S34" i="64" s="1"/>
  <c r="T34" i="64" s="1"/>
  <c r="U34" i="64" s="1"/>
  <c r="V34" i="64" s="1"/>
  <c r="W34" i="64" s="1"/>
  <c r="F35" i="64"/>
  <c r="G35" i="64" s="1"/>
  <c r="H35" i="64" s="1"/>
  <c r="I35" i="64" s="1"/>
  <c r="J35" i="64" s="1"/>
  <c r="K35" i="64" s="1"/>
  <c r="L35" i="64" s="1"/>
  <c r="M35" i="64" s="1"/>
  <c r="N35" i="64" s="1"/>
  <c r="O35" i="64" s="1"/>
  <c r="P35" i="64" s="1"/>
  <c r="Q35" i="64" s="1"/>
  <c r="R35" i="64" s="1"/>
  <c r="S35" i="64" s="1"/>
  <c r="T35" i="64" s="1"/>
  <c r="U35" i="64" s="1"/>
  <c r="V35" i="64" s="1"/>
  <c r="W35" i="64" s="1"/>
  <c r="F36" i="64"/>
  <c r="G36" i="64" s="1"/>
  <c r="H36" i="64" s="1"/>
  <c r="I36" i="64" s="1"/>
  <c r="J36" i="64" s="1"/>
  <c r="K36" i="64" s="1"/>
  <c r="L36" i="64" s="1"/>
  <c r="M36" i="64" s="1"/>
  <c r="N36" i="64" s="1"/>
  <c r="O36" i="64" s="1"/>
  <c r="P36" i="64" s="1"/>
  <c r="Q36" i="64" s="1"/>
  <c r="R36" i="64" s="1"/>
  <c r="S36" i="64" s="1"/>
  <c r="T36" i="64" s="1"/>
  <c r="U36" i="64" s="1"/>
  <c r="V36" i="64" s="1"/>
  <c r="W36" i="64" s="1"/>
  <c r="F37" i="64"/>
  <c r="G37" i="64" s="1"/>
  <c r="H37" i="64" s="1"/>
  <c r="I37" i="64" s="1"/>
  <c r="J37" i="64" s="1"/>
  <c r="K37" i="64" s="1"/>
  <c r="L37" i="64" s="1"/>
  <c r="M37" i="64" s="1"/>
  <c r="N37" i="64" s="1"/>
  <c r="O37" i="64" s="1"/>
  <c r="P37" i="64" s="1"/>
  <c r="Q37" i="64" s="1"/>
  <c r="R37" i="64" s="1"/>
  <c r="S37" i="64" s="1"/>
  <c r="T37" i="64" s="1"/>
  <c r="U37" i="64" s="1"/>
  <c r="V37" i="64" s="1"/>
  <c r="W37" i="64" s="1"/>
  <c r="F38" i="64"/>
  <c r="G38" i="64" s="1"/>
  <c r="H38" i="64" s="1"/>
  <c r="I38" i="64" s="1"/>
  <c r="J38" i="64" s="1"/>
  <c r="K38" i="64" s="1"/>
  <c r="L38" i="64" s="1"/>
  <c r="M38" i="64" s="1"/>
  <c r="N38" i="64" s="1"/>
  <c r="O38" i="64" s="1"/>
  <c r="P38" i="64" s="1"/>
  <c r="Q38" i="64" s="1"/>
  <c r="R38" i="64" s="1"/>
  <c r="S38" i="64" s="1"/>
  <c r="T38" i="64" s="1"/>
  <c r="U38" i="64" s="1"/>
  <c r="V38" i="64" s="1"/>
  <c r="W38" i="64" s="1"/>
  <c r="F39" i="64"/>
  <c r="G39" i="64" s="1"/>
  <c r="H39" i="64" s="1"/>
  <c r="I39" i="64" s="1"/>
  <c r="J39" i="64" s="1"/>
  <c r="K39" i="64" s="1"/>
  <c r="L39" i="64" s="1"/>
  <c r="M39" i="64" s="1"/>
  <c r="N39" i="64" s="1"/>
  <c r="O39" i="64" s="1"/>
  <c r="P39" i="64" s="1"/>
  <c r="Q39" i="64" s="1"/>
  <c r="R39" i="64" s="1"/>
  <c r="S39" i="64" s="1"/>
  <c r="T39" i="64" s="1"/>
  <c r="U39" i="64" s="1"/>
  <c r="V39" i="64" s="1"/>
  <c r="W39" i="64" s="1"/>
  <c r="F40" i="64"/>
  <c r="G40" i="64" s="1"/>
  <c r="H40" i="64" s="1"/>
  <c r="I40" i="64" s="1"/>
  <c r="J40" i="64" s="1"/>
  <c r="K40" i="64" s="1"/>
  <c r="L40" i="64" s="1"/>
  <c r="M40" i="64" s="1"/>
  <c r="N40" i="64" s="1"/>
  <c r="O40" i="64" s="1"/>
  <c r="P40" i="64" s="1"/>
  <c r="Q40" i="64" s="1"/>
  <c r="R40" i="64" s="1"/>
  <c r="S40" i="64" s="1"/>
  <c r="T40" i="64" s="1"/>
  <c r="U40" i="64" s="1"/>
  <c r="V40" i="64" s="1"/>
  <c r="W40" i="64" s="1"/>
  <c r="F41" i="64"/>
  <c r="G41" i="64" s="1"/>
  <c r="H41" i="64" s="1"/>
  <c r="I41" i="64" s="1"/>
  <c r="J41" i="64" s="1"/>
  <c r="K41" i="64" s="1"/>
  <c r="L41" i="64" s="1"/>
  <c r="M41" i="64" s="1"/>
  <c r="N41" i="64" s="1"/>
  <c r="O41" i="64" s="1"/>
  <c r="P41" i="64" s="1"/>
  <c r="Q41" i="64" s="1"/>
  <c r="R41" i="64" s="1"/>
  <c r="S41" i="64" s="1"/>
  <c r="T41" i="64" s="1"/>
  <c r="U41" i="64" s="1"/>
  <c r="V41" i="64" s="1"/>
  <c r="W41" i="64" s="1"/>
  <c r="F42" i="64"/>
  <c r="G42" i="64" s="1"/>
  <c r="H42" i="64" s="1"/>
  <c r="I42" i="64" s="1"/>
  <c r="J42" i="64" s="1"/>
  <c r="K42" i="64" s="1"/>
  <c r="L42" i="64" s="1"/>
  <c r="M42" i="64" s="1"/>
  <c r="N42" i="64" s="1"/>
  <c r="O42" i="64" s="1"/>
  <c r="P42" i="64" s="1"/>
  <c r="Q42" i="64" s="1"/>
  <c r="R42" i="64" s="1"/>
  <c r="S42" i="64" s="1"/>
  <c r="T42" i="64" s="1"/>
  <c r="U42" i="64" s="1"/>
  <c r="V42" i="64" s="1"/>
  <c r="W42" i="64" s="1"/>
  <c r="F43" i="64"/>
  <c r="G43" i="64" s="1"/>
  <c r="H43" i="64" s="1"/>
  <c r="I43" i="64" s="1"/>
  <c r="J43" i="64" s="1"/>
  <c r="K43" i="64" s="1"/>
  <c r="L43" i="64" s="1"/>
  <c r="M43" i="64" s="1"/>
  <c r="N43" i="64" s="1"/>
  <c r="O43" i="64" s="1"/>
  <c r="P43" i="64" s="1"/>
  <c r="Q43" i="64" s="1"/>
  <c r="R43" i="64" s="1"/>
  <c r="S43" i="64" s="1"/>
  <c r="T43" i="64" s="1"/>
  <c r="U43" i="64" s="1"/>
  <c r="V43" i="64" s="1"/>
  <c r="W43" i="64" s="1"/>
  <c r="F44" i="64"/>
  <c r="G44" i="64" s="1"/>
  <c r="H44" i="64" s="1"/>
  <c r="I44" i="64" s="1"/>
  <c r="J44" i="64" s="1"/>
  <c r="K44" i="64" s="1"/>
  <c r="L44" i="64" s="1"/>
  <c r="M44" i="64" s="1"/>
  <c r="N44" i="64" s="1"/>
  <c r="O44" i="64" s="1"/>
  <c r="P44" i="64" s="1"/>
  <c r="Q44" i="64" s="1"/>
  <c r="R44" i="64" s="1"/>
  <c r="S44" i="64" s="1"/>
  <c r="T44" i="64" s="1"/>
  <c r="U44" i="64" s="1"/>
  <c r="V44" i="64" s="1"/>
  <c r="W44" i="64" s="1"/>
  <c r="F45" i="64"/>
  <c r="G45" i="64" s="1"/>
  <c r="H45" i="64" s="1"/>
  <c r="I45" i="64" s="1"/>
  <c r="J45" i="64" s="1"/>
  <c r="K45" i="64" s="1"/>
  <c r="L45" i="64" s="1"/>
  <c r="M45" i="64" s="1"/>
  <c r="N45" i="64" s="1"/>
  <c r="O45" i="64" s="1"/>
  <c r="P45" i="64" s="1"/>
  <c r="Q45" i="64" s="1"/>
  <c r="R45" i="64" s="1"/>
  <c r="S45" i="64" s="1"/>
  <c r="T45" i="64" s="1"/>
  <c r="U45" i="64" s="1"/>
  <c r="V45" i="64" s="1"/>
  <c r="W45" i="64" s="1"/>
  <c r="F46" i="64"/>
  <c r="G46" i="64" s="1"/>
  <c r="H46" i="64" s="1"/>
  <c r="I46" i="64" s="1"/>
  <c r="J46" i="64" s="1"/>
  <c r="K46" i="64" s="1"/>
  <c r="L46" i="64" s="1"/>
  <c r="M46" i="64" s="1"/>
  <c r="N46" i="64" s="1"/>
  <c r="O46" i="64" s="1"/>
  <c r="P46" i="64" s="1"/>
  <c r="Q46" i="64" s="1"/>
  <c r="R46" i="64" s="1"/>
  <c r="S46" i="64" s="1"/>
  <c r="T46" i="64" s="1"/>
  <c r="U46" i="64" s="1"/>
  <c r="V46" i="64" s="1"/>
  <c r="W46" i="64" s="1"/>
  <c r="F47" i="64"/>
  <c r="G47" i="64" s="1"/>
  <c r="H47" i="64" s="1"/>
  <c r="I47" i="64" s="1"/>
  <c r="J47" i="64" s="1"/>
  <c r="K47" i="64" s="1"/>
  <c r="L47" i="64" s="1"/>
  <c r="M47" i="64" s="1"/>
  <c r="N47" i="64" s="1"/>
  <c r="O47" i="64" s="1"/>
  <c r="P47" i="64" s="1"/>
  <c r="Q47" i="64" s="1"/>
  <c r="R47" i="64" s="1"/>
  <c r="S47" i="64" s="1"/>
  <c r="T47" i="64" s="1"/>
  <c r="U47" i="64" s="1"/>
  <c r="V47" i="64" s="1"/>
  <c r="W47" i="64" s="1"/>
  <c r="F48" i="64"/>
  <c r="G48" i="64" s="1"/>
  <c r="H48" i="64" s="1"/>
  <c r="I48" i="64" s="1"/>
  <c r="J48" i="64" s="1"/>
  <c r="K48" i="64" s="1"/>
  <c r="L48" i="64" s="1"/>
  <c r="M48" i="64" s="1"/>
  <c r="N48" i="64" s="1"/>
  <c r="O48" i="64" s="1"/>
  <c r="P48" i="64" s="1"/>
  <c r="Q48" i="64" s="1"/>
  <c r="R48" i="64" s="1"/>
  <c r="S48" i="64" s="1"/>
  <c r="T48" i="64" s="1"/>
  <c r="U48" i="64" s="1"/>
  <c r="V48" i="64" s="1"/>
  <c r="W48" i="64" s="1"/>
  <c r="F49" i="64"/>
  <c r="G49" i="64" s="1"/>
  <c r="H49" i="64" s="1"/>
  <c r="I49" i="64" s="1"/>
  <c r="J49" i="64" s="1"/>
  <c r="K49" i="64" s="1"/>
  <c r="L49" i="64" s="1"/>
  <c r="M49" i="64" s="1"/>
  <c r="N49" i="64" s="1"/>
  <c r="O49" i="64" s="1"/>
  <c r="P49" i="64" s="1"/>
  <c r="Q49" i="64" s="1"/>
  <c r="R49" i="64" s="1"/>
  <c r="S49" i="64" s="1"/>
  <c r="T49" i="64" s="1"/>
  <c r="U49" i="64" s="1"/>
  <c r="V49" i="64" s="1"/>
  <c r="W49" i="64" s="1"/>
  <c r="F50" i="64"/>
  <c r="G50" i="64" s="1"/>
  <c r="H50" i="64" s="1"/>
  <c r="I50" i="64" s="1"/>
  <c r="J50" i="64" s="1"/>
  <c r="K50" i="64" s="1"/>
  <c r="L50" i="64" s="1"/>
  <c r="M50" i="64" s="1"/>
  <c r="N50" i="64" s="1"/>
  <c r="O50" i="64" s="1"/>
  <c r="P50" i="64" s="1"/>
  <c r="Q50" i="64" s="1"/>
  <c r="R50" i="64" s="1"/>
  <c r="S50" i="64" s="1"/>
  <c r="T50" i="64" s="1"/>
  <c r="U50" i="64" s="1"/>
  <c r="V50" i="64" s="1"/>
  <c r="W50" i="64" s="1"/>
  <c r="F51" i="64"/>
  <c r="G51" i="64" s="1"/>
  <c r="H51" i="64" s="1"/>
  <c r="I51" i="64" s="1"/>
  <c r="J51" i="64" s="1"/>
  <c r="K51" i="64" s="1"/>
  <c r="L51" i="64" s="1"/>
  <c r="M51" i="64" s="1"/>
  <c r="N51" i="64" s="1"/>
  <c r="O51" i="64" s="1"/>
  <c r="P51" i="64" s="1"/>
  <c r="Q51" i="64" s="1"/>
  <c r="R51" i="64" s="1"/>
  <c r="S51" i="64" s="1"/>
  <c r="T51" i="64" s="1"/>
  <c r="U51" i="64" s="1"/>
  <c r="V51" i="64" s="1"/>
  <c r="W51" i="64" s="1"/>
  <c r="F52" i="64"/>
  <c r="G52" i="64" s="1"/>
  <c r="H52" i="64" s="1"/>
  <c r="I52" i="64" s="1"/>
  <c r="J52" i="64" s="1"/>
  <c r="K52" i="64" s="1"/>
  <c r="L52" i="64" s="1"/>
  <c r="M52" i="64" s="1"/>
  <c r="N52" i="64" s="1"/>
  <c r="O52" i="64" s="1"/>
  <c r="P52" i="64" s="1"/>
  <c r="Q52" i="64" s="1"/>
  <c r="R52" i="64" s="1"/>
  <c r="S52" i="64" s="1"/>
  <c r="T52" i="64" s="1"/>
  <c r="U52" i="64" s="1"/>
  <c r="V52" i="64" s="1"/>
  <c r="W52" i="64" s="1"/>
  <c r="F53" i="64"/>
  <c r="G53" i="64" s="1"/>
  <c r="H53" i="64" s="1"/>
  <c r="I53" i="64" s="1"/>
  <c r="J53" i="64" s="1"/>
  <c r="K53" i="64" s="1"/>
  <c r="L53" i="64" s="1"/>
  <c r="M53" i="64" s="1"/>
  <c r="N53" i="64" s="1"/>
  <c r="O53" i="64" s="1"/>
  <c r="P53" i="64" s="1"/>
  <c r="Q53" i="64" s="1"/>
  <c r="R53" i="64" s="1"/>
  <c r="S53" i="64" s="1"/>
  <c r="T53" i="64" s="1"/>
  <c r="U53" i="64" s="1"/>
  <c r="V53" i="64" s="1"/>
  <c r="W53" i="64" s="1"/>
  <c r="F54" i="64"/>
  <c r="G54" i="64" s="1"/>
  <c r="H54" i="64" s="1"/>
  <c r="I54" i="64" s="1"/>
  <c r="J54" i="64" s="1"/>
  <c r="K54" i="64" s="1"/>
  <c r="L54" i="64" s="1"/>
  <c r="M54" i="64" s="1"/>
  <c r="N54" i="64" s="1"/>
  <c r="O54" i="64" s="1"/>
  <c r="P54" i="64" s="1"/>
  <c r="Q54" i="64" s="1"/>
  <c r="R54" i="64" s="1"/>
  <c r="S54" i="64" s="1"/>
  <c r="T54" i="64" s="1"/>
  <c r="U54" i="64" s="1"/>
  <c r="V54" i="64" s="1"/>
  <c r="W54" i="64" s="1"/>
  <c r="F55" i="64"/>
  <c r="G55" i="64" s="1"/>
  <c r="H55" i="64" s="1"/>
  <c r="I55" i="64" s="1"/>
  <c r="J55" i="64" s="1"/>
  <c r="K55" i="64" s="1"/>
  <c r="L55" i="64" s="1"/>
  <c r="M55" i="64" s="1"/>
  <c r="N55" i="64" s="1"/>
  <c r="O55" i="64" s="1"/>
  <c r="P55" i="64" s="1"/>
  <c r="Q55" i="64" s="1"/>
  <c r="R55" i="64" s="1"/>
  <c r="S55" i="64" s="1"/>
  <c r="T55" i="64" s="1"/>
  <c r="U55" i="64" s="1"/>
  <c r="V55" i="64" s="1"/>
  <c r="W55" i="64" s="1"/>
  <c r="F56" i="64"/>
  <c r="G56" i="64" s="1"/>
  <c r="H56" i="64" s="1"/>
  <c r="I56" i="64" s="1"/>
  <c r="J56" i="64" s="1"/>
  <c r="K56" i="64" s="1"/>
  <c r="L56" i="64" s="1"/>
  <c r="M56" i="64" s="1"/>
  <c r="N56" i="64" s="1"/>
  <c r="O56" i="64" s="1"/>
  <c r="P56" i="64" s="1"/>
  <c r="Q56" i="64" s="1"/>
  <c r="R56" i="64" s="1"/>
  <c r="S56" i="64" s="1"/>
  <c r="T56" i="64" s="1"/>
  <c r="U56" i="64" s="1"/>
  <c r="V56" i="64" s="1"/>
  <c r="W56" i="64" s="1"/>
  <c r="F57" i="64"/>
  <c r="G57" i="64" s="1"/>
  <c r="H57" i="64" s="1"/>
  <c r="I57" i="64" s="1"/>
  <c r="J57" i="64" s="1"/>
  <c r="K57" i="64" s="1"/>
  <c r="L57" i="64" s="1"/>
  <c r="M57" i="64" s="1"/>
  <c r="N57" i="64" s="1"/>
  <c r="O57" i="64" s="1"/>
  <c r="P57" i="64" s="1"/>
  <c r="Q57" i="64" s="1"/>
  <c r="R57" i="64" s="1"/>
  <c r="S57" i="64" s="1"/>
  <c r="T57" i="64" s="1"/>
  <c r="U57" i="64" s="1"/>
  <c r="V57" i="64" s="1"/>
  <c r="W57" i="64" s="1"/>
  <c r="F58" i="64"/>
  <c r="G58" i="64" s="1"/>
  <c r="H58" i="64" s="1"/>
  <c r="I58" i="64" s="1"/>
  <c r="J58" i="64" s="1"/>
  <c r="K58" i="64" s="1"/>
  <c r="L58" i="64" s="1"/>
  <c r="M58" i="64" s="1"/>
  <c r="N58" i="64" s="1"/>
  <c r="O58" i="64" s="1"/>
  <c r="P58" i="64" s="1"/>
  <c r="Q58" i="64" s="1"/>
  <c r="R58" i="64" s="1"/>
  <c r="S58" i="64" s="1"/>
  <c r="T58" i="64" s="1"/>
  <c r="U58" i="64" s="1"/>
  <c r="V58" i="64" s="1"/>
  <c r="W58" i="64" s="1"/>
  <c r="F59" i="64"/>
  <c r="G59" i="64" s="1"/>
  <c r="H59" i="64" s="1"/>
  <c r="I59" i="64" s="1"/>
  <c r="J59" i="64" s="1"/>
  <c r="K59" i="64" s="1"/>
  <c r="L59" i="64" s="1"/>
  <c r="M59" i="64" s="1"/>
  <c r="N59" i="64" s="1"/>
  <c r="O59" i="64" s="1"/>
  <c r="P59" i="64" s="1"/>
  <c r="Q59" i="64" s="1"/>
  <c r="R59" i="64" s="1"/>
  <c r="S59" i="64" s="1"/>
  <c r="T59" i="64" s="1"/>
  <c r="U59" i="64" s="1"/>
  <c r="V59" i="64" s="1"/>
  <c r="W59" i="64" s="1"/>
  <c r="F60" i="64"/>
  <c r="G60" i="64" s="1"/>
  <c r="H60" i="64" s="1"/>
  <c r="I60" i="64" s="1"/>
  <c r="J60" i="64" s="1"/>
  <c r="K60" i="64" s="1"/>
  <c r="L60" i="64" s="1"/>
  <c r="M60" i="64" s="1"/>
  <c r="N60" i="64" s="1"/>
  <c r="O60" i="64" s="1"/>
  <c r="P60" i="64" s="1"/>
  <c r="Q60" i="64" s="1"/>
  <c r="R60" i="64" s="1"/>
  <c r="S60" i="64" s="1"/>
  <c r="T60" i="64" s="1"/>
  <c r="U60" i="64" s="1"/>
  <c r="V60" i="64" s="1"/>
  <c r="W60" i="64" s="1"/>
  <c r="F61" i="64"/>
  <c r="G61" i="64" s="1"/>
  <c r="H61" i="64" s="1"/>
  <c r="I61" i="64" s="1"/>
  <c r="J61" i="64" s="1"/>
  <c r="K61" i="64" s="1"/>
  <c r="L61" i="64" s="1"/>
  <c r="M61" i="64" s="1"/>
  <c r="N61" i="64" s="1"/>
  <c r="O61" i="64" s="1"/>
  <c r="P61" i="64" s="1"/>
  <c r="Q61" i="64" s="1"/>
  <c r="R61" i="64" s="1"/>
  <c r="S61" i="64" s="1"/>
  <c r="T61" i="64" s="1"/>
  <c r="U61" i="64" s="1"/>
  <c r="V61" i="64" s="1"/>
  <c r="W61" i="64" s="1"/>
  <c r="F62" i="64"/>
  <c r="G62" i="64" s="1"/>
  <c r="H62" i="64" s="1"/>
  <c r="I62" i="64" s="1"/>
  <c r="J62" i="64" s="1"/>
  <c r="K62" i="64" s="1"/>
  <c r="L62" i="64" s="1"/>
  <c r="M62" i="64" s="1"/>
  <c r="N62" i="64" s="1"/>
  <c r="O62" i="64" s="1"/>
  <c r="P62" i="64" s="1"/>
  <c r="Q62" i="64" s="1"/>
  <c r="R62" i="64" s="1"/>
  <c r="S62" i="64" s="1"/>
  <c r="T62" i="64" s="1"/>
  <c r="U62" i="64" s="1"/>
  <c r="V62" i="64" s="1"/>
  <c r="W62" i="64" s="1"/>
  <c r="F63" i="64"/>
  <c r="G63" i="64" s="1"/>
  <c r="H63" i="64" s="1"/>
  <c r="I63" i="64" s="1"/>
  <c r="J63" i="64" s="1"/>
  <c r="K63" i="64" s="1"/>
  <c r="L63" i="64" s="1"/>
  <c r="M63" i="64" s="1"/>
  <c r="N63" i="64" s="1"/>
  <c r="O63" i="64" s="1"/>
  <c r="P63" i="64" s="1"/>
  <c r="Q63" i="64" s="1"/>
  <c r="R63" i="64" s="1"/>
  <c r="S63" i="64" s="1"/>
  <c r="T63" i="64" s="1"/>
  <c r="U63" i="64" s="1"/>
  <c r="V63" i="64" s="1"/>
  <c r="W63" i="64" s="1"/>
  <c r="F64" i="64"/>
  <c r="G64" i="64" s="1"/>
  <c r="H64" i="64" s="1"/>
  <c r="I64" i="64" s="1"/>
  <c r="J64" i="64" s="1"/>
  <c r="K64" i="64" s="1"/>
  <c r="L64" i="64" s="1"/>
  <c r="M64" i="64" s="1"/>
  <c r="N64" i="64" s="1"/>
  <c r="O64" i="64" s="1"/>
  <c r="P64" i="64" s="1"/>
  <c r="Q64" i="64" s="1"/>
  <c r="R64" i="64" s="1"/>
  <c r="S64" i="64" s="1"/>
  <c r="T64" i="64" s="1"/>
  <c r="U64" i="64" s="1"/>
  <c r="V64" i="64" s="1"/>
  <c r="W64" i="64" s="1"/>
  <c r="F65" i="64"/>
  <c r="G65" i="64" s="1"/>
  <c r="H65" i="64" s="1"/>
  <c r="I65" i="64" s="1"/>
  <c r="J65" i="64" s="1"/>
  <c r="K65" i="64" s="1"/>
  <c r="L65" i="64" s="1"/>
  <c r="M65" i="64" s="1"/>
  <c r="N65" i="64" s="1"/>
  <c r="O65" i="64" s="1"/>
  <c r="P65" i="64" s="1"/>
  <c r="Q65" i="64" s="1"/>
  <c r="R65" i="64" s="1"/>
  <c r="S65" i="64" s="1"/>
  <c r="T65" i="64" s="1"/>
  <c r="U65" i="64" s="1"/>
  <c r="V65" i="64" s="1"/>
  <c r="W65" i="64" s="1"/>
  <c r="F66" i="64"/>
  <c r="G66" i="64" s="1"/>
  <c r="H66" i="64" s="1"/>
  <c r="I66" i="64" s="1"/>
  <c r="J66" i="64" s="1"/>
  <c r="K66" i="64" s="1"/>
  <c r="L66" i="64" s="1"/>
  <c r="M66" i="64" s="1"/>
  <c r="N66" i="64" s="1"/>
  <c r="O66" i="64" s="1"/>
  <c r="P66" i="64" s="1"/>
  <c r="Q66" i="64" s="1"/>
  <c r="R66" i="64" s="1"/>
  <c r="S66" i="64" s="1"/>
  <c r="T66" i="64" s="1"/>
  <c r="U66" i="64" s="1"/>
  <c r="V66" i="64" s="1"/>
  <c r="W66" i="64" s="1"/>
  <c r="F67" i="64"/>
  <c r="G67" i="64" s="1"/>
  <c r="H67" i="64" s="1"/>
  <c r="I67" i="64" s="1"/>
  <c r="J67" i="64" s="1"/>
  <c r="K67" i="64" s="1"/>
  <c r="L67" i="64" s="1"/>
  <c r="M67" i="64" s="1"/>
  <c r="N67" i="64" s="1"/>
  <c r="O67" i="64" s="1"/>
  <c r="P67" i="64" s="1"/>
  <c r="Q67" i="64" s="1"/>
  <c r="R67" i="64" s="1"/>
  <c r="S67" i="64" s="1"/>
  <c r="T67" i="64" s="1"/>
  <c r="U67" i="64" s="1"/>
  <c r="V67" i="64" s="1"/>
  <c r="W67" i="64" s="1"/>
  <c r="F68" i="64"/>
  <c r="G68" i="64" s="1"/>
  <c r="H68" i="64" s="1"/>
  <c r="I68" i="64" s="1"/>
  <c r="J68" i="64" s="1"/>
  <c r="K68" i="64" s="1"/>
  <c r="L68" i="64" s="1"/>
  <c r="M68" i="64" s="1"/>
  <c r="N68" i="64" s="1"/>
  <c r="O68" i="64" s="1"/>
  <c r="P68" i="64" s="1"/>
  <c r="Q68" i="64" s="1"/>
  <c r="R68" i="64" s="1"/>
  <c r="S68" i="64" s="1"/>
  <c r="T68" i="64" s="1"/>
  <c r="U68" i="64" s="1"/>
  <c r="V68" i="64" s="1"/>
  <c r="W68" i="64" s="1"/>
  <c r="F69" i="64"/>
  <c r="G69" i="64" s="1"/>
  <c r="H69" i="64" s="1"/>
  <c r="I69" i="64" s="1"/>
  <c r="J69" i="64" s="1"/>
  <c r="K69" i="64" s="1"/>
  <c r="L69" i="64" s="1"/>
  <c r="M69" i="64" s="1"/>
  <c r="N69" i="64" s="1"/>
  <c r="O69" i="64" s="1"/>
  <c r="P69" i="64" s="1"/>
  <c r="Q69" i="64" s="1"/>
  <c r="R69" i="64" s="1"/>
  <c r="S69" i="64" s="1"/>
  <c r="T69" i="64" s="1"/>
  <c r="U69" i="64" s="1"/>
  <c r="V69" i="64" s="1"/>
  <c r="W69" i="64" s="1"/>
  <c r="F70" i="64"/>
  <c r="G70" i="64" s="1"/>
  <c r="H70" i="64" s="1"/>
  <c r="I70" i="64" s="1"/>
  <c r="J70" i="64" s="1"/>
  <c r="K70" i="64" s="1"/>
  <c r="L70" i="64" s="1"/>
  <c r="M70" i="64" s="1"/>
  <c r="N70" i="64" s="1"/>
  <c r="O70" i="64" s="1"/>
  <c r="P70" i="64" s="1"/>
  <c r="Q70" i="64" s="1"/>
  <c r="R70" i="64" s="1"/>
  <c r="S70" i="64" s="1"/>
  <c r="T70" i="64" s="1"/>
  <c r="U70" i="64" s="1"/>
  <c r="V70" i="64" s="1"/>
  <c r="W70" i="64" s="1"/>
  <c r="F71" i="64"/>
  <c r="G71" i="64" s="1"/>
  <c r="H71" i="64" s="1"/>
  <c r="I71" i="64" s="1"/>
  <c r="J71" i="64" s="1"/>
  <c r="K71" i="64" s="1"/>
  <c r="L71" i="64" s="1"/>
  <c r="M71" i="64" s="1"/>
  <c r="N71" i="64" s="1"/>
  <c r="O71" i="64" s="1"/>
  <c r="P71" i="64" s="1"/>
  <c r="Q71" i="64" s="1"/>
  <c r="R71" i="64" s="1"/>
  <c r="S71" i="64" s="1"/>
  <c r="T71" i="64" s="1"/>
  <c r="U71" i="64" s="1"/>
  <c r="V71" i="64" s="1"/>
  <c r="W71" i="64" s="1"/>
  <c r="F72" i="64"/>
  <c r="G72" i="64" s="1"/>
  <c r="H72" i="64" s="1"/>
  <c r="I72" i="64" s="1"/>
  <c r="J72" i="64" s="1"/>
  <c r="K72" i="64" s="1"/>
  <c r="L72" i="64" s="1"/>
  <c r="M72" i="64" s="1"/>
  <c r="N72" i="64" s="1"/>
  <c r="O72" i="64" s="1"/>
  <c r="P72" i="64" s="1"/>
  <c r="Q72" i="64" s="1"/>
  <c r="R72" i="64" s="1"/>
  <c r="S72" i="64" s="1"/>
  <c r="T72" i="64" s="1"/>
  <c r="U72" i="64" s="1"/>
  <c r="V72" i="64" s="1"/>
  <c r="W72" i="64" s="1"/>
  <c r="F73" i="64"/>
  <c r="G73" i="64" s="1"/>
  <c r="H73" i="64" s="1"/>
  <c r="I73" i="64" s="1"/>
  <c r="J73" i="64" s="1"/>
  <c r="K73" i="64" s="1"/>
  <c r="L73" i="64" s="1"/>
  <c r="M73" i="64" s="1"/>
  <c r="N73" i="64" s="1"/>
  <c r="O73" i="64" s="1"/>
  <c r="P73" i="64" s="1"/>
  <c r="Q73" i="64" s="1"/>
  <c r="R73" i="64" s="1"/>
  <c r="S73" i="64" s="1"/>
  <c r="T73" i="64" s="1"/>
  <c r="U73" i="64" s="1"/>
  <c r="V73" i="64" s="1"/>
  <c r="W73" i="64" s="1"/>
  <c r="F74" i="64"/>
  <c r="G74" i="64" s="1"/>
  <c r="H74" i="64" s="1"/>
  <c r="I74" i="64" s="1"/>
  <c r="J74" i="64" s="1"/>
  <c r="K74" i="64" s="1"/>
  <c r="L74" i="64" s="1"/>
  <c r="M74" i="64" s="1"/>
  <c r="N74" i="64" s="1"/>
  <c r="O74" i="64" s="1"/>
  <c r="P74" i="64" s="1"/>
  <c r="Q74" i="64" s="1"/>
  <c r="R74" i="64" s="1"/>
  <c r="S74" i="64" s="1"/>
  <c r="T74" i="64" s="1"/>
  <c r="U74" i="64" s="1"/>
  <c r="V74" i="64" s="1"/>
  <c r="W74" i="64" s="1"/>
  <c r="F75" i="64"/>
  <c r="G75" i="64" s="1"/>
  <c r="H75" i="64" s="1"/>
  <c r="I75" i="64" s="1"/>
  <c r="J75" i="64" s="1"/>
  <c r="K75" i="64" s="1"/>
  <c r="L75" i="64" s="1"/>
  <c r="M75" i="64" s="1"/>
  <c r="N75" i="64" s="1"/>
  <c r="O75" i="64" s="1"/>
  <c r="P75" i="64" s="1"/>
  <c r="Q75" i="64" s="1"/>
  <c r="R75" i="64" s="1"/>
  <c r="S75" i="64" s="1"/>
  <c r="T75" i="64" s="1"/>
  <c r="U75" i="64" s="1"/>
  <c r="V75" i="64" s="1"/>
  <c r="W75" i="64" s="1"/>
  <c r="F76" i="64"/>
  <c r="G76" i="64" s="1"/>
  <c r="H76" i="64" s="1"/>
  <c r="I76" i="64" s="1"/>
  <c r="J76" i="64" s="1"/>
  <c r="K76" i="64" s="1"/>
  <c r="L76" i="64" s="1"/>
  <c r="M76" i="64" s="1"/>
  <c r="N76" i="64" s="1"/>
  <c r="O76" i="64" s="1"/>
  <c r="P76" i="64" s="1"/>
  <c r="Q76" i="64" s="1"/>
  <c r="R76" i="64" s="1"/>
  <c r="S76" i="64" s="1"/>
  <c r="T76" i="64" s="1"/>
  <c r="U76" i="64" s="1"/>
  <c r="V76" i="64" s="1"/>
  <c r="W76" i="64" s="1"/>
  <c r="F77" i="64"/>
  <c r="G77" i="64" s="1"/>
  <c r="H77" i="64" s="1"/>
  <c r="I77" i="64" s="1"/>
  <c r="J77" i="64" s="1"/>
  <c r="K77" i="64" s="1"/>
  <c r="L77" i="64" s="1"/>
  <c r="M77" i="64" s="1"/>
  <c r="N77" i="64" s="1"/>
  <c r="O77" i="64" s="1"/>
  <c r="P77" i="64" s="1"/>
  <c r="Q77" i="64" s="1"/>
  <c r="R77" i="64" s="1"/>
  <c r="S77" i="64" s="1"/>
  <c r="T77" i="64" s="1"/>
  <c r="U77" i="64" s="1"/>
  <c r="V77" i="64" s="1"/>
  <c r="W77" i="64" s="1"/>
  <c r="G78" i="64"/>
  <c r="H78" i="64" s="1"/>
  <c r="I78" i="64" s="1"/>
  <c r="J78" i="64" s="1"/>
  <c r="K78" i="64" s="1"/>
  <c r="L78" i="64" s="1"/>
  <c r="M78" i="64" s="1"/>
  <c r="N78" i="64" s="1"/>
  <c r="O78" i="64" s="1"/>
  <c r="P78" i="64" s="1"/>
  <c r="Q78" i="64" s="1"/>
  <c r="R78" i="64" s="1"/>
  <c r="S78" i="64" s="1"/>
  <c r="T78" i="64" s="1"/>
  <c r="U78" i="64" s="1"/>
  <c r="V78" i="64" s="1"/>
  <c r="W78" i="64" s="1"/>
  <c r="F79" i="64"/>
  <c r="G79" i="64" s="1"/>
  <c r="H79" i="64" s="1"/>
  <c r="I79" i="64" s="1"/>
  <c r="J79" i="64" s="1"/>
  <c r="K79" i="64" s="1"/>
  <c r="L79" i="64" s="1"/>
  <c r="M79" i="64" s="1"/>
  <c r="N79" i="64" s="1"/>
  <c r="O79" i="64" s="1"/>
  <c r="P79" i="64" s="1"/>
  <c r="Q79" i="64" s="1"/>
  <c r="R79" i="64" s="1"/>
  <c r="S79" i="64" s="1"/>
  <c r="T79" i="64" s="1"/>
  <c r="U79" i="64" s="1"/>
  <c r="V79" i="64" s="1"/>
  <c r="W79" i="64" s="1"/>
  <c r="F80" i="64"/>
  <c r="G80" i="64" s="1"/>
  <c r="H80" i="64" s="1"/>
  <c r="I80" i="64" s="1"/>
  <c r="J80" i="64" s="1"/>
  <c r="K80" i="64" s="1"/>
  <c r="L80" i="64" s="1"/>
  <c r="M80" i="64" s="1"/>
  <c r="N80" i="64" s="1"/>
  <c r="O80" i="64" s="1"/>
  <c r="P80" i="64" s="1"/>
  <c r="Q80" i="64" s="1"/>
  <c r="R80" i="64" s="1"/>
  <c r="S80" i="64" s="1"/>
  <c r="T80" i="64" s="1"/>
  <c r="U80" i="64" s="1"/>
  <c r="V80" i="64" s="1"/>
  <c r="W80" i="64" s="1"/>
  <c r="F81" i="64"/>
  <c r="G81" i="64" s="1"/>
  <c r="H81" i="64" s="1"/>
  <c r="I81" i="64" s="1"/>
  <c r="J81" i="64" s="1"/>
  <c r="K81" i="64" s="1"/>
  <c r="L81" i="64" s="1"/>
  <c r="M81" i="64" s="1"/>
  <c r="N81" i="64" s="1"/>
  <c r="O81" i="64" s="1"/>
  <c r="P81" i="64" s="1"/>
  <c r="Q81" i="64" s="1"/>
  <c r="R81" i="64" s="1"/>
  <c r="S81" i="64" s="1"/>
  <c r="T81" i="64" s="1"/>
  <c r="U81" i="64" s="1"/>
  <c r="V81" i="64" s="1"/>
  <c r="W81" i="64" s="1"/>
  <c r="F82" i="64"/>
  <c r="G82" i="64" s="1"/>
  <c r="H82" i="64" s="1"/>
  <c r="I82" i="64" s="1"/>
  <c r="J82" i="64" s="1"/>
  <c r="K82" i="64" s="1"/>
  <c r="L82" i="64" s="1"/>
  <c r="M82" i="64" s="1"/>
  <c r="N82" i="64" s="1"/>
  <c r="O82" i="64" s="1"/>
  <c r="P82" i="64" s="1"/>
  <c r="Q82" i="64" s="1"/>
  <c r="R82" i="64" s="1"/>
  <c r="S82" i="64" s="1"/>
  <c r="T82" i="64" s="1"/>
  <c r="U82" i="64" s="1"/>
  <c r="V82" i="64" s="1"/>
  <c r="W82" i="64" s="1"/>
  <c r="F83" i="64"/>
  <c r="G83" i="64" s="1"/>
  <c r="H83" i="64" s="1"/>
  <c r="I83" i="64" s="1"/>
  <c r="J83" i="64" s="1"/>
  <c r="K83" i="64" s="1"/>
  <c r="L83" i="64" s="1"/>
  <c r="M83" i="64" s="1"/>
  <c r="N83" i="64" s="1"/>
  <c r="O83" i="64" s="1"/>
  <c r="P83" i="64" s="1"/>
  <c r="Q83" i="64" s="1"/>
  <c r="R83" i="64" s="1"/>
  <c r="S83" i="64" s="1"/>
  <c r="T83" i="64" s="1"/>
  <c r="U83" i="64" s="1"/>
  <c r="V83" i="64" s="1"/>
  <c r="W83" i="64" s="1"/>
  <c r="F84" i="64"/>
  <c r="G84" i="64" s="1"/>
  <c r="H84" i="64" s="1"/>
  <c r="I84" i="64" s="1"/>
  <c r="J84" i="64" s="1"/>
  <c r="K84" i="64" s="1"/>
  <c r="L84" i="64" s="1"/>
  <c r="M84" i="64" s="1"/>
  <c r="N84" i="64" s="1"/>
  <c r="O84" i="64" s="1"/>
  <c r="P84" i="64" s="1"/>
  <c r="Q84" i="64" s="1"/>
  <c r="R84" i="64" s="1"/>
  <c r="S84" i="64" s="1"/>
  <c r="T84" i="64" s="1"/>
  <c r="U84" i="64" s="1"/>
  <c r="V84" i="64" s="1"/>
  <c r="W84" i="64" s="1"/>
  <c r="F85" i="64"/>
  <c r="G85" i="64" s="1"/>
  <c r="H85" i="64" s="1"/>
  <c r="I85" i="64" s="1"/>
  <c r="J85" i="64" s="1"/>
  <c r="K85" i="64" s="1"/>
  <c r="L85" i="64" s="1"/>
  <c r="M85" i="64" s="1"/>
  <c r="N85" i="64" s="1"/>
  <c r="O85" i="64" s="1"/>
  <c r="P85" i="64" s="1"/>
  <c r="Q85" i="64" s="1"/>
  <c r="R85" i="64" s="1"/>
  <c r="S85" i="64" s="1"/>
  <c r="T85" i="64" s="1"/>
  <c r="U85" i="64" s="1"/>
  <c r="V85" i="64" s="1"/>
  <c r="W85" i="64" s="1"/>
  <c r="F86" i="64"/>
  <c r="G86" i="64" s="1"/>
  <c r="H86" i="64" s="1"/>
  <c r="I86" i="64" s="1"/>
  <c r="J86" i="64" s="1"/>
  <c r="K86" i="64" s="1"/>
  <c r="L86" i="64" s="1"/>
  <c r="M86" i="64" s="1"/>
  <c r="N86" i="64" s="1"/>
  <c r="O86" i="64" s="1"/>
  <c r="P86" i="64" s="1"/>
  <c r="Q86" i="64" s="1"/>
  <c r="R86" i="64" s="1"/>
  <c r="S86" i="64" s="1"/>
  <c r="T86" i="64" s="1"/>
  <c r="U86" i="64" s="1"/>
  <c r="V86" i="64" s="1"/>
  <c r="W86" i="64" s="1"/>
  <c r="F87" i="64"/>
  <c r="G87" i="64" s="1"/>
  <c r="H87" i="64" s="1"/>
  <c r="I87" i="64" s="1"/>
  <c r="J87" i="64" s="1"/>
  <c r="K87" i="64" s="1"/>
  <c r="L87" i="64" s="1"/>
  <c r="M87" i="64" s="1"/>
  <c r="N87" i="64" s="1"/>
  <c r="O87" i="64" s="1"/>
  <c r="P87" i="64" s="1"/>
  <c r="Q87" i="64" s="1"/>
  <c r="R87" i="64" s="1"/>
  <c r="S87" i="64" s="1"/>
  <c r="T87" i="64" s="1"/>
  <c r="U87" i="64" s="1"/>
  <c r="V87" i="64" s="1"/>
  <c r="W87" i="64" s="1"/>
  <c r="F88" i="64"/>
  <c r="G88" i="64" s="1"/>
  <c r="H88" i="64" s="1"/>
  <c r="I88" i="64" s="1"/>
  <c r="J88" i="64" s="1"/>
  <c r="K88" i="64" s="1"/>
  <c r="L88" i="64" s="1"/>
  <c r="M88" i="64" s="1"/>
  <c r="N88" i="64" s="1"/>
  <c r="O88" i="64" s="1"/>
  <c r="P88" i="64" s="1"/>
  <c r="Q88" i="64" s="1"/>
  <c r="R88" i="64" s="1"/>
  <c r="S88" i="64" s="1"/>
  <c r="T88" i="64" s="1"/>
  <c r="U88" i="64" s="1"/>
  <c r="V88" i="64" s="1"/>
  <c r="W88" i="64" s="1"/>
  <c r="F89" i="64"/>
  <c r="G89" i="64" s="1"/>
  <c r="H89" i="64" s="1"/>
  <c r="I89" i="64" s="1"/>
  <c r="J89" i="64" s="1"/>
  <c r="K89" i="64" s="1"/>
  <c r="L89" i="64" s="1"/>
  <c r="M89" i="64" s="1"/>
  <c r="N89" i="64" s="1"/>
  <c r="O89" i="64" s="1"/>
  <c r="P89" i="64" s="1"/>
  <c r="Q89" i="64" s="1"/>
  <c r="R89" i="64" s="1"/>
  <c r="S89" i="64" s="1"/>
  <c r="T89" i="64" s="1"/>
  <c r="U89" i="64" s="1"/>
  <c r="V89" i="64" s="1"/>
  <c r="W89" i="64" s="1"/>
  <c r="F90" i="64"/>
  <c r="G90" i="64" s="1"/>
  <c r="H90" i="64" s="1"/>
  <c r="I90" i="64" s="1"/>
  <c r="J90" i="64" s="1"/>
  <c r="K90" i="64" s="1"/>
  <c r="L90" i="64" s="1"/>
  <c r="M90" i="64" s="1"/>
  <c r="N90" i="64" s="1"/>
  <c r="O90" i="64" s="1"/>
  <c r="P90" i="64" s="1"/>
  <c r="Q90" i="64" s="1"/>
  <c r="R90" i="64" s="1"/>
  <c r="S90" i="64" s="1"/>
  <c r="T90" i="64" s="1"/>
  <c r="U90" i="64" s="1"/>
  <c r="V90" i="64" s="1"/>
  <c r="W90" i="64" s="1"/>
  <c r="F91" i="64"/>
  <c r="G91" i="64" s="1"/>
  <c r="H91" i="64" s="1"/>
  <c r="I91" i="64" s="1"/>
  <c r="J91" i="64" s="1"/>
  <c r="K91" i="64" s="1"/>
  <c r="L91" i="64" s="1"/>
  <c r="M91" i="64" s="1"/>
  <c r="N91" i="64" s="1"/>
  <c r="O91" i="64" s="1"/>
  <c r="P91" i="64" s="1"/>
  <c r="Q91" i="64" s="1"/>
  <c r="R91" i="64" s="1"/>
  <c r="S91" i="64" s="1"/>
  <c r="T91" i="64" s="1"/>
  <c r="U91" i="64" s="1"/>
  <c r="V91" i="64" s="1"/>
  <c r="W91" i="64" s="1"/>
  <c r="F92" i="64"/>
  <c r="G92" i="64" s="1"/>
  <c r="H92" i="64" s="1"/>
  <c r="I92" i="64" s="1"/>
  <c r="J92" i="64" s="1"/>
  <c r="K92" i="64" s="1"/>
  <c r="L92" i="64" s="1"/>
  <c r="M92" i="64" s="1"/>
  <c r="N92" i="64" s="1"/>
  <c r="O92" i="64" s="1"/>
  <c r="P92" i="64" s="1"/>
  <c r="Q92" i="64" s="1"/>
  <c r="R92" i="64" s="1"/>
  <c r="S92" i="64" s="1"/>
  <c r="T92" i="64" s="1"/>
  <c r="U92" i="64" s="1"/>
  <c r="V92" i="64" s="1"/>
  <c r="W92" i="64" s="1"/>
  <c r="F93" i="64"/>
  <c r="G93" i="64" s="1"/>
  <c r="H7" i="42"/>
  <c r="G7" i="42"/>
  <c r="G6" i="42" s="1"/>
  <c r="F7" i="42"/>
  <c r="F6" i="42" s="1"/>
  <c r="E7" i="42"/>
  <c r="E6" i="42" s="1"/>
  <c r="D7" i="42"/>
  <c r="D6" i="42" s="1"/>
  <c r="I7" i="42"/>
  <c r="E7" i="37"/>
  <c r="D6" i="37"/>
  <c r="D7" i="37"/>
  <c r="D5" i="37"/>
  <c r="G20" i="64" l="1"/>
  <c r="F94" i="64"/>
  <c r="D5" i="43"/>
  <c r="D10" i="42"/>
  <c r="D9" i="42"/>
  <c r="E5" i="43"/>
  <c r="E9" i="42"/>
  <c r="E7" i="43" s="1"/>
  <c r="E10" i="42"/>
  <c r="E8" i="43" s="1"/>
  <c r="F9" i="42"/>
  <c r="F7" i="43" s="1"/>
  <c r="F10" i="42"/>
  <c r="F8" i="43" s="1"/>
  <c r="G9" i="42"/>
  <c r="G7" i="43" s="1"/>
  <c r="G10" i="42"/>
  <c r="G8" i="43" s="1"/>
  <c r="F11" i="42"/>
  <c r="F9" i="43" s="1"/>
  <c r="F5" i="43"/>
  <c r="G5" i="43"/>
  <c r="H93" i="64"/>
  <c r="H19" i="64"/>
  <c r="H14" i="64"/>
  <c r="J7" i="42" s="1"/>
  <c r="J6" i="42" s="1"/>
  <c r="I6" i="42"/>
  <c r="H6" i="42"/>
  <c r="F7" i="37"/>
  <c r="E11" i="42"/>
  <c r="E9" i="43" s="1"/>
  <c r="E8" i="42"/>
  <c r="E6" i="43" s="1"/>
  <c r="D11" i="42"/>
  <c r="D9" i="43" s="1"/>
  <c r="D8" i="42"/>
  <c r="D6" i="43" s="1"/>
  <c r="F8" i="42"/>
  <c r="F6" i="43" s="1"/>
  <c r="G8" i="42"/>
  <c r="G6" i="43" s="1"/>
  <c r="G11" i="42"/>
  <c r="G9" i="43" s="1"/>
  <c r="H20" i="64" l="1"/>
  <c r="I20" i="64" s="1"/>
  <c r="J20" i="64" s="1"/>
  <c r="K20" i="64" s="1"/>
  <c r="L20" i="64" s="1"/>
  <c r="M20" i="64" s="1"/>
  <c r="N20" i="64" s="1"/>
  <c r="O20" i="64" s="1"/>
  <c r="P20" i="64" s="1"/>
  <c r="Q20" i="64" s="1"/>
  <c r="R20" i="64" s="1"/>
  <c r="S20" i="64" s="1"/>
  <c r="T20" i="64" s="1"/>
  <c r="U20" i="64" s="1"/>
  <c r="V20" i="64" s="1"/>
  <c r="W20" i="64" s="1"/>
  <c r="G94" i="64"/>
  <c r="J10" i="42"/>
  <c r="J8" i="43" s="1"/>
  <c r="J9" i="42"/>
  <c r="J7" i="43" s="1"/>
  <c r="D7" i="43"/>
  <c r="H9" i="42"/>
  <c r="H7" i="43" s="1"/>
  <c r="H10" i="42"/>
  <c r="H8" i="43" s="1"/>
  <c r="D8" i="43"/>
  <c r="I9" i="42"/>
  <c r="I7" i="43" s="1"/>
  <c r="I10" i="42"/>
  <c r="I8" i="43" s="1"/>
  <c r="G10" i="43"/>
  <c r="H10" i="43"/>
  <c r="F10" i="43"/>
  <c r="H8" i="42"/>
  <c r="H6" i="43" s="1"/>
  <c r="H5" i="43"/>
  <c r="I8" i="42"/>
  <c r="I6" i="43" s="1"/>
  <c r="I5" i="43"/>
  <c r="J8" i="42"/>
  <c r="J6" i="43" s="1"/>
  <c r="J5" i="43"/>
  <c r="I93" i="64"/>
  <c r="I19" i="64"/>
  <c r="I14" i="64"/>
  <c r="K7" i="42" s="1"/>
  <c r="K6" i="42" s="1"/>
  <c r="J11" i="42"/>
  <c r="J9" i="43" s="1"/>
  <c r="H11" i="42"/>
  <c r="H9" i="43" s="1"/>
  <c r="I11" i="42"/>
  <c r="I9" i="43" s="1"/>
  <c r="E5" i="42"/>
  <c r="D5" i="42"/>
  <c r="G5" i="42"/>
  <c r="F5" i="42"/>
  <c r="F4" i="43" s="1"/>
  <c r="I94" i="64" l="1"/>
  <c r="H94" i="64"/>
  <c r="K5" i="43"/>
  <c r="K9" i="42"/>
  <c r="K7" i="43" s="1"/>
  <c r="K10" i="42"/>
  <c r="K8" i="43" s="1"/>
  <c r="J93" i="64"/>
  <c r="I10" i="43"/>
  <c r="J19" i="64"/>
  <c r="J14" i="64"/>
  <c r="K14" i="64" s="1"/>
  <c r="F4" i="42"/>
  <c r="F5" i="65" s="1"/>
  <c r="J5" i="42"/>
  <c r="J4" i="42" s="1"/>
  <c r="J5" i="65" s="1"/>
  <c r="H5" i="42"/>
  <c r="H4" i="43" s="1"/>
  <c r="I5" i="42"/>
  <c r="I4" i="43" s="1"/>
  <c r="D4" i="42"/>
  <c r="D5" i="65" s="1"/>
  <c r="K8" i="42"/>
  <c r="K11" i="42"/>
  <c r="E4" i="42"/>
  <c r="E5" i="65" s="1"/>
  <c r="E4" i="43"/>
  <c r="G4" i="42"/>
  <c r="G5" i="65" s="1"/>
  <c r="G4" i="43"/>
  <c r="J94" i="64" l="1"/>
  <c r="K93" i="64"/>
  <c r="J10" i="43"/>
  <c r="K19" i="64"/>
  <c r="L7" i="42"/>
  <c r="L6" i="42" s="1"/>
  <c r="J4" i="43"/>
  <c r="K5" i="42"/>
  <c r="K4" i="42" s="1"/>
  <c r="K5" i="65" s="1"/>
  <c r="H4" i="42"/>
  <c r="H5" i="65" s="1"/>
  <c r="I4" i="42"/>
  <c r="I5" i="65" s="1"/>
  <c r="K9" i="43"/>
  <c r="K6" i="43"/>
  <c r="L14" i="64"/>
  <c r="M7" i="42"/>
  <c r="M6" i="42" s="1"/>
  <c r="D4" i="43"/>
  <c r="K94" i="64" l="1"/>
  <c r="M5" i="43"/>
  <c r="M9" i="42"/>
  <c r="M7" i="43" s="1"/>
  <c r="M10" i="42"/>
  <c r="M8" i="43" s="1"/>
  <c r="L9" i="42"/>
  <c r="L10" i="42"/>
  <c r="L8" i="42"/>
  <c r="L6" i="43" s="1"/>
  <c r="L5" i="43"/>
  <c r="L93" i="64"/>
  <c r="K10" i="43"/>
  <c r="L19" i="64"/>
  <c r="L94" i="64" s="1"/>
  <c r="L11" i="42"/>
  <c r="L9" i="43" s="1"/>
  <c r="K4" i="43"/>
  <c r="M8" i="42"/>
  <c r="M6" i="43" s="1"/>
  <c r="M11" i="42"/>
  <c r="M14" i="64"/>
  <c r="N7" i="42"/>
  <c r="N6" i="42" s="1"/>
  <c r="L8" i="43" l="1"/>
  <c r="N5" i="43"/>
  <c r="N9" i="42"/>
  <c r="N7" i="43" s="1"/>
  <c r="N10" i="42"/>
  <c r="N8" i="43" s="1"/>
  <c r="L7" i="43"/>
  <c r="M93" i="64"/>
  <c r="L10" i="43"/>
  <c r="M19" i="64"/>
  <c r="M94" i="64" s="1"/>
  <c r="L5" i="42"/>
  <c r="N11" i="42"/>
  <c r="N9" i="43" s="1"/>
  <c r="N8" i="42"/>
  <c r="N14" i="64"/>
  <c r="O7" i="42"/>
  <c r="O6" i="42" s="1"/>
  <c r="M5" i="42"/>
  <c r="M9" i="43"/>
  <c r="O5" i="43" l="1"/>
  <c r="O9" i="42"/>
  <c r="O10" i="42"/>
  <c r="O8" i="43" s="1"/>
  <c r="N93" i="64"/>
  <c r="M10" i="43"/>
  <c r="N19" i="64"/>
  <c r="L4" i="42"/>
  <c r="L5" i="65" s="1"/>
  <c r="M4" i="42"/>
  <c r="M5" i="65" s="1"/>
  <c r="M4" i="43"/>
  <c r="L4" i="43"/>
  <c r="O11" i="42"/>
  <c r="O8" i="42"/>
  <c r="O6" i="43" s="1"/>
  <c r="N5" i="42"/>
  <c r="O14" i="64"/>
  <c r="P7" i="42"/>
  <c r="P6" i="42" s="1"/>
  <c r="N6" i="43"/>
  <c r="N94" i="64" l="1"/>
  <c r="O7" i="43"/>
  <c r="P5" i="43"/>
  <c r="P10" i="42"/>
  <c r="P8" i="43" s="1"/>
  <c r="P9" i="42"/>
  <c r="P7" i="43" s="1"/>
  <c r="O93" i="64"/>
  <c r="N10" i="43"/>
  <c r="O19" i="64"/>
  <c r="O5" i="42"/>
  <c r="O4" i="42" s="1"/>
  <c r="O5" i="65" s="1"/>
  <c r="P14" i="64"/>
  <c r="Q7" i="42"/>
  <c r="Q6" i="42" s="1"/>
  <c r="O9" i="43"/>
  <c r="P8" i="42"/>
  <c r="P11" i="42"/>
  <c r="P9" i="43" s="1"/>
  <c r="N4" i="42"/>
  <c r="N5" i="65" s="1"/>
  <c r="O94" i="64" l="1"/>
  <c r="Q5" i="43"/>
  <c r="Q9" i="42"/>
  <c r="Q7" i="43" s="1"/>
  <c r="Q10" i="42"/>
  <c r="Q8" i="43" s="1"/>
  <c r="P93" i="64"/>
  <c r="O10" i="43"/>
  <c r="P19" i="64"/>
  <c r="O4" i="43"/>
  <c r="P5" i="42"/>
  <c r="P4" i="42" s="1"/>
  <c r="P5" i="65" s="1"/>
  <c r="P6" i="43"/>
  <c r="Q8" i="42"/>
  <c r="Q6" i="43" s="1"/>
  <c r="Q11" i="42"/>
  <c r="Q9" i="43" s="1"/>
  <c r="N4" i="43"/>
  <c r="Q14" i="64"/>
  <c r="R7" i="42"/>
  <c r="R6" i="42" s="1"/>
  <c r="P94" i="64" l="1"/>
  <c r="R5" i="43"/>
  <c r="R10" i="42"/>
  <c r="R8" i="43" s="1"/>
  <c r="R9" i="42"/>
  <c r="R7" i="43" s="1"/>
  <c r="Q93" i="64"/>
  <c r="P10" i="43"/>
  <c r="Q19" i="64"/>
  <c r="P4" i="43"/>
  <c r="Q5" i="42"/>
  <c r="Q4" i="42" s="1"/>
  <c r="Q5" i="65" s="1"/>
  <c r="R14" i="64"/>
  <c r="S7" i="42"/>
  <c r="S6" i="42" s="1"/>
  <c r="R11" i="42"/>
  <c r="R8" i="42"/>
  <c r="R6" i="43" s="1"/>
  <c r="Q94" i="64" l="1"/>
  <c r="S5" i="43"/>
  <c r="S10" i="42"/>
  <c r="S8" i="43" s="1"/>
  <c r="S9" i="42"/>
  <c r="S7" i="43" s="1"/>
  <c r="R93" i="64"/>
  <c r="Q10" i="43"/>
  <c r="R19" i="64"/>
  <c r="Q4" i="43"/>
  <c r="R5" i="42"/>
  <c r="R4" i="42" s="1"/>
  <c r="R5" i="65" s="1"/>
  <c r="R9" i="43"/>
  <c r="S11" i="42"/>
  <c r="S9" i="43" s="1"/>
  <c r="S8" i="42"/>
  <c r="S6" i="43" s="1"/>
  <c r="S14" i="64"/>
  <c r="T7" i="42"/>
  <c r="T6" i="42" s="1"/>
  <c r="R94" i="64" l="1"/>
  <c r="T5" i="43"/>
  <c r="T10" i="42"/>
  <c r="T8" i="43" s="1"/>
  <c r="T9" i="42"/>
  <c r="T7" i="43" s="1"/>
  <c r="S93" i="64"/>
  <c r="R10" i="43"/>
  <c r="S19" i="64"/>
  <c r="R4" i="43"/>
  <c r="S5" i="42"/>
  <c r="S4" i="42" s="1"/>
  <c r="S5" i="65" s="1"/>
  <c r="T14" i="64"/>
  <c r="U7" i="42"/>
  <c r="U6" i="42" s="1"/>
  <c r="T8" i="42"/>
  <c r="T6" i="43" s="1"/>
  <c r="T11" i="42"/>
  <c r="T9" i="43" s="1"/>
  <c r="S94" i="64" l="1"/>
  <c r="U5" i="43"/>
  <c r="U10" i="42"/>
  <c r="U8" i="43" s="1"/>
  <c r="U9" i="42"/>
  <c r="U7" i="43" s="1"/>
  <c r="T93" i="64"/>
  <c r="S10" i="43"/>
  <c r="T19" i="64"/>
  <c r="S4" i="43"/>
  <c r="T5" i="42"/>
  <c r="T4" i="42" s="1"/>
  <c r="T5" i="65" s="1"/>
  <c r="U8" i="42"/>
  <c r="U6" i="43" s="1"/>
  <c r="U11" i="42"/>
  <c r="U9" i="43" s="1"/>
  <c r="U14" i="64"/>
  <c r="W7" i="42" s="1"/>
  <c r="W6" i="42" s="1"/>
  <c r="V7" i="42"/>
  <c r="V6" i="42" s="1"/>
  <c r="T94" i="64" l="1"/>
  <c r="V5" i="43"/>
  <c r="V10" i="42"/>
  <c r="V8" i="43" s="1"/>
  <c r="V9" i="42"/>
  <c r="V7" i="43" s="1"/>
  <c r="W5" i="43"/>
  <c r="W9" i="42"/>
  <c r="W10" i="42"/>
  <c r="U93" i="64"/>
  <c r="T10" i="43"/>
  <c r="U19" i="64"/>
  <c r="U94" i="64" s="1"/>
  <c r="T4" i="43"/>
  <c r="U5" i="42"/>
  <c r="U4" i="42" s="1"/>
  <c r="U5" i="65" s="1"/>
  <c r="W11" i="42"/>
  <c r="W8" i="42"/>
  <c r="V11" i="42"/>
  <c r="V9" i="43" s="1"/>
  <c r="V8" i="42"/>
  <c r="V6" i="43" s="1"/>
  <c r="W8" i="43" l="1"/>
  <c r="C8" i="43" s="1"/>
  <c r="C10" i="42"/>
  <c r="W7" i="43"/>
  <c r="C7" i="43" s="1"/>
  <c r="C9" i="42"/>
  <c r="V93" i="64"/>
  <c r="U10" i="43"/>
  <c r="U4" i="43"/>
  <c r="V19" i="64"/>
  <c r="W5" i="42"/>
  <c r="V5" i="42"/>
  <c r="W6" i="43"/>
  <c r="C8" i="42"/>
  <c r="W9" i="43"/>
  <c r="C9" i="43" s="1"/>
  <c r="C11" i="42"/>
  <c r="V94" i="64" l="1"/>
  <c r="C5" i="42"/>
  <c r="W93" i="64"/>
  <c r="V10" i="43"/>
  <c r="W4" i="42"/>
  <c r="W5" i="65" s="1"/>
  <c r="V4" i="43"/>
  <c r="V4" i="42"/>
  <c r="V5" i="65" s="1"/>
  <c r="W19" i="64"/>
  <c r="W4" i="43"/>
  <c r="W94" i="64" l="1"/>
  <c r="W10" i="43"/>
  <c r="C5" i="43"/>
  <c r="C10" i="43" l="1"/>
  <c r="D14" i="46"/>
  <c r="E31" i="37" l="1"/>
  <c r="D31" i="37"/>
  <c r="E8" i="37"/>
  <c r="E6" i="37"/>
  <c r="F6" i="37" s="1"/>
  <c r="E5" i="37"/>
  <c r="F31" i="37" l="1"/>
  <c r="C13" i="44"/>
  <c r="F32" i="37" l="1"/>
  <c r="F33" i="37"/>
  <c r="Q8" i="44"/>
  <c r="R8" i="44"/>
  <c r="E14" i="46"/>
  <c r="K14" i="46"/>
  <c r="L14" i="46"/>
  <c r="M14" i="46"/>
  <c r="N14" i="46"/>
  <c r="O14" i="46"/>
  <c r="P14" i="46"/>
  <c r="Q14" i="46"/>
  <c r="R14" i="46"/>
  <c r="S14" i="46"/>
  <c r="T14" i="46"/>
  <c r="U14" i="46"/>
  <c r="V14" i="46"/>
  <c r="W14" i="46"/>
  <c r="F8" i="46"/>
  <c r="G8" i="46"/>
  <c r="H8" i="46"/>
  <c r="I8" i="46"/>
  <c r="J8" i="46"/>
  <c r="K8" i="46"/>
  <c r="L8" i="46"/>
  <c r="M8" i="46"/>
  <c r="N8" i="46"/>
  <c r="O8" i="46"/>
  <c r="P8" i="46"/>
  <c r="Q8" i="46"/>
  <c r="R8" i="46"/>
  <c r="S8" i="46"/>
  <c r="T8" i="46"/>
  <c r="U8" i="46"/>
  <c r="V8" i="46"/>
  <c r="W8" i="46"/>
  <c r="E6" i="46"/>
  <c r="F6" i="46"/>
  <c r="G6" i="46"/>
  <c r="H6" i="46"/>
  <c r="I6" i="46"/>
  <c r="J6" i="46"/>
  <c r="K6" i="46"/>
  <c r="L6" i="46"/>
  <c r="M6" i="46"/>
  <c r="N6" i="46"/>
  <c r="O6" i="46"/>
  <c r="P6" i="46"/>
  <c r="Q6" i="46"/>
  <c r="R6" i="46"/>
  <c r="S6" i="46"/>
  <c r="T6" i="46"/>
  <c r="U6" i="46"/>
  <c r="V6" i="46"/>
  <c r="W6" i="46"/>
  <c r="D6" i="46"/>
  <c r="Q11" i="43"/>
  <c r="Q12" i="43" s="1"/>
  <c r="Q12" i="46" s="1"/>
  <c r="R11" i="43"/>
  <c r="R12" i="43" s="1"/>
  <c r="R12" i="46" s="1"/>
  <c r="S11" i="43"/>
  <c r="S12" i="43" s="1"/>
  <c r="S12" i="46" s="1"/>
  <c r="T11" i="43"/>
  <c r="T12" i="43" s="1"/>
  <c r="T12" i="46" s="1"/>
  <c r="U11" i="43"/>
  <c r="U12" i="43" s="1"/>
  <c r="U12" i="46" s="1"/>
  <c r="V11" i="43"/>
  <c r="V12" i="43" s="1"/>
  <c r="V12" i="46" s="1"/>
  <c r="W11" i="43"/>
  <c r="W12" i="43" s="1"/>
  <c r="W12" i="46" s="1"/>
  <c r="C14" i="44"/>
  <c r="C4" i="44"/>
  <c r="E13" i="43"/>
  <c r="D13" i="43"/>
  <c r="F30" i="37" l="1"/>
  <c r="C6" i="46"/>
  <c r="F6" i="65" l="1"/>
  <c r="G6" i="65"/>
  <c r="H6" i="65"/>
  <c r="I6" i="65"/>
  <c r="J6" i="65"/>
  <c r="K6" i="65"/>
  <c r="L6" i="65"/>
  <c r="M6" i="65"/>
  <c r="N6" i="65"/>
  <c r="O6" i="65"/>
  <c r="P6" i="65"/>
  <c r="Q6" i="65"/>
  <c r="R6" i="65"/>
  <c r="S6" i="65"/>
  <c r="T6" i="65"/>
  <c r="U6" i="65"/>
  <c r="V6" i="65"/>
  <c r="W6" i="65"/>
  <c r="D4" i="65" l="1"/>
  <c r="C28" i="65"/>
  <c r="D5" i="46" l="1"/>
  <c r="D16" i="65"/>
  <c r="E4" i="65"/>
  <c r="E16" i="65"/>
  <c r="C15" i="65"/>
  <c r="D10" i="65"/>
  <c r="D14" i="65" l="1"/>
  <c r="D13" i="65"/>
  <c r="D12" i="65"/>
  <c r="C4" i="45"/>
  <c r="E5" i="46"/>
  <c r="D4" i="45"/>
  <c r="F5" i="37" l="1"/>
  <c r="D11" i="65"/>
  <c r="D20" i="65" s="1"/>
  <c r="D13" i="46" s="1"/>
  <c r="G4" i="65" l="1"/>
  <c r="H4" i="65"/>
  <c r="F4" i="65"/>
  <c r="I4" i="65"/>
  <c r="D4" i="37" l="1"/>
  <c r="E4" i="45"/>
  <c r="H5" i="46"/>
  <c r="F4" i="45"/>
  <c r="G5" i="46"/>
  <c r="J16" i="65"/>
  <c r="H16" i="65"/>
  <c r="G16" i="65"/>
  <c r="K16" i="65"/>
  <c r="I16" i="65"/>
  <c r="K4" i="65"/>
  <c r="F16" i="65"/>
  <c r="J4" i="65"/>
  <c r="F5" i="46" l="1"/>
  <c r="G4" i="45"/>
  <c r="L5" i="46"/>
  <c r="I4" i="45"/>
  <c r="J5" i="46"/>
  <c r="I5" i="46"/>
  <c r="H4" i="45"/>
  <c r="K5" i="46"/>
  <c r="J4" i="45"/>
  <c r="L16" i="65"/>
  <c r="L4" i="65"/>
  <c r="M4" i="65" l="1"/>
  <c r="K4" i="45"/>
  <c r="M16" i="65"/>
  <c r="M5" i="46"/>
  <c r="L4" i="45"/>
  <c r="N4" i="65" l="1"/>
  <c r="N16" i="65"/>
  <c r="M4" i="45"/>
  <c r="N5" i="46"/>
  <c r="O16" i="65"/>
  <c r="N4" i="45" l="1"/>
  <c r="O5" i="46"/>
  <c r="O4" i="65"/>
  <c r="P5" i="46" l="1"/>
  <c r="O4" i="45"/>
  <c r="P16" i="65"/>
  <c r="Q16" i="65"/>
  <c r="P4" i="65"/>
  <c r="P4" i="45" l="1"/>
  <c r="Q5" i="46"/>
  <c r="Q4" i="65"/>
  <c r="R4" i="65" l="1"/>
  <c r="R16" i="65"/>
  <c r="Q4" i="45"/>
  <c r="R5" i="46"/>
  <c r="S16" i="65" l="1"/>
  <c r="S4" i="65"/>
  <c r="S5" i="46"/>
  <c r="R4" i="45"/>
  <c r="T16" i="65" l="1"/>
  <c r="T5" i="46"/>
  <c r="S4" i="45"/>
  <c r="T4" i="65"/>
  <c r="U5" i="46" l="1"/>
  <c r="T4" i="45"/>
  <c r="U16" i="65"/>
  <c r="U4" i="65"/>
  <c r="C6" i="42"/>
  <c r="V16" i="65" l="1"/>
  <c r="V4" i="45"/>
  <c r="W5" i="46"/>
  <c r="U4" i="45"/>
  <c r="V5" i="46"/>
  <c r="C6" i="43"/>
  <c r="C17" i="65"/>
  <c r="W16" i="65"/>
  <c r="C16" i="65" s="1"/>
  <c r="C18" i="65"/>
  <c r="V4" i="65"/>
  <c r="W4" i="65"/>
  <c r="C5" i="65"/>
  <c r="C5" i="46" l="1"/>
  <c r="C4" i="65"/>
  <c r="G9" i="46" l="1"/>
  <c r="T9" i="46"/>
  <c r="I9" i="46"/>
  <c r="Q9" i="46"/>
  <c r="U9" i="46"/>
  <c r="J9" i="46"/>
  <c r="R9" i="46"/>
  <c r="S9" i="46"/>
  <c r="V9" i="46"/>
  <c r="P9" i="46"/>
  <c r="H9" i="46"/>
  <c r="K9" i="46"/>
  <c r="L9" i="46"/>
  <c r="M9" i="46"/>
  <c r="N9" i="46"/>
  <c r="O9" i="46"/>
  <c r="F9" i="46"/>
  <c r="C4" i="42"/>
  <c r="C24" i="65" l="1"/>
  <c r="C25" i="65" s="1"/>
  <c r="C27" i="65"/>
  <c r="F4" i="37"/>
  <c r="E4" i="37" l="1"/>
  <c r="Q15" i="43" l="1"/>
  <c r="U15" i="43"/>
  <c r="W15" i="43"/>
  <c r="T15" i="43"/>
  <c r="R15" i="43"/>
  <c r="V15" i="43"/>
  <c r="D9" i="46"/>
  <c r="S15" i="43"/>
  <c r="Q7" i="45" l="1"/>
  <c r="R17" i="43"/>
  <c r="R7" i="45"/>
  <c r="S17" i="43"/>
  <c r="V7" i="45"/>
  <c r="W17" i="43"/>
  <c r="U7" i="45"/>
  <c r="V17" i="43"/>
  <c r="P7" i="45"/>
  <c r="Q17" i="43"/>
  <c r="S7" i="45"/>
  <c r="T17" i="43"/>
  <c r="T7" i="45"/>
  <c r="U17" i="43"/>
  <c r="C4" i="43"/>
  <c r="W9" i="46"/>
  <c r="C9" i="46" s="1"/>
  <c r="C10" i="65" l="1"/>
  <c r="C12" i="65" l="1"/>
  <c r="C11" i="65" l="1"/>
  <c r="C26" i="65" s="1"/>
  <c r="C19" i="65" l="1"/>
  <c r="C6" i="45" l="1"/>
  <c r="C20" i="65"/>
  <c r="C13" i="46" l="1"/>
  <c r="T16" i="46" l="1"/>
  <c r="T17" i="46" s="1"/>
  <c r="V16" i="46"/>
  <c r="V17" i="46" s="1"/>
  <c r="R16" i="46"/>
  <c r="R17" i="46" s="1"/>
  <c r="Q16" i="46"/>
  <c r="Q17" i="46" s="1"/>
  <c r="W16" i="46"/>
  <c r="W17" i="46" s="1"/>
  <c r="S16" i="46"/>
  <c r="S17" i="46" s="1"/>
  <c r="U16" i="46"/>
  <c r="U17" i="46" s="1"/>
  <c r="E9" i="46"/>
  <c r="C13" i="65"/>
  <c r="C14" i="65"/>
  <c r="D30" i="37"/>
  <c r="E30" i="37" s="1"/>
  <c r="D8" i="37"/>
  <c r="F8" i="37" s="1"/>
  <c r="F3" i="37" s="1"/>
  <c r="C14" i="37" s="1"/>
  <c r="F25" i="37" l="1"/>
  <c r="F23" i="37"/>
  <c r="C24" i="37"/>
  <c r="F28" i="37"/>
  <c r="C18" i="37"/>
  <c r="F22" i="37"/>
  <c r="F13" i="37"/>
  <c r="F20" i="37"/>
  <c r="F12" i="37"/>
  <c r="C11" i="37"/>
  <c r="C19" i="37"/>
  <c r="C20" i="37"/>
  <c r="F26" i="37"/>
  <c r="C13" i="37"/>
  <c r="F18" i="37"/>
  <c r="F19" i="37"/>
  <c r="F24" i="37"/>
  <c r="F11" i="37"/>
  <c r="F21" i="37"/>
  <c r="C23" i="37"/>
  <c r="F14" i="37"/>
  <c r="F15" i="37" l="1"/>
  <c r="F16" i="37" s="1"/>
  <c r="F10" i="37" s="1"/>
  <c r="F27" i="37"/>
  <c r="F17" i="37"/>
  <c r="F29" i="37" l="1"/>
  <c r="F34" i="37" s="1"/>
  <c r="E7" i="65" l="1"/>
  <c r="E6" i="65" s="1"/>
  <c r="D6" i="44"/>
  <c r="E6" i="44"/>
  <c r="E8" i="46" s="1"/>
  <c r="C5" i="66"/>
  <c r="F36" i="37"/>
  <c r="E11" i="46"/>
  <c r="D7" i="65"/>
  <c r="D6" i="65" l="1"/>
  <c r="C7" i="65"/>
  <c r="C11" i="46"/>
  <c r="T6" i="66"/>
  <c r="T13" i="43" s="1"/>
  <c r="S6" i="66"/>
  <c r="S13" i="43" s="1"/>
  <c r="L6" i="66"/>
  <c r="L13" i="43" s="1"/>
  <c r="F6" i="66"/>
  <c r="F7" i="66" s="1"/>
  <c r="J6" i="66"/>
  <c r="J13" i="43" s="1"/>
  <c r="U6" i="66"/>
  <c r="U13" i="43" s="1"/>
  <c r="P6" i="66"/>
  <c r="P13" i="43" s="1"/>
  <c r="H6" i="66"/>
  <c r="H13" i="43" s="1"/>
  <c r="Q6" i="66"/>
  <c r="Q13" i="43" s="1"/>
  <c r="V6" i="66"/>
  <c r="V13" i="43" s="1"/>
  <c r="W6" i="66"/>
  <c r="W13" i="43" s="1"/>
  <c r="G6" i="66"/>
  <c r="G13" i="43" s="1"/>
  <c r="K6" i="66"/>
  <c r="K13" i="43" s="1"/>
  <c r="M6" i="66"/>
  <c r="M13" i="43" s="1"/>
  <c r="I6" i="66"/>
  <c r="I13" i="43" s="1"/>
  <c r="N6" i="66"/>
  <c r="N13" i="43" s="1"/>
  <c r="R6" i="66"/>
  <c r="R13" i="43" s="1"/>
  <c r="O6" i="66"/>
  <c r="O13" i="43" s="1"/>
  <c r="C6" i="44"/>
  <c r="D7" i="44"/>
  <c r="D9" i="44" s="1"/>
  <c r="D8" i="46"/>
  <c r="C8" i="46" s="1"/>
  <c r="F38" i="37"/>
  <c r="F39" i="37"/>
  <c r="F37" i="37"/>
  <c r="G7" i="66" l="1"/>
  <c r="H7" i="66" s="1"/>
  <c r="I7" i="66" s="1"/>
  <c r="J7" i="66" s="1"/>
  <c r="K7" i="66" s="1"/>
  <c r="L7" i="66" s="1"/>
  <c r="M7" i="66" s="1"/>
  <c r="N7" i="66" s="1"/>
  <c r="O7" i="66" s="1"/>
  <c r="P7" i="66" s="1"/>
  <c r="Q7" i="66" s="1"/>
  <c r="R7" i="66" s="1"/>
  <c r="S7" i="66" s="1"/>
  <c r="T7" i="66" s="1"/>
  <c r="U7" i="66" s="1"/>
  <c r="V7" i="66" s="1"/>
  <c r="W7" i="66" s="1"/>
  <c r="W8" i="66" s="1"/>
  <c r="W7" i="46" s="1"/>
  <c r="C7" i="46" s="1"/>
  <c r="J10" i="44"/>
  <c r="J14" i="46" s="1"/>
  <c r="G10" i="44"/>
  <c r="G14" i="46" s="1"/>
  <c r="F10" i="44"/>
  <c r="H10" i="44"/>
  <c r="H14" i="46" s="1"/>
  <c r="I10" i="44"/>
  <c r="I14" i="46" s="1"/>
  <c r="D8" i="44"/>
  <c r="D11" i="43"/>
  <c r="C6" i="66"/>
  <c r="F13" i="43"/>
  <c r="C13" i="43" s="1"/>
  <c r="C6" i="65"/>
  <c r="D9" i="65"/>
  <c r="E8" i="65" l="1"/>
  <c r="E9" i="65" s="1"/>
  <c r="D12" i="43"/>
  <c r="C10" i="44"/>
  <c r="F14" i="46"/>
  <c r="C14" i="46" s="1"/>
  <c r="D11" i="44"/>
  <c r="E5" i="44" s="1"/>
  <c r="F8" i="65" l="1"/>
  <c r="F10" i="65" s="1"/>
  <c r="C9" i="65"/>
  <c r="E7" i="44"/>
  <c r="E9" i="44" s="1"/>
  <c r="C12" i="43"/>
  <c r="D12" i="46"/>
  <c r="D15" i="43"/>
  <c r="E10" i="65"/>
  <c r="C8" i="65"/>
  <c r="E8" i="44" l="1"/>
  <c r="E11" i="43"/>
  <c r="C15" i="43"/>
  <c r="C7" i="45"/>
  <c r="C8" i="45" s="1"/>
  <c r="E11" i="44"/>
  <c r="F5" i="44" s="1"/>
  <c r="E13" i="65"/>
  <c r="E14" i="65"/>
  <c r="E12" i="65"/>
  <c r="E11" i="65" s="1"/>
  <c r="E20" i="65" s="1"/>
  <c r="D16" i="46"/>
  <c r="C12" i="46"/>
  <c r="F12" i="65"/>
  <c r="F11" i="65" s="1"/>
  <c r="F20" i="65" s="1"/>
  <c r="F13" i="65"/>
  <c r="F14" i="65"/>
  <c r="F9" i="65"/>
  <c r="F13" i="46" l="1"/>
  <c r="E6" i="45"/>
  <c r="D6" i="45"/>
  <c r="E13" i="46"/>
  <c r="C9" i="45"/>
  <c r="C10" i="45" s="1"/>
  <c r="D15" i="46" s="1"/>
  <c r="C15" i="46" s="1"/>
  <c r="F7" i="44"/>
  <c r="F9" i="44" s="1"/>
  <c r="E12" i="43"/>
  <c r="C16" i="46"/>
  <c r="D17" i="46"/>
  <c r="G8" i="65"/>
  <c r="G10" i="65" s="1"/>
  <c r="F11" i="43" l="1"/>
  <c r="F8" i="44"/>
  <c r="F11" i="44" s="1"/>
  <c r="G5" i="44" s="1"/>
  <c r="D18" i="46"/>
  <c r="E23" i="46"/>
  <c r="F22" i="46"/>
  <c r="C17" i="46"/>
  <c r="G9" i="65"/>
  <c r="E12" i="46"/>
  <c r="E16" i="46" s="1"/>
  <c r="E17" i="46" s="1"/>
  <c r="E15" i="43"/>
  <c r="D7" i="45" s="1"/>
  <c r="D8" i="45" s="1"/>
  <c r="C11" i="45"/>
  <c r="G14" i="65"/>
  <c r="G13" i="65"/>
  <c r="G12" i="65"/>
  <c r="G11" i="65" s="1"/>
  <c r="G20" i="65" s="1"/>
  <c r="D9" i="45" l="1"/>
  <c r="D10" i="45" s="1"/>
  <c r="E15" i="46" s="1"/>
  <c r="H8" i="65"/>
  <c r="H10" i="65" s="1"/>
  <c r="E18" i="46"/>
  <c r="F6" i="45"/>
  <c r="G13" i="46"/>
  <c r="G7" i="44"/>
  <c r="G9" i="44" s="1"/>
  <c r="C12" i="45"/>
  <c r="C13" i="45" s="1"/>
  <c r="C14" i="45" s="1"/>
  <c r="F12" i="43"/>
  <c r="F12" i="46" l="1"/>
  <c r="F16" i="46" s="1"/>
  <c r="F17" i="46" s="1"/>
  <c r="F15" i="43"/>
  <c r="G11" i="43"/>
  <c r="G8" i="44"/>
  <c r="H14" i="65"/>
  <c r="H13" i="65"/>
  <c r="H12" i="65"/>
  <c r="H11" i="65" s="1"/>
  <c r="H20" i="65" s="1"/>
  <c r="G11" i="44"/>
  <c r="H5" i="44" s="1"/>
  <c r="F18" i="46"/>
  <c r="H9" i="65"/>
  <c r="D11" i="45"/>
  <c r="H13" i="46" l="1"/>
  <c r="G6" i="45"/>
  <c r="D12" i="45"/>
  <c r="D13" i="45" s="1"/>
  <c r="D14" i="45" s="1"/>
  <c r="I8" i="65"/>
  <c r="I10" i="65" s="1"/>
  <c r="G12" i="43"/>
  <c r="H7" i="44"/>
  <c r="H9" i="44" s="1"/>
  <c r="F17" i="43"/>
  <c r="E7" i="45"/>
  <c r="E8" i="45" s="1"/>
  <c r="E9" i="45" l="1"/>
  <c r="E10" i="45" s="1"/>
  <c r="F15" i="46" s="1"/>
  <c r="H11" i="43"/>
  <c r="H8" i="44"/>
  <c r="G12" i="46"/>
  <c r="G16" i="46" s="1"/>
  <c r="G17" i="46" s="1"/>
  <c r="G18" i="46" s="1"/>
  <c r="G15" i="43"/>
  <c r="H11" i="44"/>
  <c r="I5" i="44" s="1"/>
  <c r="I9" i="65"/>
  <c r="I14" i="65"/>
  <c r="I13" i="65"/>
  <c r="I12" i="65"/>
  <c r="I11" i="65" s="1"/>
  <c r="I20" i="65" s="1"/>
  <c r="I13" i="46" l="1"/>
  <c r="H6" i="45"/>
  <c r="J8" i="65"/>
  <c r="J10" i="65" s="1"/>
  <c r="I7" i="44"/>
  <c r="I9" i="44" s="1"/>
  <c r="F7" i="45"/>
  <c r="F8" i="45" s="1"/>
  <c r="G17" i="43"/>
  <c r="E11" i="45"/>
  <c r="H12" i="43"/>
  <c r="I8" i="44" l="1"/>
  <c r="I11" i="43"/>
  <c r="I12" i="43" s="1"/>
  <c r="F9" i="45"/>
  <c r="F10" i="45" s="1"/>
  <c r="G15" i="46" s="1"/>
  <c r="J9" i="65"/>
  <c r="J14" i="65"/>
  <c r="J13" i="65"/>
  <c r="J12" i="65"/>
  <c r="J11" i="65" s="1"/>
  <c r="J20" i="65" s="1"/>
  <c r="H12" i="46"/>
  <c r="H16" i="46" s="1"/>
  <c r="H17" i="46" s="1"/>
  <c r="H18" i="46" s="1"/>
  <c r="H15" i="43"/>
  <c r="E12" i="45"/>
  <c r="E13" i="45" s="1"/>
  <c r="E14" i="45" s="1"/>
  <c r="I11" i="44"/>
  <c r="J5" i="44" s="1"/>
  <c r="I6" i="45" l="1"/>
  <c r="J13" i="46"/>
  <c r="G7" i="45"/>
  <c r="G8" i="45" s="1"/>
  <c r="H17" i="43"/>
  <c r="J7" i="44"/>
  <c r="J9" i="44" s="1"/>
  <c r="K8" i="65"/>
  <c r="K10" i="65" s="1"/>
  <c r="F11" i="45"/>
  <c r="I15" i="43"/>
  <c r="I12" i="46"/>
  <c r="I16" i="46" s="1"/>
  <c r="I17" i="46" s="1"/>
  <c r="I18" i="46" s="1"/>
  <c r="F12" i="45" l="1"/>
  <c r="F13" i="45" s="1"/>
  <c r="F14" i="45" s="1"/>
  <c r="K9" i="65"/>
  <c r="K12" i="65"/>
  <c r="K11" i="65" s="1"/>
  <c r="K20" i="65" s="1"/>
  <c r="K14" i="65"/>
  <c r="K13" i="65"/>
  <c r="I17" i="43"/>
  <c r="H7" i="45"/>
  <c r="H8" i="45" s="1"/>
  <c r="J11" i="43"/>
  <c r="J12" i="43" s="1"/>
  <c r="J8" i="44"/>
  <c r="J11" i="44" s="1"/>
  <c r="K5" i="44" s="1"/>
  <c r="G9" i="45"/>
  <c r="G10" i="45" s="1"/>
  <c r="H15" i="46" s="1"/>
  <c r="G11" i="45" l="1"/>
  <c r="G12" i="45" s="1"/>
  <c r="G13" i="45" s="1"/>
  <c r="G14" i="45" s="1"/>
  <c r="J6" i="45"/>
  <c r="K13" i="46"/>
  <c r="K7" i="44"/>
  <c r="K9" i="44" s="1"/>
  <c r="J12" i="46"/>
  <c r="J16" i="46" s="1"/>
  <c r="J17" i="46" s="1"/>
  <c r="J18" i="46" s="1"/>
  <c r="J15" i="43"/>
  <c r="L8" i="65"/>
  <c r="L10" i="65" s="1"/>
  <c r="H9" i="45"/>
  <c r="H10" i="45" s="1"/>
  <c r="I15" i="46" s="1"/>
  <c r="I7" i="45" l="1"/>
  <c r="I8" i="45" s="1"/>
  <c r="J17" i="43"/>
  <c r="H11" i="45"/>
  <c r="K11" i="43"/>
  <c r="K12" i="43" s="1"/>
  <c r="K8" i="44"/>
  <c r="L13" i="65"/>
  <c r="L14" i="65"/>
  <c r="L12" i="65"/>
  <c r="L11" i="65" s="1"/>
  <c r="L20" i="65" s="1"/>
  <c r="K11" i="44"/>
  <c r="L5" i="44" s="1"/>
  <c r="L9" i="65"/>
  <c r="L13" i="46" l="1"/>
  <c r="K6" i="45"/>
  <c r="M8" i="65"/>
  <c r="M10" i="65" s="1"/>
  <c r="L7" i="44"/>
  <c r="L9" i="44" s="1"/>
  <c r="I9" i="45"/>
  <c r="I10" i="45" s="1"/>
  <c r="J15" i="46" s="1"/>
  <c r="K15" i="43"/>
  <c r="K12" i="46"/>
  <c r="K16" i="46" s="1"/>
  <c r="K17" i="46" s="1"/>
  <c r="K18" i="46" s="1"/>
  <c r="H12" i="45"/>
  <c r="H13" i="45" s="1"/>
  <c r="H14" i="45" s="1"/>
  <c r="L11" i="43" l="1"/>
  <c r="L12" i="43" s="1"/>
  <c r="L8" i="44"/>
  <c r="M14" i="65"/>
  <c r="M13" i="65"/>
  <c r="M12" i="65"/>
  <c r="M11" i="65" s="1"/>
  <c r="M20" i="65" s="1"/>
  <c r="I11" i="45"/>
  <c r="L11" i="44"/>
  <c r="M5" i="44" s="1"/>
  <c r="J7" i="45"/>
  <c r="J8" i="45" s="1"/>
  <c r="K17" i="43"/>
  <c r="M9" i="65"/>
  <c r="L6" i="45" l="1"/>
  <c r="M13" i="46"/>
  <c r="M7" i="44"/>
  <c r="M9" i="44" s="1"/>
  <c r="I12" i="45"/>
  <c r="I13" i="45" s="1"/>
  <c r="I14" i="45" s="1"/>
  <c r="J9" i="45"/>
  <c r="J10" i="45" s="1"/>
  <c r="K15" i="46" s="1"/>
  <c r="L12" i="46"/>
  <c r="L16" i="46" s="1"/>
  <c r="L17" i="46" s="1"/>
  <c r="L18" i="46" s="1"/>
  <c r="L15" i="43"/>
  <c r="N8" i="65"/>
  <c r="N10" i="65" s="1"/>
  <c r="N9" i="65" l="1"/>
  <c r="N14" i="65"/>
  <c r="N13" i="65"/>
  <c r="N12" i="65"/>
  <c r="N11" i="65" s="1"/>
  <c r="N20" i="65" s="1"/>
  <c r="M11" i="43"/>
  <c r="M12" i="43" s="1"/>
  <c r="M8" i="44"/>
  <c r="M11" i="44" s="1"/>
  <c r="N5" i="44" s="1"/>
  <c r="K7" i="45"/>
  <c r="K8" i="45" s="1"/>
  <c r="L17" i="43"/>
  <c r="J11" i="45"/>
  <c r="N7" i="44" l="1"/>
  <c r="N9" i="44" s="1"/>
  <c r="N13" i="46"/>
  <c r="M6" i="45"/>
  <c r="M15" i="43"/>
  <c r="M12" i="46"/>
  <c r="M16" i="46" s="1"/>
  <c r="M17" i="46" s="1"/>
  <c r="M18" i="46" s="1"/>
  <c r="J12" i="45"/>
  <c r="J13" i="45" s="1"/>
  <c r="J14" i="45" s="1"/>
  <c r="O8" i="65"/>
  <c r="O10" i="65" s="1"/>
  <c r="K9" i="45"/>
  <c r="K10" i="45" s="1"/>
  <c r="L15" i="46" s="1"/>
  <c r="K11" i="45" l="1"/>
  <c r="O14" i="65"/>
  <c r="O13" i="65"/>
  <c r="O12" i="65"/>
  <c r="O11" i="65" s="1"/>
  <c r="O20" i="65" s="1"/>
  <c r="O9" i="65"/>
  <c r="L7" i="45"/>
  <c r="L8" i="45" s="1"/>
  <c r="M17" i="43"/>
  <c r="N11" i="43"/>
  <c r="N12" i="43" s="1"/>
  <c r="N8" i="44"/>
  <c r="N11" i="44" s="1"/>
  <c r="O5" i="44" s="1"/>
  <c r="O7" i="44" l="1"/>
  <c r="O9" i="44" s="1"/>
  <c r="O13" i="46"/>
  <c r="N6" i="45"/>
  <c r="N12" i="46"/>
  <c r="N16" i="46" s="1"/>
  <c r="N17" i="46" s="1"/>
  <c r="N18" i="46" s="1"/>
  <c r="N15" i="43"/>
  <c r="P8" i="65"/>
  <c r="P10" i="65" s="1"/>
  <c r="K12" i="45"/>
  <c r="K13" i="45" s="1"/>
  <c r="K14" i="45" s="1"/>
  <c r="L9" i="45"/>
  <c r="L10" i="45" s="1"/>
  <c r="M15" i="46" s="1"/>
  <c r="P9" i="65" l="1"/>
  <c r="P14" i="65"/>
  <c r="P13" i="65"/>
  <c r="P12" i="65"/>
  <c r="P11" i="65" s="1"/>
  <c r="P20" i="65" s="1"/>
  <c r="M7" i="45"/>
  <c r="M8" i="45" s="1"/>
  <c r="N17" i="43"/>
  <c r="L11" i="45"/>
  <c r="O11" i="43"/>
  <c r="O12" i="43" s="1"/>
  <c r="O8" i="44"/>
  <c r="O11" i="44" s="1"/>
  <c r="P5" i="44" s="1"/>
  <c r="P7" i="44" l="1"/>
  <c r="P9" i="44" s="1"/>
  <c r="P13" i="46"/>
  <c r="O6" i="45"/>
  <c r="L12" i="45"/>
  <c r="L13" i="45" s="1"/>
  <c r="L14" i="45" s="1"/>
  <c r="M9" i="45"/>
  <c r="M10" i="45" s="1"/>
  <c r="N15" i="46" s="1"/>
  <c r="Q8" i="65"/>
  <c r="Q10" i="65" s="1"/>
  <c r="O15" i="43"/>
  <c r="O12" i="46"/>
  <c r="O16" i="46" s="1"/>
  <c r="O17" i="46" s="1"/>
  <c r="O18" i="46" s="1"/>
  <c r="M11" i="45" l="1"/>
  <c r="Q12" i="65"/>
  <c r="Q11" i="65" s="1"/>
  <c r="Q20" i="65" s="1"/>
  <c r="Q14" i="65"/>
  <c r="Q13" i="65"/>
  <c r="P8" i="44"/>
  <c r="C8" i="44" s="1"/>
  <c r="P11" i="43"/>
  <c r="C9" i="44"/>
  <c r="N7" i="45"/>
  <c r="N8" i="45" s="1"/>
  <c r="O17" i="43"/>
  <c r="Q9" i="65"/>
  <c r="P11" i="44"/>
  <c r="Q5" i="44" s="1"/>
  <c r="Q7" i="44" l="1"/>
  <c r="Q11" i="44" s="1"/>
  <c r="R5" i="44" s="1"/>
  <c r="P6" i="45"/>
  <c r="P8" i="45" s="1"/>
  <c r="Q13" i="46"/>
  <c r="R8" i="65"/>
  <c r="R10" i="65" s="1"/>
  <c r="M12" i="45"/>
  <c r="M13" i="45" s="1"/>
  <c r="M14" i="45" s="1"/>
  <c r="N9" i="45"/>
  <c r="N10" i="45" s="1"/>
  <c r="O15" i="46" s="1"/>
  <c r="P12" i="43"/>
  <c r="C11" i="43"/>
  <c r="R7" i="44" l="1"/>
  <c r="R11" i="44" s="1"/>
  <c r="S5" i="44" s="1"/>
  <c r="P12" i="46"/>
  <c r="P16" i="46" s="1"/>
  <c r="P17" i="46" s="1"/>
  <c r="P18" i="46" s="1"/>
  <c r="Q18" i="46" s="1"/>
  <c r="R18" i="46" s="1"/>
  <c r="S18" i="46" s="1"/>
  <c r="T18" i="46" s="1"/>
  <c r="U18" i="46" s="1"/>
  <c r="V18" i="46" s="1"/>
  <c r="W18" i="46" s="1"/>
  <c r="P15" i="43"/>
  <c r="P9" i="45"/>
  <c r="P10" i="45" s="1"/>
  <c r="Q15" i="46" s="1"/>
  <c r="N11" i="45"/>
  <c r="R9" i="65"/>
  <c r="R13" i="65"/>
  <c r="R14" i="65"/>
  <c r="R12" i="65"/>
  <c r="R11" i="65" s="1"/>
  <c r="R20" i="65" s="1"/>
  <c r="R13" i="46" l="1"/>
  <c r="Q6" i="45"/>
  <c r="Q8" i="45" s="1"/>
  <c r="S8" i="65"/>
  <c r="S10" i="65" s="1"/>
  <c r="P17" i="43"/>
  <c r="O7" i="45"/>
  <c r="O8" i="45" s="1"/>
  <c r="N12" i="45"/>
  <c r="N13" i="45" s="1"/>
  <c r="N14" i="45" s="1"/>
  <c r="P11" i="45"/>
  <c r="S7" i="44"/>
  <c r="S11" i="44" s="1"/>
  <c r="T5" i="44" s="1"/>
  <c r="T7" i="44" l="1"/>
  <c r="T11" i="44" s="1"/>
  <c r="U5" i="44" s="1"/>
  <c r="S12" i="65"/>
  <c r="S11" i="65" s="1"/>
  <c r="S20" i="65" s="1"/>
  <c r="S13" i="65"/>
  <c r="S14" i="65"/>
  <c r="P12" i="45"/>
  <c r="P13" i="45" s="1"/>
  <c r="O9" i="45"/>
  <c r="O10" i="45" s="1"/>
  <c r="P15" i="46" s="1"/>
  <c r="Q9" i="45"/>
  <c r="Q10" i="45" s="1"/>
  <c r="R15" i="46" s="1"/>
  <c r="S9" i="65"/>
  <c r="S13" i="46" l="1"/>
  <c r="R6" i="45"/>
  <c r="R8" i="45" s="1"/>
  <c r="Q11" i="45"/>
  <c r="U7" i="44"/>
  <c r="U11" i="44" s="1"/>
  <c r="V5" i="44" s="1"/>
  <c r="T8" i="65"/>
  <c r="T10" i="65" s="1"/>
  <c r="O11" i="45"/>
  <c r="T9" i="65" l="1"/>
  <c r="V7" i="44"/>
  <c r="V11" i="44" s="1"/>
  <c r="W5" i="44" s="1"/>
  <c r="O12" i="45"/>
  <c r="O13" i="45" s="1"/>
  <c r="O14" i="45" s="1"/>
  <c r="P14" i="45" s="1"/>
  <c r="Q12" i="45"/>
  <c r="Q13" i="45" s="1"/>
  <c r="U8" i="65"/>
  <c r="U10" i="65" s="1"/>
  <c r="R9" i="45"/>
  <c r="R10" i="45" s="1"/>
  <c r="S15" i="46" s="1"/>
  <c r="T13" i="65"/>
  <c r="T14" i="65"/>
  <c r="T12" i="65"/>
  <c r="T11" i="65" s="1"/>
  <c r="T20" i="65" s="1"/>
  <c r="T13" i="46" l="1"/>
  <c r="S6" i="45"/>
  <c r="S8" i="45" s="1"/>
  <c r="Q14" i="45"/>
  <c r="U12" i="65"/>
  <c r="U11" i="65" s="1"/>
  <c r="U20" i="65" s="1"/>
  <c r="U13" i="65"/>
  <c r="U14" i="65"/>
  <c r="W7" i="44"/>
  <c r="W11" i="44" s="1"/>
  <c r="R11" i="45"/>
  <c r="U9" i="65"/>
  <c r="T6" i="45" l="1"/>
  <c r="T8" i="45" s="1"/>
  <c r="U13" i="46"/>
  <c r="R12" i="45"/>
  <c r="R13" i="45" s="1"/>
  <c r="R14" i="45" s="1"/>
  <c r="V8" i="65"/>
  <c r="V10" i="65" s="1"/>
  <c r="S9" i="45"/>
  <c r="S10" i="45" s="1"/>
  <c r="T15" i="46" s="1"/>
  <c r="S11" i="45" l="1"/>
  <c r="V14" i="65"/>
  <c r="V12" i="65"/>
  <c r="V11" i="65" s="1"/>
  <c r="V20" i="65" s="1"/>
  <c r="V13" i="65"/>
  <c r="V9" i="65"/>
  <c r="T9" i="45"/>
  <c r="T10" i="45" s="1"/>
  <c r="U15" i="46" s="1"/>
  <c r="V13" i="46" l="1"/>
  <c r="U6" i="45"/>
  <c r="U8" i="45" s="1"/>
  <c r="W8" i="65"/>
  <c r="W10" i="65" s="1"/>
  <c r="S12" i="45"/>
  <c r="S13" i="45" s="1"/>
  <c r="S14" i="45" s="1"/>
  <c r="T11" i="45"/>
  <c r="T12" i="45" l="1"/>
  <c r="T13" i="45" s="1"/>
  <c r="T14" i="45" s="1"/>
  <c r="W14" i="65"/>
  <c r="W13" i="65"/>
  <c r="W12" i="65"/>
  <c r="W11" i="65" s="1"/>
  <c r="W20" i="65" s="1"/>
  <c r="U9" i="45"/>
  <c r="U10" i="45" s="1"/>
  <c r="V15" i="46" s="1"/>
  <c r="W9" i="65"/>
  <c r="V6" i="45" l="1"/>
  <c r="V8" i="45" s="1"/>
  <c r="W13" i="46"/>
  <c r="U11" i="45"/>
  <c r="U12" i="45" l="1"/>
  <c r="U13" i="45" s="1"/>
  <c r="U14" i="45" s="1"/>
  <c r="V9" i="45"/>
  <c r="V10" i="45" s="1"/>
  <c r="W15" i="46" s="1"/>
  <c r="V11" i="45" l="1"/>
  <c r="V12" i="45" l="1"/>
  <c r="V13" i="45" s="1"/>
  <c r="V14"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Walter Chen</author>
  </authors>
  <commentList>
    <comment ref="D45" authorId="0" shapeId="0" xr:uid="{02FFE6C9-042D-4B9F-88B7-DC39EBB07F8F}">
      <text>
        <r>
          <rPr>
            <b/>
            <sz val="9"/>
            <color indexed="81"/>
            <rFont val="宋体"/>
            <family val="3"/>
            <charset val="134"/>
          </rPr>
          <t>Walter Chen:</t>
        </r>
        <r>
          <rPr>
            <sz val="9"/>
            <color indexed="81"/>
            <rFont val="宋体"/>
            <family val="3"/>
            <charset val="134"/>
          </rPr>
          <t xml:space="preserve">
相当于高档酒店剥离非核心功能，但可能提供全服务/有限服务。</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Walter Chen</author>
  </authors>
  <commentList>
    <comment ref="H30" authorId="0" shapeId="0" xr:uid="{11938A43-9A54-4154-B3AF-C67337397D30}">
      <text>
        <r>
          <rPr>
            <b/>
            <sz val="9"/>
            <color indexed="81"/>
            <rFont val="宋体"/>
            <family val="3"/>
            <charset val="134"/>
          </rPr>
          <t>Walter Chen:</t>
        </r>
        <r>
          <rPr>
            <sz val="9"/>
            <color indexed="81"/>
            <rFont val="宋体"/>
            <family val="3"/>
            <charset val="134"/>
          </rPr>
          <t xml:space="preserve">
来源于《2020年度全国星级饭店统计报告》：2020年度，8423家星级饭店的统计数据通过了省级文化和旅游行政部门的审核</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Walter Chen</author>
  </authors>
  <commentList>
    <comment ref="B5" authorId="0" shapeId="0" xr:uid="{181669CE-3597-471B-939C-73427925CD55}">
      <text>
        <r>
          <rPr>
            <b/>
            <sz val="9"/>
            <color indexed="81"/>
            <rFont val="宋体"/>
            <family val="3"/>
            <charset val="134"/>
          </rPr>
          <t>Walter Chen:</t>
        </r>
        <r>
          <rPr>
            <sz val="9"/>
            <color indexed="81"/>
            <rFont val="宋体"/>
            <family val="3"/>
            <charset val="134"/>
          </rPr>
          <t xml:space="preserve">
“【保定】测算 0620（调整设施运营收入）”测算表中为总营业收入*客房运营成本/客房运营收入，此处为验证先保持一致</t>
        </r>
      </text>
    </comment>
  </commentList>
</comments>
</file>

<file path=xl/sharedStrings.xml><?xml version="1.0" encoding="utf-8"?>
<sst xmlns="http://schemas.openxmlformats.org/spreadsheetml/2006/main" count="1220" uniqueCount="840">
  <si>
    <t>序号</t>
  </si>
  <si>
    <t>单位</t>
  </si>
  <si>
    <t>备注</t>
  </si>
  <si>
    <t>一</t>
  </si>
  <si>
    <t>施工图审查费</t>
  </si>
  <si>
    <t>预备费</t>
  </si>
  <si>
    <t>项目</t>
  </si>
  <si>
    <t>增值税</t>
  </si>
  <si>
    <t>折旧费</t>
  </si>
  <si>
    <t>摊销费</t>
  </si>
  <si>
    <t>总成本费用</t>
  </si>
  <si>
    <t>所得税</t>
  </si>
  <si>
    <t>累计未分配利润</t>
  </si>
  <si>
    <t>现金流入</t>
  </si>
  <si>
    <t>现金流出</t>
  </si>
  <si>
    <t>项目名称</t>
  </si>
  <si>
    <t>面积</t>
    <phoneticPr fontId="2" type="noConversion"/>
  </si>
  <si>
    <t>单价(元）</t>
    <phoneticPr fontId="2" type="noConversion"/>
  </si>
  <si>
    <t>投资额（万元）</t>
    <phoneticPr fontId="2" type="noConversion"/>
  </si>
  <si>
    <t>建安工程费</t>
    <phoneticPr fontId="2" type="noConversion"/>
  </si>
  <si>
    <t>㎡</t>
  </si>
  <si>
    <t>工程建设其他费</t>
  </si>
  <si>
    <t>计算公式</t>
  </si>
  <si>
    <t>依据</t>
  </si>
  <si>
    <t>建设单位管理费</t>
  </si>
  <si>
    <t>财建[2016]504号</t>
  </si>
  <si>
    <t>建设单位临时设施费</t>
  </si>
  <si>
    <t>建安费*1%</t>
  </si>
  <si>
    <t>建标[2007]164号</t>
  </si>
  <si>
    <t>工程监理费</t>
  </si>
  <si>
    <t>发改价格[2007]670号</t>
  </si>
  <si>
    <t>工程设计费</t>
  </si>
  <si>
    <t>深价规[2009]号</t>
  </si>
  <si>
    <t>工程勘察费</t>
  </si>
  <si>
    <t>工程设计费*30%</t>
  </si>
  <si>
    <t>计价格[2002]10号文</t>
  </si>
  <si>
    <t>(设计费+勘察费）*6.5%</t>
  </si>
  <si>
    <t>粤建设函[2004]353号</t>
  </si>
  <si>
    <t>工程造价咨询费</t>
  </si>
  <si>
    <t>工程概算编制费</t>
  </si>
  <si>
    <t>粤价函[2011]742号文</t>
  </si>
  <si>
    <t>工程预算编制费</t>
  </si>
  <si>
    <t>工程结算编制费</t>
  </si>
  <si>
    <t>工程保险费</t>
  </si>
  <si>
    <t>建安费*0.1%</t>
  </si>
  <si>
    <t>深建价[2013]57号</t>
  </si>
  <si>
    <t>施工安全监督费</t>
  </si>
  <si>
    <t>深府[2004]159号文</t>
  </si>
  <si>
    <t>前期咨询费</t>
  </si>
  <si>
    <t>计价格(1999)1283号</t>
  </si>
  <si>
    <t>委托招标代理费</t>
  </si>
  <si>
    <t>计价格[2002]1980号文</t>
  </si>
  <si>
    <t>建设环境影响咨询费</t>
  </si>
  <si>
    <t>23.5+(51-23.5)/80000*(建安费-20000)</t>
  </si>
  <si>
    <t>深发改[2016]1066号</t>
  </si>
  <si>
    <t>工程交易服务费</t>
  </si>
  <si>
    <t>计价格[2002]125号文</t>
  </si>
  <si>
    <t>竣工图编制费</t>
  </si>
  <si>
    <t>工程设计费*8%</t>
  </si>
  <si>
    <t>粤价（2002）370号文</t>
  </si>
  <si>
    <t>水土保持服务费</t>
  </si>
  <si>
    <t>深水保【2017】362号</t>
  </si>
  <si>
    <t>三</t>
    <phoneticPr fontId="2" type="noConversion"/>
  </si>
  <si>
    <t>（一+二）*5%</t>
    <phoneticPr fontId="2" type="noConversion"/>
  </si>
  <si>
    <t>一+二+三+四</t>
    <phoneticPr fontId="2" type="noConversion"/>
  </si>
  <si>
    <t>销项税</t>
  </si>
  <si>
    <t>进项税当年取得额</t>
  </si>
  <si>
    <t>进项税当年抵扣额</t>
  </si>
  <si>
    <t>年末进项税未抵扣额</t>
  </si>
  <si>
    <t>工程建设</t>
    <phoneticPr fontId="7" type="noConversion"/>
  </si>
  <si>
    <t>增值税及其他税金估算表</t>
    <phoneticPr fontId="7" type="noConversion"/>
  </si>
  <si>
    <t>增值税附加</t>
    <phoneticPr fontId="7" type="noConversion"/>
  </si>
  <si>
    <t>城市维护建设税</t>
    <phoneticPr fontId="7" type="noConversion"/>
  </si>
  <si>
    <t>教育费附加</t>
    <phoneticPr fontId="7" type="noConversion"/>
  </si>
  <si>
    <t>地方教育费附加</t>
    <phoneticPr fontId="7" type="noConversion"/>
  </si>
  <si>
    <t>建设期</t>
  </si>
  <si>
    <t>总成本费用</t>
    <phoneticPr fontId="7" type="noConversion"/>
  </si>
  <si>
    <t>运营期</t>
    <phoneticPr fontId="7" type="noConversion"/>
  </si>
  <si>
    <t>利润总额</t>
  </si>
  <si>
    <t>应纳税所得额</t>
  </si>
  <si>
    <t>所得税（25%）</t>
  </si>
  <si>
    <t>净利润</t>
  </si>
  <si>
    <t>盈余公积（10%）</t>
  </si>
  <si>
    <t>未分配利润</t>
  </si>
  <si>
    <t>融资流入</t>
    <phoneticPr fontId="11" type="noConversion"/>
  </si>
  <si>
    <t>现金流入合计</t>
  </si>
  <si>
    <t>固定资产投资</t>
  </si>
  <si>
    <t>还本</t>
    <phoneticPr fontId="11" type="noConversion"/>
  </si>
  <si>
    <t>现金流出合计</t>
  </si>
  <si>
    <t>净现金流量</t>
  </si>
  <si>
    <t>累计净现金流量</t>
  </si>
  <si>
    <t>所得税前净现金流量</t>
  </si>
  <si>
    <t>所得税前累计净现金流量</t>
  </si>
  <si>
    <t>计算指标</t>
  </si>
  <si>
    <t>所得税后</t>
  </si>
  <si>
    <t>所得税前</t>
  </si>
  <si>
    <t>财务内部收益率</t>
  </si>
  <si>
    <t>财务净现值</t>
  </si>
  <si>
    <t>投资回收期(含建设期）</t>
  </si>
  <si>
    <t>二</t>
    <phoneticPr fontId="7" type="noConversion"/>
  </si>
  <si>
    <t>四</t>
    <phoneticPr fontId="7" type="noConversion"/>
  </si>
  <si>
    <t>五</t>
    <phoneticPr fontId="2" type="noConversion"/>
  </si>
  <si>
    <t>土地费</t>
    <phoneticPr fontId="7" type="noConversion"/>
  </si>
  <si>
    <t>财政补贴</t>
    <phoneticPr fontId="7" type="noConversion"/>
  </si>
  <si>
    <t>第N年</t>
    <phoneticPr fontId="7" type="noConversion"/>
  </si>
  <si>
    <t>合计</t>
    <phoneticPr fontId="7" type="noConversion"/>
  </si>
  <si>
    <t>银行贷款/利率</t>
    <phoneticPr fontId="11" type="noConversion"/>
  </si>
  <si>
    <t>年初借款本金</t>
    <phoneticPr fontId="11" type="noConversion"/>
  </si>
  <si>
    <t>本年借款</t>
    <phoneticPr fontId="11" type="noConversion"/>
  </si>
  <si>
    <t>本年应计利息</t>
    <phoneticPr fontId="11" type="noConversion"/>
  </si>
  <si>
    <t>本年还本付息（现金流出）</t>
    <phoneticPr fontId="11" type="noConversion"/>
  </si>
  <si>
    <t>1.4.1</t>
    <phoneticPr fontId="11" type="noConversion"/>
  </si>
  <si>
    <t>本年付息（财务费）</t>
    <phoneticPr fontId="11" type="noConversion"/>
  </si>
  <si>
    <t>1.4.2</t>
    <phoneticPr fontId="11" type="noConversion"/>
  </si>
  <si>
    <t>本年还本</t>
    <phoneticPr fontId="11" type="noConversion"/>
  </si>
  <si>
    <t>年末借款本金</t>
    <phoneticPr fontId="11" type="noConversion"/>
  </si>
  <si>
    <t>资本金比例</t>
    <phoneticPr fontId="11" type="noConversion"/>
  </si>
  <si>
    <t>还本付息表</t>
    <phoneticPr fontId="7" type="noConversion"/>
  </si>
  <si>
    <t>营业收入</t>
    <phoneticPr fontId="7" type="noConversion"/>
  </si>
  <si>
    <t>财政补贴收入</t>
    <phoneticPr fontId="7" type="noConversion"/>
  </si>
  <si>
    <t>总投资</t>
    <phoneticPr fontId="7" type="noConversion"/>
  </si>
  <si>
    <t>土增税</t>
    <phoneticPr fontId="7" type="noConversion"/>
  </si>
  <si>
    <t>土地增值税</t>
    <phoneticPr fontId="7" type="noConversion"/>
  </si>
  <si>
    <t>不含税收入</t>
    <phoneticPr fontId="7" type="noConversion"/>
  </si>
  <si>
    <t>含税收入</t>
    <phoneticPr fontId="7" type="noConversion"/>
  </si>
  <si>
    <t>扣除项目</t>
    <phoneticPr fontId="7" type="noConversion"/>
  </si>
  <si>
    <t>地价</t>
    <phoneticPr fontId="7" type="noConversion"/>
  </si>
  <si>
    <t>取得土地使用权支付金额</t>
    <phoneticPr fontId="7" type="noConversion"/>
  </si>
  <si>
    <t>房地产开发费用</t>
    <phoneticPr fontId="7" type="noConversion"/>
  </si>
  <si>
    <t>与转让房地产有关税金</t>
    <phoneticPr fontId="7" type="noConversion"/>
  </si>
  <si>
    <t>加计扣除项目</t>
    <phoneticPr fontId="7" type="noConversion"/>
  </si>
  <si>
    <t>增值额</t>
    <phoneticPr fontId="7" type="noConversion"/>
  </si>
  <si>
    <t>增值额/扣除项目</t>
    <phoneticPr fontId="7" type="noConversion"/>
  </si>
  <si>
    <t>房地产开发成本(不含税)</t>
    <phoneticPr fontId="7" type="noConversion"/>
  </si>
  <si>
    <t>土增税税率</t>
    <phoneticPr fontId="7" type="noConversion"/>
  </si>
  <si>
    <t>借款年限</t>
    <phoneticPr fontId="7" type="noConversion"/>
  </si>
  <si>
    <t>增值税及其他税金</t>
    <phoneticPr fontId="7" type="noConversion"/>
  </si>
  <si>
    <t>基础设施及其他</t>
    <phoneticPr fontId="7" type="noConversion"/>
  </si>
  <si>
    <t>地下建筑面积（m²）</t>
    <phoneticPr fontId="7" type="noConversion"/>
  </si>
  <si>
    <t>备注</t>
    <phoneticPr fontId="7" type="noConversion"/>
  </si>
  <si>
    <t>1.2.1</t>
    <phoneticPr fontId="7" type="noConversion"/>
  </si>
  <si>
    <t>序号</t>
    <phoneticPr fontId="7" type="noConversion"/>
  </si>
  <si>
    <t>指标</t>
    <phoneticPr fontId="7" type="noConversion"/>
  </si>
  <si>
    <t>取值</t>
    <phoneticPr fontId="7" type="noConversion"/>
  </si>
  <si>
    <t>依据</t>
    <phoneticPr fontId="7" type="noConversion"/>
  </si>
  <si>
    <t>地块面积（m²）</t>
    <phoneticPr fontId="7" type="noConversion"/>
  </si>
  <si>
    <t>首年开发进度</t>
    <phoneticPr fontId="7" type="noConversion"/>
  </si>
  <si>
    <t>次年开发进度</t>
    <phoneticPr fontId="7" type="noConversion"/>
  </si>
  <si>
    <t>—</t>
    <phoneticPr fontId="7" type="noConversion"/>
  </si>
  <si>
    <t>1.1.1</t>
    <phoneticPr fontId="7" type="noConversion"/>
  </si>
  <si>
    <t>1.1.2</t>
    <phoneticPr fontId="7" type="noConversion"/>
  </si>
  <si>
    <t>3.1.1</t>
    <phoneticPr fontId="7" type="noConversion"/>
  </si>
  <si>
    <t>经验值</t>
    <phoneticPr fontId="7" type="noConversion"/>
  </si>
  <si>
    <t>固定资产折旧</t>
    <phoneticPr fontId="7" type="noConversion"/>
  </si>
  <si>
    <t>折旧年限</t>
    <phoneticPr fontId="7" type="noConversion"/>
  </si>
  <si>
    <t>残值率</t>
    <phoneticPr fontId="7" type="noConversion"/>
  </si>
  <si>
    <t>无形资产摊销</t>
    <phoneticPr fontId="7" type="noConversion"/>
  </si>
  <si>
    <t>摊销年限</t>
    <phoneticPr fontId="7" type="noConversion"/>
  </si>
  <si>
    <r>
      <rPr>
        <sz val="10"/>
        <rFont val="宋体"/>
        <family val="3"/>
        <charset val="134"/>
      </rPr>
      <t>根据《中华人民共和国企业所得税法实施条例》，最低折旧年限为：（一）房屋、建筑物，为</t>
    </r>
    <r>
      <rPr>
        <sz val="10"/>
        <rFont val="Arial"/>
        <family val="2"/>
      </rPr>
      <t>20</t>
    </r>
    <r>
      <rPr>
        <sz val="10"/>
        <rFont val="宋体"/>
        <family val="3"/>
        <charset val="134"/>
      </rPr>
      <t>年；</t>
    </r>
    <r>
      <rPr>
        <sz val="10"/>
        <rFont val="Arial"/>
        <family val="2"/>
      </rPr>
      <t xml:space="preserve">
</t>
    </r>
    <r>
      <rPr>
        <sz val="10"/>
        <rFont val="宋体"/>
        <family val="3"/>
        <charset val="134"/>
      </rPr>
      <t>（二）飞机、火车、轮船、机器、机械和其他生产设备，为</t>
    </r>
    <r>
      <rPr>
        <sz val="10"/>
        <rFont val="Arial"/>
        <family val="2"/>
      </rPr>
      <t>10</t>
    </r>
    <r>
      <rPr>
        <sz val="10"/>
        <rFont val="宋体"/>
        <family val="3"/>
        <charset val="134"/>
      </rPr>
      <t>年；</t>
    </r>
    <r>
      <rPr>
        <sz val="10"/>
        <rFont val="Arial"/>
        <family val="2"/>
      </rPr>
      <t xml:space="preserve">
</t>
    </r>
    <r>
      <rPr>
        <sz val="10"/>
        <rFont val="宋体"/>
        <family val="3"/>
        <charset val="134"/>
      </rPr>
      <t>（三）与生产经营活动有关的器具、工具、家具等，为</t>
    </r>
    <r>
      <rPr>
        <sz val="10"/>
        <rFont val="Arial"/>
        <family val="2"/>
      </rPr>
      <t>5</t>
    </r>
    <r>
      <rPr>
        <sz val="10"/>
        <rFont val="宋体"/>
        <family val="3"/>
        <charset val="134"/>
      </rPr>
      <t>年；</t>
    </r>
    <r>
      <rPr>
        <sz val="10"/>
        <rFont val="Arial"/>
        <family val="2"/>
      </rPr>
      <t xml:space="preserve">
</t>
    </r>
    <r>
      <rPr>
        <sz val="10"/>
        <rFont val="宋体"/>
        <family val="3"/>
        <charset val="134"/>
      </rPr>
      <t>（四）飞机、火车、轮船以外的运输工具，为</t>
    </r>
    <r>
      <rPr>
        <sz val="10"/>
        <rFont val="Arial"/>
        <family val="2"/>
      </rPr>
      <t>4</t>
    </r>
    <r>
      <rPr>
        <sz val="10"/>
        <rFont val="宋体"/>
        <family val="3"/>
        <charset val="134"/>
      </rPr>
      <t>年；</t>
    </r>
    <r>
      <rPr>
        <sz val="10"/>
        <rFont val="Arial"/>
        <family val="2"/>
      </rPr>
      <t xml:space="preserve">
</t>
    </r>
    <r>
      <rPr>
        <sz val="10"/>
        <rFont val="宋体"/>
        <family val="3"/>
        <charset val="134"/>
      </rPr>
      <t>（五）电子设备，为</t>
    </r>
    <r>
      <rPr>
        <sz val="10"/>
        <rFont val="Arial"/>
        <family val="2"/>
      </rPr>
      <t>3</t>
    </r>
    <r>
      <rPr>
        <sz val="10"/>
        <rFont val="宋体"/>
        <family val="3"/>
        <charset val="134"/>
      </rPr>
      <t>年</t>
    </r>
    <phoneticPr fontId="7" type="noConversion"/>
  </si>
  <si>
    <r>
      <rPr>
        <sz val="10"/>
        <rFont val="宋体"/>
        <family val="3"/>
        <charset val="134"/>
      </rPr>
      <t>一般可设为</t>
    </r>
    <r>
      <rPr>
        <sz val="10"/>
        <rFont val="Arial"/>
        <family val="3"/>
      </rPr>
      <t>0%~5%</t>
    </r>
    <phoneticPr fontId="7" type="noConversion"/>
  </si>
  <si>
    <r>
      <rPr>
        <sz val="10"/>
        <rFont val="宋体"/>
        <family val="3"/>
        <charset val="134"/>
      </rPr>
      <t>根据《中华人民共和国企业所得税法实施条例》，无形资产的摊销年限不得低于</t>
    </r>
    <r>
      <rPr>
        <sz val="10"/>
        <rFont val="Arial"/>
        <family val="2"/>
      </rPr>
      <t>10</t>
    </r>
    <r>
      <rPr>
        <sz val="10"/>
        <rFont val="宋体"/>
        <family val="3"/>
        <charset val="134"/>
      </rPr>
      <t>年（特殊情况除外）</t>
    </r>
    <phoneticPr fontId="7" type="noConversion"/>
  </si>
  <si>
    <t>增值税</t>
    <phoneticPr fontId="7" type="noConversion"/>
  </si>
  <si>
    <t>工程建设进项税税率</t>
    <phoneticPr fontId="7" type="noConversion"/>
  </si>
  <si>
    <t>可根据税法变动调整</t>
    <phoneticPr fontId="7" type="noConversion"/>
  </si>
  <si>
    <t>城市维护建设税</t>
    <phoneticPr fontId="7" type="noConversion"/>
  </si>
  <si>
    <t>教育费附加</t>
    <phoneticPr fontId="7" type="noConversion"/>
  </si>
  <si>
    <t>地方教育费附加</t>
    <phoneticPr fontId="7" type="noConversion"/>
  </si>
  <si>
    <t>《中华人民共和国城市维护建设税法》</t>
    <phoneticPr fontId="7" type="noConversion"/>
  </si>
  <si>
    <r>
      <rPr>
        <sz val="10"/>
        <rFont val="宋体"/>
        <family val="2"/>
        <charset val="134"/>
      </rPr>
      <t>根据《中华人民共和国城市维护建设税法》：（一）纳税人所在地在市区的，税率为百分之七；</t>
    </r>
    <r>
      <rPr>
        <sz val="10"/>
        <rFont val="Arial"/>
        <family val="2"/>
      </rPr>
      <t xml:space="preserve">
</t>
    </r>
    <r>
      <rPr>
        <sz val="10"/>
        <rFont val="宋体"/>
        <family val="2"/>
        <charset val="134"/>
      </rPr>
      <t>（二）纳税人所在地在县城、镇的，税率为百分之五；</t>
    </r>
    <r>
      <rPr>
        <sz val="10"/>
        <rFont val="Arial"/>
        <family val="2"/>
      </rPr>
      <t xml:space="preserve">
</t>
    </r>
    <r>
      <rPr>
        <sz val="10"/>
        <rFont val="宋体"/>
        <family val="2"/>
        <charset val="134"/>
      </rPr>
      <t>（三）纳税人所在地不在市区、县城或者镇的，税率为百分之一。（可根据税法变动调整）</t>
    </r>
    <phoneticPr fontId="7" type="noConversion"/>
  </si>
  <si>
    <t>地上部分主体建安</t>
    <phoneticPr fontId="7" type="noConversion"/>
  </si>
  <si>
    <t>地上部分精装修</t>
    <phoneticPr fontId="7" type="noConversion"/>
  </si>
  <si>
    <t>地下部分主体建安</t>
    <phoneticPr fontId="7" type="noConversion"/>
  </si>
  <si>
    <t>按5%考虑</t>
    <phoneticPr fontId="2" type="noConversion"/>
  </si>
  <si>
    <t>商业用地面积（m²）</t>
    <phoneticPr fontId="7" type="noConversion"/>
  </si>
  <si>
    <t>商业用地地面地价（元/m²）</t>
    <phoneticPr fontId="7" type="noConversion"/>
  </si>
  <si>
    <t>总投资估算表</t>
    <phoneticPr fontId="7" type="noConversion"/>
  </si>
  <si>
    <t>一</t>
    <phoneticPr fontId="7" type="noConversion"/>
  </si>
  <si>
    <t>年份</t>
    <phoneticPr fontId="7" type="noConversion"/>
  </si>
  <si>
    <t>建设期</t>
    <phoneticPr fontId="7" type="noConversion"/>
  </si>
  <si>
    <t>阶段</t>
    <phoneticPr fontId="7" type="noConversion"/>
  </si>
  <si>
    <t>营业收入(万元)</t>
    <phoneticPr fontId="7" type="noConversion"/>
  </si>
  <si>
    <t>3.1.2</t>
    <phoneticPr fontId="7" type="noConversion"/>
  </si>
  <si>
    <t>营业收入估算表</t>
    <phoneticPr fontId="7" type="noConversion"/>
  </si>
  <si>
    <t>契税</t>
    <phoneticPr fontId="7" type="noConversion"/>
  </si>
  <si>
    <t>印花税</t>
    <phoneticPr fontId="7" type="noConversion"/>
  </si>
  <si>
    <t>契税</t>
    <phoneticPr fontId="7" type="noConversion"/>
  </si>
  <si>
    <t>印花税</t>
    <phoneticPr fontId="7" type="noConversion"/>
  </si>
  <si>
    <t>可根据税法变动调整</t>
    <phoneticPr fontId="7" type="noConversion"/>
  </si>
  <si>
    <t>根据不同地方规定，可取3%~5%，可根据税法变动调整</t>
    <phoneticPr fontId="7" type="noConversion"/>
  </si>
  <si>
    <t>产权转移书据（物业销售部分）</t>
    <phoneticPr fontId="7" type="noConversion"/>
  </si>
  <si>
    <t>租赁合同（物业租赁部分）</t>
    <phoneticPr fontId="7" type="noConversion"/>
  </si>
  <si>
    <t>产权转移书据</t>
    <phoneticPr fontId="7" type="noConversion"/>
  </si>
  <si>
    <t>租赁合同</t>
    <phoneticPr fontId="7" type="noConversion"/>
  </si>
  <si>
    <t>合计应纳税额</t>
    <phoneticPr fontId="7" type="noConversion"/>
  </si>
  <si>
    <t>1.3.1</t>
    <phoneticPr fontId="7" type="noConversion"/>
  </si>
  <si>
    <t>土地增值税计算表</t>
    <phoneticPr fontId="7" type="noConversion"/>
  </si>
  <si>
    <t>合计</t>
    <phoneticPr fontId="7" type="noConversion"/>
  </si>
  <si>
    <r>
      <rPr>
        <sz val="10"/>
        <rFont val="宋体"/>
        <family val="3"/>
        <charset val="134"/>
      </rPr>
      <t>一般在</t>
    </r>
    <r>
      <rPr>
        <sz val="10"/>
        <rFont val="Arial"/>
        <family val="3"/>
      </rPr>
      <t>2%~5%</t>
    </r>
    <r>
      <rPr>
        <sz val="10"/>
        <rFont val="宋体"/>
        <family val="3"/>
        <charset val="134"/>
      </rPr>
      <t>左右较为合理</t>
    </r>
    <phoneticPr fontId="7" type="noConversion"/>
  </si>
  <si>
    <t>财务费用</t>
    <phoneticPr fontId="7" type="noConversion"/>
  </si>
  <si>
    <r>
      <t>经营成本（</t>
    </r>
    <r>
      <rPr>
        <sz val="12"/>
        <color rgb="FF000000"/>
        <rFont val="宋体"/>
        <family val="1"/>
        <charset val="134"/>
      </rPr>
      <t>1+2+3</t>
    </r>
    <r>
      <rPr>
        <sz val="12"/>
        <color rgb="FF000000"/>
        <rFont val="宋体"/>
        <family val="3"/>
        <charset val="134"/>
      </rPr>
      <t>）</t>
    </r>
    <phoneticPr fontId="7" type="noConversion"/>
  </si>
  <si>
    <r>
      <t>总成本费用合计（4+5+</t>
    </r>
    <r>
      <rPr>
        <sz val="12"/>
        <color rgb="FF000000"/>
        <rFont val="Times New Roman"/>
        <family val="1"/>
      </rPr>
      <t>6</t>
    </r>
    <r>
      <rPr>
        <sz val="12"/>
        <color rgb="FF000000"/>
        <rFont val="宋体"/>
        <family val="3"/>
        <charset val="134"/>
      </rPr>
      <t>）</t>
    </r>
    <phoneticPr fontId="7" type="noConversion"/>
  </si>
  <si>
    <t>固定资产折旧费用估算表</t>
    <phoneticPr fontId="7" type="noConversion"/>
  </si>
  <si>
    <t>房屋、建筑物</t>
    <phoneticPr fontId="7" type="noConversion"/>
  </si>
  <si>
    <t>原值</t>
    <phoneticPr fontId="7" type="noConversion"/>
  </si>
  <si>
    <t>本年折旧费</t>
    <phoneticPr fontId="7" type="noConversion"/>
  </si>
  <si>
    <t>净值</t>
    <phoneticPr fontId="7" type="noConversion"/>
  </si>
  <si>
    <t>残值回收</t>
    <phoneticPr fontId="7" type="noConversion"/>
  </si>
  <si>
    <t>无形资产摊销费用估算表</t>
    <phoneticPr fontId="7" type="noConversion"/>
  </si>
  <si>
    <t>土地使用权</t>
    <phoneticPr fontId="7" type="noConversion"/>
  </si>
  <si>
    <t>本年摊销费</t>
    <phoneticPr fontId="7" type="noConversion"/>
  </si>
  <si>
    <t>第N年</t>
    <phoneticPr fontId="7" type="noConversion"/>
  </si>
  <si>
    <t>融资利率</t>
    <phoneticPr fontId="7" type="noConversion"/>
  </si>
  <si>
    <t>融资期限（年）</t>
    <phoneticPr fontId="7" type="noConversion"/>
  </si>
  <si>
    <t>保障房最低资本金比例为投资总额20%，其他房地产项目最低资本金比例为25%</t>
    <phoneticPr fontId="7" type="noConversion"/>
  </si>
  <si>
    <t>利润表</t>
    <phoneticPr fontId="7" type="noConversion"/>
  </si>
  <si>
    <t>现金流量表</t>
    <phoneticPr fontId="7" type="noConversion"/>
  </si>
  <si>
    <t>回收资产余值</t>
    <phoneticPr fontId="7" type="noConversion"/>
  </si>
  <si>
    <t>还款方式</t>
    <phoneticPr fontId="7" type="noConversion"/>
  </si>
  <si>
    <t>等额本金还款</t>
    <phoneticPr fontId="7" type="noConversion"/>
  </si>
  <si>
    <t>如需调整还款方式，需要手动调整</t>
    <phoneticPr fontId="7" type="noConversion"/>
  </si>
  <si>
    <t>经营期</t>
    <phoneticPr fontId="7" type="noConversion"/>
  </si>
  <si>
    <t>税费</t>
    <phoneticPr fontId="7" type="noConversion"/>
  </si>
  <si>
    <t>一、建筑方案指标</t>
    <phoneticPr fontId="7" type="noConversion"/>
  </si>
  <si>
    <t>二、开发成本指标</t>
    <phoneticPr fontId="7" type="noConversion"/>
  </si>
  <si>
    <t>三、开发进度指标</t>
    <phoneticPr fontId="7" type="noConversion"/>
  </si>
  <si>
    <t>五、经营费用指标</t>
    <phoneticPr fontId="7" type="noConversion"/>
  </si>
  <si>
    <t>六、税费指标</t>
    <phoneticPr fontId="7" type="noConversion"/>
  </si>
  <si>
    <t>七、融资及还款计划指标</t>
    <phoneticPr fontId="7" type="noConversion"/>
  </si>
  <si>
    <t>——</t>
    <phoneticPr fontId="7" type="noConversion"/>
  </si>
  <si>
    <t>自动计算</t>
    <phoneticPr fontId="7" type="noConversion"/>
  </si>
  <si>
    <t>不含地价总投资</t>
    <phoneticPr fontId="7" type="noConversion"/>
  </si>
  <si>
    <t>不含地价总投资/总建筑面积</t>
    <phoneticPr fontId="7" type="noConversion"/>
  </si>
  <si>
    <t>融资比例（融资额/总投资）</t>
    <phoneticPr fontId="7" type="noConversion"/>
  </si>
  <si>
    <t>酒店地上部分主体建安综合单价（元/m²）</t>
    <phoneticPr fontId="7" type="noConversion"/>
  </si>
  <si>
    <t>酒店地上部分精装修综合单价（元/m²）</t>
    <phoneticPr fontId="7" type="noConversion"/>
  </si>
  <si>
    <t>配套基础设施综合单价（元/m²）</t>
    <phoneticPr fontId="7" type="noConversion"/>
  </si>
  <si>
    <t>酒店</t>
    <phoneticPr fontId="7" type="noConversion"/>
  </si>
  <si>
    <t>酒店地下部分主体建安综合单价（元/m²）</t>
    <phoneticPr fontId="7" type="noConversion"/>
  </si>
  <si>
    <t>基础设施面积（m²）</t>
    <phoneticPr fontId="7" type="noConversion"/>
  </si>
  <si>
    <t>不含地价总投资/酒店建筑面积</t>
    <phoneticPr fontId="7" type="noConversion"/>
  </si>
  <si>
    <t>不含地价总投资/酒店地上建筑面积</t>
    <phoneticPr fontId="7" type="noConversion"/>
  </si>
  <si>
    <t>四、营业收入指标</t>
    <phoneticPr fontId="7" type="noConversion"/>
  </si>
  <si>
    <t>客房收入</t>
    <phoneticPr fontId="7" type="noConversion"/>
  </si>
  <si>
    <t>客房数量（间）</t>
    <phoneticPr fontId="7" type="noConversion"/>
  </si>
  <si>
    <t>客房收入模型</t>
    <phoneticPr fontId="7" type="noConversion"/>
  </si>
  <si>
    <t>餐饮收入</t>
  </si>
  <si>
    <t>其他收入</t>
  </si>
  <si>
    <t>餐饮收入/客房收入</t>
  </si>
  <si>
    <t>其他收入/客房收入</t>
    <phoneticPr fontId="7" type="noConversion"/>
  </si>
  <si>
    <t>平均房价（元/间/晚）</t>
    <phoneticPr fontId="7" type="noConversion"/>
  </si>
  <si>
    <t>房价年上涨率</t>
    <phoneticPr fontId="7" type="noConversion"/>
  </si>
  <si>
    <t>入住率</t>
    <phoneticPr fontId="7" type="noConversion"/>
  </si>
  <si>
    <t>酒店（万元）</t>
    <phoneticPr fontId="7" type="noConversion"/>
  </si>
  <si>
    <t>客房收入（万元）</t>
    <phoneticPr fontId="7" type="noConversion"/>
  </si>
  <si>
    <t>客房入住量（间）</t>
    <phoneticPr fontId="7" type="noConversion"/>
  </si>
  <si>
    <t>餐饮收入（万元）</t>
    <phoneticPr fontId="7" type="noConversion"/>
  </si>
  <si>
    <t>其他收入（万元）</t>
    <phoneticPr fontId="7" type="noConversion"/>
  </si>
  <si>
    <t>客房运营成本/客房运营收入</t>
  </si>
  <si>
    <t>餐饮成本/餐饮收入</t>
  </si>
  <si>
    <t>其他成本/其他收入</t>
  </si>
  <si>
    <t>日常运营维护费</t>
    <phoneticPr fontId="7" type="noConversion"/>
  </si>
  <si>
    <t>客房运营成本</t>
  </si>
  <si>
    <t>餐饮成本</t>
  </si>
  <si>
    <t>其他成本</t>
  </si>
  <si>
    <t>职工薪酬</t>
    <phoneticPr fontId="7" type="noConversion"/>
  </si>
  <si>
    <t>酒店日常运营维护费</t>
    <phoneticPr fontId="7" type="noConversion"/>
  </si>
  <si>
    <t>酒店职工薪酬</t>
    <phoneticPr fontId="7" type="noConversion"/>
  </si>
  <si>
    <t>职工薪酬模型</t>
    <phoneticPr fontId="7" type="noConversion"/>
  </si>
  <si>
    <t>总计</t>
  </si>
  <si>
    <t>岗位</t>
    <phoneticPr fontId="7" type="noConversion"/>
  </si>
  <si>
    <t>基准工资</t>
    <phoneticPr fontId="7" type="noConversion"/>
  </si>
  <si>
    <t>人数（人）</t>
    <phoneticPr fontId="7" type="noConversion"/>
  </si>
  <si>
    <t>职工薪酬年增长率</t>
    <phoneticPr fontId="7" type="noConversion"/>
  </si>
  <si>
    <t>酒店运营销项税</t>
    <phoneticPr fontId="7" type="noConversion"/>
  </si>
  <si>
    <t>酒店各项营收销项税率</t>
    <phoneticPr fontId="7" type="noConversion"/>
  </si>
  <si>
    <t>经营成本</t>
    <phoneticPr fontId="7" type="noConversion"/>
  </si>
  <si>
    <t>土地购置费（商业用地）</t>
    <phoneticPr fontId="7" type="noConversion"/>
  </si>
  <si>
    <t>《酒店投资与筹资战略》</t>
    <phoneticPr fontId="7" type="noConversion"/>
  </si>
  <si>
    <t>酒店分类</t>
    <phoneticPr fontId="7" type="noConversion"/>
  </si>
  <si>
    <t>星级标准</t>
    <phoneticPr fontId="7" type="noConversion"/>
  </si>
  <si>
    <t>一星酒店</t>
    <phoneticPr fontId="7" type="noConversion"/>
  </si>
  <si>
    <t>二星酒店</t>
    <phoneticPr fontId="7" type="noConversion"/>
  </si>
  <si>
    <t>三星酒店</t>
    <phoneticPr fontId="7" type="noConversion"/>
  </si>
  <si>
    <t>四星酒店</t>
    <phoneticPr fontId="7" type="noConversion"/>
  </si>
  <si>
    <t>五星酒店</t>
    <phoneticPr fontId="7" type="noConversion"/>
  </si>
  <si>
    <t>白金五星酒店</t>
    <phoneticPr fontId="7" type="noConversion"/>
  </si>
  <si>
    <t>http://www.360doc.com/content/10/1210/13/4551898_76739419.shtml</t>
    <phoneticPr fontId="7" type="noConversion"/>
  </si>
  <si>
    <t>国家旅游行政部门标准《中华人民共和国星级酒店评定标准》(430581/2013-00027)</t>
    <phoneticPr fontId="7" type="noConversion"/>
  </si>
  <si>
    <t>设备简单，具备食、宿两个最基本功能，能满足客人最简单的旅行需要。</t>
    <phoneticPr fontId="7" type="noConversion"/>
  </si>
  <si>
    <t>设备一般，除具备客房、餐厅等基本设备外，还有卖品部、邮电、理发等综合服务设施，服务质量较好，属于一般旅行等级。</t>
    <phoneticPr fontId="7" type="noConversion"/>
  </si>
  <si>
    <t>设备齐全，不仅提供食宿，还有会议室、游艺厅、酒吧间、咖啡厅、美容室等综合服务设施。这种属于中等水平的饭店在国际上最受欢迎，数量较多。</t>
    <phoneticPr fontId="7" type="noConversion"/>
  </si>
  <si>
    <t>设备豪华，综合服务设施完善，服务项目多，服务质量优良，室内环境艺术，提供优质服务。客人不仅能够得到高级的物质享受，也能得到很好的精神享受。</t>
    <phoneticPr fontId="7" type="noConversion"/>
  </si>
  <si>
    <t>设备十分豪华，设施更加完善，除了房间设施豪华外，服务设施齐全。各种各样的餐厅，较大规模的宴会厅、会议厅、综合服务比较齐全。是社交、会议、娱乐、购物、消遣、保健等活动中心。</t>
    <phoneticPr fontId="7" type="noConversion"/>
  </si>
  <si>
    <t>要求具有两年以上五星级饭店资格；地理位置处于城市中心商务区或繁华地带，交通极其便利；建筑主题鲜明，外观造型独具一格，有助于所在地建立旅游目的地形象等等；</t>
    <phoneticPr fontId="7" type="noConversion"/>
  </si>
  <si>
    <t>分类</t>
    <phoneticPr fontId="7" type="noConversion"/>
  </si>
  <si>
    <t>描述</t>
    <phoneticPr fontId="7" type="noConversion"/>
  </si>
  <si>
    <t>规模标准</t>
    <phoneticPr fontId="7" type="noConversion"/>
  </si>
  <si>
    <t>小型酒店</t>
    <phoneticPr fontId="7" type="noConversion"/>
  </si>
  <si>
    <t>中型酒店</t>
    <phoneticPr fontId="7" type="noConversion"/>
  </si>
  <si>
    <t>中大型酒店</t>
    <phoneticPr fontId="7" type="noConversion"/>
  </si>
  <si>
    <t>大型酒店</t>
    <phoneticPr fontId="7" type="noConversion"/>
  </si>
  <si>
    <t>超大型酒店</t>
    <phoneticPr fontId="7" type="noConversion"/>
  </si>
  <si>
    <r>
      <rPr>
        <sz val="10"/>
        <rFont val="宋体"/>
        <family val="3"/>
        <charset val="134"/>
      </rPr>
      <t>客房数</t>
    </r>
    <r>
      <rPr>
        <sz val="10"/>
        <rFont val="Arial"/>
        <family val="3"/>
      </rPr>
      <t>200-500</t>
    </r>
    <r>
      <rPr>
        <sz val="10"/>
        <rFont val="宋体"/>
        <family val="3"/>
        <charset val="134"/>
      </rPr>
      <t>，具备基本酒店配套设施和服务</t>
    </r>
    <phoneticPr fontId="7" type="noConversion"/>
  </si>
  <si>
    <r>
      <rPr>
        <sz val="10"/>
        <rFont val="宋体"/>
        <family val="3"/>
        <charset val="134"/>
      </rPr>
      <t>客房数</t>
    </r>
    <r>
      <rPr>
        <sz val="10"/>
        <rFont val="Arial"/>
        <family val="3"/>
      </rPr>
      <t>50-200</t>
    </r>
    <r>
      <rPr>
        <sz val="10"/>
        <rFont val="宋体"/>
        <family val="3"/>
        <charset val="134"/>
      </rPr>
      <t>，具备简单酒店配套设施和服务。（当前超过</t>
    </r>
    <r>
      <rPr>
        <sz val="10"/>
        <rFont val="Arial"/>
        <family val="3"/>
      </rPr>
      <t>100</t>
    </r>
    <r>
      <rPr>
        <sz val="10"/>
        <rFont val="宋体"/>
        <family val="3"/>
        <charset val="134"/>
      </rPr>
      <t>间的酒店在中小型城市仍归为中型酒店）</t>
    </r>
    <phoneticPr fontId="7" type="noConversion"/>
  </si>
  <si>
    <r>
      <rPr>
        <sz val="10"/>
        <rFont val="宋体"/>
        <family val="3"/>
        <charset val="134"/>
      </rPr>
      <t>客房数</t>
    </r>
    <r>
      <rPr>
        <sz val="10"/>
        <rFont val="Arial"/>
        <family val="3"/>
      </rPr>
      <t>500-1000</t>
    </r>
    <r>
      <rPr>
        <sz val="10"/>
        <rFont val="宋体"/>
        <family val="3"/>
        <charset val="134"/>
      </rPr>
      <t>，具备较为完善的酒店配套设施和服务。（当前这类酒店在中小型城市仍归类为大型酒店）</t>
    </r>
    <phoneticPr fontId="7" type="noConversion"/>
  </si>
  <si>
    <r>
      <rPr>
        <sz val="10"/>
        <rFont val="宋体"/>
        <family val="3"/>
        <charset val="134"/>
      </rPr>
      <t>客房数</t>
    </r>
    <r>
      <rPr>
        <sz val="10"/>
        <rFont val="Arial"/>
        <family val="3"/>
      </rPr>
      <t>1000-2000</t>
    </r>
    <r>
      <rPr>
        <sz val="10"/>
        <rFont val="宋体"/>
        <family val="3"/>
        <charset val="134"/>
      </rPr>
      <t>，具备完善的酒店配套设施和服务</t>
    </r>
    <phoneticPr fontId="7" type="noConversion"/>
  </si>
  <si>
    <r>
      <rPr>
        <sz val="10"/>
        <rFont val="宋体"/>
        <family val="3"/>
        <charset val="134"/>
      </rPr>
      <t>客房数</t>
    </r>
    <r>
      <rPr>
        <sz val="10"/>
        <rFont val="Arial"/>
        <family val="3"/>
      </rPr>
      <t>2000</t>
    </r>
    <r>
      <rPr>
        <sz val="10"/>
        <rFont val="宋体"/>
        <family val="3"/>
        <charset val="134"/>
      </rPr>
      <t>以上，具备非常完善的酒店配套设施和服务</t>
    </r>
    <phoneticPr fontId="7" type="noConversion"/>
  </si>
  <si>
    <t>标准</t>
    <phoneticPr fontId="7" type="noConversion"/>
  </si>
  <si>
    <t>地理位置</t>
    <phoneticPr fontId="7" type="noConversion"/>
  </si>
  <si>
    <t>城市商务型酒店</t>
    <phoneticPr fontId="7" type="noConversion"/>
  </si>
  <si>
    <t>火车站/汽车站酒店</t>
    <phoneticPr fontId="7" type="noConversion"/>
  </si>
  <si>
    <t>机场酒店</t>
    <phoneticPr fontId="7" type="noConversion"/>
  </si>
  <si>
    <t>度假酒店</t>
    <phoneticPr fontId="7" type="noConversion"/>
  </si>
  <si>
    <t>乡村酒店</t>
    <phoneticPr fontId="7" type="noConversion"/>
  </si>
  <si>
    <t>文化古街道民宿</t>
    <phoneticPr fontId="7" type="noConversion"/>
  </si>
  <si>
    <t>。。。</t>
    <phoneticPr fontId="7" type="noConversion"/>
  </si>
  <si>
    <t>经营性质</t>
    <phoneticPr fontId="7" type="noConversion"/>
  </si>
  <si>
    <t>商务型酒店</t>
    <phoneticPr fontId="7" type="noConversion"/>
  </si>
  <si>
    <t>度假型酒店</t>
    <phoneticPr fontId="7" type="noConversion"/>
  </si>
  <si>
    <t>长住型酒店</t>
    <phoneticPr fontId="7" type="noConversion"/>
  </si>
  <si>
    <t>会议型酒店</t>
    <phoneticPr fontId="7" type="noConversion"/>
  </si>
  <si>
    <t>经济型酒店</t>
    <phoneticPr fontId="7" type="noConversion"/>
  </si>
  <si>
    <t>公寓型酒店</t>
    <phoneticPr fontId="7" type="noConversion"/>
  </si>
  <si>
    <t>服务对象</t>
    <phoneticPr fontId="7" type="noConversion"/>
  </si>
  <si>
    <t>从事商务活动的客人</t>
    <phoneticPr fontId="7" type="noConversion"/>
  </si>
  <si>
    <t>特点</t>
    <phoneticPr fontId="7" type="noConversion"/>
  </si>
  <si>
    <t>旅游、度假、休闲的客人</t>
    <phoneticPr fontId="7" type="noConversion"/>
  </si>
  <si>
    <t>多建在海滨、温泉、风景区附近，季节性强，娱乐等设备完善</t>
    <phoneticPr fontId="7" type="noConversion"/>
  </si>
  <si>
    <t>地理位置要求较高，靠近城区或商业中心，客流量受一般不受季节影响，设施设备齐全、服务功能较为完善</t>
    <phoneticPr fontId="7" type="noConversion"/>
  </si>
  <si>
    <t>较长时间食宿的客人</t>
    <phoneticPr fontId="7" type="noConversion"/>
  </si>
  <si>
    <t>以套房为住，提供酒店服务、家庭服务</t>
    <phoneticPr fontId="7" type="noConversion"/>
  </si>
  <si>
    <t>https://baike.baidu.com/item/%E6%97%85%E6%B8%B8%E9%A5%AD%E5%BA%97%E6%98%9F%E7%BA%A7%E7%9A%84%E5%88%92%E5%88%86%E4%B8%8E%E8%AF%84%E5%AE%9A/381657?fr=aladdin</t>
    <phoneticPr fontId="7" type="noConversion"/>
  </si>
  <si>
    <t>接待会议、展览或者其他活动为主要目的的客人</t>
    <phoneticPr fontId="7" type="noConversion"/>
  </si>
  <si>
    <t>通常规模较大，除食宿、娱乐外还为会议代表提供接送站、会议资料打印、录像设备等服务</t>
    <phoneticPr fontId="7" type="noConversion"/>
  </si>
  <si>
    <t>旅游出差者</t>
    <phoneticPr fontId="7" type="noConversion"/>
  </si>
  <si>
    <t>价格低廉，服务方便快捷，通常建于城市，一般只提供标准化的住宿服务，多为连锁品牌经营形式</t>
    <phoneticPr fontId="7" type="noConversion"/>
  </si>
  <si>
    <t>即能享受酒店提供的服务，又能享受居家的快乐。拥有卧室、客厅、卫浴间、厨房灯，也可在酒店用餐。主要集中在市中心的高档住宅区，集住宅、酒店、会所多功能于一体，一般价格不低。近年来主要建于海滨旅游城市或风景名胜区</t>
    <phoneticPr fontId="7" type="noConversion"/>
  </si>
  <si>
    <t>酒店住宿业态</t>
    <phoneticPr fontId="7" type="noConversion"/>
  </si>
  <si>
    <t>酒店业态</t>
    <phoneticPr fontId="7" type="noConversion"/>
  </si>
  <si>
    <t>酒店餐饮业态</t>
    <phoneticPr fontId="7" type="noConversion"/>
  </si>
  <si>
    <t>酒店OTA业态（Online Travel Agency）</t>
    <phoneticPr fontId="7" type="noConversion"/>
  </si>
  <si>
    <t>标准化住宿</t>
    <phoneticPr fontId="7" type="noConversion"/>
  </si>
  <si>
    <t>高档酒店</t>
    <phoneticPr fontId="7" type="noConversion"/>
  </si>
  <si>
    <t>中档酒店</t>
    <phoneticPr fontId="7" type="noConversion"/>
  </si>
  <si>
    <t>准三星到准四星</t>
    <phoneticPr fontId="7" type="noConversion"/>
  </si>
  <si>
    <t>四星及以上</t>
    <phoneticPr fontId="7" type="noConversion"/>
  </si>
  <si>
    <t>二星及以下</t>
    <phoneticPr fontId="7" type="noConversion"/>
  </si>
  <si>
    <t>对应</t>
    <phoneticPr fontId="7" type="noConversion"/>
  </si>
  <si>
    <t>非标准化住宿</t>
    <phoneticPr fontId="7" type="noConversion"/>
  </si>
  <si>
    <t>酒店功能</t>
    <phoneticPr fontId="7" type="noConversion"/>
  </si>
  <si>
    <t>住、食、旅游、通信、商务、康乐、购物等</t>
    <phoneticPr fontId="7" type="noConversion"/>
  </si>
  <si>
    <t>民宿、青年旅舍、共享住宿、公寓、度假别墅、帐篷、房车等（由个人业主、房源承租者或商业机构提供，个性化）</t>
    <phoneticPr fontId="7" type="noConversion"/>
  </si>
  <si>
    <t>中餐、西餐、宴会</t>
    <phoneticPr fontId="7" type="noConversion"/>
  </si>
  <si>
    <t>酒店人员定编</t>
    <phoneticPr fontId="7" type="noConversion"/>
  </si>
  <si>
    <t>人员配置比例</t>
    <phoneticPr fontId="7" type="noConversion"/>
  </si>
  <si>
    <r>
      <rPr>
        <sz val="10"/>
        <rFont val="宋体"/>
        <family val="3"/>
        <charset val="134"/>
      </rPr>
      <t>可按客房总数量</t>
    </r>
    <r>
      <rPr>
        <sz val="10"/>
        <rFont val="Arial"/>
        <family val="3"/>
      </rPr>
      <t>60%</t>
    </r>
    <r>
      <rPr>
        <sz val="10"/>
        <rFont val="宋体"/>
        <family val="3"/>
        <charset val="134"/>
      </rPr>
      <t>入住率的</t>
    </r>
    <r>
      <rPr>
        <sz val="10"/>
        <rFont val="Arial"/>
        <family val="3"/>
      </rPr>
      <t>1</t>
    </r>
    <r>
      <rPr>
        <sz val="10"/>
        <rFont val="宋体"/>
        <family val="3"/>
        <charset val="134"/>
      </rPr>
      <t>：</t>
    </r>
    <r>
      <rPr>
        <sz val="10"/>
        <rFont val="Arial"/>
        <family val="3"/>
      </rPr>
      <t>1.5</t>
    </r>
    <r>
      <rPr>
        <sz val="10"/>
        <rFont val="宋体"/>
        <family val="3"/>
        <charset val="134"/>
      </rPr>
      <t>比例配置</t>
    </r>
    <phoneticPr fontId="7" type="noConversion"/>
  </si>
  <si>
    <t>七修酒店</t>
    <phoneticPr fontId="7" type="noConversion"/>
  </si>
  <si>
    <t>客房数</t>
    <phoneticPr fontId="7" type="noConversion"/>
  </si>
  <si>
    <t>员工数</t>
    <phoneticPr fontId="7" type="noConversion"/>
  </si>
  <si>
    <t>按公式估计</t>
    <phoneticPr fontId="7" type="noConversion"/>
  </si>
  <si>
    <t>出租率</t>
    <phoneticPr fontId="7" type="noConversion"/>
  </si>
  <si>
    <r>
      <rPr>
        <sz val="10"/>
        <rFont val="宋体"/>
        <family val="3"/>
        <charset val="134"/>
      </rPr>
      <t>酒店最佳年平均出租率是</t>
    </r>
    <r>
      <rPr>
        <sz val="10"/>
        <rFont val="Arial"/>
        <family val="3"/>
      </rPr>
      <t>75%-80%</t>
    </r>
    <r>
      <rPr>
        <sz val="10"/>
        <rFont val="宋体"/>
        <family val="3"/>
        <charset val="134"/>
      </rPr>
      <t>，极限出租率</t>
    </r>
    <r>
      <rPr>
        <sz val="10"/>
        <rFont val="Arial"/>
        <family val="3"/>
      </rPr>
      <t>85%</t>
    </r>
    <phoneticPr fontId="7" type="noConversion"/>
  </si>
  <si>
    <r>
      <rPr>
        <sz val="10"/>
        <rFont val="宋体"/>
        <family val="3"/>
        <charset val="134"/>
      </rPr>
      <t>经济型酒店最佳出租率</t>
    </r>
    <r>
      <rPr>
        <sz val="10"/>
        <rFont val="Arial"/>
        <family val="2"/>
      </rPr>
      <t>100%</t>
    </r>
    <phoneticPr fontId="7" type="noConversion"/>
  </si>
  <si>
    <t>对应层级</t>
    <phoneticPr fontId="7" type="noConversion"/>
  </si>
  <si>
    <t>中档酒店（准三星-准四星）</t>
    <phoneticPr fontId="7" type="noConversion"/>
  </si>
  <si>
    <t>《酒店管理》</t>
    <phoneticPr fontId="7" type="noConversion"/>
  </si>
  <si>
    <t>传统功能</t>
    <phoneticPr fontId="7" type="noConversion"/>
  </si>
  <si>
    <t>现代功能</t>
    <phoneticPr fontId="7" type="noConversion"/>
  </si>
  <si>
    <t>住宿、饮食、集会</t>
    <phoneticPr fontId="7" type="noConversion"/>
  </si>
  <si>
    <t>文化娱乐、商业服务、购物服务、交通服务</t>
    <phoneticPr fontId="7" type="noConversion"/>
  </si>
  <si>
    <t>建筑布局</t>
    <phoneticPr fontId="7" type="noConversion"/>
  </si>
  <si>
    <t>分散式</t>
    <phoneticPr fontId="7" type="noConversion"/>
  </si>
  <si>
    <t>集中式</t>
    <phoneticPr fontId="7" type="noConversion"/>
  </si>
  <si>
    <t>分散与集中相结合</t>
    <phoneticPr fontId="7" type="noConversion"/>
  </si>
  <si>
    <t>各功能部门分别建造，单栋独立，多为底层建筑。主要应用于郊区酒店</t>
    <phoneticPr fontId="7" type="noConversion"/>
  </si>
  <si>
    <r>
      <rPr>
        <sz val="10"/>
        <rFont val="宋体"/>
        <family val="3"/>
        <charset val="134"/>
      </rPr>
      <t>分为水平集中式、竖向集中式、水平与竖向相结合的集中式。集中式指客房、公共区域、后勤和餐饮部分分别各自相对集中建设，并在水平</t>
    </r>
    <r>
      <rPr>
        <sz val="10"/>
        <rFont val="Arial"/>
        <family val="3"/>
      </rPr>
      <t>/</t>
    </r>
    <r>
      <rPr>
        <sz val="10"/>
        <rFont val="宋体"/>
        <family val="3"/>
        <charset val="134"/>
      </rPr>
      <t>竖向相连接。水平集中式适用于郊区和风景区酒店，竖向集中式适用于城市中心基地较少的酒店，结合式多为高层建筑带裙房多被国际上许多城市酒店采用。</t>
    </r>
    <phoneticPr fontId="7" type="noConversion"/>
  </si>
  <si>
    <t>多采用客房楼层分散、公共部分集中；也见于酒店与写字楼公用一栋建筑的形式</t>
    <phoneticPr fontId="7" type="noConversion"/>
  </si>
  <si>
    <t>酒店集团</t>
    <phoneticPr fontId="7" type="noConversion"/>
  </si>
  <si>
    <t>定义</t>
    <phoneticPr fontId="7" type="noConversion"/>
  </si>
  <si>
    <t>指在本国或世界各地以直接或间接形式控制两个以上酒店的经济体，以相同的店名和店标、统一的经营程序、同样的服务标准和管理风格与水准进行联合经营</t>
    <phoneticPr fontId="7" type="noConversion"/>
  </si>
  <si>
    <t>优势</t>
    <phoneticPr fontId="7" type="noConversion"/>
  </si>
  <si>
    <t>经营管理优势、技术优势、资金优势、市场营销优势</t>
    <phoneticPr fontId="7" type="noConversion"/>
  </si>
  <si>
    <t>酒店集团结构关系</t>
    <phoneticPr fontId="7" type="noConversion"/>
  </si>
  <si>
    <t>拥有关系</t>
    <phoneticPr fontId="7" type="noConversion"/>
  </si>
  <si>
    <t>控股关系</t>
    <phoneticPr fontId="7" type="noConversion"/>
  </si>
  <si>
    <t>租赁关系</t>
    <phoneticPr fontId="7" type="noConversion"/>
  </si>
  <si>
    <t>管理合同</t>
    <phoneticPr fontId="7" type="noConversion"/>
  </si>
  <si>
    <r>
      <rPr>
        <sz val="10"/>
        <rFont val="宋体"/>
        <family val="3"/>
        <charset val="134"/>
      </rPr>
      <t>直接租赁（缴纳租金）、分享盈利（获得收入或利润分成，分为收入一定比例、利润一定比例、收入与利润的混合比例）、出售</t>
    </r>
    <r>
      <rPr>
        <sz val="10"/>
        <rFont val="Arial"/>
        <family val="3"/>
      </rPr>
      <t>-</t>
    </r>
    <r>
      <rPr>
        <sz val="10"/>
        <rFont val="宋体"/>
        <family val="3"/>
        <charset val="134"/>
      </rPr>
      <t>回租（筹措资金，一般缴纳租金）</t>
    </r>
    <phoneticPr fontId="7" type="noConversion"/>
  </si>
  <si>
    <t>支付管理费（管理公司不承担经营风险，不对员工负责）</t>
    <phoneticPr fontId="7" type="noConversion"/>
  </si>
  <si>
    <t>特许经营关系</t>
    <phoneticPr fontId="7" type="noConversion"/>
  </si>
  <si>
    <t>指酒店通过签订合同，特许人将有权授予他人使用的商标、商号、经营模式等经营资源，授予被特许人使用。需一次性向特许权拥有者支付特许经营权转让费或初始费，以及每月根据营业收入而浮动的特许经营服务费（包括名称使用费、员工培训费、顾问咨询费等）</t>
    <phoneticPr fontId="7" type="noConversion"/>
  </si>
  <si>
    <t>酒店排名</t>
    <phoneticPr fontId="7" type="noConversion"/>
  </si>
  <si>
    <t>全球酒店300强</t>
    <phoneticPr fontId="7" type="noConversion"/>
  </si>
  <si>
    <t>全球酒店品牌价值50强</t>
    <phoneticPr fontId="7" type="noConversion"/>
  </si>
  <si>
    <t>按规模大小</t>
    <phoneticPr fontId="7" type="noConversion"/>
  </si>
  <si>
    <r>
      <rPr>
        <sz val="10"/>
        <rFont val="宋体"/>
        <family val="3"/>
        <charset val="134"/>
      </rPr>
      <t>客房数小于</t>
    </r>
    <r>
      <rPr>
        <sz val="10"/>
        <rFont val="Arial"/>
        <family val="3"/>
      </rPr>
      <t>300</t>
    </r>
    <r>
      <rPr>
        <sz val="10"/>
        <rFont val="宋体"/>
        <family val="3"/>
        <charset val="134"/>
      </rPr>
      <t>间（有些划分为</t>
    </r>
    <r>
      <rPr>
        <sz val="10"/>
        <rFont val="Arial"/>
        <family val="3"/>
      </rPr>
      <t>200</t>
    </r>
    <r>
      <rPr>
        <sz val="10"/>
        <rFont val="宋体"/>
        <family val="3"/>
        <charset val="134"/>
      </rPr>
      <t>间以下）</t>
    </r>
    <phoneticPr fontId="7" type="noConversion"/>
  </si>
  <si>
    <r>
      <rPr>
        <sz val="10"/>
        <rFont val="宋体"/>
        <family val="3"/>
        <charset val="134"/>
      </rPr>
      <t>客房数为</t>
    </r>
    <r>
      <rPr>
        <sz val="10"/>
        <rFont val="Arial"/>
        <family val="3"/>
      </rPr>
      <t>300-600</t>
    </r>
    <r>
      <rPr>
        <sz val="10"/>
        <rFont val="宋体"/>
        <family val="3"/>
        <charset val="134"/>
      </rPr>
      <t>间（有些划分为</t>
    </r>
    <r>
      <rPr>
        <sz val="10"/>
        <rFont val="Arial"/>
        <family val="3"/>
      </rPr>
      <t>200-700</t>
    </r>
    <r>
      <rPr>
        <sz val="10"/>
        <rFont val="宋体"/>
        <family val="3"/>
        <charset val="134"/>
      </rPr>
      <t>间）</t>
    </r>
    <phoneticPr fontId="7" type="noConversion"/>
  </si>
  <si>
    <r>
      <rPr>
        <sz val="10"/>
        <rFont val="宋体"/>
        <family val="3"/>
        <charset val="134"/>
      </rPr>
      <t>客房数大于</t>
    </r>
    <r>
      <rPr>
        <sz val="10"/>
        <rFont val="Arial"/>
        <family val="3"/>
      </rPr>
      <t>600</t>
    </r>
    <r>
      <rPr>
        <sz val="10"/>
        <rFont val="宋体"/>
        <family val="3"/>
        <charset val="134"/>
      </rPr>
      <t>间（有些划分为大于</t>
    </r>
    <r>
      <rPr>
        <sz val="10"/>
        <rFont val="Arial"/>
        <family val="3"/>
      </rPr>
      <t>700</t>
    </r>
    <r>
      <rPr>
        <sz val="10"/>
        <rFont val="宋体"/>
        <family val="3"/>
        <charset val="134"/>
      </rPr>
      <t>间）</t>
    </r>
    <phoneticPr fontId="7" type="noConversion"/>
  </si>
  <si>
    <t>客房间数</t>
    <phoneticPr fontId="7" type="noConversion"/>
  </si>
  <si>
    <t>星级酒店</t>
    <phoneticPr fontId="7" type="noConversion"/>
  </si>
  <si>
    <t>一二三星</t>
    <phoneticPr fontId="7" type="noConversion"/>
  </si>
  <si>
    <t>四五星</t>
    <phoneticPr fontId="7" type="noConversion"/>
  </si>
  <si>
    <t>有限服务，强调必要硬件配置的核心功能，适当减少配套设施要求</t>
    <phoneticPr fontId="7" type="noConversion"/>
  </si>
  <si>
    <t>完全服务注重软件与硬件的全面评价</t>
    <phoneticPr fontId="7" type="noConversion"/>
  </si>
  <si>
    <t>酒店市场分类</t>
    <phoneticPr fontId="7" type="noConversion"/>
  </si>
  <si>
    <t>精品酒店</t>
    <phoneticPr fontId="7" type="noConversion"/>
  </si>
  <si>
    <t>豪华酒店</t>
    <phoneticPr fontId="7" type="noConversion"/>
  </si>
  <si>
    <t>公寓式酒店或酒店式公寓</t>
    <phoneticPr fontId="7" type="noConversion"/>
  </si>
  <si>
    <t>主题酒店</t>
    <phoneticPr fontId="7" type="noConversion"/>
  </si>
  <si>
    <r>
      <rPr>
        <sz val="10"/>
        <rFont val="宋体"/>
        <family val="3"/>
        <charset val="134"/>
      </rPr>
      <t>平均每间客房需配备1</t>
    </r>
    <r>
      <rPr>
        <sz val="10"/>
        <rFont val="Arial"/>
        <family val="3"/>
      </rPr>
      <t>-2</t>
    </r>
    <r>
      <rPr>
        <sz val="10"/>
        <rFont val="宋体"/>
        <family val="3"/>
        <charset val="134"/>
      </rPr>
      <t>人</t>
    </r>
    <phoneticPr fontId="7" type="noConversion"/>
  </si>
  <si>
    <r>
      <rPr>
        <sz val="10"/>
        <rFont val="宋体"/>
        <family val="3"/>
        <charset val="134"/>
      </rPr>
      <t>规模较小（建面</t>
    </r>
    <r>
      <rPr>
        <sz val="10"/>
        <rFont val="Arial"/>
        <family val="3"/>
      </rPr>
      <t>1</t>
    </r>
    <r>
      <rPr>
        <sz val="10"/>
        <rFont val="宋体"/>
        <family val="3"/>
        <charset val="134"/>
      </rPr>
      <t>万</t>
    </r>
    <r>
      <rPr>
        <sz val="10"/>
        <rFont val="Arial"/>
        <family val="3"/>
      </rPr>
      <t>-2.5</t>
    </r>
    <r>
      <rPr>
        <sz val="10"/>
        <rFont val="宋体"/>
        <family val="3"/>
        <charset val="134"/>
      </rPr>
      <t>万平，客房</t>
    </r>
    <r>
      <rPr>
        <sz val="10"/>
        <rFont val="Arial"/>
        <family val="3"/>
      </rPr>
      <t>50-80</t>
    </r>
    <r>
      <rPr>
        <sz val="10"/>
        <rFont val="宋体"/>
        <family val="3"/>
        <charset val="134"/>
      </rPr>
      <t>间，部分</t>
    </r>
    <r>
      <rPr>
        <sz val="10"/>
        <rFont val="Arial"/>
        <family val="3"/>
      </rPr>
      <t>20</t>
    </r>
    <r>
      <rPr>
        <sz val="10"/>
        <rFont val="宋体"/>
        <family val="3"/>
        <charset val="134"/>
      </rPr>
      <t>间以下）、品质高（独特的外观建筑、精巧的室内装饰、浓厚的文化氛围、高雅的品味格调、个性化的服务等，管家式服务，一般服务人员与客房比例大于</t>
    </r>
    <r>
      <rPr>
        <sz val="10"/>
        <rFont val="Arial"/>
        <family val="3"/>
      </rPr>
      <t>3:1</t>
    </r>
    <r>
      <rPr>
        <sz val="10"/>
        <rFont val="宋体"/>
        <family val="3"/>
        <charset val="134"/>
      </rPr>
      <t>）、服务高端顾客市场</t>
    </r>
    <phoneticPr fontId="7" type="noConversion"/>
  </si>
  <si>
    <t>案例</t>
    <phoneticPr fontId="7" type="noConversion"/>
  </si>
  <si>
    <r>
      <rPr>
        <sz val="10"/>
        <rFont val="宋体"/>
        <family val="3"/>
        <charset val="134"/>
      </rPr>
      <t>老时光酒店、</t>
    </r>
    <r>
      <rPr>
        <sz val="10"/>
        <rFont val="Arial"/>
        <family val="3"/>
      </rPr>
      <t>JIA</t>
    </r>
    <r>
      <rPr>
        <sz val="10"/>
        <rFont val="宋体"/>
        <family val="3"/>
        <charset val="134"/>
      </rPr>
      <t>酒店等</t>
    </r>
    <phoneticPr fontId="7" type="noConversion"/>
  </si>
  <si>
    <t>四星及以上酒店，设备豪华、服务完全，完全服务酒店</t>
    <phoneticPr fontId="7" type="noConversion"/>
  </si>
  <si>
    <t>锦江之星、如家、汉庭等</t>
    <phoneticPr fontId="7" type="noConversion"/>
  </si>
  <si>
    <t>有限服务酒店，提供的核心服务为住宿与早餐，经济、简约。提供有限服务，经济规模小、投资少、价格低廉（房间数量一般在120-150间，部分中小型经济酒店数量在60间左右），目标市场以低消费水平顾客为主</t>
    <phoneticPr fontId="7" type="noConversion"/>
  </si>
  <si>
    <t>公寓式酒店属于酒店式物业，酒店式公寓属于住宅类物业</t>
    <phoneticPr fontId="7" type="noConversion"/>
  </si>
  <si>
    <t>深圳的威尼斯皇冠假日酒店（意大利水文化主题）等</t>
    <phoneticPr fontId="7" type="noConversion"/>
  </si>
  <si>
    <t>主题性（围绕某一个或多个主题设计产品）、文化性、体验性</t>
    <phoneticPr fontId="7" type="noConversion"/>
  </si>
  <si>
    <t>中国酒店集团</t>
    <phoneticPr fontId="7" type="noConversion"/>
  </si>
  <si>
    <t>富力集团酒店管理公司、凯莱国际酒店管理有限公司、香港中旅维景国际酒店管理有限公司、中远酒店物业管理有限公司</t>
    <phoneticPr fontId="7" type="noConversion"/>
  </si>
  <si>
    <t>上海锦江、南京金陵、广州白天鹅、君澜等</t>
    <phoneticPr fontId="7" type="noConversion"/>
  </si>
  <si>
    <t>联合体</t>
    <phoneticPr fontId="7" type="noConversion"/>
  </si>
  <si>
    <t>不改变酒店所有权、管理权、品牌名称的基础上，相互介绍客源、交流经验、促销品牌，是一种松散的集团形式</t>
    <phoneticPr fontId="7" type="noConversion"/>
  </si>
  <si>
    <t>星程酒店联盟、特色文化主题酒店会员联盟、中国精品酒店联盟、中国名酒店组织等</t>
    <phoneticPr fontId="7" type="noConversion"/>
  </si>
  <si>
    <t>酒店可行性研究</t>
    <phoneticPr fontId="7" type="noConversion"/>
  </si>
  <si>
    <t>层次</t>
    <phoneticPr fontId="7" type="noConversion"/>
  </si>
  <si>
    <t>费用及介绍</t>
    <phoneticPr fontId="7" type="noConversion"/>
  </si>
  <si>
    <t>第一阶段</t>
    <phoneticPr fontId="7" type="noConversion"/>
  </si>
  <si>
    <t>第二阶段</t>
    <phoneticPr fontId="7" type="noConversion"/>
  </si>
  <si>
    <t>第三阶段</t>
    <phoneticPr fontId="7" type="noConversion"/>
  </si>
  <si>
    <t>第四阶段</t>
    <phoneticPr fontId="7" type="noConversion"/>
  </si>
  <si>
    <t>酒店投资机会研究</t>
    <phoneticPr fontId="7" type="noConversion"/>
  </si>
  <si>
    <t>初步可行性研究</t>
    <phoneticPr fontId="7" type="noConversion"/>
  </si>
  <si>
    <t>详细可行性研究</t>
    <phoneticPr fontId="7" type="noConversion"/>
  </si>
  <si>
    <t>酒店项目的评估和决策</t>
    <phoneticPr fontId="7" type="noConversion"/>
  </si>
  <si>
    <r>
      <rPr>
        <sz val="10"/>
        <rFont val="宋体"/>
        <family val="3"/>
        <charset val="134"/>
      </rPr>
      <t>总投资的</t>
    </r>
    <r>
      <rPr>
        <sz val="10"/>
        <rFont val="Arial"/>
        <family val="3"/>
      </rPr>
      <t>0.2%-0.8%</t>
    </r>
    <r>
      <rPr>
        <sz val="10"/>
        <rFont val="宋体"/>
        <family val="3"/>
        <charset val="134"/>
      </rPr>
      <t>，投资估算的精确度正负</t>
    </r>
    <r>
      <rPr>
        <sz val="10"/>
        <rFont val="Arial"/>
        <family val="3"/>
      </rPr>
      <t>30%</t>
    </r>
    <r>
      <rPr>
        <sz val="10"/>
        <rFont val="宋体"/>
        <family val="3"/>
        <charset val="134"/>
      </rPr>
      <t>，主要对酒店投资项目或投资方向提出建议，即一定的地区或区域内，以资源和市场的调查预测为基础，寻找最有利的投资机会。</t>
    </r>
    <phoneticPr fontId="7" type="noConversion"/>
  </si>
  <si>
    <r>
      <rPr>
        <sz val="10"/>
        <rFont val="宋体"/>
        <family val="3"/>
        <charset val="134"/>
      </rPr>
      <t>总投资的</t>
    </r>
    <r>
      <rPr>
        <sz val="10"/>
        <rFont val="Arial"/>
        <family val="3"/>
      </rPr>
      <t>0.25%-1.5%</t>
    </r>
    <r>
      <rPr>
        <sz val="10"/>
        <rFont val="宋体"/>
        <family val="3"/>
        <charset val="134"/>
      </rPr>
      <t>，亦称为预可行性研究，投资估算的精度正负</t>
    </r>
    <r>
      <rPr>
        <sz val="10"/>
        <rFont val="Arial"/>
        <family val="3"/>
      </rPr>
      <t>20%</t>
    </r>
    <r>
      <rPr>
        <sz val="10"/>
        <rFont val="宋体"/>
        <family val="3"/>
        <charset val="134"/>
      </rPr>
      <t>，在机会研究的基础上，进一步对酒店项目建设的可能性与潜在效益进行论证分析。</t>
    </r>
    <phoneticPr fontId="7" type="noConversion"/>
  </si>
  <si>
    <r>
      <rPr>
        <sz val="10"/>
        <rFont val="宋体"/>
        <family val="3"/>
        <charset val="134"/>
      </rPr>
      <t>小型项目占投资的</t>
    </r>
    <r>
      <rPr>
        <sz val="10"/>
        <rFont val="Arial"/>
        <family val="3"/>
      </rPr>
      <t>1%-3%</t>
    </r>
    <r>
      <rPr>
        <sz val="10"/>
        <rFont val="宋体"/>
        <family val="3"/>
        <charset val="134"/>
      </rPr>
      <t>，大型复杂的项目占</t>
    </r>
    <r>
      <rPr>
        <sz val="10"/>
        <rFont val="Arial"/>
        <family val="3"/>
      </rPr>
      <t>0.2%-1%</t>
    </r>
    <r>
      <rPr>
        <sz val="10"/>
        <rFont val="宋体"/>
        <family val="3"/>
        <charset val="134"/>
      </rPr>
      <t>，投资估算的精度为正负</t>
    </r>
    <r>
      <rPr>
        <sz val="10"/>
        <rFont val="Arial"/>
        <family val="3"/>
      </rPr>
      <t>10%</t>
    </r>
    <r>
      <rPr>
        <sz val="10"/>
        <rFont val="宋体"/>
        <family val="3"/>
        <charset val="134"/>
      </rPr>
      <t>，通常所说的可行性研究，是在分析项目在技术上、财务上、经济上的可行性后做出投资与是否决策的关键步骤。</t>
    </r>
    <phoneticPr fontId="7" type="noConversion"/>
  </si>
  <si>
    <t>按照国家有关规定，对于中大型或限额以上的项目及重要的小型项目，必须经有权审批单位委托有资格的咨询评估单位就项目可行性研究报告进行论证评估。</t>
    <phoneticPr fontId="7" type="noConversion"/>
  </si>
  <si>
    <t>酒店设备投资/全部固定资产投资</t>
    <phoneticPr fontId="7" type="noConversion"/>
  </si>
  <si>
    <t>35%-55%</t>
    <phoneticPr fontId="7" type="noConversion"/>
  </si>
  <si>
    <t>投资额估算</t>
    <phoneticPr fontId="7" type="noConversion"/>
  </si>
  <si>
    <t>项目</t>
    <phoneticPr fontId="7" type="noConversion"/>
  </si>
  <si>
    <t>占比</t>
    <phoneticPr fontId="7" type="noConversion"/>
  </si>
  <si>
    <t>投资成本占比</t>
    <phoneticPr fontId="7" type="noConversion"/>
  </si>
  <si>
    <t>购买土地</t>
    <phoneticPr fontId="7" type="noConversion"/>
  </si>
  <si>
    <t>10%-20%</t>
    <phoneticPr fontId="7" type="noConversion"/>
  </si>
  <si>
    <t>建设</t>
    <phoneticPr fontId="7" type="noConversion"/>
  </si>
  <si>
    <t>50%-53%</t>
    <phoneticPr fontId="7" type="noConversion"/>
  </si>
  <si>
    <t>购买家具</t>
    <phoneticPr fontId="7" type="noConversion"/>
  </si>
  <si>
    <t>13%-14%</t>
    <phoneticPr fontId="7" type="noConversion"/>
  </si>
  <si>
    <t>杂项费用</t>
    <phoneticPr fontId="7" type="noConversion"/>
  </si>
  <si>
    <t>13%-18%</t>
    <phoneticPr fontId="7" type="noConversion"/>
  </si>
  <si>
    <t>大堂面积</t>
    <phoneticPr fontId="7" type="noConversion"/>
  </si>
  <si>
    <t>国际标准</t>
    <phoneticPr fontId="7" type="noConversion"/>
  </si>
  <si>
    <t>每间客房大堂面积（平方米）</t>
    <phoneticPr fontId="7" type="noConversion"/>
  </si>
  <si>
    <t>&gt;0.9</t>
    <phoneticPr fontId="7" type="noConversion"/>
  </si>
  <si>
    <t>我国星级酒店标准</t>
    <phoneticPr fontId="7" type="noConversion"/>
  </si>
  <si>
    <t>&gt;0.8</t>
    <phoneticPr fontId="7" type="noConversion"/>
  </si>
  <si>
    <t>餐厅面积</t>
    <phoneticPr fontId="7" type="noConversion"/>
  </si>
  <si>
    <r>
      <rPr>
        <sz val="10"/>
        <rFont val="宋体"/>
        <family val="3"/>
        <charset val="134"/>
      </rPr>
      <t>一般占总建筑面积的</t>
    </r>
    <r>
      <rPr>
        <sz val="10"/>
        <rFont val="Arial"/>
        <family val="3"/>
      </rPr>
      <t>12%-15%</t>
    </r>
    <phoneticPr fontId="7" type="noConversion"/>
  </si>
  <si>
    <t>西餐为主的餐厅</t>
    <phoneticPr fontId="7" type="noConversion"/>
  </si>
  <si>
    <t>中餐为主的餐厅</t>
    <phoneticPr fontId="7" type="noConversion"/>
  </si>
  <si>
    <t>1.5-1.8</t>
    <phoneticPr fontId="7" type="noConversion"/>
  </si>
  <si>
    <t>人均使用面积（平方米/座）</t>
    <phoneticPr fontId="7" type="noConversion"/>
  </si>
  <si>
    <t>1.8-2.1</t>
    <phoneticPr fontId="7" type="noConversion"/>
  </si>
  <si>
    <t>餐位/床位</t>
    <phoneticPr fontId="7" type="noConversion"/>
  </si>
  <si>
    <t>0.8-1.2:1</t>
    <phoneticPr fontId="7" type="noConversion"/>
  </si>
  <si>
    <t>新开业酒店宣传推广费</t>
    <phoneticPr fontId="7" type="noConversion"/>
  </si>
  <si>
    <t>第一年占收入占比</t>
    <phoneticPr fontId="7" type="noConversion"/>
  </si>
  <si>
    <t>2%-3%</t>
    <phoneticPr fontId="7" type="noConversion"/>
  </si>
  <si>
    <t>酒店规模</t>
    <phoneticPr fontId="7" type="noConversion"/>
  </si>
  <si>
    <t>房间数（间）</t>
    <phoneticPr fontId="7" type="noConversion"/>
  </si>
  <si>
    <t>&lt;100</t>
    <phoneticPr fontId="7" type="noConversion"/>
  </si>
  <si>
    <t>100-500</t>
    <phoneticPr fontId="7" type="noConversion"/>
  </si>
  <si>
    <t>&gt;500</t>
    <phoneticPr fontId="7" type="noConversion"/>
  </si>
  <si>
    <t>标准</t>
  </si>
  <si>
    <t>分类</t>
  </si>
  <si>
    <t>星级标准</t>
  </si>
  <si>
    <t>一星酒店</t>
  </si>
  <si>
    <t>二星酒店</t>
  </si>
  <si>
    <t>三星酒店</t>
  </si>
  <si>
    <t>四星酒店</t>
  </si>
  <si>
    <t>五星酒店</t>
  </si>
  <si>
    <t>白金五星酒店</t>
  </si>
  <si>
    <t>类别</t>
    <phoneticPr fontId="7" type="noConversion"/>
  </si>
  <si>
    <t>有限服务酒店</t>
    <phoneticPr fontId="7" type="noConversion"/>
  </si>
  <si>
    <t>《酒店管理概论》</t>
    <phoneticPr fontId="7" type="noConversion"/>
  </si>
  <si>
    <t>介绍</t>
    <phoneticPr fontId="7" type="noConversion"/>
  </si>
  <si>
    <t>2019年平均房价190、出租率82%左右</t>
    <phoneticPr fontId="7" type="noConversion"/>
  </si>
  <si>
    <t>如家、汉庭、7天、锦江之星等（中国经济型酒店排行）</t>
    <phoneticPr fontId="7" type="noConversion"/>
  </si>
  <si>
    <r>
      <rPr>
        <sz val="10"/>
        <rFont val="宋体"/>
        <family val="3"/>
        <charset val="134"/>
      </rPr>
      <t>内部装修极其豪华</t>
    </r>
    <r>
      <rPr>
        <sz val="10"/>
        <rFont val="Arial"/>
        <family val="3"/>
      </rPr>
      <t>or</t>
    </r>
    <r>
      <rPr>
        <sz val="10"/>
        <rFont val="宋体"/>
        <family val="3"/>
        <charset val="134"/>
      </rPr>
      <t>别具特色，多采用管家式服务，服务人员与客房比例3-4:1（一般星级酒店</t>
    </r>
    <r>
      <rPr>
        <sz val="10"/>
        <rFont val="Arial"/>
        <family val="3"/>
      </rPr>
      <t>1-2:1</t>
    </r>
    <r>
      <rPr>
        <sz val="10"/>
        <rFont val="宋体"/>
        <family val="3"/>
        <charset val="134"/>
      </rPr>
      <t>）</t>
    </r>
    <phoneticPr fontId="7" type="noConversion"/>
  </si>
  <si>
    <t>具有某一特定的元素或风格</t>
    <phoneticPr fontId="7" type="noConversion"/>
  </si>
  <si>
    <r>
      <t>—</t>
    </r>
    <r>
      <rPr>
        <sz val="10"/>
        <rFont val="宋体"/>
        <family val="3"/>
        <charset val="134"/>
      </rPr>
      <t>—</t>
    </r>
    <phoneticPr fontId="7" type="noConversion"/>
  </si>
  <si>
    <t>容积率</t>
    <phoneticPr fontId="7" type="noConversion"/>
  </si>
  <si>
    <r>
      <rPr>
        <sz val="10"/>
        <rFont val="宋体"/>
        <family val="3"/>
        <charset val="134"/>
      </rPr>
      <t>特大</t>
    </r>
    <r>
      <rPr>
        <sz val="10"/>
        <rFont val="Arial"/>
        <family val="3"/>
      </rPr>
      <t>/</t>
    </r>
    <r>
      <rPr>
        <sz val="10"/>
        <rFont val="宋体"/>
        <family val="3"/>
        <charset val="134"/>
      </rPr>
      <t>大型城市中心区域</t>
    </r>
    <phoneticPr fontId="7" type="noConversion"/>
  </si>
  <si>
    <t>5-8</t>
    <phoneticPr fontId="7" type="noConversion"/>
  </si>
  <si>
    <r>
      <rPr>
        <sz val="10"/>
        <rFont val="宋体"/>
        <family val="3"/>
        <charset val="134"/>
      </rPr>
      <t>特大</t>
    </r>
    <r>
      <rPr>
        <sz val="10"/>
        <rFont val="Arial"/>
        <family val="3"/>
      </rPr>
      <t>/</t>
    </r>
    <r>
      <rPr>
        <sz val="10"/>
        <rFont val="宋体"/>
        <family val="3"/>
        <charset val="134"/>
      </rPr>
      <t>大型城市一般区域</t>
    </r>
    <phoneticPr fontId="7" type="noConversion"/>
  </si>
  <si>
    <t>4-5</t>
    <phoneticPr fontId="7" type="noConversion"/>
  </si>
  <si>
    <r>
      <rPr>
        <sz val="10"/>
        <rFont val="宋体"/>
        <family val="3"/>
        <charset val="134"/>
      </rPr>
      <t>中</t>
    </r>
    <r>
      <rPr>
        <sz val="10"/>
        <rFont val="Arial"/>
        <family val="3"/>
      </rPr>
      <t>/</t>
    </r>
    <r>
      <rPr>
        <sz val="10"/>
        <rFont val="宋体"/>
        <family val="3"/>
        <charset val="134"/>
      </rPr>
      <t>小型城市中心区域</t>
    </r>
    <phoneticPr fontId="7" type="noConversion"/>
  </si>
  <si>
    <t>旅游景区</t>
    <phoneticPr fontId="7" type="noConversion"/>
  </si>
  <si>
    <t>3-4</t>
    <phoneticPr fontId="7" type="noConversion"/>
  </si>
  <si>
    <t>2-3</t>
    <phoneticPr fontId="7" type="noConversion"/>
  </si>
  <si>
    <t>酒店容积率</t>
    <phoneticPr fontId="7" type="noConversion"/>
  </si>
  <si>
    <t>综合面积</t>
    <phoneticPr fontId="7" type="noConversion"/>
  </si>
  <si>
    <t>高档商务型酒店</t>
    <phoneticPr fontId="7" type="noConversion"/>
  </si>
  <si>
    <r>
      <rPr>
        <sz val="10"/>
        <rFont val="宋体"/>
        <family val="3"/>
        <charset val="134"/>
      </rPr>
      <t>综合面积（总建面</t>
    </r>
    <r>
      <rPr>
        <sz val="10"/>
        <rFont val="Arial"/>
        <family val="3"/>
      </rPr>
      <t>/</t>
    </r>
    <r>
      <rPr>
        <sz val="10"/>
        <rFont val="宋体"/>
        <family val="3"/>
        <charset val="134"/>
      </rPr>
      <t>客房数）</t>
    </r>
    <phoneticPr fontId="7" type="noConversion"/>
  </si>
  <si>
    <t>120-150</t>
    <phoneticPr fontId="7" type="noConversion"/>
  </si>
  <si>
    <t>100-120</t>
    <phoneticPr fontId="7" type="noConversion"/>
  </si>
  <si>
    <r>
      <t>80</t>
    </r>
    <r>
      <rPr>
        <sz val="10"/>
        <rFont val="宋体"/>
        <family val="2"/>
        <charset val="134"/>
      </rPr>
      <t>以下</t>
    </r>
    <phoneticPr fontId="7" type="noConversion"/>
  </si>
  <si>
    <t>商务型酒店（平方米）</t>
    <phoneticPr fontId="7" type="noConversion"/>
  </si>
  <si>
    <t>度假型酒店（平方米）</t>
    <phoneticPr fontId="7" type="noConversion"/>
  </si>
  <si>
    <t>客房数（间）</t>
    <phoneticPr fontId="7" type="noConversion"/>
  </si>
  <si>
    <t>会议场所</t>
    <phoneticPr fontId="7" type="noConversion"/>
  </si>
  <si>
    <t>四星级</t>
  </si>
  <si>
    <t>四星级</t>
    <phoneticPr fontId="7" type="noConversion"/>
  </si>
  <si>
    <t>四星级以上</t>
    <phoneticPr fontId="7" type="noConversion"/>
  </si>
  <si>
    <t>专业会议厅</t>
    <phoneticPr fontId="7" type="noConversion"/>
  </si>
  <si>
    <t>小会议室（个）</t>
    <phoneticPr fontId="7" type="noConversion"/>
  </si>
  <si>
    <r>
      <rPr>
        <sz val="10"/>
        <rFont val="宋体"/>
        <family val="3"/>
        <charset val="134"/>
      </rPr>
      <t>不少于</t>
    </r>
    <r>
      <rPr>
        <sz val="10"/>
        <rFont val="Arial"/>
        <family val="3"/>
      </rPr>
      <t>4</t>
    </r>
    <r>
      <rPr>
        <sz val="10"/>
        <rFont val="宋体"/>
        <family val="3"/>
        <charset val="134"/>
      </rPr>
      <t>个</t>
    </r>
    <phoneticPr fontId="7" type="noConversion"/>
  </si>
  <si>
    <r>
      <rPr>
        <sz val="10"/>
        <rFont val="宋体"/>
        <family val="3"/>
        <charset val="134"/>
      </rPr>
      <t>不少于</t>
    </r>
    <r>
      <rPr>
        <sz val="10"/>
        <rFont val="Arial"/>
        <family val="3"/>
      </rPr>
      <t>2</t>
    </r>
    <r>
      <rPr>
        <sz val="10"/>
        <rFont val="宋体"/>
        <family val="3"/>
        <charset val="134"/>
      </rPr>
      <t>个</t>
    </r>
    <phoneticPr fontId="7" type="noConversion"/>
  </si>
  <si>
    <r>
      <rPr>
        <sz val="10"/>
        <rFont val="宋体"/>
        <family val="3"/>
        <charset val="134"/>
      </rPr>
      <t>不低于</t>
    </r>
    <r>
      <rPr>
        <sz val="10"/>
        <rFont val="Arial"/>
        <family val="3"/>
      </rPr>
      <t>240</t>
    </r>
    <r>
      <rPr>
        <sz val="10"/>
        <rFont val="宋体"/>
        <family val="3"/>
        <charset val="134"/>
      </rPr>
      <t>平方米；按以客房床位数为基准，按照</t>
    </r>
    <r>
      <rPr>
        <sz val="10"/>
        <rFont val="Arial"/>
        <family val="3"/>
      </rPr>
      <t>0.9-1</t>
    </r>
    <r>
      <rPr>
        <sz val="10"/>
        <rFont val="宋体"/>
        <family val="3"/>
        <charset val="134"/>
      </rPr>
      <t>平方米</t>
    </r>
    <r>
      <rPr>
        <sz val="10"/>
        <rFont val="Arial"/>
        <family val="3"/>
      </rPr>
      <t>/</t>
    </r>
    <r>
      <rPr>
        <sz val="10"/>
        <rFont val="宋体"/>
        <family val="3"/>
        <charset val="134"/>
      </rPr>
      <t>人</t>
    </r>
    <phoneticPr fontId="7" type="noConversion"/>
  </si>
  <si>
    <r>
      <rPr>
        <sz val="10"/>
        <rFont val="宋体"/>
        <family val="3"/>
        <charset val="134"/>
      </rPr>
      <t>不低于</t>
    </r>
    <r>
      <rPr>
        <sz val="10"/>
        <rFont val="Arial"/>
        <family val="3"/>
      </rPr>
      <t>400</t>
    </r>
    <r>
      <rPr>
        <sz val="10"/>
        <rFont val="宋体"/>
        <family val="3"/>
        <charset val="134"/>
      </rPr>
      <t>平方米；按以客房床位数为基准，按照</t>
    </r>
    <r>
      <rPr>
        <sz val="10"/>
        <rFont val="Arial"/>
        <family val="3"/>
      </rPr>
      <t>0.9-1</t>
    </r>
    <r>
      <rPr>
        <sz val="10"/>
        <rFont val="宋体"/>
        <family val="3"/>
        <charset val="134"/>
      </rPr>
      <t>平方米</t>
    </r>
    <r>
      <rPr>
        <sz val="10"/>
        <rFont val="Arial"/>
        <family val="3"/>
      </rPr>
      <t>/</t>
    </r>
    <r>
      <rPr>
        <sz val="10"/>
        <rFont val="宋体"/>
        <family val="3"/>
        <charset val="134"/>
      </rPr>
      <t>人</t>
    </r>
    <phoneticPr fontId="7" type="noConversion"/>
  </si>
  <si>
    <t>浙江开元酒店集团2011-2015年战略发展规划</t>
    <phoneticPr fontId="7" type="noConversion"/>
  </si>
  <si>
    <t>酒店类别</t>
    <phoneticPr fontId="7" type="noConversion"/>
  </si>
  <si>
    <t>开元名都</t>
    <phoneticPr fontId="7" type="noConversion"/>
  </si>
  <si>
    <t>酒店定位</t>
    <phoneticPr fontId="7" type="noConversion"/>
  </si>
  <si>
    <t>五星级商务会议品牌</t>
    <phoneticPr fontId="7" type="noConversion"/>
  </si>
  <si>
    <t>位置</t>
    <phoneticPr fontId="7" type="noConversion"/>
  </si>
  <si>
    <t>位于经济发达的地级以上城市商业中心</t>
    <phoneticPr fontId="7" type="noConversion"/>
  </si>
  <si>
    <t>客房数</t>
  </si>
  <si>
    <r>
      <rPr>
        <sz val="10"/>
        <rFont val="宋体"/>
        <family val="3"/>
        <charset val="134"/>
      </rPr>
      <t>一般</t>
    </r>
    <r>
      <rPr>
        <sz val="10"/>
        <rFont val="Arial"/>
        <family val="3"/>
      </rPr>
      <t>400</t>
    </r>
    <r>
      <rPr>
        <sz val="10"/>
        <rFont val="宋体"/>
        <family val="3"/>
        <charset val="134"/>
      </rPr>
      <t>间以上</t>
    </r>
    <phoneticPr fontId="7" type="noConversion"/>
  </si>
  <si>
    <t>建筑面积</t>
    <phoneticPr fontId="7" type="noConversion"/>
  </si>
  <si>
    <r>
      <t>4</t>
    </r>
    <r>
      <rPr>
        <sz val="10"/>
        <rFont val="宋体"/>
        <family val="3"/>
        <charset val="134"/>
      </rPr>
      <t>万平方米以上</t>
    </r>
    <phoneticPr fontId="7" type="noConversion"/>
  </si>
  <si>
    <t>造价</t>
    <phoneticPr fontId="7" type="noConversion"/>
  </si>
  <si>
    <r>
      <t>8000</t>
    </r>
    <r>
      <rPr>
        <sz val="10"/>
        <rFont val="宋体"/>
        <family val="3"/>
        <charset val="134"/>
      </rPr>
      <t>元</t>
    </r>
    <r>
      <rPr>
        <sz val="10"/>
        <rFont val="Arial"/>
        <family val="2"/>
      </rPr>
      <t>/</t>
    </r>
    <r>
      <rPr>
        <sz val="10"/>
        <rFont val="宋体"/>
        <family val="3"/>
        <charset val="134"/>
      </rPr>
      <t>平方米以上</t>
    </r>
    <phoneticPr fontId="7" type="noConversion"/>
  </si>
  <si>
    <t>平均房价</t>
  </si>
  <si>
    <t>平均房价</t>
    <phoneticPr fontId="7" type="noConversion"/>
  </si>
  <si>
    <r>
      <t>500</t>
    </r>
    <r>
      <rPr>
        <sz val="10"/>
        <rFont val="宋体"/>
        <family val="3"/>
        <charset val="134"/>
      </rPr>
      <t>元</t>
    </r>
    <r>
      <rPr>
        <sz val="10"/>
        <rFont val="Arial"/>
        <family val="2"/>
      </rPr>
      <t>/</t>
    </r>
    <r>
      <rPr>
        <sz val="10"/>
        <rFont val="宋体"/>
        <family val="3"/>
        <charset val="134"/>
      </rPr>
      <t>间以上</t>
    </r>
    <phoneticPr fontId="7" type="noConversion"/>
  </si>
  <si>
    <t>开元大酒店</t>
    <phoneticPr fontId="7" type="noConversion"/>
  </si>
  <si>
    <t>四星级的全面服务酒店</t>
    <phoneticPr fontId="7" type="noConversion"/>
  </si>
  <si>
    <t>位于城市商业中心或次商业中心地带</t>
    <phoneticPr fontId="7" type="noConversion"/>
  </si>
  <si>
    <r>
      <rPr>
        <sz val="10"/>
        <rFont val="宋体"/>
        <family val="3"/>
        <charset val="134"/>
      </rPr>
      <t>一般</t>
    </r>
    <r>
      <rPr>
        <sz val="10"/>
        <rFont val="Arial"/>
        <family val="3"/>
      </rPr>
      <t>250</t>
    </r>
    <r>
      <rPr>
        <sz val="10"/>
        <rFont val="宋体"/>
        <family val="3"/>
        <charset val="134"/>
      </rPr>
      <t>间以上</t>
    </r>
    <phoneticPr fontId="7" type="noConversion"/>
  </si>
  <si>
    <r>
      <t>2.5</t>
    </r>
    <r>
      <rPr>
        <sz val="10"/>
        <rFont val="宋体"/>
        <family val="3"/>
        <charset val="134"/>
      </rPr>
      <t>万平方米以上</t>
    </r>
    <phoneticPr fontId="7" type="noConversion"/>
  </si>
  <si>
    <r>
      <t>6500</t>
    </r>
    <r>
      <rPr>
        <sz val="10"/>
        <rFont val="宋体"/>
        <family val="3"/>
        <charset val="134"/>
      </rPr>
      <t>元</t>
    </r>
    <r>
      <rPr>
        <sz val="10"/>
        <rFont val="Arial"/>
        <family val="2"/>
      </rPr>
      <t>/</t>
    </r>
    <r>
      <rPr>
        <sz val="10"/>
        <rFont val="宋体"/>
        <family val="3"/>
        <charset val="134"/>
      </rPr>
      <t>平方米以上</t>
    </r>
    <phoneticPr fontId="7" type="noConversion"/>
  </si>
  <si>
    <r>
      <t>300</t>
    </r>
    <r>
      <rPr>
        <sz val="10"/>
        <rFont val="宋体"/>
        <family val="3"/>
        <charset val="134"/>
      </rPr>
      <t>元</t>
    </r>
    <r>
      <rPr>
        <sz val="10"/>
        <rFont val="Arial"/>
        <family val="2"/>
      </rPr>
      <t>/</t>
    </r>
    <r>
      <rPr>
        <sz val="10"/>
        <rFont val="宋体"/>
        <family val="3"/>
        <charset val="134"/>
      </rPr>
      <t>间以上</t>
    </r>
    <phoneticPr fontId="7" type="noConversion"/>
  </si>
  <si>
    <t>开元度假村</t>
    <phoneticPr fontId="7" type="noConversion"/>
  </si>
  <si>
    <t>高档五星级酒店</t>
    <phoneticPr fontId="7" type="noConversion"/>
  </si>
  <si>
    <t>位于著名旅游景点</t>
    <phoneticPr fontId="7" type="noConversion"/>
  </si>
  <si>
    <r>
      <rPr>
        <sz val="10"/>
        <rFont val="宋体"/>
        <family val="3"/>
        <charset val="134"/>
      </rPr>
      <t>一般</t>
    </r>
    <r>
      <rPr>
        <sz val="10"/>
        <rFont val="Arial"/>
        <family val="3"/>
      </rPr>
      <t>200</t>
    </r>
    <r>
      <rPr>
        <sz val="10"/>
        <rFont val="宋体"/>
        <family val="3"/>
        <charset val="134"/>
      </rPr>
      <t>间以上</t>
    </r>
    <phoneticPr fontId="7" type="noConversion"/>
  </si>
  <si>
    <t>开元商务</t>
    <phoneticPr fontId="7" type="noConversion"/>
  </si>
  <si>
    <t>中高档商务酒店</t>
    <phoneticPr fontId="7" type="noConversion"/>
  </si>
  <si>
    <t>经济发达城市商业区</t>
    <phoneticPr fontId="7" type="noConversion"/>
  </si>
  <si>
    <r>
      <rPr>
        <sz val="10"/>
        <rFont val="宋体"/>
        <family val="3"/>
        <charset val="134"/>
      </rPr>
      <t>一般</t>
    </r>
    <r>
      <rPr>
        <sz val="10"/>
        <rFont val="Arial"/>
        <family val="3"/>
      </rPr>
      <t>100-200</t>
    </r>
    <r>
      <rPr>
        <sz val="10"/>
        <rFont val="宋体"/>
        <family val="3"/>
        <charset val="134"/>
      </rPr>
      <t>间</t>
    </r>
    <phoneticPr fontId="7" type="noConversion"/>
  </si>
  <si>
    <r>
      <t>1.2</t>
    </r>
    <r>
      <rPr>
        <sz val="10"/>
        <rFont val="宋体"/>
        <family val="3"/>
        <charset val="134"/>
      </rPr>
      <t>万平方米以上</t>
    </r>
    <phoneticPr fontId="7" type="noConversion"/>
  </si>
  <si>
    <r>
      <t>3000-4000</t>
    </r>
    <r>
      <rPr>
        <sz val="10"/>
        <rFont val="宋体"/>
        <family val="3"/>
        <charset val="134"/>
      </rPr>
      <t>元</t>
    </r>
    <r>
      <rPr>
        <sz val="10"/>
        <rFont val="Arial"/>
        <family val="2"/>
      </rPr>
      <t>/</t>
    </r>
    <r>
      <rPr>
        <sz val="10"/>
        <rFont val="宋体"/>
        <family val="3"/>
        <charset val="134"/>
      </rPr>
      <t>平方米</t>
    </r>
    <phoneticPr fontId="7" type="noConversion"/>
  </si>
  <si>
    <r>
      <t>250-350</t>
    </r>
    <r>
      <rPr>
        <sz val="10"/>
        <rFont val="宋体"/>
        <family val="3"/>
        <charset val="134"/>
      </rPr>
      <t>元</t>
    </r>
    <r>
      <rPr>
        <sz val="10"/>
        <rFont val="Arial"/>
        <family val="2"/>
      </rPr>
      <t>/</t>
    </r>
    <r>
      <rPr>
        <sz val="10"/>
        <rFont val="宋体"/>
        <family val="3"/>
        <charset val="134"/>
      </rPr>
      <t>间</t>
    </r>
    <phoneticPr fontId="7" type="noConversion"/>
  </si>
  <si>
    <t>开元精品</t>
    <phoneticPr fontId="7" type="noConversion"/>
  </si>
  <si>
    <t>特定城市和区域</t>
    <phoneticPr fontId="7" type="noConversion"/>
  </si>
  <si>
    <t>以设计和文化特色见长的小型高档酒店或度假村</t>
    <phoneticPr fontId="7" type="noConversion"/>
  </si>
  <si>
    <t>酒店定价方法</t>
    <phoneticPr fontId="7" type="noConversion"/>
  </si>
  <si>
    <t>随行就市定价法</t>
    <phoneticPr fontId="7" type="noConversion"/>
  </si>
  <si>
    <t>酒店人员编制确定法</t>
    <phoneticPr fontId="7" type="noConversion"/>
  </si>
  <si>
    <t>比例定员法</t>
    <phoneticPr fontId="7" type="noConversion"/>
  </si>
  <si>
    <t>典型比例</t>
    <phoneticPr fontId="7" type="noConversion"/>
  </si>
  <si>
    <t>员工：客房</t>
    <phoneticPr fontId="7" type="noConversion"/>
  </si>
  <si>
    <t>现代豪华胜地酒店</t>
    <phoneticPr fontId="7" type="noConversion"/>
  </si>
  <si>
    <r>
      <t>2</t>
    </r>
    <r>
      <rPr>
        <sz val="10"/>
        <rFont val="宋体"/>
        <family val="2"/>
        <charset val="134"/>
      </rPr>
      <t>：</t>
    </r>
    <r>
      <rPr>
        <sz val="10"/>
        <rFont val="Arial"/>
        <family val="2"/>
      </rPr>
      <t>1</t>
    </r>
    <phoneticPr fontId="7" type="noConversion"/>
  </si>
  <si>
    <r>
      <t>1</t>
    </r>
    <r>
      <rPr>
        <sz val="10"/>
        <rFont val="宋体"/>
        <family val="2"/>
        <charset val="134"/>
      </rPr>
      <t>：</t>
    </r>
    <r>
      <rPr>
        <sz val="10"/>
        <rFont val="Arial"/>
        <family val="2"/>
      </rPr>
      <t>1</t>
    </r>
    <phoneticPr fontId="7" type="noConversion"/>
  </si>
  <si>
    <r>
      <t>0.8</t>
    </r>
    <r>
      <rPr>
        <sz val="10"/>
        <rFont val="宋体"/>
        <family val="2"/>
        <charset val="134"/>
      </rPr>
      <t>：</t>
    </r>
    <r>
      <rPr>
        <sz val="10"/>
        <rFont val="Arial"/>
        <family val="2"/>
      </rPr>
      <t>1</t>
    </r>
    <phoneticPr fontId="7" type="noConversion"/>
  </si>
  <si>
    <t>会议型酒店（高级）</t>
    <phoneticPr fontId="7" type="noConversion"/>
  </si>
  <si>
    <t>大城市中心酒店</t>
    <phoneticPr fontId="7" type="noConversion"/>
  </si>
  <si>
    <t>胜地酒店（中等标准）</t>
    <phoneticPr fontId="7" type="noConversion"/>
  </si>
  <si>
    <t>服务内容极少的酒店和汽车旅馆</t>
    <phoneticPr fontId="7" type="noConversion"/>
  </si>
  <si>
    <r>
      <t>0.6</t>
    </r>
    <r>
      <rPr>
        <sz val="10"/>
        <rFont val="宋体"/>
        <family val="2"/>
        <charset val="134"/>
      </rPr>
      <t>：</t>
    </r>
    <r>
      <rPr>
        <sz val="10"/>
        <rFont val="Arial"/>
        <family val="2"/>
      </rPr>
      <t>1</t>
    </r>
    <phoneticPr fontId="7" type="noConversion"/>
  </si>
  <si>
    <r>
      <t>0.1-0.25</t>
    </r>
    <r>
      <rPr>
        <sz val="10"/>
        <rFont val="宋体"/>
        <family val="2"/>
        <charset val="134"/>
      </rPr>
      <t>：</t>
    </r>
    <r>
      <rPr>
        <sz val="10"/>
        <rFont val="Arial"/>
        <family val="2"/>
      </rPr>
      <t>1</t>
    </r>
    <phoneticPr fontId="7" type="noConversion"/>
  </si>
  <si>
    <t>公寓和共管公寓单元</t>
    <phoneticPr fontId="7" type="noConversion"/>
  </si>
  <si>
    <r>
      <t>0.05-0.1</t>
    </r>
    <r>
      <rPr>
        <sz val="10"/>
        <rFont val="宋体"/>
        <family val="2"/>
        <charset val="134"/>
      </rPr>
      <t>：</t>
    </r>
    <r>
      <rPr>
        <sz val="10"/>
        <rFont val="Arial"/>
        <family val="2"/>
      </rPr>
      <t>1</t>
    </r>
    <phoneticPr fontId="7" type="noConversion"/>
  </si>
  <si>
    <t>《酒店业概论》</t>
    <phoneticPr fontId="7" type="noConversion"/>
  </si>
  <si>
    <t>超豪华酒店</t>
    <phoneticPr fontId="7" type="noConversion"/>
  </si>
  <si>
    <r>
      <rPr>
        <sz val="10"/>
        <rFont val="宋体"/>
        <family val="3"/>
        <charset val="134"/>
      </rPr>
      <t>酒店客房数和服务人员之比</t>
    </r>
    <r>
      <rPr>
        <sz val="10"/>
        <rFont val="Arial"/>
        <family val="3"/>
      </rPr>
      <t>1:2</t>
    </r>
    <r>
      <rPr>
        <sz val="10"/>
        <rFont val="宋体"/>
        <family val="3"/>
        <charset val="134"/>
      </rPr>
      <t>或以上</t>
    </r>
    <phoneticPr fontId="7" type="noConversion"/>
  </si>
  <si>
    <t>豪华型酒店</t>
    <phoneticPr fontId="7" type="noConversion"/>
  </si>
  <si>
    <t>主要以五星级酒店为主</t>
    <phoneticPr fontId="7" type="noConversion"/>
  </si>
  <si>
    <t>大多相当于四星级酒店</t>
    <phoneticPr fontId="7" type="noConversion"/>
  </si>
  <si>
    <t>一般认为为三星级酒店</t>
    <phoneticPr fontId="7" type="noConversion"/>
  </si>
  <si>
    <t>有限服务酒店、经济酒店、廉价酒店。员工与客房比例仅为0.3，一般是低星级酒店的1/5-1/7</t>
    <phoneticPr fontId="7" type="noConversion"/>
  </si>
  <si>
    <t>简介</t>
    <phoneticPr fontId="7" type="noConversion"/>
  </si>
  <si>
    <t>层级</t>
    <phoneticPr fontId="7" type="noConversion"/>
  </si>
  <si>
    <t>超过2000</t>
    <phoneticPr fontId="7" type="noConversion"/>
  </si>
  <si>
    <t>1000-2000</t>
    <phoneticPr fontId="7" type="noConversion"/>
  </si>
  <si>
    <t>500-1000</t>
    <phoneticPr fontId="7" type="noConversion"/>
  </si>
  <si>
    <t>200-500</t>
    <phoneticPr fontId="7" type="noConversion"/>
  </si>
  <si>
    <t>中小型酒店</t>
    <phoneticPr fontId="7" type="noConversion"/>
  </si>
  <si>
    <t>50-200</t>
    <phoneticPr fontId="7" type="noConversion"/>
  </si>
  <si>
    <t>多为经济型酒店、迷你型酒店（相当于四星级、价格相当于五星级）</t>
    <phoneticPr fontId="7" type="noConversion"/>
  </si>
  <si>
    <r>
      <t>2008</t>
    </r>
    <r>
      <rPr>
        <sz val="10"/>
        <rFont val="宋体"/>
        <family val="3"/>
        <charset val="134"/>
      </rPr>
      <t>年星级酒店数量（家）</t>
    </r>
    <phoneticPr fontId="7" type="noConversion"/>
  </si>
  <si>
    <t>2008年星级酒店房间数（间）</t>
    <phoneticPr fontId="7" type="noConversion"/>
  </si>
  <si>
    <r>
      <rPr>
        <b/>
        <sz val="10"/>
        <rFont val="宋体"/>
        <family val="2"/>
        <charset val="134"/>
      </rPr>
      <t>《</t>
    </r>
    <r>
      <rPr>
        <b/>
        <sz val="10"/>
        <rFont val="Arial"/>
        <family val="2"/>
      </rPr>
      <t>2008</t>
    </r>
    <r>
      <rPr>
        <b/>
        <sz val="10"/>
        <rFont val="宋体"/>
        <family val="2"/>
        <charset val="134"/>
      </rPr>
      <t>年中国星级饭店统计公报》</t>
    </r>
    <phoneticPr fontId="7" type="noConversion"/>
  </si>
  <si>
    <r>
      <t>2009</t>
    </r>
    <r>
      <rPr>
        <sz val="10"/>
        <rFont val="宋体"/>
        <family val="3"/>
        <charset val="134"/>
      </rPr>
      <t>年星级酒店数量（家）</t>
    </r>
    <phoneticPr fontId="7" type="noConversion"/>
  </si>
  <si>
    <t>2009年星级酒店房间数（万间）</t>
    <phoneticPr fontId="7" type="noConversion"/>
  </si>
  <si>
    <t xml:space="preserve">指  标 </t>
  </si>
  <si>
    <t>单  位</t>
  </si>
  <si>
    <t>五星级</t>
  </si>
  <si>
    <t>三星级</t>
  </si>
  <si>
    <t>二星级</t>
  </si>
  <si>
    <t>一星级</t>
  </si>
  <si>
    <t>合  计</t>
  </si>
  <si>
    <t>万间/套</t>
  </si>
  <si>
    <t>床位数</t>
  </si>
  <si>
    <t>万张</t>
  </si>
  <si>
    <t>元</t>
  </si>
  <si>
    <t>平均出租率</t>
  </si>
  <si>
    <t>%</t>
  </si>
  <si>
    <t>从业人员年均数</t>
  </si>
  <si>
    <t>万人</t>
  </si>
  <si>
    <r>
      <rPr>
        <sz val="12"/>
        <color indexed="8"/>
        <rFont val="黑体"/>
        <family val="3"/>
        <charset val="134"/>
      </rPr>
      <t>附件</t>
    </r>
    <r>
      <rPr>
        <sz val="12"/>
        <color indexed="8"/>
        <rFont val="Times New Roman"/>
        <family val="1"/>
      </rPr>
      <t>3</t>
    </r>
  </si>
  <si>
    <r>
      <t>2020</t>
    </r>
    <r>
      <rPr>
        <b/>
        <sz val="16"/>
        <color indexed="8"/>
        <rFont val="宋体"/>
        <family val="3"/>
        <charset val="134"/>
      </rPr>
      <t>年度全国各星级饭店经营情况表</t>
    </r>
    <phoneticPr fontId="2" type="noConversion"/>
  </si>
  <si>
    <t>资产总额</t>
  </si>
  <si>
    <t>亿元</t>
  </si>
  <si>
    <t>固定资产原值</t>
  </si>
  <si>
    <t>营业收入总额</t>
  </si>
  <si>
    <t>客房收入</t>
  </si>
  <si>
    <t>占营业收入比重</t>
  </si>
  <si>
    <t>营业利润</t>
  </si>
  <si>
    <t>实缴税金</t>
  </si>
  <si>
    <t>大专以上学历人数</t>
  </si>
  <si>
    <t>可供出租间夜数</t>
  </si>
  <si>
    <t>万间夜</t>
  </si>
  <si>
    <t>实际出租间夜数</t>
  </si>
  <si>
    <t>每间可供出租客房收入</t>
  </si>
  <si>
    <t>元/间夜</t>
  </si>
  <si>
    <t>每间客房平摊营业收入</t>
  </si>
  <si>
    <t>千元/间</t>
  </si>
  <si>
    <t>全员劳动生产率</t>
  </si>
  <si>
    <t>千元/人</t>
  </si>
  <si>
    <t>人均实现利润</t>
  </si>
  <si>
    <t>人均占用固定资产原值</t>
  </si>
  <si>
    <t>百元固定资产创营业收入</t>
  </si>
  <si>
    <t>平均客房数</t>
    <phoneticPr fontId="7" type="noConversion"/>
  </si>
  <si>
    <t>平均床位数</t>
    <phoneticPr fontId="7" type="noConversion"/>
  </si>
  <si>
    <t>间/套</t>
    <phoneticPr fontId="7" type="noConversion"/>
  </si>
  <si>
    <t>张</t>
    <phoneticPr fontId="7" type="noConversion"/>
  </si>
  <si>
    <t>酒店数</t>
    <phoneticPr fontId="7" type="noConversion"/>
  </si>
  <si>
    <t>家</t>
    <phoneticPr fontId="7" type="noConversion"/>
  </si>
  <si>
    <t>国家文旅部《2020年度全国星级饭店统计报告》</t>
    <phoneticPr fontId="7" type="noConversion"/>
  </si>
  <si>
    <t>地下建面/地上建面，参考保定市沈庄酒店（0.32）、华侨城酒店（0.25）、七修酒店（0.2）测算案例</t>
    <phoneticPr fontId="7" type="noConversion"/>
  </si>
  <si>
    <t>根据项目实际情况确定；参考值为地上建面的20%-32%</t>
    <phoneticPr fontId="7" type="noConversion"/>
  </si>
  <si>
    <t>可根据客房数结合星级酒店对应综合面积（总建面/客房数）推算，参考值为经济型酒店（二星级及以下）80平米/间以下、中档酒店（三星级，包含商务型酒店、度假型酒店等）100-120平米/间、高档酒店（四星级及以上）120-150平米/间或120平米/间以上</t>
    <phoneticPr fontId="7" type="noConversion"/>
  </si>
  <si>
    <t>总建筑面积-地下建筑面积</t>
    <phoneticPr fontId="7" type="noConversion"/>
  </si>
  <si>
    <t>地上建筑面积/容积率</t>
    <phoneticPr fontId="7" type="noConversion"/>
  </si>
  <si>
    <t>根据项目实际情况确定，一般为酒店用地面积</t>
    <phoneticPr fontId="7" type="noConversion"/>
  </si>
  <si>
    <t>根据酒店度假型或精品型等定位可以下调，容积率参考值位于特大/大型城市中心区域为5-8、位于特大/大型城市一般区域4-5、位于中/小型城市中心区域3-4、位于旅游景区2-3</t>
    <phoneticPr fontId="7" type="noConversion"/>
  </si>
  <si>
    <t>根据项目实际情况确定，可根据周边商业用地地价估算，注意此栏为地面地价，不是楼面地价</t>
    <phoneticPr fontId="7" type="noConversion"/>
  </si>
  <si>
    <t>根据项目实际情况确定，参考2021年9月企业贷款加权平均利率4.59%</t>
    <phoneticPr fontId="7" type="noConversion"/>
  </si>
  <si>
    <t>人民银行《2021年第三季度中国货币政策执行报告》</t>
    <phoneticPr fontId="7" type="noConversion"/>
  </si>
  <si>
    <t>根据项目实际情况确定，一般可覆盖但不超过项目期限</t>
    <phoneticPr fontId="7" type="noConversion"/>
  </si>
  <si>
    <r>
      <rPr>
        <sz val="10"/>
        <rFont val="宋体"/>
        <family val="3"/>
        <charset val="134"/>
      </rPr>
      <t>参考星级酒店平均房价增速，</t>
    </r>
    <r>
      <rPr>
        <sz val="10"/>
        <rFont val="Arial"/>
        <family val="3"/>
      </rPr>
      <t>2010-2020</t>
    </r>
    <r>
      <rPr>
        <sz val="10"/>
        <rFont val="宋体"/>
        <family val="3"/>
        <charset val="134"/>
      </rPr>
      <t>年平均房价复合年均增速</t>
    </r>
    <r>
      <rPr>
        <sz val="10"/>
        <rFont val="Arial"/>
        <family val="3"/>
      </rPr>
      <t>0.6%</t>
    </r>
    <phoneticPr fontId="7" type="noConversion"/>
  </si>
  <si>
    <t>平均从业人员数</t>
    <phoneticPr fontId="7" type="noConversion"/>
  </si>
  <si>
    <r>
      <rPr>
        <sz val="10"/>
        <rFont val="宋体"/>
        <family val="3"/>
        <charset val="134"/>
      </rPr>
      <t>人</t>
    </r>
    <r>
      <rPr>
        <sz val="10"/>
        <rFont val="Arial"/>
        <family val="2"/>
      </rPr>
      <t>/</t>
    </r>
    <r>
      <rPr>
        <sz val="10"/>
        <rFont val="宋体"/>
        <family val="3"/>
        <charset val="134"/>
      </rPr>
      <t>家</t>
    </r>
    <phoneticPr fontId="7" type="noConversion"/>
  </si>
  <si>
    <r>
      <rPr>
        <sz val="10"/>
        <rFont val="宋体"/>
        <family val="3"/>
        <charset val="134"/>
      </rPr>
      <t>人</t>
    </r>
    <r>
      <rPr>
        <sz val="10"/>
        <rFont val="Arial"/>
        <family val="2"/>
      </rPr>
      <t>/</t>
    </r>
    <r>
      <rPr>
        <sz val="10"/>
        <rFont val="宋体"/>
        <family val="3"/>
        <charset val="134"/>
      </rPr>
      <t>间</t>
    </r>
    <phoneticPr fontId="7" type="noConversion"/>
  </si>
  <si>
    <t>员工人数</t>
    <phoneticPr fontId="7" type="noConversion"/>
  </si>
  <si>
    <t>员工平均年薪</t>
    <phoneticPr fontId="7" type="noConversion"/>
  </si>
  <si>
    <t>国家统计局数据库</t>
    <phoneticPr fontId="7" type="noConversion"/>
  </si>
  <si>
    <t>参考城镇居民人均可支配收入增长率，2011-2020年年均复合增长率（名义）8.28%</t>
    <phoneticPr fontId="7" type="noConversion"/>
  </si>
  <si>
    <t>国家文旅部《2020年度全国星级饭店统计报告》、锦江酒店、收率酒店等上市公司年报</t>
    <phoneticPr fontId="7" type="noConversion"/>
  </si>
  <si>
    <t>平均固定资产原值</t>
    <phoneticPr fontId="11" type="noConversion"/>
  </si>
  <si>
    <r>
      <rPr>
        <sz val="10"/>
        <rFont val="宋体"/>
        <family val="2"/>
        <charset val="134"/>
      </rPr>
      <t>亿元</t>
    </r>
    <r>
      <rPr>
        <sz val="10"/>
        <rFont val="Arial"/>
        <family val="2"/>
      </rPr>
      <t>/</t>
    </r>
    <r>
      <rPr>
        <sz val="10"/>
        <rFont val="宋体"/>
        <family val="2"/>
        <charset val="134"/>
      </rPr>
      <t>家</t>
    </r>
    <phoneticPr fontId="11" type="noConversion"/>
  </si>
  <si>
    <r>
      <rPr>
        <sz val="10"/>
        <rFont val="宋体"/>
        <family val="3"/>
        <charset val="134"/>
      </rPr>
      <t>采用比例定员法，参考</t>
    </r>
    <r>
      <rPr>
        <sz val="10"/>
        <rFont val="Arial"/>
        <family val="3"/>
      </rPr>
      <t>2020</t>
    </r>
    <r>
      <rPr>
        <sz val="10"/>
        <rFont val="宋体"/>
        <family val="3"/>
        <charset val="134"/>
      </rPr>
      <t>年星级酒店员工人数</t>
    </r>
    <r>
      <rPr>
        <sz val="10"/>
        <rFont val="Arial"/>
        <family val="3"/>
      </rPr>
      <t>/</t>
    </r>
    <r>
      <rPr>
        <sz val="10"/>
        <rFont val="宋体"/>
        <family val="3"/>
        <charset val="134"/>
      </rPr>
      <t>房间数比值平均值，五星级为</t>
    </r>
    <r>
      <rPr>
        <sz val="10"/>
        <rFont val="Arial"/>
        <family val="3"/>
        <charset val="134"/>
      </rPr>
      <t>0.85</t>
    </r>
    <r>
      <rPr>
        <sz val="10"/>
        <rFont val="宋体"/>
        <family val="3"/>
        <charset val="134"/>
      </rPr>
      <t>、四星级为</t>
    </r>
    <r>
      <rPr>
        <sz val="10"/>
        <rFont val="Arial"/>
        <family val="3"/>
      </rPr>
      <t>0.68</t>
    </r>
    <r>
      <rPr>
        <sz val="10"/>
        <rFont val="宋体"/>
        <family val="3"/>
        <charset val="134"/>
      </rPr>
      <t>、三星级为</t>
    </r>
    <r>
      <rPr>
        <sz val="10"/>
        <rFont val="Arial"/>
        <family val="3"/>
      </rPr>
      <t>0.52</t>
    </r>
    <r>
      <rPr>
        <sz val="10"/>
        <rFont val="宋体"/>
        <family val="3"/>
        <charset val="134"/>
      </rPr>
      <t>、二星级为</t>
    </r>
    <r>
      <rPr>
        <sz val="10"/>
        <rFont val="Arial"/>
        <family val="3"/>
      </rPr>
      <t>0.41</t>
    </r>
    <r>
      <rPr>
        <sz val="10"/>
        <rFont val="宋体"/>
        <family val="3"/>
        <charset val="134"/>
      </rPr>
      <t>、一星级为</t>
    </r>
    <r>
      <rPr>
        <sz val="10"/>
        <rFont val="Arial"/>
        <family val="3"/>
      </rPr>
      <t>0.25</t>
    </r>
    <phoneticPr fontId="7" type="noConversion"/>
  </si>
  <si>
    <t>参考锦江酒店2019年酒店营运及管理业务毛利率90.52%</t>
    <phoneticPr fontId="7" type="noConversion"/>
  </si>
  <si>
    <t>根据项目实际情况确定，一般酒店项目建设周期为2年以内</t>
    <phoneticPr fontId="7" type="noConversion"/>
  </si>
  <si>
    <t>参考锦江酒店2019年食品及餐饮业务毛利率52.51%</t>
    <phoneticPr fontId="7" type="noConversion"/>
  </si>
  <si>
    <t>参考七修酒店对SPA、康养等业务的成本占对应收入比重，10%-20%</t>
    <phoneticPr fontId="7" type="noConversion"/>
  </si>
  <si>
    <t>参考湖北孝感大悟金色华府国际酒店项目（18个月）、成都龙潭裕都总部城酒店项目（2年）可研报告</t>
    <phoneticPr fontId="7" type="noConversion"/>
  </si>
  <si>
    <t>参考2020年餐饮收入/客房收入比值，五星级酒店1.02、四星级酒店1.08、三星级酒店1.04、二星级酒店0.87、一星级酒店1.39</t>
    <phoneticPr fontId="7" type="noConversion"/>
  </si>
  <si>
    <t>参考2020年其他收入/客房收入比值，五星级酒店0.45、四星级酒店0.49、三星级酒店0.44、二星级酒店0.46、一星级酒店0.17</t>
    <phoneticPr fontId="7" type="noConversion"/>
  </si>
  <si>
    <r>
      <rPr>
        <sz val="10"/>
        <rFont val="宋体"/>
        <family val="2"/>
        <charset val="134"/>
      </rPr>
      <t>亿元</t>
    </r>
    <r>
      <rPr>
        <sz val="10"/>
        <rFont val="Arial"/>
        <family val="2"/>
      </rPr>
      <t>/</t>
    </r>
    <r>
      <rPr>
        <sz val="10"/>
        <rFont val="宋体"/>
        <family val="2"/>
        <charset val="134"/>
      </rPr>
      <t>间</t>
    </r>
    <phoneticPr fontId="7" type="noConversion"/>
  </si>
  <si>
    <t>参考保定市沈庄酒店（4000）、华侨城酒店（5500）、七修酒店（5000）测算案例</t>
    <phoneticPr fontId="7" type="noConversion"/>
  </si>
  <si>
    <t>参考保定市沈庄酒店（4000）、华侨城酒店（5000）、七修酒店（3000）测算案例</t>
    <phoneticPr fontId="7" type="noConversion"/>
  </si>
  <si>
    <t>参考保定市沈庄酒店（4000）、华侨城酒店（4000）、七修酒店（4000）测算案例</t>
    <phoneticPr fontId="7" type="noConversion"/>
  </si>
  <si>
    <t>参考保定市沈庄酒店（500）、华侨城酒店（0）、七修酒店（1000）测算案例</t>
    <phoneticPr fontId="7" type="noConversion"/>
  </si>
  <si>
    <t>参考值4000</t>
    <phoneticPr fontId="7" type="noConversion"/>
  </si>
  <si>
    <t>参考值0-1000，另外，此处的“m²”为占地面积</t>
    <phoneticPr fontId="7" type="noConversion"/>
  </si>
  <si>
    <t>参考值3000-5000</t>
    <phoneticPr fontId="7" type="noConversion"/>
  </si>
  <si>
    <t>参考值4000-5500</t>
    <phoneticPr fontId="7" type="noConversion"/>
  </si>
  <si>
    <t>星级分类</t>
  </si>
  <si>
    <t>酒店简介</t>
  </si>
  <si>
    <t>一星级酒店</t>
  </si>
  <si>
    <t>设备简单，具备食、宿两个最基本功能，能满足客人最简单的旅行需要。</t>
  </si>
  <si>
    <t>二星级酒店</t>
  </si>
  <si>
    <t>设备一般，除具备客房、餐厅等基本设备外，还有卖品部、邮电、理发等综合服务设施，服务质量较好，属于一般旅行等级。</t>
  </si>
  <si>
    <t>三星级酒店</t>
  </si>
  <si>
    <t>设备齐全，不仅提供食宿，还有会议室、游艺厅、酒吧间、咖啡厅、美容室等综合服务设施。这种属于中等水平的饭店在国际上最受欢迎，数量较多。</t>
  </si>
  <si>
    <t>四星级酒店</t>
  </si>
  <si>
    <t>设备豪华，综合服务设施完善，服务项目多，服务质量优良，室内环境艺术，提供优质服务。客人不仅能够得到高级的物质享受，也能得到很好的精神享受。</t>
  </si>
  <si>
    <t>五星级酒店</t>
  </si>
  <si>
    <t>普通五星级酒店</t>
  </si>
  <si>
    <t>设备十分豪华，设施更加完善，除了房间设施豪华外，服务设施齐全。各种各样的餐厅，较大规模的宴会厅、会议厅、综合服务比较齐全。是社交、会议、娱乐、购物、消遣、保健等活动中心。</t>
  </si>
  <si>
    <t>要求具有两年以上五星级饭店资格；地理位置处于城市中心商务区或繁华地带，交通极其便利；建筑主题鲜明，外观造型独具一格，有助于所在地建立旅游目的地形象等等；</t>
  </si>
  <si>
    <t>合计</t>
  </si>
  <si>
    <t>酒店数量</t>
    <phoneticPr fontId="7" type="noConversion"/>
  </si>
  <si>
    <t>就业人数</t>
    <phoneticPr fontId="7" type="noConversion"/>
  </si>
  <si>
    <t>数值（万人）</t>
    <phoneticPr fontId="7" type="noConversion"/>
  </si>
  <si>
    <t>数值（家）</t>
    <phoneticPr fontId="7" type="noConversion"/>
  </si>
  <si>
    <t>资产总额</t>
    <phoneticPr fontId="7" type="noConversion"/>
  </si>
  <si>
    <t>数值（亿元）</t>
    <phoneticPr fontId="7" type="noConversion"/>
  </si>
  <si>
    <t>可根据总建筑面积结合星级酒店对应综合面积（总建面/客房数）推算，参考值为经济型酒店（二星级及以下）80平米/间以下、中档酒店（三星级，包含商务型酒店、度假型酒店等）100-120平米/间、高档酒店（四星级及以上）120-150平米/间或120平米/间以上；房间数参考为五星级酒店322间、四星级酒店182间、三星级酒店97间、二星级酒店57间、一星级酒店53间</t>
    <phoneticPr fontId="7" type="noConversion"/>
  </si>
  <si>
    <r>
      <rPr>
        <sz val="10"/>
        <rFont val="宋体"/>
        <family val="3"/>
        <charset val="134"/>
      </rPr>
      <t>参考星级酒店平均房价（元</t>
    </r>
    <r>
      <rPr>
        <sz val="10"/>
        <rFont val="Arial"/>
        <family val="3"/>
      </rPr>
      <t>/</t>
    </r>
    <r>
      <rPr>
        <sz val="10"/>
        <rFont val="宋体"/>
        <family val="3"/>
        <charset val="134"/>
      </rPr>
      <t>间</t>
    </r>
    <r>
      <rPr>
        <sz val="10"/>
        <rFont val="Arial"/>
        <family val="3"/>
      </rPr>
      <t>/</t>
    </r>
    <r>
      <rPr>
        <sz val="10"/>
        <rFont val="宋体"/>
        <family val="3"/>
        <charset val="134"/>
      </rPr>
      <t>晚），</t>
    </r>
    <r>
      <rPr>
        <sz val="10"/>
        <rFont val="Arial"/>
        <family val="3"/>
        <charset val="134"/>
      </rPr>
      <t>2019</t>
    </r>
    <r>
      <rPr>
        <sz val="10"/>
        <rFont val="宋体"/>
        <family val="3"/>
        <charset val="134"/>
      </rPr>
      <t>年五星级酒店为</t>
    </r>
    <r>
      <rPr>
        <sz val="10"/>
        <rFont val="Arial"/>
        <family val="3"/>
        <charset val="134"/>
      </rPr>
      <t>596.56</t>
    </r>
    <r>
      <rPr>
        <sz val="10"/>
        <rFont val="宋体"/>
        <family val="3"/>
        <charset val="134"/>
      </rPr>
      <t>、四星级酒店为</t>
    </r>
    <r>
      <rPr>
        <sz val="10"/>
        <rFont val="Arial"/>
        <family val="3"/>
        <charset val="134"/>
      </rPr>
      <t>331.56</t>
    </r>
    <r>
      <rPr>
        <sz val="10"/>
        <rFont val="宋体"/>
        <family val="3"/>
        <charset val="134"/>
      </rPr>
      <t>、三星级酒店为</t>
    </r>
    <r>
      <rPr>
        <sz val="10"/>
        <rFont val="Arial"/>
        <family val="3"/>
        <charset val="134"/>
      </rPr>
      <t>225.70</t>
    </r>
    <r>
      <rPr>
        <sz val="10"/>
        <rFont val="宋体"/>
        <family val="3"/>
        <charset val="134"/>
      </rPr>
      <t>、二星级酒店为</t>
    </r>
    <r>
      <rPr>
        <sz val="10"/>
        <rFont val="Arial"/>
        <family val="3"/>
        <charset val="134"/>
      </rPr>
      <t>179.38</t>
    </r>
    <r>
      <rPr>
        <sz val="10"/>
        <rFont val="宋体"/>
        <family val="3"/>
        <charset val="134"/>
      </rPr>
      <t>、一星级酒店为</t>
    </r>
    <r>
      <rPr>
        <sz val="10"/>
        <rFont val="Arial"/>
        <family val="3"/>
        <charset val="134"/>
      </rPr>
      <t>111.96</t>
    </r>
    <r>
      <rPr>
        <sz val="10"/>
        <rFont val="宋体"/>
        <family val="3"/>
        <charset val="134"/>
      </rPr>
      <t>，</t>
    </r>
    <r>
      <rPr>
        <sz val="10"/>
        <rFont val="Arial"/>
        <family val="3"/>
        <charset val="134"/>
      </rPr>
      <t>2020</t>
    </r>
    <r>
      <rPr>
        <sz val="10"/>
        <rFont val="宋体"/>
        <family val="3"/>
        <charset val="134"/>
      </rPr>
      <t>年受疫情影响平均房价总体呈下降趋势，</t>
    </r>
    <r>
      <rPr>
        <sz val="10"/>
        <rFont val="Arial"/>
        <family val="3"/>
      </rPr>
      <t>2020</t>
    </r>
    <r>
      <rPr>
        <sz val="10"/>
        <rFont val="宋体"/>
        <family val="3"/>
        <charset val="134"/>
      </rPr>
      <t>年五星级酒店为</t>
    </r>
    <r>
      <rPr>
        <sz val="10"/>
        <rFont val="Arial"/>
        <family val="3"/>
      </rPr>
      <t>518.81</t>
    </r>
    <r>
      <rPr>
        <sz val="10"/>
        <rFont val="宋体"/>
        <family val="3"/>
        <charset val="134"/>
      </rPr>
      <t>、四星级酒店为</t>
    </r>
    <r>
      <rPr>
        <sz val="10"/>
        <rFont val="Arial"/>
        <family val="3"/>
      </rPr>
      <t>300.21</t>
    </r>
    <r>
      <rPr>
        <sz val="10"/>
        <rFont val="宋体"/>
        <family val="3"/>
        <charset val="134"/>
      </rPr>
      <t>、三星级酒店为</t>
    </r>
    <r>
      <rPr>
        <sz val="10"/>
        <rFont val="Arial"/>
        <family val="3"/>
      </rPr>
      <t>206.21</t>
    </r>
    <r>
      <rPr>
        <sz val="10"/>
        <rFont val="宋体"/>
        <family val="3"/>
        <charset val="134"/>
      </rPr>
      <t>、二星级酒店为</t>
    </r>
    <r>
      <rPr>
        <sz val="10"/>
        <rFont val="Arial"/>
        <family val="3"/>
      </rPr>
      <t>161.85</t>
    </r>
    <r>
      <rPr>
        <sz val="10"/>
        <rFont val="宋体"/>
        <family val="3"/>
        <charset val="134"/>
      </rPr>
      <t>、一星级酒店为</t>
    </r>
    <r>
      <rPr>
        <sz val="10"/>
        <rFont val="Arial"/>
        <family val="3"/>
      </rPr>
      <t>117.28</t>
    </r>
    <r>
      <rPr>
        <sz val="10"/>
        <rFont val="宋体"/>
        <family val="3"/>
        <charset val="134"/>
      </rPr>
      <t>，</t>
    </r>
    <phoneticPr fontId="7" type="noConversion"/>
  </si>
  <si>
    <r>
      <rPr>
        <sz val="10"/>
        <rFont val="宋体"/>
        <family val="3"/>
        <charset val="134"/>
      </rPr>
      <t>参考星级酒店平均入住率，</t>
    </r>
    <r>
      <rPr>
        <sz val="10"/>
        <rFont val="Arial"/>
        <family val="3"/>
      </rPr>
      <t>2019</t>
    </r>
    <r>
      <rPr>
        <sz val="10"/>
        <rFont val="宋体"/>
        <family val="3"/>
        <charset val="134"/>
      </rPr>
      <t>年五星级酒店为</t>
    </r>
    <r>
      <rPr>
        <sz val="10"/>
        <rFont val="Arial"/>
        <family val="3"/>
      </rPr>
      <t>60.94%</t>
    </r>
    <r>
      <rPr>
        <sz val="10"/>
        <rFont val="宋体"/>
        <family val="3"/>
        <charset val="134"/>
      </rPr>
      <t>、四星级酒店为</t>
    </r>
    <r>
      <rPr>
        <sz val="10"/>
        <rFont val="Arial"/>
        <family val="3"/>
      </rPr>
      <t>55.11%</t>
    </r>
    <r>
      <rPr>
        <sz val="10"/>
        <rFont val="宋体"/>
        <family val="3"/>
        <charset val="134"/>
      </rPr>
      <t>、三星级酒店为</t>
    </r>
    <r>
      <rPr>
        <sz val="10"/>
        <rFont val="Arial"/>
        <family val="3"/>
      </rPr>
      <t>52.15%</t>
    </r>
    <r>
      <rPr>
        <sz val="10"/>
        <rFont val="宋体"/>
        <family val="3"/>
        <charset val="134"/>
      </rPr>
      <t>、二星级酒店为</t>
    </r>
    <r>
      <rPr>
        <sz val="10"/>
        <rFont val="Arial"/>
        <family val="3"/>
      </rPr>
      <t>51.95%</t>
    </r>
    <r>
      <rPr>
        <sz val="10"/>
        <rFont val="宋体"/>
        <family val="3"/>
        <charset val="134"/>
      </rPr>
      <t>、一星级酒店为</t>
    </r>
    <r>
      <rPr>
        <sz val="10"/>
        <rFont val="Arial"/>
        <family val="3"/>
      </rPr>
      <t>51.43%</t>
    </r>
    <r>
      <rPr>
        <sz val="10"/>
        <rFont val="宋体"/>
        <family val="3"/>
        <charset val="134"/>
      </rPr>
      <t>，</t>
    </r>
    <r>
      <rPr>
        <sz val="10"/>
        <rFont val="Arial"/>
        <family val="3"/>
      </rPr>
      <t>2020</t>
    </r>
    <r>
      <rPr>
        <sz val="10"/>
        <rFont val="宋体"/>
        <family val="3"/>
        <charset val="134"/>
      </rPr>
      <t>年受疫情影响平均入住率都有所下降，</t>
    </r>
    <r>
      <rPr>
        <sz val="10"/>
        <rFont val="Arial"/>
        <family val="3"/>
      </rPr>
      <t>2020</t>
    </r>
    <r>
      <rPr>
        <sz val="10"/>
        <rFont val="宋体"/>
        <family val="3"/>
        <charset val="134"/>
      </rPr>
      <t>年五星级酒店为</t>
    </r>
    <r>
      <rPr>
        <sz val="10"/>
        <rFont val="Arial"/>
        <family val="3"/>
        <charset val="134"/>
      </rPr>
      <t>40.38%</t>
    </r>
    <r>
      <rPr>
        <sz val="10"/>
        <rFont val="宋体"/>
        <family val="3"/>
        <charset val="134"/>
      </rPr>
      <t>、四星级酒店为</t>
    </r>
    <r>
      <rPr>
        <sz val="10"/>
        <rFont val="Arial"/>
        <family val="3"/>
        <charset val="134"/>
      </rPr>
      <t>39.09%</t>
    </r>
    <r>
      <rPr>
        <sz val="10"/>
        <rFont val="宋体"/>
        <family val="3"/>
        <charset val="134"/>
      </rPr>
      <t>、三星级酒店为</t>
    </r>
    <r>
      <rPr>
        <sz val="10"/>
        <rFont val="Arial"/>
        <family val="3"/>
        <charset val="134"/>
      </rPr>
      <t>37.99%</t>
    </r>
    <r>
      <rPr>
        <sz val="10"/>
        <rFont val="宋体"/>
        <family val="3"/>
        <charset val="134"/>
      </rPr>
      <t>、二星级酒店为</t>
    </r>
    <r>
      <rPr>
        <sz val="10"/>
        <rFont val="Arial"/>
        <family val="3"/>
        <charset val="134"/>
      </rPr>
      <t>38.61%</t>
    </r>
    <r>
      <rPr>
        <sz val="10"/>
        <rFont val="宋体"/>
        <family val="3"/>
        <charset val="134"/>
      </rPr>
      <t>、一星级酒店为</t>
    </r>
    <r>
      <rPr>
        <sz val="10"/>
        <rFont val="Arial"/>
        <family val="3"/>
        <charset val="134"/>
      </rPr>
      <t>35.74%</t>
    </r>
    <r>
      <rPr>
        <sz val="10"/>
        <rFont val="宋体"/>
        <family val="3"/>
        <charset val="134"/>
      </rPr>
      <t>；可参考上市公司数据，锦江酒店（</t>
    </r>
    <r>
      <rPr>
        <sz val="10"/>
        <rFont val="Arial"/>
        <family val="3"/>
      </rPr>
      <t>600754.SH</t>
    </r>
    <r>
      <rPr>
        <sz val="10"/>
        <rFont val="宋体"/>
        <family val="3"/>
        <charset val="134"/>
      </rPr>
      <t>），</t>
    </r>
    <r>
      <rPr>
        <sz val="10"/>
        <rFont val="Arial"/>
        <family val="3"/>
      </rPr>
      <t>2019</t>
    </r>
    <r>
      <rPr>
        <sz val="10"/>
        <rFont val="宋体"/>
        <family val="3"/>
        <charset val="134"/>
      </rPr>
      <t>年经济型酒店出租率</t>
    </r>
    <r>
      <rPr>
        <sz val="10"/>
        <rFont val="Arial"/>
        <family val="3"/>
      </rPr>
      <t>71.63%</t>
    </r>
    <r>
      <rPr>
        <sz val="10"/>
        <rFont val="宋体"/>
        <family val="3"/>
        <charset val="134"/>
      </rPr>
      <t>、中端酒店出租率</t>
    </r>
    <r>
      <rPr>
        <sz val="10"/>
        <rFont val="Arial"/>
        <family val="3"/>
      </rPr>
      <t>77.94%</t>
    </r>
    <r>
      <rPr>
        <sz val="10"/>
        <rFont val="宋体"/>
        <family val="3"/>
        <charset val="134"/>
      </rPr>
      <t>，</t>
    </r>
    <r>
      <rPr>
        <sz val="10"/>
        <rFont val="Arial"/>
        <family val="3"/>
      </rPr>
      <t>2020</t>
    </r>
    <r>
      <rPr>
        <sz val="10"/>
        <rFont val="宋体"/>
        <family val="3"/>
        <charset val="134"/>
      </rPr>
      <t>年经济型酒店出租率</t>
    </r>
    <r>
      <rPr>
        <sz val="10"/>
        <rFont val="Arial"/>
        <family val="3"/>
      </rPr>
      <t>53.61%</t>
    </r>
    <r>
      <rPr>
        <sz val="10"/>
        <rFont val="宋体"/>
        <family val="3"/>
        <charset val="134"/>
      </rPr>
      <t>、中端酒店出租率</t>
    </r>
    <r>
      <rPr>
        <sz val="10"/>
        <rFont val="Arial"/>
        <family val="3"/>
      </rPr>
      <t>66.45%</t>
    </r>
    <r>
      <rPr>
        <sz val="10"/>
        <rFont val="宋体"/>
        <family val="3"/>
        <charset val="134"/>
      </rPr>
      <t>。首旅酒店（</t>
    </r>
    <r>
      <rPr>
        <sz val="10"/>
        <rFont val="Arial"/>
        <family val="3"/>
      </rPr>
      <t>600258.SH</t>
    </r>
    <r>
      <rPr>
        <sz val="10"/>
        <rFont val="宋体"/>
        <family val="3"/>
        <charset val="134"/>
      </rPr>
      <t>），</t>
    </r>
    <r>
      <rPr>
        <sz val="10"/>
        <rFont val="Arial"/>
        <family val="3"/>
      </rPr>
      <t>2019</t>
    </r>
    <r>
      <rPr>
        <sz val="10"/>
        <rFont val="宋体"/>
        <family val="3"/>
        <charset val="134"/>
      </rPr>
      <t>年经济型酒店出租率</t>
    </r>
    <r>
      <rPr>
        <sz val="10"/>
        <rFont val="Arial"/>
        <family val="3"/>
      </rPr>
      <t>82.3%</t>
    </r>
    <r>
      <rPr>
        <sz val="10"/>
        <rFont val="宋体"/>
        <family val="3"/>
        <charset val="134"/>
      </rPr>
      <t>、中高端酒店</t>
    </r>
    <r>
      <rPr>
        <sz val="10"/>
        <rFont val="Arial"/>
        <family val="3"/>
      </rPr>
      <t>72.2%</t>
    </r>
    <r>
      <rPr>
        <sz val="10"/>
        <rFont val="宋体"/>
        <family val="3"/>
        <charset val="134"/>
      </rPr>
      <t>，</t>
    </r>
    <r>
      <rPr>
        <sz val="10"/>
        <rFont val="Arial"/>
        <family val="3"/>
        <charset val="134"/>
      </rPr>
      <t>2020</t>
    </r>
    <r>
      <rPr>
        <sz val="10"/>
        <rFont val="宋体"/>
        <family val="3"/>
        <charset val="134"/>
      </rPr>
      <t>年经济型酒店出租率</t>
    </r>
    <r>
      <rPr>
        <sz val="10"/>
        <rFont val="Arial"/>
        <family val="3"/>
      </rPr>
      <t>72.6%</t>
    </r>
    <phoneticPr fontId="7" type="noConversion"/>
  </si>
  <si>
    <r>
      <rPr>
        <sz val="10"/>
        <rFont val="宋体"/>
        <family val="3"/>
        <charset val="134"/>
      </rPr>
      <t>参考</t>
    </r>
    <r>
      <rPr>
        <sz val="10"/>
        <rFont val="Arial"/>
        <family val="3"/>
      </rPr>
      <t>2010</t>
    </r>
    <r>
      <rPr>
        <sz val="10"/>
        <rFont val="宋体"/>
        <family val="3"/>
        <charset val="134"/>
      </rPr>
      <t>年星级酒店员工平均薪酬分别为五星级</t>
    </r>
    <r>
      <rPr>
        <sz val="10"/>
        <rFont val="Arial"/>
        <family val="3"/>
      </rPr>
      <t>3.502</t>
    </r>
    <r>
      <rPr>
        <sz val="10"/>
        <rFont val="宋体"/>
        <family val="3"/>
        <charset val="134"/>
      </rPr>
      <t>万元</t>
    </r>
    <r>
      <rPr>
        <sz val="10"/>
        <rFont val="Arial"/>
        <family val="3"/>
      </rPr>
      <t>/</t>
    </r>
    <r>
      <rPr>
        <sz val="10"/>
        <rFont val="宋体"/>
        <family val="3"/>
        <charset val="134"/>
      </rPr>
      <t>人、四星级</t>
    </r>
    <r>
      <rPr>
        <sz val="10"/>
        <rFont val="Arial"/>
        <family val="3"/>
      </rPr>
      <t>2.469</t>
    </r>
    <r>
      <rPr>
        <sz val="10"/>
        <rFont val="宋体"/>
        <family val="3"/>
        <charset val="134"/>
      </rPr>
      <t>万元</t>
    </r>
    <r>
      <rPr>
        <sz val="10"/>
        <rFont val="Arial"/>
        <family val="3"/>
      </rPr>
      <t>/</t>
    </r>
    <r>
      <rPr>
        <sz val="10"/>
        <rFont val="宋体"/>
        <family val="3"/>
        <charset val="134"/>
      </rPr>
      <t>人、三星级</t>
    </r>
    <r>
      <rPr>
        <sz val="10"/>
        <rFont val="Arial"/>
        <family val="3"/>
      </rPr>
      <t>1.957</t>
    </r>
    <r>
      <rPr>
        <sz val="10"/>
        <rFont val="宋体"/>
        <family val="3"/>
        <charset val="134"/>
      </rPr>
      <t>万元</t>
    </r>
    <r>
      <rPr>
        <sz val="10"/>
        <rFont val="Arial"/>
        <family val="3"/>
      </rPr>
      <t>/</t>
    </r>
    <r>
      <rPr>
        <sz val="10"/>
        <rFont val="宋体"/>
        <family val="3"/>
        <charset val="134"/>
      </rPr>
      <t>人、二星级</t>
    </r>
    <r>
      <rPr>
        <sz val="10"/>
        <rFont val="Arial"/>
        <family val="3"/>
      </rPr>
      <t>1.647</t>
    </r>
    <r>
      <rPr>
        <sz val="10"/>
        <rFont val="宋体"/>
        <family val="3"/>
        <charset val="134"/>
      </rPr>
      <t>万元</t>
    </r>
    <r>
      <rPr>
        <sz val="10"/>
        <rFont val="Arial"/>
        <family val="3"/>
      </rPr>
      <t>/</t>
    </r>
    <r>
      <rPr>
        <sz val="10"/>
        <rFont val="宋体"/>
        <family val="3"/>
        <charset val="134"/>
      </rPr>
      <t>人、一星级</t>
    </r>
    <r>
      <rPr>
        <sz val="10"/>
        <rFont val="Arial"/>
        <family val="3"/>
      </rPr>
      <t>1.551</t>
    </r>
    <r>
      <rPr>
        <sz val="10"/>
        <rFont val="宋体"/>
        <family val="3"/>
        <charset val="134"/>
      </rPr>
      <t>万元</t>
    </r>
    <r>
      <rPr>
        <sz val="10"/>
        <rFont val="Arial"/>
        <family val="3"/>
      </rPr>
      <t>/</t>
    </r>
    <r>
      <rPr>
        <sz val="10"/>
        <rFont val="宋体"/>
        <family val="3"/>
        <charset val="134"/>
      </rPr>
      <t>人，同时并考虑通胀调整（</t>
    </r>
    <r>
      <rPr>
        <sz val="10"/>
        <rFont val="Arial"/>
        <family val="3"/>
      </rPr>
      <t>2010-2020</t>
    </r>
    <r>
      <rPr>
        <sz val="10"/>
        <rFont val="宋体"/>
        <family val="3"/>
        <charset val="134"/>
      </rPr>
      <t>年年均通胀率为</t>
    </r>
    <r>
      <rPr>
        <sz val="10"/>
        <rFont val="Arial"/>
        <family val="3"/>
      </rPr>
      <t>2.504%</t>
    </r>
    <r>
      <rPr>
        <sz val="10"/>
        <rFont val="宋体"/>
        <family val="3"/>
        <charset val="134"/>
      </rPr>
      <t>），调整后</t>
    </r>
    <r>
      <rPr>
        <sz val="10"/>
        <rFont val="Arial"/>
        <family val="3"/>
      </rPr>
      <t>2020</t>
    </r>
    <r>
      <rPr>
        <sz val="10"/>
        <rFont val="宋体"/>
        <family val="3"/>
        <charset val="134"/>
      </rPr>
      <t>年星级酒店员工平均薪酬分别为五星级</t>
    </r>
    <r>
      <rPr>
        <sz val="10"/>
        <rFont val="Arial"/>
        <family val="3"/>
      </rPr>
      <t>4.484</t>
    </r>
    <r>
      <rPr>
        <sz val="10"/>
        <rFont val="宋体"/>
        <family val="3"/>
        <charset val="134"/>
      </rPr>
      <t>万元</t>
    </r>
    <r>
      <rPr>
        <sz val="10"/>
        <rFont val="Arial"/>
        <family val="3"/>
      </rPr>
      <t>/</t>
    </r>
    <r>
      <rPr>
        <sz val="10"/>
        <rFont val="宋体"/>
        <family val="3"/>
        <charset val="134"/>
      </rPr>
      <t>人、四星级</t>
    </r>
    <r>
      <rPr>
        <sz val="10"/>
        <rFont val="Arial"/>
        <family val="3"/>
      </rPr>
      <t>3.161</t>
    </r>
    <r>
      <rPr>
        <sz val="10"/>
        <rFont val="宋体"/>
        <family val="3"/>
        <charset val="134"/>
      </rPr>
      <t>万元</t>
    </r>
    <r>
      <rPr>
        <sz val="10"/>
        <rFont val="Arial"/>
        <family val="3"/>
      </rPr>
      <t>/</t>
    </r>
    <r>
      <rPr>
        <sz val="10"/>
        <rFont val="宋体"/>
        <family val="3"/>
        <charset val="134"/>
      </rPr>
      <t>人、三星级</t>
    </r>
    <r>
      <rPr>
        <sz val="10"/>
        <rFont val="Arial"/>
        <family val="3"/>
      </rPr>
      <t>2.506</t>
    </r>
    <r>
      <rPr>
        <sz val="10"/>
        <rFont val="宋体"/>
        <family val="3"/>
        <charset val="134"/>
      </rPr>
      <t>万元</t>
    </r>
    <r>
      <rPr>
        <sz val="10"/>
        <rFont val="Arial"/>
        <family val="3"/>
      </rPr>
      <t>/</t>
    </r>
    <r>
      <rPr>
        <sz val="10"/>
        <rFont val="宋体"/>
        <family val="3"/>
        <charset val="134"/>
      </rPr>
      <t>人、二星级</t>
    </r>
    <r>
      <rPr>
        <sz val="10"/>
        <rFont val="Arial"/>
        <family val="3"/>
      </rPr>
      <t>2.109</t>
    </r>
    <r>
      <rPr>
        <sz val="10"/>
        <rFont val="宋体"/>
        <family val="3"/>
        <charset val="134"/>
      </rPr>
      <t>万元</t>
    </r>
    <r>
      <rPr>
        <sz val="10"/>
        <rFont val="Arial"/>
        <family val="3"/>
      </rPr>
      <t>/</t>
    </r>
    <r>
      <rPr>
        <sz val="10"/>
        <rFont val="宋体"/>
        <family val="3"/>
        <charset val="134"/>
      </rPr>
      <t>人、一星级</t>
    </r>
    <r>
      <rPr>
        <sz val="10"/>
        <rFont val="Arial"/>
        <family val="3"/>
      </rPr>
      <t>1.986</t>
    </r>
    <r>
      <rPr>
        <sz val="10"/>
        <rFont val="宋体"/>
        <family val="3"/>
        <charset val="134"/>
      </rPr>
      <t>万元</t>
    </r>
    <r>
      <rPr>
        <sz val="10"/>
        <rFont val="Arial"/>
        <family val="3"/>
      </rPr>
      <t>/</t>
    </r>
    <r>
      <rPr>
        <sz val="10"/>
        <rFont val="宋体"/>
        <family val="3"/>
        <charset val="134"/>
      </rPr>
      <t>人</t>
    </r>
    <r>
      <rPr>
        <sz val="10"/>
        <rFont val="Arial"/>
        <family val="3"/>
      </rPr>
      <t>.</t>
    </r>
    <phoneticPr fontId="7" type="noConversion"/>
  </si>
  <si>
    <t>星级酒店入住率</t>
  </si>
  <si>
    <t>酒店级别</t>
  </si>
  <si>
    <r>
      <t>2020</t>
    </r>
    <r>
      <rPr>
        <sz val="11"/>
        <color rgb="FF000000"/>
        <rFont val="微软雅黑"/>
        <family val="2"/>
        <charset val="134"/>
      </rPr>
      <t>年</t>
    </r>
  </si>
  <si>
    <r>
      <t>2019</t>
    </r>
    <r>
      <rPr>
        <sz val="11"/>
        <color rgb="FF000000"/>
        <rFont val="微软雅黑"/>
        <family val="2"/>
        <charset val="134"/>
      </rPr>
      <t>年</t>
    </r>
  </si>
  <si>
    <r>
      <t>2018</t>
    </r>
    <r>
      <rPr>
        <sz val="11"/>
        <color rgb="FF000000"/>
        <rFont val="微软雅黑"/>
        <family val="2"/>
        <charset val="134"/>
      </rPr>
      <t>年</t>
    </r>
  </si>
  <si>
    <r>
      <t>2017</t>
    </r>
    <r>
      <rPr>
        <sz val="11"/>
        <color rgb="FF000000"/>
        <rFont val="微软雅黑"/>
        <family val="2"/>
        <charset val="134"/>
      </rPr>
      <t>年</t>
    </r>
  </si>
  <si>
    <r>
      <t>2016</t>
    </r>
    <r>
      <rPr>
        <sz val="11"/>
        <color rgb="FF000000"/>
        <rFont val="微软雅黑"/>
        <family val="2"/>
        <charset val="134"/>
      </rPr>
      <t>年</t>
    </r>
  </si>
  <si>
    <t>星级酒店平均房价</t>
  </si>
  <si>
    <t>注：来源于历年全国星级饭店统计报告</t>
    <phoneticPr fontId="7" type="noConversion"/>
  </si>
  <si>
    <t>测算案例</t>
  </si>
  <si>
    <r>
      <t>不含地价总投资</t>
    </r>
    <r>
      <rPr>
        <sz val="11"/>
        <color rgb="FF000000"/>
        <rFont val="Arial"/>
        <family val="2"/>
      </rPr>
      <t>/</t>
    </r>
    <r>
      <rPr>
        <sz val="11"/>
        <color rgb="FF000000"/>
        <rFont val="微软雅黑"/>
        <family val="2"/>
        <charset val="134"/>
      </rPr>
      <t>计容建筑面积（元</t>
    </r>
    <r>
      <rPr>
        <sz val="11"/>
        <color rgb="FF000000"/>
        <rFont val="Arial"/>
        <family val="2"/>
      </rPr>
      <t>/</t>
    </r>
    <r>
      <rPr>
        <sz val="11"/>
        <color rgb="FF000000"/>
        <rFont val="微软雅黑"/>
        <family val="2"/>
        <charset val="134"/>
      </rPr>
      <t>平米）</t>
    </r>
  </si>
  <si>
    <r>
      <t>不含地价总投资</t>
    </r>
    <r>
      <rPr>
        <sz val="11"/>
        <color rgb="FF000000"/>
        <rFont val="Arial"/>
        <family val="2"/>
      </rPr>
      <t>/</t>
    </r>
    <r>
      <rPr>
        <sz val="11"/>
        <color rgb="FF000000"/>
        <rFont val="微软雅黑"/>
        <family val="2"/>
        <charset val="134"/>
      </rPr>
      <t>总建筑面积（元</t>
    </r>
    <r>
      <rPr>
        <sz val="11"/>
        <color rgb="FF000000"/>
        <rFont val="Arial"/>
        <family val="2"/>
      </rPr>
      <t>/</t>
    </r>
    <r>
      <rPr>
        <sz val="11"/>
        <color rgb="FF000000"/>
        <rFont val="微软雅黑"/>
        <family val="2"/>
        <charset val="134"/>
      </rPr>
      <t>平米）</t>
    </r>
  </si>
  <si>
    <t>沈庄酒店</t>
  </si>
  <si>
    <t>七修酒店</t>
  </si>
  <si>
    <t>华侨城酒店</t>
  </si>
  <si>
    <t>（开始）</t>
    <phoneticPr fontId="7" type="noConversion"/>
  </si>
  <si>
    <t>（结束）</t>
    <phoneticPr fontId="7" type="noConversion"/>
  </si>
  <si>
    <t>-</t>
    <phoneticPr fontId="7" type="noConversion"/>
  </si>
  <si>
    <t>一、参数表</t>
    <phoneticPr fontId="7" type="noConversion"/>
  </si>
  <si>
    <t>二、酒店客房收入模型</t>
    <phoneticPr fontId="7" type="noConversion"/>
  </si>
  <si>
    <t>酒店职工薪酬模型（详细）</t>
    <phoneticPr fontId="7" type="noConversion"/>
  </si>
  <si>
    <t>酒店职工薪酬模型（简易）</t>
    <phoneticPr fontId="7" type="noConversion"/>
  </si>
  <si>
    <t>建设期：1</t>
    <phoneticPr fontId="7" type="noConversion"/>
  </si>
  <si>
    <t>建设期：2</t>
  </si>
  <si>
    <t>运营期：3</t>
    <phoneticPr fontId="7" type="noConversion"/>
  </si>
  <si>
    <t>运营期：4</t>
  </si>
  <si>
    <t>运营期：5</t>
  </si>
  <si>
    <t>运营期：6</t>
  </si>
  <si>
    <t>运营期：7</t>
  </si>
  <si>
    <t>运营期：8</t>
  </si>
  <si>
    <t>运营期：9</t>
  </si>
  <si>
    <t>运营期：10</t>
  </si>
  <si>
    <t>运营期：11</t>
  </si>
  <si>
    <t>运营期：12</t>
  </si>
  <si>
    <t>运营期：13</t>
  </si>
  <si>
    <t>运营期：14</t>
  </si>
  <si>
    <t>运营期：15</t>
  </si>
  <si>
    <t>运营期：16</t>
  </si>
  <si>
    <t>运营期：17</t>
  </si>
  <si>
    <t>运营期：18</t>
  </si>
  <si>
    <t>运营期：19</t>
  </si>
  <si>
    <t>运营期：20</t>
  </si>
  <si>
    <r>
      <rPr>
        <sz val="10"/>
        <rFont val="宋体"/>
        <family val="2"/>
        <charset val="134"/>
      </rPr>
      <t>管理层-</t>
    </r>
    <r>
      <rPr>
        <sz val="10"/>
        <rFont val="微软雅黑"/>
        <family val="2"/>
        <charset val="134"/>
      </rPr>
      <t>总经理</t>
    </r>
    <phoneticPr fontId="7" type="noConversion"/>
  </si>
  <si>
    <r>
      <rPr>
        <sz val="10"/>
        <rFont val="宋体"/>
        <family val="2"/>
        <charset val="134"/>
      </rPr>
      <t>管理层</t>
    </r>
    <r>
      <rPr>
        <sz val="10"/>
        <rFont val="Arial"/>
        <family val="2"/>
      </rPr>
      <t>-</t>
    </r>
    <r>
      <rPr>
        <sz val="10"/>
        <rFont val="微软雅黑"/>
        <family val="2"/>
        <charset val="134"/>
      </rPr>
      <t>总经理助理</t>
    </r>
    <phoneticPr fontId="7" type="noConversion"/>
  </si>
  <si>
    <r>
      <rPr>
        <sz val="10"/>
        <rFont val="宋体"/>
        <family val="2"/>
        <charset val="134"/>
      </rPr>
      <t>管理层</t>
    </r>
    <r>
      <rPr>
        <sz val="10"/>
        <rFont val="Arial"/>
        <family val="2"/>
      </rPr>
      <t>-</t>
    </r>
    <r>
      <rPr>
        <sz val="10"/>
        <rFont val="微软雅黑"/>
        <family val="2"/>
        <charset val="134"/>
      </rPr>
      <t>驻店经理</t>
    </r>
    <phoneticPr fontId="7" type="noConversion"/>
  </si>
  <si>
    <r>
      <rPr>
        <sz val="10"/>
        <rFont val="宋体"/>
        <family val="2"/>
        <charset val="134"/>
      </rPr>
      <t>管理层</t>
    </r>
    <r>
      <rPr>
        <sz val="10"/>
        <rFont val="Arial"/>
        <family val="2"/>
      </rPr>
      <t>-</t>
    </r>
    <r>
      <rPr>
        <sz val="10"/>
        <rFont val="微软雅黑"/>
        <family val="2"/>
        <charset val="134"/>
      </rPr>
      <t>财务总监</t>
    </r>
    <phoneticPr fontId="7" type="noConversion"/>
  </si>
  <si>
    <r>
      <rPr>
        <sz val="10"/>
        <rFont val="宋体"/>
        <family val="2"/>
        <charset val="134"/>
      </rPr>
      <t>管理层</t>
    </r>
    <r>
      <rPr>
        <sz val="10"/>
        <rFont val="Arial"/>
        <family val="2"/>
      </rPr>
      <t>-</t>
    </r>
    <r>
      <rPr>
        <sz val="10"/>
        <rFont val="微软雅黑"/>
        <family val="2"/>
        <charset val="134"/>
      </rPr>
      <t>人力资源总监</t>
    </r>
    <phoneticPr fontId="7" type="noConversion"/>
  </si>
  <si>
    <r>
      <rPr>
        <sz val="10"/>
        <rFont val="宋体"/>
        <family val="2"/>
        <charset val="134"/>
      </rPr>
      <t>管理层</t>
    </r>
    <r>
      <rPr>
        <sz val="10"/>
        <rFont val="Arial"/>
        <family val="2"/>
      </rPr>
      <t>-</t>
    </r>
    <r>
      <rPr>
        <sz val="10"/>
        <rFont val="微软雅黑"/>
        <family val="2"/>
        <charset val="134"/>
      </rPr>
      <t>市场销售总监</t>
    </r>
    <phoneticPr fontId="7" type="noConversion"/>
  </si>
  <si>
    <r>
      <rPr>
        <sz val="10"/>
        <rFont val="宋体"/>
        <family val="2"/>
        <charset val="134"/>
      </rPr>
      <t>管理层</t>
    </r>
    <r>
      <rPr>
        <sz val="10"/>
        <rFont val="Arial"/>
        <family val="2"/>
      </rPr>
      <t>-</t>
    </r>
    <r>
      <rPr>
        <sz val="10"/>
        <rFont val="微软雅黑"/>
        <family val="2"/>
        <charset val="134"/>
      </rPr>
      <t>餐饮总监</t>
    </r>
    <phoneticPr fontId="7" type="noConversion"/>
  </si>
  <si>
    <r>
      <rPr>
        <sz val="10"/>
        <rFont val="宋体"/>
        <family val="2"/>
        <charset val="134"/>
      </rPr>
      <t>管理层</t>
    </r>
    <r>
      <rPr>
        <sz val="10"/>
        <rFont val="Arial"/>
        <family val="2"/>
      </rPr>
      <t>-</t>
    </r>
    <r>
      <rPr>
        <sz val="10"/>
        <rFont val="微软雅黑"/>
        <family val="2"/>
        <charset val="134"/>
      </rPr>
      <t>行政总厨</t>
    </r>
    <phoneticPr fontId="7" type="noConversion"/>
  </si>
  <si>
    <r>
      <rPr>
        <sz val="10"/>
        <rFont val="宋体"/>
        <family val="2"/>
        <charset val="134"/>
      </rPr>
      <t>管理层</t>
    </r>
    <r>
      <rPr>
        <sz val="10"/>
        <rFont val="Arial"/>
        <family val="2"/>
      </rPr>
      <t>-</t>
    </r>
    <r>
      <rPr>
        <sz val="10"/>
        <rFont val="微软雅黑"/>
        <family val="2"/>
        <charset val="134"/>
      </rPr>
      <t>工程总监</t>
    </r>
    <phoneticPr fontId="7" type="noConversion"/>
  </si>
  <si>
    <r>
      <rPr>
        <sz val="10"/>
        <rFont val="宋体"/>
        <family val="2"/>
        <charset val="134"/>
      </rPr>
      <t>管理层</t>
    </r>
    <r>
      <rPr>
        <sz val="10"/>
        <rFont val="Arial"/>
        <family val="2"/>
      </rPr>
      <t>-</t>
    </r>
    <r>
      <rPr>
        <sz val="10"/>
        <rFont val="微软雅黑"/>
        <family val="2"/>
        <charset val="134"/>
      </rPr>
      <t>房务总监</t>
    </r>
    <phoneticPr fontId="7" type="noConversion"/>
  </si>
  <si>
    <r>
      <rPr>
        <sz val="10"/>
        <rFont val="宋体"/>
        <family val="3"/>
        <charset val="134"/>
      </rPr>
      <t>财务部-</t>
    </r>
    <r>
      <rPr>
        <sz val="10"/>
        <rFont val="Arial"/>
        <family val="2"/>
      </rPr>
      <t>IT</t>
    </r>
    <r>
      <rPr>
        <sz val="10"/>
        <rFont val="微软雅黑"/>
        <family val="2"/>
        <charset val="134"/>
      </rPr>
      <t>经理</t>
    </r>
    <r>
      <rPr>
        <sz val="10"/>
        <rFont val="Arial"/>
        <family val="2"/>
      </rPr>
      <t>/</t>
    </r>
    <r>
      <rPr>
        <sz val="10"/>
        <rFont val="微软雅黑"/>
        <family val="2"/>
        <charset val="134"/>
      </rPr>
      <t>员工</t>
    </r>
    <phoneticPr fontId="7" type="noConversion"/>
  </si>
  <si>
    <r>
      <rPr>
        <sz val="10"/>
        <rFont val="宋体"/>
        <family val="2"/>
        <charset val="134"/>
      </rPr>
      <t>财务部</t>
    </r>
    <r>
      <rPr>
        <sz val="10"/>
        <rFont val="Arial"/>
        <family val="2"/>
      </rPr>
      <t>-</t>
    </r>
    <r>
      <rPr>
        <sz val="10"/>
        <rFont val="微软雅黑"/>
        <family val="2"/>
        <charset val="134"/>
      </rPr>
      <t>总账</t>
    </r>
    <phoneticPr fontId="7" type="noConversion"/>
  </si>
  <si>
    <r>
      <rPr>
        <sz val="10"/>
        <rFont val="宋体"/>
        <family val="2"/>
        <charset val="134"/>
      </rPr>
      <t>财务部</t>
    </r>
    <r>
      <rPr>
        <sz val="10"/>
        <rFont val="Arial"/>
        <family val="2"/>
      </rPr>
      <t>-</t>
    </r>
    <r>
      <rPr>
        <sz val="10"/>
        <rFont val="微软雅黑"/>
        <family val="2"/>
        <charset val="134"/>
      </rPr>
      <t>信贷主管</t>
    </r>
    <phoneticPr fontId="7" type="noConversion"/>
  </si>
  <si>
    <r>
      <rPr>
        <sz val="10"/>
        <rFont val="宋体"/>
        <family val="2"/>
        <charset val="134"/>
      </rPr>
      <t>财务部</t>
    </r>
    <r>
      <rPr>
        <sz val="10"/>
        <rFont val="Arial"/>
        <family val="2"/>
      </rPr>
      <t>-</t>
    </r>
    <r>
      <rPr>
        <sz val="10"/>
        <rFont val="微软雅黑"/>
        <family val="2"/>
        <charset val="134"/>
      </rPr>
      <t>应收主管</t>
    </r>
    <phoneticPr fontId="7" type="noConversion"/>
  </si>
  <si>
    <r>
      <rPr>
        <sz val="10"/>
        <rFont val="宋体"/>
        <family val="2"/>
        <charset val="134"/>
      </rPr>
      <t>财务部</t>
    </r>
    <r>
      <rPr>
        <sz val="10"/>
        <rFont val="Arial"/>
        <family val="2"/>
      </rPr>
      <t>-</t>
    </r>
    <r>
      <rPr>
        <sz val="10"/>
        <rFont val="微软雅黑"/>
        <family val="2"/>
        <charset val="134"/>
      </rPr>
      <t>应付主管</t>
    </r>
    <phoneticPr fontId="7" type="noConversion"/>
  </si>
  <si>
    <r>
      <rPr>
        <sz val="10"/>
        <rFont val="宋体"/>
        <family val="2"/>
        <charset val="134"/>
      </rPr>
      <t>财务部</t>
    </r>
    <r>
      <rPr>
        <sz val="10"/>
        <rFont val="Arial"/>
        <family val="2"/>
      </rPr>
      <t>-</t>
    </r>
    <r>
      <rPr>
        <sz val="10"/>
        <rFont val="微软雅黑"/>
        <family val="2"/>
        <charset val="134"/>
      </rPr>
      <t>日审主管</t>
    </r>
    <phoneticPr fontId="7" type="noConversion"/>
  </si>
  <si>
    <r>
      <rPr>
        <sz val="10"/>
        <rFont val="宋体"/>
        <family val="2"/>
        <charset val="134"/>
      </rPr>
      <t>财务部</t>
    </r>
    <r>
      <rPr>
        <sz val="10"/>
        <rFont val="Arial"/>
        <family val="2"/>
      </rPr>
      <t>-</t>
    </r>
    <r>
      <rPr>
        <sz val="10"/>
        <rFont val="微软雅黑"/>
        <family val="2"/>
        <charset val="134"/>
      </rPr>
      <t>财务员工</t>
    </r>
    <phoneticPr fontId="7" type="noConversion"/>
  </si>
  <si>
    <r>
      <rPr>
        <sz val="10"/>
        <rFont val="宋体"/>
        <family val="2"/>
        <charset val="134"/>
      </rPr>
      <t>财务部</t>
    </r>
    <r>
      <rPr>
        <sz val="10"/>
        <rFont val="Arial"/>
        <family val="2"/>
      </rPr>
      <t>-</t>
    </r>
    <r>
      <rPr>
        <sz val="10"/>
        <rFont val="微软雅黑"/>
        <family val="2"/>
        <charset val="134"/>
      </rPr>
      <t>出纳</t>
    </r>
    <phoneticPr fontId="7" type="noConversion"/>
  </si>
  <si>
    <r>
      <rPr>
        <sz val="10"/>
        <rFont val="宋体"/>
        <family val="2"/>
        <charset val="134"/>
      </rPr>
      <t>财务部</t>
    </r>
    <r>
      <rPr>
        <sz val="10"/>
        <rFont val="Arial"/>
        <family val="2"/>
      </rPr>
      <t>-</t>
    </r>
    <r>
      <rPr>
        <sz val="10"/>
        <rFont val="微软雅黑"/>
        <family val="2"/>
        <charset val="134"/>
      </rPr>
      <t>采购经理</t>
    </r>
    <phoneticPr fontId="7" type="noConversion"/>
  </si>
  <si>
    <r>
      <rPr>
        <sz val="10"/>
        <rFont val="宋体"/>
        <family val="2"/>
        <charset val="134"/>
      </rPr>
      <t>财务部</t>
    </r>
    <r>
      <rPr>
        <sz val="10"/>
        <rFont val="Arial"/>
        <family val="2"/>
      </rPr>
      <t>-</t>
    </r>
    <r>
      <rPr>
        <sz val="10"/>
        <rFont val="微软雅黑"/>
        <family val="2"/>
        <charset val="134"/>
      </rPr>
      <t>采购文员</t>
    </r>
    <phoneticPr fontId="7" type="noConversion"/>
  </si>
  <si>
    <t>财务部-收货</t>
    <phoneticPr fontId="7" type="noConversion"/>
  </si>
  <si>
    <r>
      <rPr>
        <sz val="10"/>
        <rFont val="宋体"/>
        <family val="2"/>
        <charset val="134"/>
      </rPr>
      <t>财务部</t>
    </r>
    <r>
      <rPr>
        <sz val="10"/>
        <rFont val="Arial"/>
        <family val="2"/>
      </rPr>
      <t>-</t>
    </r>
    <r>
      <rPr>
        <sz val="10"/>
        <rFont val="微软雅黑"/>
        <family val="2"/>
        <charset val="134"/>
      </rPr>
      <t>库管</t>
    </r>
    <phoneticPr fontId="7" type="noConversion"/>
  </si>
  <si>
    <t>市场部-销售总监</t>
    <phoneticPr fontId="7" type="noConversion"/>
  </si>
  <si>
    <r>
      <rPr>
        <sz val="10"/>
        <rFont val="宋体"/>
        <family val="2"/>
        <charset val="134"/>
      </rPr>
      <t>市场部</t>
    </r>
    <r>
      <rPr>
        <sz val="10"/>
        <rFont val="Arial"/>
        <family val="2"/>
      </rPr>
      <t>-</t>
    </r>
    <r>
      <rPr>
        <sz val="10"/>
        <rFont val="微软雅黑"/>
        <family val="2"/>
        <charset val="134"/>
      </rPr>
      <t>市场部经理</t>
    </r>
    <phoneticPr fontId="7" type="noConversion"/>
  </si>
  <si>
    <r>
      <rPr>
        <sz val="10"/>
        <rFont val="宋体"/>
        <family val="2"/>
        <charset val="134"/>
      </rPr>
      <t>市场部</t>
    </r>
    <r>
      <rPr>
        <sz val="10"/>
        <rFont val="Arial"/>
        <family val="2"/>
      </rPr>
      <t>-</t>
    </r>
    <r>
      <rPr>
        <sz val="10"/>
        <rFont val="微软雅黑"/>
        <family val="2"/>
        <charset val="134"/>
      </rPr>
      <t>销售经理</t>
    </r>
    <phoneticPr fontId="7" type="noConversion"/>
  </si>
  <si>
    <r>
      <rPr>
        <sz val="10"/>
        <rFont val="宋体"/>
        <family val="2"/>
        <charset val="134"/>
      </rPr>
      <t>市场部</t>
    </r>
    <r>
      <rPr>
        <sz val="10"/>
        <rFont val="Arial"/>
        <family val="2"/>
      </rPr>
      <t>-</t>
    </r>
    <r>
      <rPr>
        <sz val="10"/>
        <rFont val="微软雅黑"/>
        <family val="2"/>
        <charset val="134"/>
      </rPr>
      <t>销售文员</t>
    </r>
    <phoneticPr fontId="7" type="noConversion"/>
  </si>
  <si>
    <r>
      <rPr>
        <sz val="10"/>
        <rFont val="宋体"/>
        <family val="2"/>
        <charset val="134"/>
      </rPr>
      <t>市场部</t>
    </r>
    <r>
      <rPr>
        <sz val="10"/>
        <rFont val="Arial"/>
        <family val="2"/>
      </rPr>
      <t>-</t>
    </r>
    <r>
      <rPr>
        <sz val="10"/>
        <rFont val="微软雅黑"/>
        <family val="2"/>
        <charset val="134"/>
      </rPr>
      <t>预订经理</t>
    </r>
    <phoneticPr fontId="7" type="noConversion"/>
  </si>
  <si>
    <r>
      <rPr>
        <sz val="10"/>
        <rFont val="宋体"/>
        <family val="2"/>
        <charset val="134"/>
      </rPr>
      <t>市场部</t>
    </r>
    <r>
      <rPr>
        <sz val="10"/>
        <rFont val="Arial"/>
        <family val="2"/>
      </rPr>
      <t>-</t>
    </r>
    <r>
      <rPr>
        <sz val="10"/>
        <rFont val="微软雅黑"/>
        <family val="2"/>
        <charset val="134"/>
      </rPr>
      <t>预定主管</t>
    </r>
    <phoneticPr fontId="7" type="noConversion"/>
  </si>
  <si>
    <r>
      <rPr>
        <sz val="10"/>
        <rFont val="宋体"/>
        <family val="2"/>
        <charset val="134"/>
      </rPr>
      <t>市场部</t>
    </r>
    <r>
      <rPr>
        <sz val="10"/>
        <rFont val="Arial"/>
        <family val="2"/>
      </rPr>
      <t>-</t>
    </r>
    <r>
      <rPr>
        <sz val="10"/>
        <rFont val="微软雅黑"/>
        <family val="2"/>
        <charset val="134"/>
      </rPr>
      <t>预定文员</t>
    </r>
    <phoneticPr fontId="7" type="noConversion"/>
  </si>
  <si>
    <r>
      <rPr>
        <sz val="10"/>
        <rFont val="宋体"/>
        <family val="2"/>
        <charset val="134"/>
      </rPr>
      <t>人力资源部</t>
    </r>
    <r>
      <rPr>
        <sz val="10"/>
        <rFont val="Arial"/>
        <family val="2"/>
      </rPr>
      <t>-</t>
    </r>
    <r>
      <rPr>
        <sz val="10"/>
        <rFont val="微软雅黑"/>
        <family val="2"/>
        <charset val="134"/>
      </rPr>
      <t>培训主管</t>
    </r>
    <phoneticPr fontId="7" type="noConversion"/>
  </si>
  <si>
    <r>
      <rPr>
        <sz val="10"/>
        <rFont val="宋体"/>
        <family val="2"/>
        <charset val="134"/>
      </rPr>
      <t>人力资源部</t>
    </r>
    <r>
      <rPr>
        <sz val="10"/>
        <rFont val="Arial"/>
        <family val="2"/>
      </rPr>
      <t>-</t>
    </r>
    <r>
      <rPr>
        <sz val="10"/>
        <rFont val="微软雅黑"/>
        <family val="2"/>
        <charset val="134"/>
      </rPr>
      <t>招聘主管</t>
    </r>
    <phoneticPr fontId="7" type="noConversion"/>
  </si>
  <si>
    <r>
      <rPr>
        <sz val="10"/>
        <rFont val="宋体"/>
        <family val="2"/>
        <charset val="134"/>
      </rPr>
      <t>人力资源部</t>
    </r>
    <r>
      <rPr>
        <sz val="10"/>
        <rFont val="Arial"/>
        <family val="2"/>
      </rPr>
      <t>-</t>
    </r>
    <r>
      <rPr>
        <sz val="10"/>
        <rFont val="微软雅黑"/>
        <family val="2"/>
        <charset val="134"/>
      </rPr>
      <t>薪资主管</t>
    </r>
    <phoneticPr fontId="7" type="noConversion"/>
  </si>
  <si>
    <r>
      <rPr>
        <sz val="10"/>
        <rFont val="宋体"/>
        <family val="2"/>
        <charset val="134"/>
      </rPr>
      <t>人力资源部</t>
    </r>
    <r>
      <rPr>
        <sz val="10"/>
        <rFont val="Arial"/>
        <family val="2"/>
      </rPr>
      <t>-</t>
    </r>
    <r>
      <rPr>
        <sz val="10"/>
        <rFont val="微软雅黑"/>
        <family val="2"/>
        <charset val="134"/>
      </rPr>
      <t>员工关系主管</t>
    </r>
    <phoneticPr fontId="7" type="noConversion"/>
  </si>
  <si>
    <r>
      <rPr>
        <sz val="10"/>
        <rFont val="宋体"/>
        <family val="2"/>
        <charset val="134"/>
      </rPr>
      <t>人力资源部</t>
    </r>
    <r>
      <rPr>
        <sz val="10"/>
        <rFont val="Arial"/>
        <family val="2"/>
      </rPr>
      <t>-</t>
    </r>
    <r>
      <rPr>
        <sz val="10"/>
        <rFont val="微软雅黑"/>
        <family val="2"/>
        <charset val="134"/>
      </rPr>
      <t>员工餐主管</t>
    </r>
    <phoneticPr fontId="7" type="noConversion"/>
  </si>
  <si>
    <r>
      <rPr>
        <sz val="10"/>
        <rFont val="宋体"/>
        <family val="2"/>
        <charset val="134"/>
      </rPr>
      <t>人力资源部</t>
    </r>
    <r>
      <rPr>
        <sz val="10"/>
        <rFont val="Arial"/>
        <family val="2"/>
      </rPr>
      <t>-</t>
    </r>
    <r>
      <rPr>
        <sz val="10"/>
        <rFont val="微软雅黑"/>
        <family val="2"/>
        <charset val="134"/>
      </rPr>
      <t>管餐员工</t>
    </r>
    <phoneticPr fontId="7" type="noConversion"/>
  </si>
  <si>
    <r>
      <rPr>
        <sz val="10"/>
        <rFont val="宋体"/>
        <family val="2"/>
        <charset val="134"/>
      </rPr>
      <t>前厅部</t>
    </r>
    <r>
      <rPr>
        <sz val="10"/>
        <rFont val="Arial"/>
        <family val="2"/>
      </rPr>
      <t>-</t>
    </r>
    <r>
      <rPr>
        <sz val="10"/>
        <rFont val="微软雅黑"/>
        <family val="2"/>
        <charset val="134"/>
      </rPr>
      <t>礼宾司</t>
    </r>
    <phoneticPr fontId="7" type="noConversion"/>
  </si>
  <si>
    <r>
      <rPr>
        <sz val="10"/>
        <rFont val="宋体"/>
        <family val="2"/>
        <charset val="134"/>
      </rPr>
      <t>前厅部</t>
    </r>
    <r>
      <rPr>
        <sz val="10"/>
        <rFont val="Arial"/>
        <family val="2"/>
      </rPr>
      <t>-</t>
    </r>
    <r>
      <rPr>
        <sz val="10"/>
        <rFont val="微软雅黑"/>
        <family val="2"/>
        <charset val="134"/>
      </rPr>
      <t>总机经理</t>
    </r>
    <phoneticPr fontId="7" type="noConversion"/>
  </si>
  <si>
    <r>
      <rPr>
        <sz val="10"/>
        <rFont val="宋体"/>
        <family val="2"/>
        <charset val="134"/>
      </rPr>
      <t>前厅部</t>
    </r>
    <r>
      <rPr>
        <sz val="10"/>
        <rFont val="Arial"/>
        <family val="2"/>
      </rPr>
      <t>-</t>
    </r>
    <r>
      <rPr>
        <sz val="10"/>
        <rFont val="微软雅黑"/>
        <family val="2"/>
        <charset val="134"/>
      </rPr>
      <t>值班经理</t>
    </r>
    <phoneticPr fontId="7" type="noConversion"/>
  </si>
  <si>
    <r>
      <rPr>
        <sz val="10"/>
        <rFont val="宋体"/>
        <family val="2"/>
        <charset val="134"/>
      </rPr>
      <t>前厅部</t>
    </r>
    <r>
      <rPr>
        <sz val="10"/>
        <rFont val="Arial"/>
        <family val="2"/>
      </rPr>
      <t>-</t>
    </r>
    <r>
      <rPr>
        <sz val="10"/>
        <rFont val="微软雅黑"/>
        <family val="2"/>
        <charset val="134"/>
      </rPr>
      <t>前厅主管</t>
    </r>
    <phoneticPr fontId="7" type="noConversion"/>
  </si>
  <si>
    <r>
      <rPr>
        <sz val="10"/>
        <rFont val="宋体"/>
        <family val="2"/>
        <charset val="134"/>
      </rPr>
      <t>前厅部</t>
    </r>
    <r>
      <rPr>
        <sz val="10"/>
        <rFont val="Arial"/>
        <family val="2"/>
      </rPr>
      <t>-</t>
    </r>
    <r>
      <rPr>
        <sz val="10"/>
        <rFont val="微软雅黑"/>
        <family val="2"/>
        <charset val="134"/>
      </rPr>
      <t>前厅员工</t>
    </r>
    <phoneticPr fontId="7" type="noConversion"/>
  </si>
  <si>
    <r>
      <rPr>
        <sz val="10"/>
        <rFont val="宋体"/>
        <family val="2"/>
        <charset val="134"/>
      </rPr>
      <t>前厅部</t>
    </r>
    <r>
      <rPr>
        <sz val="10"/>
        <rFont val="Arial"/>
        <family val="2"/>
      </rPr>
      <t>-</t>
    </r>
    <r>
      <rPr>
        <sz val="10"/>
        <rFont val="微软雅黑"/>
        <family val="2"/>
        <charset val="134"/>
      </rPr>
      <t>礼宾部员工</t>
    </r>
    <phoneticPr fontId="7" type="noConversion"/>
  </si>
  <si>
    <r>
      <rPr>
        <sz val="10"/>
        <rFont val="宋体"/>
        <family val="2"/>
        <charset val="134"/>
      </rPr>
      <t>前厅部</t>
    </r>
    <r>
      <rPr>
        <sz val="10"/>
        <rFont val="Arial"/>
        <family val="2"/>
      </rPr>
      <t>-</t>
    </r>
    <r>
      <rPr>
        <sz val="10"/>
        <rFont val="微软雅黑"/>
        <family val="2"/>
        <charset val="134"/>
      </rPr>
      <t>健身房员工</t>
    </r>
    <phoneticPr fontId="7" type="noConversion"/>
  </si>
  <si>
    <r>
      <rPr>
        <sz val="10"/>
        <rFont val="宋体"/>
        <family val="2"/>
        <charset val="134"/>
      </rPr>
      <t>前厅部</t>
    </r>
    <r>
      <rPr>
        <sz val="10"/>
        <rFont val="Arial"/>
        <family val="2"/>
      </rPr>
      <t>-</t>
    </r>
    <r>
      <rPr>
        <sz val="10"/>
        <rFont val="微软雅黑"/>
        <family val="2"/>
        <charset val="134"/>
      </rPr>
      <t>总机员工</t>
    </r>
    <phoneticPr fontId="7" type="noConversion"/>
  </si>
  <si>
    <r>
      <rPr>
        <sz val="10"/>
        <rFont val="宋体"/>
        <family val="2"/>
        <charset val="134"/>
      </rPr>
      <t>客房部</t>
    </r>
    <r>
      <rPr>
        <sz val="10"/>
        <rFont val="Arial"/>
        <family val="2"/>
      </rPr>
      <t>-</t>
    </r>
    <r>
      <rPr>
        <sz val="10"/>
        <rFont val="微软雅黑"/>
        <family val="2"/>
        <charset val="134"/>
      </rPr>
      <t>客房经理</t>
    </r>
    <phoneticPr fontId="7" type="noConversion"/>
  </si>
  <si>
    <r>
      <rPr>
        <sz val="10"/>
        <rFont val="宋体"/>
        <family val="2"/>
        <charset val="134"/>
      </rPr>
      <t>客房部</t>
    </r>
    <r>
      <rPr>
        <sz val="10"/>
        <rFont val="Arial"/>
        <family val="2"/>
      </rPr>
      <t>-</t>
    </r>
    <r>
      <rPr>
        <sz val="10"/>
        <rFont val="微软雅黑"/>
        <family val="2"/>
        <charset val="134"/>
      </rPr>
      <t>洗衣房经理</t>
    </r>
    <phoneticPr fontId="7" type="noConversion"/>
  </si>
  <si>
    <r>
      <rPr>
        <sz val="10"/>
        <rFont val="宋体"/>
        <family val="2"/>
        <charset val="134"/>
      </rPr>
      <t>客房部</t>
    </r>
    <r>
      <rPr>
        <sz val="10"/>
        <rFont val="Arial"/>
        <family val="2"/>
      </rPr>
      <t>-</t>
    </r>
    <r>
      <rPr>
        <sz val="10"/>
        <rFont val="微软雅黑"/>
        <family val="2"/>
        <charset val="134"/>
      </rPr>
      <t>保洁经理</t>
    </r>
    <phoneticPr fontId="7" type="noConversion"/>
  </si>
  <si>
    <r>
      <rPr>
        <sz val="10"/>
        <rFont val="宋体"/>
        <family val="2"/>
        <charset val="134"/>
      </rPr>
      <t>客房部</t>
    </r>
    <r>
      <rPr>
        <sz val="10"/>
        <rFont val="Arial"/>
        <family val="2"/>
      </rPr>
      <t>-</t>
    </r>
    <r>
      <rPr>
        <sz val="10"/>
        <rFont val="微软雅黑"/>
        <family val="2"/>
        <charset val="134"/>
      </rPr>
      <t>客房主管</t>
    </r>
    <phoneticPr fontId="7" type="noConversion"/>
  </si>
  <si>
    <r>
      <rPr>
        <sz val="10"/>
        <rFont val="宋体"/>
        <family val="2"/>
        <charset val="134"/>
      </rPr>
      <t>客房部</t>
    </r>
    <r>
      <rPr>
        <sz val="10"/>
        <rFont val="Arial"/>
        <family val="2"/>
      </rPr>
      <t>-</t>
    </r>
    <r>
      <rPr>
        <sz val="10"/>
        <rFont val="微软雅黑"/>
        <family val="2"/>
        <charset val="134"/>
      </rPr>
      <t>保洁主管</t>
    </r>
    <phoneticPr fontId="7" type="noConversion"/>
  </si>
  <si>
    <r>
      <rPr>
        <sz val="10"/>
        <rFont val="宋体"/>
        <family val="2"/>
        <charset val="134"/>
      </rPr>
      <t>客房部</t>
    </r>
    <r>
      <rPr>
        <sz val="10"/>
        <rFont val="Arial"/>
        <family val="2"/>
      </rPr>
      <t>-</t>
    </r>
    <r>
      <rPr>
        <sz val="10"/>
        <rFont val="微软雅黑"/>
        <family val="2"/>
        <charset val="134"/>
      </rPr>
      <t>洗衣房员工</t>
    </r>
    <phoneticPr fontId="7" type="noConversion"/>
  </si>
  <si>
    <r>
      <rPr>
        <sz val="10"/>
        <rFont val="宋体"/>
        <family val="2"/>
        <charset val="134"/>
      </rPr>
      <t>客房部</t>
    </r>
    <r>
      <rPr>
        <sz val="10"/>
        <rFont val="Arial"/>
        <family val="2"/>
      </rPr>
      <t>-</t>
    </r>
    <r>
      <rPr>
        <sz val="10"/>
        <rFont val="微软雅黑"/>
        <family val="2"/>
        <charset val="134"/>
      </rPr>
      <t>客房员工</t>
    </r>
    <phoneticPr fontId="7" type="noConversion"/>
  </si>
  <si>
    <r>
      <rPr>
        <sz val="10"/>
        <rFont val="宋体"/>
        <family val="2"/>
        <charset val="134"/>
      </rPr>
      <t>客房部</t>
    </r>
    <r>
      <rPr>
        <sz val="10"/>
        <rFont val="Arial"/>
        <family val="2"/>
      </rPr>
      <t>-</t>
    </r>
    <r>
      <rPr>
        <sz val="10"/>
        <rFont val="微软雅黑"/>
        <family val="2"/>
        <charset val="134"/>
      </rPr>
      <t>保洁员工</t>
    </r>
    <phoneticPr fontId="7" type="noConversion"/>
  </si>
  <si>
    <r>
      <rPr>
        <sz val="10"/>
        <rFont val="宋体"/>
        <family val="2"/>
        <charset val="134"/>
      </rPr>
      <t>客房部</t>
    </r>
    <r>
      <rPr>
        <sz val="10"/>
        <rFont val="Arial"/>
        <family val="2"/>
      </rPr>
      <t>-</t>
    </r>
    <r>
      <rPr>
        <sz val="10"/>
        <rFont val="微软雅黑"/>
        <family val="2"/>
        <charset val="134"/>
      </rPr>
      <t>客房文员</t>
    </r>
    <phoneticPr fontId="7" type="noConversion"/>
  </si>
  <si>
    <r>
      <rPr>
        <sz val="10"/>
        <rFont val="宋体"/>
        <family val="2"/>
        <charset val="134"/>
      </rPr>
      <t>工程部-</t>
    </r>
    <r>
      <rPr>
        <sz val="10"/>
        <rFont val="微软雅黑"/>
        <family val="2"/>
        <charset val="134"/>
      </rPr>
      <t>工程经理</t>
    </r>
    <phoneticPr fontId="7" type="noConversion"/>
  </si>
  <si>
    <r>
      <rPr>
        <sz val="10"/>
        <rFont val="宋体"/>
        <family val="2"/>
        <charset val="134"/>
      </rPr>
      <t>工程部-</t>
    </r>
    <r>
      <rPr>
        <sz val="10"/>
        <rFont val="微软雅黑"/>
        <family val="2"/>
        <charset val="134"/>
      </rPr>
      <t>强电主管</t>
    </r>
    <phoneticPr fontId="7" type="noConversion"/>
  </si>
  <si>
    <r>
      <rPr>
        <sz val="10"/>
        <rFont val="宋体"/>
        <family val="2"/>
        <charset val="134"/>
      </rPr>
      <t>工程部-</t>
    </r>
    <r>
      <rPr>
        <sz val="10"/>
        <rFont val="微软雅黑"/>
        <family val="2"/>
        <charset val="134"/>
      </rPr>
      <t>弱电主管</t>
    </r>
    <phoneticPr fontId="7" type="noConversion"/>
  </si>
  <si>
    <r>
      <rPr>
        <sz val="10"/>
        <rFont val="宋体"/>
        <family val="2"/>
        <charset val="134"/>
      </rPr>
      <t>工程部-</t>
    </r>
    <r>
      <rPr>
        <sz val="10"/>
        <rFont val="微软雅黑"/>
        <family val="2"/>
        <charset val="134"/>
      </rPr>
      <t>暖通给排水主管</t>
    </r>
    <phoneticPr fontId="7" type="noConversion"/>
  </si>
  <si>
    <r>
      <rPr>
        <sz val="10"/>
        <rFont val="宋体"/>
        <family val="2"/>
        <charset val="134"/>
      </rPr>
      <t>工程部-</t>
    </r>
    <r>
      <rPr>
        <sz val="10"/>
        <rFont val="微软雅黑"/>
        <family val="2"/>
        <charset val="134"/>
      </rPr>
      <t>综合维修主管</t>
    </r>
    <phoneticPr fontId="7" type="noConversion"/>
  </si>
  <si>
    <r>
      <rPr>
        <sz val="10"/>
        <rFont val="宋体"/>
        <family val="2"/>
        <charset val="134"/>
      </rPr>
      <t>工程部-</t>
    </r>
    <r>
      <rPr>
        <sz val="10"/>
        <rFont val="微软雅黑"/>
        <family val="2"/>
        <charset val="134"/>
      </rPr>
      <t>工程部员工</t>
    </r>
    <phoneticPr fontId="7" type="noConversion"/>
  </si>
  <si>
    <r>
      <rPr>
        <sz val="10"/>
        <rFont val="宋体"/>
        <family val="2"/>
        <charset val="134"/>
      </rPr>
      <t>餐饮部</t>
    </r>
    <r>
      <rPr>
        <sz val="10"/>
        <rFont val="Arial"/>
        <family val="2"/>
      </rPr>
      <t>-</t>
    </r>
    <r>
      <rPr>
        <sz val="10"/>
        <rFont val="微软雅黑"/>
        <family val="2"/>
        <charset val="134"/>
      </rPr>
      <t>餐厅经理</t>
    </r>
    <phoneticPr fontId="7" type="noConversion"/>
  </si>
  <si>
    <r>
      <rPr>
        <sz val="10"/>
        <rFont val="宋体"/>
        <family val="2"/>
        <charset val="134"/>
      </rPr>
      <t>餐饮部</t>
    </r>
    <r>
      <rPr>
        <sz val="10"/>
        <rFont val="Arial"/>
        <family val="2"/>
      </rPr>
      <t>-</t>
    </r>
    <r>
      <rPr>
        <sz val="10"/>
        <rFont val="微软雅黑"/>
        <family val="2"/>
        <charset val="134"/>
      </rPr>
      <t>宴会厅经理</t>
    </r>
    <phoneticPr fontId="7" type="noConversion"/>
  </si>
  <si>
    <r>
      <rPr>
        <sz val="10"/>
        <rFont val="宋体"/>
        <family val="2"/>
        <charset val="134"/>
      </rPr>
      <t>餐饮部</t>
    </r>
    <r>
      <rPr>
        <sz val="10"/>
        <rFont val="Arial"/>
        <family val="2"/>
      </rPr>
      <t>-</t>
    </r>
    <r>
      <rPr>
        <sz val="10"/>
        <rFont val="微软雅黑"/>
        <family val="2"/>
        <charset val="134"/>
      </rPr>
      <t>餐厅主管</t>
    </r>
    <phoneticPr fontId="7" type="noConversion"/>
  </si>
  <si>
    <r>
      <rPr>
        <sz val="10"/>
        <rFont val="宋体"/>
        <family val="2"/>
        <charset val="134"/>
      </rPr>
      <t>餐饮部</t>
    </r>
    <r>
      <rPr>
        <sz val="10"/>
        <rFont val="Arial"/>
        <family val="2"/>
      </rPr>
      <t>-</t>
    </r>
    <r>
      <rPr>
        <sz val="10"/>
        <rFont val="微软雅黑"/>
        <family val="2"/>
        <charset val="134"/>
      </rPr>
      <t>餐厅员工</t>
    </r>
    <phoneticPr fontId="7" type="noConversion"/>
  </si>
  <si>
    <r>
      <rPr>
        <sz val="10"/>
        <rFont val="宋体"/>
        <family val="2"/>
        <charset val="134"/>
      </rPr>
      <t>厨房部</t>
    </r>
    <r>
      <rPr>
        <sz val="10"/>
        <rFont val="Arial"/>
        <family val="2"/>
      </rPr>
      <t>-</t>
    </r>
    <r>
      <rPr>
        <sz val="10"/>
        <rFont val="微软雅黑"/>
        <family val="2"/>
        <charset val="134"/>
      </rPr>
      <t>厨师长</t>
    </r>
    <phoneticPr fontId="7" type="noConversion"/>
  </si>
  <si>
    <r>
      <rPr>
        <sz val="10"/>
        <rFont val="宋体"/>
        <family val="2"/>
        <charset val="134"/>
      </rPr>
      <t>厨房部</t>
    </r>
    <r>
      <rPr>
        <sz val="10"/>
        <rFont val="Arial"/>
        <family val="2"/>
      </rPr>
      <t>-</t>
    </r>
    <r>
      <rPr>
        <sz val="10"/>
        <rFont val="微软雅黑"/>
        <family val="2"/>
        <charset val="134"/>
      </rPr>
      <t>厨师主管</t>
    </r>
    <phoneticPr fontId="7" type="noConversion"/>
  </si>
  <si>
    <r>
      <rPr>
        <sz val="10"/>
        <rFont val="宋体"/>
        <family val="2"/>
        <charset val="134"/>
      </rPr>
      <t>厨房部</t>
    </r>
    <r>
      <rPr>
        <sz val="10"/>
        <rFont val="Arial"/>
        <family val="2"/>
      </rPr>
      <t>-</t>
    </r>
    <r>
      <rPr>
        <sz val="10"/>
        <rFont val="微软雅黑"/>
        <family val="2"/>
        <charset val="134"/>
      </rPr>
      <t>厨房员工</t>
    </r>
    <phoneticPr fontId="7" type="noConversion"/>
  </si>
  <si>
    <r>
      <rPr>
        <sz val="10"/>
        <rFont val="宋体"/>
        <family val="2"/>
        <charset val="134"/>
      </rPr>
      <t>厨房部</t>
    </r>
    <r>
      <rPr>
        <sz val="10"/>
        <rFont val="Arial"/>
        <family val="2"/>
      </rPr>
      <t>-</t>
    </r>
    <r>
      <rPr>
        <sz val="10"/>
        <rFont val="微软雅黑"/>
        <family val="2"/>
        <charset val="134"/>
      </rPr>
      <t>管事部经理</t>
    </r>
    <phoneticPr fontId="7" type="noConversion"/>
  </si>
  <si>
    <r>
      <rPr>
        <sz val="10"/>
        <rFont val="宋体"/>
        <family val="2"/>
        <charset val="134"/>
      </rPr>
      <t>厨房部</t>
    </r>
    <r>
      <rPr>
        <sz val="10"/>
        <rFont val="Arial"/>
        <family val="2"/>
      </rPr>
      <t>-</t>
    </r>
    <r>
      <rPr>
        <sz val="10"/>
        <rFont val="微软雅黑"/>
        <family val="2"/>
        <charset val="134"/>
      </rPr>
      <t>管事部员工</t>
    </r>
    <phoneticPr fontId="7" type="noConversion"/>
  </si>
  <si>
    <r>
      <rPr>
        <sz val="10"/>
        <rFont val="宋体"/>
        <family val="2"/>
        <charset val="134"/>
      </rPr>
      <t>厨房部</t>
    </r>
    <r>
      <rPr>
        <sz val="10"/>
        <rFont val="Arial"/>
        <family val="2"/>
      </rPr>
      <t>-</t>
    </r>
    <r>
      <rPr>
        <sz val="10"/>
        <rFont val="微软雅黑"/>
        <family val="2"/>
        <charset val="134"/>
      </rPr>
      <t>厨房文员</t>
    </r>
    <phoneticPr fontId="7" type="noConversion"/>
  </si>
  <si>
    <r>
      <rPr>
        <sz val="10"/>
        <rFont val="宋体"/>
        <family val="2"/>
        <charset val="134"/>
      </rPr>
      <t>七修部-</t>
    </r>
    <r>
      <rPr>
        <sz val="10"/>
        <rFont val="微软雅黑"/>
        <family val="2"/>
        <charset val="134"/>
      </rPr>
      <t>七修师</t>
    </r>
    <phoneticPr fontId="7" type="noConversion"/>
  </si>
  <si>
    <r>
      <rPr>
        <sz val="10"/>
        <rFont val="宋体"/>
        <family val="2"/>
        <charset val="134"/>
      </rPr>
      <t>保安部-</t>
    </r>
    <r>
      <rPr>
        <sz val="10"/>
        <rFont val="微软雅黑"/>
        <family val="2"/>
        <charset val="134"/>
      </rPr>
      <t>经理</t>
    </r>
    <phoneticPr fontId="7" type="noConversion"/>
  </si>
  <si>
    <r>
      <rPr>
        <sz val="10"/>
        <rFont val="宋体"/>
        <family val="2"/>
        <charset val="134"/>
      </rPr>
      <t>保安部-</t>
    </r>
    <r>
      <rPr>
        <sz val="10"/>
        <rFont val="微软雅黑"/>
        <family val="2"/>
        <charset val="134"/>
      </rPr>
      <t>主管</t>
    </r>
    <phoneticPr fontId="7" type="noConversion"/>
  </si>
  <si>
    <t>保安部-员工</t>
    <phoneticPr fontId="7" type="noConversion"/>
  </si>
  <si>
    <r>
      <rPr>
        <sz val="10"/>
        <rFont val="宋体"/>
        <family val="2"/>
        <charset val="134"/>
      </rPr>
      <t>前厅部</t>
    </r>
    <r>
      <rPr>
        <sz val="10"/>
        <rFont val="Arial"/>
        <family val="2"/>
      </rPr>
      <t>-</t>
    </r>
    <r>
      <rPr>
        <sz val="10"/>
        <rFont val="微软雅黑"/>
        <family val="2"/>
        <charset val="134"/>
      </rPr>
      <t>经理</t>
    </r>
    <phoneticPr fontId="7" type="noConversion"/>
  </si>
  <si>
    <r>
      <rPr>
        <sz val="10"/>
        <rFont val="宋体"/>
        <family val="2"/>
        <charset val="134"/>
      </rPr>
      <t>人力资源部-</t>
    </r>
    <r>
      <rPr>
        <sz val="10"/>
        <rFont val="微软雅黑"/>
        <family val="2"/>
        <charset val="134"/>
      </rPr>
      <t>行政经理</t>
    </r>
    <phoneticPr fontId="7" type="noConversion"/>
  </si>
  <si>
    <r>
      <rPr>
        <sz val="10"/>
        <rFont val="宋体"/>
        <family val="2"/>
        <charset val="134"/>
      </rPr>
      <t>人力资源部</t>
    </r>
    <r>
      <rPr>
        <sz val="10"/>
        <rFont val="Arial"/>
        <family val="2"/>
      </rPr>
      <t>-</t>
    </r>
    <r>
      <rPr>
        <sz val="10"/>
        <rFont val="微软雅黑"/>
        <family val="2"/>
        <charset val="134"/>
      </rPr>
      <t>文员</t>
    </r>
    <phoneticPr fontId="7" type="noConversion"/>
  </si>
  <si>
    <t>填写项目</t>
    <phoneticPr fontId="7" type="noConversion"/>
  </si>
  <si>
    <t>数值</t>
    <phoneticPr fontId="7" type="noConversion"/>
  </si>
  <si>
    <r>
      <rPr>
        <sz val="10"/>
        <rFont val="宋体"/>
        <family val="3"/>
        <charset val="134"/>
      </rPr>
      <t>《中华人民共和国企业所得税法实施条例》:第</t>
    </r>
    <r>
      <rPr>
        <sz val="10"/>
        <rFont val="Arial"/>
        <family val="2"/>
      </rPr>
      <t>60</t>
    </r>
    <r>
      <rPr>
        <sz val="10"/>
        <rFont val="宋体"/>
        <family val="3"/>
        <charset val="134"/>
      </rPr>
      <t>条</t>
    </r>
    <phoneticPr fontId="7" type="noConversion"/>
  </si>
  <si>
    <t>必填</t>
    <phoneticPr fontId="7" type="noConversion"/>
  </si>
  <si>
    <t>必填（0-1以内小数）</t>
    <phoneticPr fontId="7" type="noConversion"/>
  </si>
  <si>
    <t>无需填写，见时间序列模型</t>
    <phoneticPr fontId="7" type="noConversion"/>
  </si>
  <si>
    <r>
      <rPr>
        <sz val="10"/>
        <rFont val="宋体"/>
        <family val="3"/>
        <charset val="134"/>
      </rPr>
      <t>《中华人民共和国企业所得税法实施条例》:第</t>
    </r>
    <r>
      <rPr>
        <sz val="10"/>
        <rFont val="Arial"/>
        <family val="2"/>
      </rPr>
      <t>67</t>
    </r>
    <r>
      <rPr>
        <sz val="10"/>
        <rFont val="宋体"/>
        <family val="3"/>
        <charset val="134"/>
      </rPr>
      <t>条</t>
    </r>
    <phoneticPr fontId="7" type="noConversion"/>
  </si>
  <si>
    <t>无需填写</t>
    <phoneticPr fontId="7" type="noConversion"/>
  </si>
  <si>
    <r>
      <t>其中，地上建筑面积（</t>
    </r>
    <r>
      <rPr>
        <sz val="10"/>
        <rFont val="Arial"/>
        <family val="3"/>
      </rPr>
      <t>m</t>
    </r>
    <r>
      <rPr>
        <sz val="10"/>
        <rFont val="宋体"/>
        <family val="3"/>
        <charset val="134"/>
      </rPr>
      <t>²）</t>
    </r>
    <phoneticPr fontId="7" type="noConversion"/>
  </si>
  <si>
    <t>总建筑面积（m²）</t>
    <phoneticPr fontId="7" type="noConversion"/>
  </si>
  <si>
    <t>《锦江酒店2019年年报》</t>
    <phoneticPr fontId="7" type="noConversion"/>
  </si>
  <si>
    <t>《国务院关于加强固定资产投资项目资本金管理的通知-国发〔2019〕26号》，《固定资产投资项目资本金制度的通知》国发〔2015〕51号</t>
    <phoneticPr fontId="7" type="noConversion"/>
  </si>
  <si>
    <t>酒店管理概论（第二版）</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</si>
</sst>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8" formatCode="&quot;¥&quot;#,##0.00;[Red]&quot;¥&quot;\-#,##0.00"/>
    <numFmt numFmtId="176" formatCode="0.00_ "/>
    <numFmt numFmtId="177" formatCode="0.0_);[Red]\(0.0\)"/>
    <numFmt numFmtId="178" formatCode="0.0_ ;[Red]\-0.0\ "/>
    <numFmt numFmtId="179" formatCode="#,##0.0_ "/>
    <numFmt numFmtId="180" formatCode="0.00_ ;[Red]\-0.00\ "/>
    <numFmt numFmtId="181" formatCode="0.0%"/>
    <numFmt numFmtId="182" formatCode="0.00_);[Red]\(0.00\)"/>
    <numFmt numFmtId="183" formatCode="0_ "/>
    <numFmt numFmtId="184" formatCode="0_);[Red]\(0\)"/>
  </numFmts>
  <fonts count="62" x14ac:knownFonts="1">
    <font>
      <sz val="10"/>
      <name val="Arial"/>
      <charset val="134"/>
    </font>
    <font>
      <sz val="11"/>
      <color theme="1"/>
      <name val="宋体"/>
      <family val="2"/>
      <scheme val="minor"/>
    </font>
    <font>
      <sz val="9"/>
      <name val="宋体"/>
      <family val="3"/>
      <charset val="134"/>
      <scheme val="minor"/>
    </font>
    <font>
      <sz val="7.5"/>
      <color rgb="FF000000"/>
      <name val="宋体"/>
      <family val="3"/>
      <charset val="134"/>
      <scheme val="minor"/>
    </font>
    <font>
      <sz val="8"/>
      <color rgb="FF000000"/>
      <name val="宋体"/>
      <family val="3"/>
      <charset val="134"/>
      <scheme val="minor"/>
    </font>
    <font>
      <sz val="12"/>
      <color theme="1"/>
      <name val="宋体"/>
      <family val="3"/>
      <charset val="134"/>
      <scheme val="minor"/>
    </font>
    <font>
      <sz val="10"/>
      <name val="Arial"/>
      <family val="2"/>
    </font>
    <font>
      <sz val="9"/>
      <name val="Arial"/>
      <family val="2"/>
    </font>
    <font>
      <sz val="10"/>
      <name val="宋体"/>
      <family val="3"/>
      <charset val="134"/>
    </font>
    <font>
      <sz val="8"/>
      <color rgb="FFFF0000"/>
      <name val="宋体"/>
      <family val="3"/>
      <charset val="134"/>
      <scheme val="minor"/>
    </font>
    <font>
      <sz val="12"/>
      <name val="宋体"/>
      <family val="3"/>
      <charset val="134"/>
    </font>
    <font>
      <sz val="9"/>
      <name val="宋体"/>
      <family val="3"/>
      <charset val="134"/>
    </font>
    <font>
      <sz val="12"/>
      <color rgb="FF000000"/>
      <name val="宋体"/>
      <family val="3"/>
      <charset val="134"/>
    </font>
    <font>
      <sz val="10"/>
      <name val="Arial"/>
      <family val="3"/>
    </font>
    <font>
      <sz val="10"/>
      <name val="Arial"/>
      <family val="3"/>
      <charset val="134"/>
    </font>
    <font>
      <sz val="12"/>
      <name val="Arial"/>
      <family val="2"/>
    </font>
    <font>
      <b/>
      <sz val="10"/>
      <name val="宋体"/>
      <family val="3"/>
      <charset val="134"/>
    </font>
    <font>
      <sz val="10"/>
      <color rgb="FF000000"/>
      <name val="Times New Roman"/>
      <family val="1"/>
    </font>
    <font>
      <sz val="10"/>
      <name val="宋体"/>
      <family val="3"/>
      <charset val="134"/>
      <scheme val="minor"/>
    </font>
    <font>
      <sz val="11"/>
      <color indexed="8"/>
      <name val="宋体"/>
      <family val="3"/>
      <charset val="134"/>
    </font>
    <font>
      <sz val="10"/>
      <name val="宋体"/>
      <family val="2"/>
      <charset val="134"/>
    </font>
    <font>
      <sz val="11"/>
      <color theme="1"/>
      <name val="宋体"/>
      <family val="3"/>
      <charset val="134"/>
      <scheme val="minor"/>
    </font>
    <font>
      <sz val="10"/>
      <name val="Arial"/>
      <family val="2"/>
      <charset val="134"/>
    </font>
    <font>
      <sz val="10"/>
      <color rgb="FFFF0000"/>
      <name val="宋体"/>
      <family val="3"/>
      <charset val="134"/>
    </font>
    <font>
      <b/>
      <sz val="10"/>
      <name val="Arial"/>
      <family val="2"/>
    </font>
    <font>
      <b/>
      <sz val="10"/>
      <name val="宋体"/>
      <family val="3"/>
      <charset val="134"/>
      <scheme val="minor"/>
    </font>
    <font>
      <b/>
      <sz val="16"/>
      <color theme="1"/>
      <name val="宋体"/>
      <family val="3"/>
      <charset val="134"/>
    </font>
    <font>
      <b/>
      <sz val="12"/>
      <name val="宋体"/>
      <family val="3"/>
      <charset val="134"/>
      <scheme val="minor"/>
    </font>
    <font>
      <sz val="12"/>
      <name val="宋体"/>
      <family val="3"/>
      <charset val="134"/>
      <scheme val="minor"/>
    </font>
    <font>
      <sz val="12"/>
      <color rgb="FF000000"/>
      <name val="宋体"/>
      <family val="3"/>
      <charset val="134"/>
      <scheme val="minor"/>
    </font>
    <font>
      <b/>
      <sz val="12"/>
      <color rgb="FF000000"/>
      <name val="宋体"/>
      <family val="3"/>
      <charset val="134"/>
      <scheme val="minor"/>
    </font>
    <font>
      <b/>
      <sz val="12"/>
      <color theme="1"/>
      <name val="宋体"/>
      <family val="3"/>
      <charset val="134"/>
      <scheme val="minor"/>
    </font>
    <font>
      <sz val="12"/>
      <color rgb="FF000000"/>
      <name val="Times New Roman"/>
      <family val="1"/>
    </font>
    <font>
      <sz val="12"/>
      <color rgb="FF000000"/>
      <name val="宋体"/>
      <family val="1"/>
      <charset val="134"/>
    </font>
    <font>
      <b/>
      <sz val="12"/>
      <color rgb="FF000000"/>
      <name val="宋体"/>
      <family val="3"/>
      <charset val="134"/>
    </font>
    <font>
      <b/>
      <sz val="12"/>
      <color rgb="FFFF0000"/>
      <name val="宋体"/>
      <family val="3"/>
      <charset val="134"/>
    </font>
    <font>
      <sz val="10"/>
      <color rgb="FFFF0000"/>
      <name val="Arial"/>
      <family val="2"/>
    </font>
    <font>
      <sz val="10"/>
      <color theme="1"/>
      <name val="宋体"/>
      <family val="3"/>
      <charset val="134"/>
    </font>
    <font>
      <sz val="10"/>
      <color theme="1"/>
      <name val="Arial"/>
      <family val="2"/>
    </font>
    <font>
      <b/>
      <sz val="10"/>
      <name val="宋体"/>
      <family val="2"/>
      <charset val="134"/>
    </font>
    <font>
      <sz val="9"/>
      <color indexed="81"/>
      <name val="宋体"/>
      <family val="3"/>
      <charset val="134"/>
    </font>
    <font>
      <b/>
      <sz val="9"/>
      <color indexed="81"/>
      <name val="宋体"/>
      <family val="3"/>
      <charset val="134"/>
    </font>
    <font>
      <u/>
      <sz val="10"/>
      <color theme="10"/>
      <name val="Arial"/>
      <family val="2"/>
    </font>
    <font>
      <sz val="14"/>
      <color rgb="FFFF0000"/>
      <name val="Microsoft YaHei UI"/>
      <family val="2"/>
      <charset val="134"/>
    </font>
    <font>
      <sz val="10.5"/>
      <name val="等线"/>
      <family val="3"/>
      <charset val="134"/>
    </font>
    <font>
      <b/>
      <sz val="10"/>
      <name val="Arial"/>
      <family val="2"/>
      <charset val="134"/>
    </font>
    <font>
      <b/>
      <sz val="9"/>
      <color indexed="8"/>
      <name val="宋体"/>
      <family val="3"/>
      <charset val="134"/>
      <scheme val="minor"/>
    </font>
    <font>
      <sz val="9"/>
      <color indexed="8"/>
      <name val="宋体"/>
      <family val="3"/>
      <charset val="134"/>
      <scheme val="minor"/>
    </font>
    <font>
      <sz val="9"/>
      <color indexed="8"/>
      <name val="Times New Roman"/>
      <family val="1"/>
    </font>
    <font>
      <sz val="9"/>
      <name val="Times New Roman"/>
      <family val="1"/>
    </font>
    <font>
      <sz val="12"/>
      <color indexed="8"/>
      <name val="Times New Roman"/>
      <family val="1"/>
    </font>
    <font>
      <sz val="12"/>
      <color indexed="8"/>
      <name val="黑体"/>
      <family val="3"/>
      <charset val="134"/>
    </font>
    <font>
      <b/>
      <sz val="16"/>
      <color rgb="FF000000"/>
      <name val="Times New Roman"/>
      <family val="1"/>
    </font>
    <font>
      <b/>
      <sz val="16"/>
      <color indexed="8"/>
      <name val="宋体"/>
      <family val="3"/>
      <charset val="134"/>
    </font>
    <font>
      <b/>
      <sz val="16"/>
      <color indexed="8"/>
      <name val="Times New Roman"/>
      <family val="1"/>
    </font>
    <font>
      <sz val="9"/>
      <color rgb="FF000000"/>
      <name val="微软雅黑"/>
      <family val="2"/>
      <charset val="134"/>
    </font>
    <font>
      <sz val="9"/>
      <color rgb="FF000000"/>
      <name val="Arial"/>
      <family val="2"/>
    </font>
    <font>
      <b/>
      <sz val="9"/>
      <color rgb="FF000000"/>
      <name val="微软雅黑"/>
      <family val="2"/>
      <charset val="134"/>
    </font>
    <font>
      <sz val="10"/>
      <name val="微软雅黑"/>
      <family val="2"/>
      <charset val="134"/>
    </font>
    <font>
      <sz val="11"/>
      <color rgb="FF000000"/>
      <name val="微软雅黑"/>
      <family val="2"/>
      <charset val="134"/>
    </font>
    <font>
      <sz val="11"/>
      <color rgb="FF000000"/>
      <name val="Arial"/>
      <family val="2"/>
    </font>
    <font>
      <b/>
      <sz val="11"/>
      <color rgb="FF000000"/>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92D050"/>
        <bgColor indexed="64"/>
      </patternFill>
    </fill>
    <fill>
      <patternFill patternType="solid">
        <fgColor rgb="FFFFFF00"/>
        <bgColor indexed="64"/>
      </patternFill>
    </fill>
    <fill>
      <patternFill patternType="solid">
        <fgColor indexed="9"/>
        <bgColor indexed="64"/>
      </patternFill>
    </fill>
    <fill>
      <patternFill patternType="solid">
        <fgColor rgb="FFE7EAF1"/>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indexed="64"/>
      </bottom>
      <diagonal/>
    </border>
    <border>
      <left/>
      <right style="medium">
        <color indexed="64"/>
      </right>
      <top/>
      <bottom style="medium">
        <color indexed="64"/>
      </bottom>
      <diagonal/>
    </border>
    <border>
      <left/>
      <right style="medium">
        <color indexed="64"/>
      </right>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right style="thin">
        <color auto="1"/>
      </right>
      <top/>
      <bottom style="thin">
        <color auto="1"/>
      </bottom>
      <diagonal/>
    </border>
    <border>
      <left/>
      <right/>
      <top/>
      <bottom style="medium">
        <color auto="1"/>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000000"/>
      </left>
      <right style="medium">
        <color rgb="FF000000"/>
      </right>
      <top style="medium">
        <color rgb="FF000000"/>
      </top>
      <bottom style="medium">
        <color rgb="FF000000"/>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auto="1"/>
      </bottom>
      <diagonal/>
    </border>
  </borders>
  <cellStyleXfs count="12">
    <xf numFmtId="0" fontId="0" fillId="0" borderId="0">
      <alignment vertical="center"/>
    </xf>
    <xf numFmtId="9" fontId="5" fillId="0" borderId="0" applyFont="0" applyFill="0" applyBorder="0" applyAlignment="0" applyProtection="0">
      <alignment vertical="center"/>
    </xf>
    <xf numFmtId="0" fontId="6" fillId="0" borderId="0">
      <alignment vertical="center"/>
    </xf>
    <xf numFmtId="0" fontId="17" fillId="0" borderId="0"/>
    <xf numFmtId="0" fontId="10" fillId="0" borderId="0"/>
    <xf numFmtId="0" fontId="10" fillId="0" borderId="0">
      <alignment vertical="center"/>
    </xf>
    <xf numFmtId="0" fontId="1" fillId="0" borderId="0"/>
    <xf numFmtId="0" fontId="21" fillId="0" borderId="0">
      <alignment vertical="center"/>
    </xf>
    <xf numFmtId="0" fontId="21" fillId="0" borderId="0">
      <alignment vertical="center"/>
    </xf>
    <xf numFmtId="0" fontId="10" fillId="0" borderId="0">
      <alignment vertical="center"/>
    </xf>
    <xf numFmtId="0" fontId="19" fillId="0" borderId="0">
      <alignment vertical="center"/>
    </xf>
    <xf numFmtId="0" fontId="42" fillId="0" borderId="0" applyNumberFormat="0" applyFill="0" applyBorder="0" applyAlignment="0" applyProtection="0">
      <alignment vertical="center"/>
    </xf>
  </cellStyleXfs>
  <cellXfs count="359">
    <xf numFmtId="0" fontId="0" fillId="0" borderId="0" xfId="0" applyFont="1">
      <alignment vertical="center"/>
    </xf>
    <xf numFmtId="0" fontId="0" fillId="0" borderId="1" xfId="0" applyFont="1" applyBorder="1">
      <alignment vertical="center"/>
    </xf>
    <xf numFmtId="0" fontId="8" fillId="0" borderId="0" xfId="0" applyFont="1">
      <alignment vertical="center"/>
    </xf>
    <xf numFmtId="0" fontId="8" fillId="0" borderId="1" xfId="0" applyFont="1" applyBorder="1">
      <alignment vertical="center"/>
    </xf>
    <xf numFmtId="0" fontId="8" fillId="0" borderId="1" xfId="0" applyFont="1" applyBorder="1" applyAlignment="1">
      <alignment horizontal="center" vertical="center" wrapText="1"/>
    </xf>
    <xf numFmtId="9" fontId="6" fillId="0" borderId="1" xfId="0" applyNumberFormat="1" applyFont="1" applyBorder="1" applyAlignment="1">
      <alignment horizontal="center" vertical="center"/>
    </xf>
    <xf numFmtId="0" fontId="14" fillId="0" borderId="0" xfId="0" applyFont="1">
      <alignment vertical="center"/>
    </xf>
    <xf numFmtId="2" fontId="0" fillId="0" borderId="1" xfId="0" applyNumberFormat="1" applyBorder="1" applyAlignment="1">
      <alignment horizontal="center" vertical="center"/>
    </xf>
    <xf numFmtId="0" fontId="3" fillId="0" borderId="0" xfId="0" applyFont="1" applyBorder="1" applyAlignment="1">
      <alignment horizontal="center" vertical="center" wrapText="1"/>
    </xf>
    <xf numFmtId="176" fontId="4" fillId="0" borderId="0" xfId="0" applyNumberFormat="1" applyFont="1" applyBorder="1" applyAlignment="1">
      <alignment horizontal="center" vertical="center" wrapText="1"/>
    </xf>
    <xf numFmtId="0" fontId="4" fillId="0" borderId="0" xfId="0" applyFont="1" applyBorder="1" applyAlignment="1">
      <alignment horizontal="center" vertical="center" wrapText="1"/>
    </xf>
    <xf numFmtId="176" fontId="9" fillId="0" borderId="0" xfId="0" applyNumberFormat="1" applyFont="1" applyFill="1" applyBorder="1" applyAlignment="1">
      <alignment horizontal="center" vertical="center" wrapText="1"/>
    </xf>
    <xf numFmtId="0" fontId="8" fillId="0" borderId="1" xfId="0" applyFont="1" applyFill="1" applyBorder="1">
      <alignment vertical="center"/>
    </xf>
    <xf numFmtId="0" fontId="8" fillId="0" borderId="1" xfId="0" applyFont="1" applyBorder="1" applyAlignment="1">
      <alignment horizontal="right" vertical="center"/>
    </xf>
    <xf numFmtId="0" fontId="12" fillId="0" borderId="0" xfId="0" applyFont="1" applyAlignment="1">
      <alignment horizontal="center" vertical="center"/>
    </xf>
    <xf numFmtId="0" fontId="14" fillId="0" borderId="1" xfId="0" applyFont="1" applyBorder="1">
      <alignment vertical="center"/>
    </xf>
    <xf numFmtId="0" fontId="0" fillId="0" borderId="1" xfId="0" applyBorder="1">
      <alignment vertical="center"/>
    </xf>
    <xf numFmtId="0" fontId="6" fillId="0" borderId="1" xfId="0" applyFont="1" applyBorder="1" applyAlignment="1">
      <alignment horizontal="center" vertical="center"/>
    </xf>
    <xf numFmtId="0" fontId="6" fillId="0" borderId="1" xfId="0" applyFont="1" applyBorder="1" applyAlignment="1">
      <alignment horizontal="right" vertical="center"/>
    </xf>
    <xf numFmtId="0" fontId="8" fillId="0" borderId="1" xfId="0" applyFont="1"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vertical="center"/>
    </xf>
    <xf numFmtId="0" fontId="0" fillId="0" borderId="0" xfId="0">
      <alignment vertical="center"/>
    </xf>
    <xf numFmtId="0" fontId="0" fillId="0" borderId="1" xfId="0" applyBorder="1" applyAlignment="1">
      <alignment horizontal="left" vertical="center"/>
    </xf>
    <xf numFmtId="9" fontId="0" fillId="0" borderId="1" xfId="0" applyNumberFormat="1" applyBorder="1" applyAlignment="1">
      <alignment horizontal="center" vertical="center"/>
    </xf>
    <xf numFmtId="0" fontId="8" fillId="0" borderId="1" xfId="0" applyFont="1" applyBorder="1" applyAlignment="1">
      <alignment horizontal="left" vertical="center" wrapText="1"/>
    </xf>
    <xf numFmtId="49" fontId="8" fillId="0" borderId="1" xfId="0" applyNumberFormat="1" applyFont="1" applyBorder="1" applyAlignment="1">
      <alignment horizontal="left" vertical="center" wrapText="1"/>
    </xf>
    <xf numFmtId="1" fontId="0" fillId="0" borderId="1" xfId="0" applyNumberFormat="1" applyBorder="1" applyAlignment="1">
      <alignment horizontal="center" vertical="center"/>
    </xf>
    <xf numFmtId="0" fontId="8" fillId="0" borderId="1" xfId="0" applyFont="1"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vertical="center"/>
    </xf>
    <xf numFmtId="0" fontId="8" fillId="0" borderId="1" xfId="0" applyFont="1" applyBorder="1" applyAlignment="1">
      <alignment horizontal="center" vertical="center"/>
    </xf>
    <xf numFmtId="0" fontId="16" fillId="0" borderId="1" xfId="0" applyFont="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left" vertical="center"/>
    </xf>
    <xf numFmtId="0" fontId="16" fillId="3" borderId="1" xfId="0" applyFont="1" applyFill="1" applyBorder="1" applyAlignment="1">
      <alignment horizontal="left" vertical="center"/>
    </xf>
    <xf numFmtId="0" fontId="23" fillId="0" borderId="1" xfId="0" applyFont="1" applyBorder="1" applyAlignment="1">
      <alignment horizontal="center" vertical="center" wrapText="1"/>
    </xf>
    <xf numFmtId="0" fontId="14" fillId="0" borderId="1" xfId="0" applyFont="1" applyBorder="1" applyAlignment="1">
      <alignment vertical="center" wrapText="1"/>
    </xf>
    <xf numFmtId="0" fontId="8" fillId="0" borderId="1" xfId="0" applyFont="1" applyFill="1" applyBorder="1" applyAlignment="1">
      <alignment horizontal="center" vertical="center"/>
    </xf>
    <xf numFmtId="0" fontId="6" fillId="0" borderId="1" xfId="0" applyFont="1" applyFill="1" applyBorder="1" applyAlignment="1">
      <alignment horizontal="left" vertical="center"/>
    </xf>
    <xf numFmtId="0" fontId="8" fillId="0" borderId="1" xfId="0" applyFont="1" applyFill="1" applyBorder="1" applyAlignment="1">
      <alignment horizontal="left" vertical="center"/>
    </xf>
    <xf numFmtId="0" fontId="6" fillId="0" borderId="1" xfId="0" applyFont="1" applyFill="1" applyBorder="1" applyAlignment="1">
      <alignment horizontal="center" vertical="center"/>
    </xf>
    <xf numFmtId="0" fontId="22" fillId="0" borderId="1" xfId="0" applyFont="1" applyBorder="1" applyAlignment="1">
      <alignment vertical="center" wrapText="1"/>
    </xf>
    <xf numFmtId="0" fontId="18" fillId="0" borderId="1" xfId="0" applyFont="1" applyBorder="1" applyAlignment="1">
      <alignment horizontal="center" vertical="center"/>
    </xf>
    <xf numFmtId="0" fontId="25" fillId="0" borderId="1" xfId="0" applyFont="1" applyBorder="1" applyAlignment="1">
      <alignment horizontal="center" vertical="center"/>
    </xf>
    <xf numFmtId="0" fontId="18" fillId="0" borderId="1" xfId="0" applyFont="1" applyBorder="1">
      <alignment vertical="center"/>
    </xf>
    <xf numFmtId="0" fontId="24" fillId="0" borderId="0" xfId="0" applyFont="1">
      <alignment vertical="center"/>
    </xf>
    <xf numFmtId="0" fontId="27" fillId="0" borderId="1" xfId="0" applyFont="1" applyFill="1" applyBorder="1" applyAlignment="1">
      <alignment horizontal="center" vertical="center"/>
    </xf>
    <xf numFmtId="0" fontId="27" fillId="0" borderId="1" xfId="0" applyFont="1" applyFill="1" applyBorder="1" applyAlignment="1">
      <alignment horizontal="center" vertical="center" wrapText="1"/>
    </xf>
    <xf numFmtId="176" fontId="27" fillId="0" borderId="1" xfId="0" applyNumberFormat="1" applyFont="1" applyFill="1" applyBorder="1" applyAlignment="1">
      <alignment horizontal="center" vertical="center" wrapText="1"/>
    </xf>
    <xf numFmtId="0" fontId="27" fillId="0" borderId="1" xfId="0" applyFont="1" applyBorder="1" applyAlignment="1">
      <alignment horizontal="left" vertical="center"/>
    </xf>
    <xf numFmtId="0" fontId="27" fillId="0" borderId="1" xfId="0" applyFont="1" applyBorder="1" applyAlignment="1">
      <alignment horizontal="justify" vertical="center"/>
    </xf>
    <xf numFmtId="0" fontId="27" fillId="0" borderId="1" xfId="0" applyFont="1" applyBorder="1" applyAlignment="1">
      <alignment horizontal="center" vertical="center"/>
    </xf>
    <xf numFmtId="1" fontId="27" fillId="0" borderId="1" xfId="0" applyNumberFormat="1" applyFont="1" applyBorder="1" applyAlignment="1">
      <alignment horizontal="center" vertical="center"/>
    </xf>
    <xf numFmtId="176" fontId="27" fillId="0" borderId="1" xfId="0" applyNumberFormat="1" applyFont="1" applyBorder="1" applyAlignment="1">
      <alignment horizontal="center" vertical="center" wrapText="1"/>
    </xf>
    <xf numFmtId="0" fontId="28" fillId="0" borderId="1" xfId="0" applyFont="1" applyBorder="1" applyAlignment="1">
      <alignment horizontal="center" vertical="center"/>
    </xf>
    <xf numFmtId="0" fontId="29" fillId="0" borderId="1" xfId="0" applyFont="1" applyBorder="1" applyAlignment="1">
      <alignment horizontal="center" vertical="center" wrapText="1"/>
    </xf>
    <xf numFmtId="176" fontId="28" fillId="0" borderId="1" xfId="0" applyNumberFormat="1" applyFont="1" applyBorder="1" applyAlignment="1">
      <alignment horizontal="center" vertical="center"/>
    </xf>
    <xf numFmtId="0" fontId="28" fillId="0" borderId="1" xfId="0" applyFont="1" applyBorder="1" applyAlignment="1">
      <alignment horizontal="left" vertical="center" wrapText="1"/>
    </xf>
    <xf numFmtId="0" fontId="28" fillId="0" borderId="1" xfId="0" applyFont="1" applyBorder="1" applyAlignment="1">
      <alignment horizontal="right" vertical="center"/>
    </xf>
    <xf numFmtId="0" fontId="29" fillId="0" borderId="1" xfId="0" applyFont="1" applyBorder="1" applyAlignment="1">
      <alignment horizontal="right" vertical="center" wrapText="1"/>
    </xf>
    <xf numFmtId="0" fontId="28" fillId="0" borderId="1" xfId="0" applyFont="1" applyBorder="1" applyAlignment="1">
      <alignment horizontal="justify" vertical="center"/>
    </xf>
    <xf numFmtId="0" fontId="5" fillId="0" borderId="1" xfId="0" applyFont="1" applyBorder="1" applyAlignment="1">
      <alignment horizontal="center" vertical="center"/>
    </xf>
    <xf numFmtId="176" fontId="27" fillId="0" borderId="1" xfId="0" applyNumberFormat="1" applyFont="1" applyBorder="1" applyAlignment="1">
      <alignment horizontal="center" vertical="center"/>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7" fillId="0" borderId="1" xfId="0" applyFont="1" applyBorder="1" applyAlignment="1">
      <alignment horizontal="center"/>
    </xf>
    <xf numFmtId="0" fontId="27" fillId="0" borderId="1" xfId="0" applyFont="1" applyBorder="1">
      <alignment vertical="center"/>
    </xf>
    <xf numFmtId="0" fontId="28" fillId="0" borderId="1" xfId="0" applyFont="1" applyBorder="1">
      <alignment vertical="center"/>
    </xf>
    <xf numFmtId="176" fontId="30" fillId="2" borderId="1" xfId="0" applyNumberFormat="1" applyFont="1" applyFill="1" applyBorder="1" applyAlignment="1">
      <alignment horizontal="center" vertical="center" wrapText="1"/>
    </xf>
    <xf numFmtId="0" fontId="27" fillId="0" borderId="1" xfId="0" applyFont="1" applyBorder="1" applyAlignment="1"/>
    <xf numFmtId="0" fontId="30" fillId="0" borderId="1" xfId="0" applyFont="1" applyBorder="1" applyAlignment="1">
      <alignment horizontal="center" vertical="center" wrapText="1"/>
    </xf>
    <xf numFmtId="0" fontId="29" fillId="0" borderId="1" xfId="0" applyFont="1" applyBorder="1" applyAlignment="1">
      <alignment horizontal="left" vertical="center" wrapText="1"/>
    </xf>
    <xf numFmtId="176" fontId="29" fillId="0" borderId="1" xfId="0" applyNumberFormat="1" applyFont="1" applyBorder="1" applyAlignment="1">
      <alignment horizontal="center" vertical="center" wrapText="1"/>
    </xf>
    <xf numFmtId="0" fontId="29" fillId="0" borderId="0" xfId="0" applyFont="1" applyBorder="1" applyAlignment="1">
      <alignment horizontal="center" vertical="center" wrapText="1"/>
    </xf>
    <xf numFmtId="176" fontId="29" fillId="0" borderId="0" xfId="0" applyNumberFormat="1" applyFont="1" applyBorder="1" applyAlignment="1">
      <alignment horizontal="center" vertical="center" wrapText="1"/>
    </xf>
    <xf numFmtId="9" fontId="8" fillId="0" borderId="1" xfId="0" applyNumberFormat="1" applyFont="1" applyBorder="1" applyAlignment="1">
      <alignment horizontal="center" vertical="center"/>
    </xf>
    <xf numFmtId="2" fontId="18" fillId="0" borderId="1" xfId="0" applyNumberFormat="1" applyFont="1" applyBorder="1" applyAlignment="1">
      <alignment horizontal="center" vertical="center"/>
    </xf>
    <xf numFmtId="9" fontId="18" fillId="0" borderId="1" xfId="1" applyFont="1" applyBorder="1" applyAlignment="1">
      <alignment horizontal="center" vertical="center"/>
    </xf>
    <xf numFmtId="2" fontId="29" fillId="0" borderId="1" xfId="0" applyNumberFormat="1" applyFont="1" applyBorder="1" applyAlignment="1">
      <alignment horizontal="center" vertical="center" wrapText="1"/>
    </xf>
    <xf numFmtId="0" fontId="30" fillId="0" borderId="1" xfId="0" applyFont="1" applyBorder="1" applyAlignment="1">
      <alignment horizontal="left" vertical="center" wrapText="1"/>
    </xf>
    <xf numFmtId="0" fontId="31" fillId="0" borderId="1" xfId="0" applyFont="1" applyBorder="1" applyAlignment="1">
      <alignment horizontal="left" vertical="center" wrapText="1"/>
    </xf>
    <xf numFmtId="176" fontId="28" fillId="0" borderId="1" xfId="0" applyNumberFormat="1" applyFont="1" applyBorder="1" applyAlignment="1">
      <alignment horizontal="center" vertical="center" wrapText="1"/>
    </xf>
    <xf numFmtId="0" fontId="28" fillId="0" borderId="1" xfId="0" applyFont="1" applyFill="1" applyBorder="1" applyAlignment="1">
      <alignment horizontal="center" vertical="center" wrapText="1"/>
    </xf>
    <xf numFmtId="0" fontId="28" fillId="0" borderId="1" xfId="0" applyFont="1" applyFill="1" applyBorder="1" applyAlignment="1">
      <alignment horizontal="left" vertical="center" wrapText="1"/>
    </xf>
    <xf numFmtId="0" fontId="28" fillId="0" borderId="1" xfId="0" applyFont="1" applyBorder="1" applyAlignment="1">
      <alignment horizontal="left" vertical="center"/>
    </xf>
    <xf numFmtId="0" fontId="28" fillId="0" borderId="0" xfId="0" applyFont="1" applyBorder="1">
      <alignment vertical="center"/>
    </xf>
    <xf numFmtId="0" fontId="15" fillId="0" borderId="1" xfId="0" applyFont="1" applyBorder="1" applyAlignment="1">
      <alignment horizontal="left" vertical="center"/>
    </xf>
    <xf numFmtId="0" fontId="10" fillId="0" borderId="1" xfId="0" applyFont="1" applyBorder="1">
      <alignment vertical="center"/>
    </xf>
    <xf numFmtId="0" fontId="15" fillId="0" borderId="1" xfId="0" applyFont="1" applyBorder="1" applyAlignment="1">
      <alignment horizontal="center" vertical="center"/>
    </xf>
    <xf numFmtId="0" fontId="10" fillId="0" borderId="0" xfId="0" applyFont="1" applyAlignment="1">
      <alignment horizontal="center" vertical="center"/>
    </xf>
    <xf numFmtId="0" fontId="15" fillId="0" borderId="1" xfId="0" applyFont="1" applyBorder="1">
      <alignment vertical="center"/>
    </xf>
    <xf numFmtId="0" fontId="15" fillId="0" borderId="1" xfId="0" applyFont="1" applyBorder="1" applyAlignment="1">
      <alignment horizontal="right" vertical="center"/>
    </xf>
    <xf numFmtId="0" fontId="10" fillId="0" borderId="1" xfId="0" applyFont="1" applyBorder="1" applyAlignment="1">
      <alignment horizontal="right" vertical="center"/>
    </xf>
    <xf numFmtId="0" fontId="15" fillId="0" borderId="1" xfId="0" applyFont="1" applyBorder="1" applyAlignment="1"/>
    <xf numFmtId="0" fontId="10" fillId="0" borderId="1" xfId="0" applyFont="1" applyBorder="1" applyAlignment="1">
      <alignment horizontal="center" vertical="center"/>
    </xf>
    <xf numFmtId="0" fontId="15" fillId="0" borderId="1" xfId="0" applyFont="1" applyBorder="1" applyAlignment="1">
      <alignment horizontal="center"/>
    </xf>
    <xf numFmtId="0" fontId="10" fillId="0" borderId="1" xfId="0" applyFont="1" applyBorder="1" applyAlignment="1">
      <alignment horizontal="left" vertical="center"/>
    </xf>
    <xf numFmtId="0" fontId="15" fillId="0" borderId="1" xfId="0" applyFont="1" applyFill="1" applyBorder="1" applyAlignment="1">
      <alignment horizontal="center"/>
    </xf>
    <xf numFmtId="2" fontId="10" fillId="0" borderId="1" xfId="0" applyNumberFormat="1" applyFont="1" applyBorder="1">
      <alignment vertical="center"/>
    </xf>
    <xf numFmtId="10" fontId="10" fillId="0" borderId="1" xfId="1" applyNumberFormat="1" applyFont="1" applyBorder="1">
      <alignment vertical="center"/>
    </xf>
    <xf numFmtId="2" fontId="10" fillId="0" borderId="1" xfId="0" applyNumberFormat="1" applyFont="1" applyFill="1" applyBorder="1">
      <alignment vertical="center"/>
    </xf>
    <xf numFmtId="0" fontId="12" fillId="0" borderId="1" xfId="0" applyFont="1" applyBorder="1" applyAlignment="1">
      <alignment horizontal="center" vertical="center"/>
    </xf>
    <xf numFmtId="9" fontId="12" fillId="0" borderId="1" xfId="0" applyNumberFormat="1" applyFont="1" applyBorder="1" applyAlignment="1">
      <alignment horizontal="center" vertical="center"/>
    </xf>
    <xf numFmtId="2" fontId="12" fillId="0" borderId="1" xfId="0" applyNumberFormat="1" applyFont="1" applyBorder="1" applyAlignment="1">
      <alignment horizontal="center" vertical="center"/>
    </xf>
    <xf numFmtId="176" fontId="12" fillId="0" borderId="1" xfId="0" applyNumberFormat="1" applyFont="1" applyBorder="1" applyAlignment="1">
      <alignment horizontal="center" vertical="center"/>
    </xf>
    <xf numFmtId="0" fontId="15" fillId="0" borderId="0" xfId="0" applyFont="1">
      <alignment vertical="center"/>
    </xf>
    <xf numFmtId="0" fontId="29" fillId="0" borderId="1" xfId="0" applyFont="1" applyBorder="1" applyAlignment="1">
      <alignment horizontal="center" vertical="center"/>
    </xf>
    <xf numFmtId="2" fontId="29" fillId="0" borderId="1" xfId="0" applyNumberFormat="1" applyFont="1" applyBorder="1" applyAlignment="1">
      <alignment horizontal="center" vertical="center"/>
    </xf>
    <xf numFmtId="9" fontId="29" fillId="0" borderId="1" xfId="0" applyNumberFormat="1" applyFont="1" applyBorder="1" applyAlignment="1">
      <alignment horizontal="center" vertical="center"/>
    </xf>
    <xf numFmtId="176" fontId="29" fillId="0" borderId="1" xfId="0" applyNumberFormat="1" applyFont="1" applyBorder="1" applyAlignment="1">
      <alignment vertical="center"/>
    </xf>
    <xf numFmtId="176" fontId="29" fillId="0" borderId="1" xfId="0" applyNumberFormat="1" applyFont="1" applyBorder="1" applyAlignment="1">
      <alignment horizontal="center" vertical="center"/>
    </xf>
    <xf numFmtId="176" fontId="28" fillId="0" borderId="1" xfId="0" applyNumberFormat="1" applyFont="1" applyBorder="1">
      <alignment vertical="center"/>
    </xf>
    <xf numFmtId="0" fontId="12" fillId="0" borderId="0" xfId="0" applyFont="1" applyBorder="1" applyAlignment="1">
      <alignment horizontal="center" vertical="center"/>
    </xf>
    <xf numFmtId="0" fontId="29" fillId="0" borderId="0" xfId="0" applyFont="1" applyBorder="1" applyAlignment="1">
      <alignment horizontal="center" vertical="center"/>
    </xf>
    <xf numFmtId="176" fontId="29" fillId="0" borderId="0" xfId="0" applyNumberFormat="1" applyFont="1" applyBorder="1" applyAlignment="1">
      <alignment horizontal="center" vertical="center"/>
    </xf>
    <xf numFmtId="176" fontId="28" fillId="0" borderId="0" xfId="0" applyNumberFormat="1" applyFont="1" applyBorder="1">
      <alignment vertical="center"/>
    </xf>
    <xf numFmtId="0" fontId="28" fillId="0" borderId="1" xfId="0" applyFont="1" applyBorder="1" applyAlignment="1">
      <alignment horizontal="center"/>
    </xf>
    <xf numFmtId="0" fontId="27" fillId="0" borderId="1" xfId="4" applyFont="1" applyBorder="1" applyAlignment="1">
      <alignment horizontal="center" vertical="center"/>
    </xf>
    <xf numFmtId="10" fontId="28" fillId="0" borderId="1" xfId="4" applyNumberFormat="1" applyFont="1" applyBorder="1" applyAlignment="1">
      <alignment horizontal="center" vertical="center"/>
    </xf>
    <xf numFmtId="0" fontId="28" fillId="0" borderId="1" xfId="4" applyFont="1" applyBorder="1" applyAlignment="1">
      <alignment horizontal="center" vertical="center"/>
    </xf>
    <xf numFmtId="177" fontId="28" fillId="0" borderId="1" xfId="4" applyNumberFormat="1" applyFont="1" applyBorder="1" applyAlignment="1">
      <alignment horizontal="center" vertical="center"/>
    </xf>
    <xf numFmtId="177" fontId="27" fillId="0" borderId="1" xfId="4" applyNumberFormat="1" applyFont="1" applyBorder="1" applyAlignment="1">
      <alignment horizontal="center" vertical="center"/>
    </xf>
    <xf numFmtId="179" fontId="5" fillId="0" borderId="1" xfId="0" applyNumberFormat="1" applyFont="1" applyBorder="1" applyAlignment="1">
      <alignment horizontal="center" vertical="center" wrapText="1"/>
    </xf>
    <xf numFmtId="0" fontId="28" fillId="4" borderId="1" xfId="4" applyFont="1" applyFill="1" applyBorder="1" applyAlignment="1">
      <alignment horizontal="center" vertical="center"/>
    </xf>
    <xf numFmtId="0" fontId="27" fillId="4" borderId="1" xfId="4" applyFont="1" applyFill="1" applyBorder="1" applyAlignment="1">
      <alignment horizontal="center" vertical="center"/>
    </xf>
    <xf numFmtId="177" fontId="27" fillId="4" borderId="1" xfId="4" applyNumberFormat="1" applyFont="1" applyFill="1" applyBorder="1" applyAlignment="1">
      <alignment horizontal="center" vertical="center"/>
    </xf>
    <xf numFmtId="0" fontId="28" fillId="0" borderId="0" xfId="0" applyFont="1" applyAlignment="1"/>
    <xf numFmtId="9" fontId="28" fillId="0" borderId="1" xfId="0" applyNumberFormat="1" applyFont="1" applyBorder="1" applyAlignment="1">
      <alignment horizontal="center"/>
    </xf>
    <xf numFmtId="180" fontId="28" fillId="0" borderId="1" xfId="5" applyNumberFormat="1" applyFont="1" applyBorder="1" applyAlignment="1">
      <alignment horizontal="center" vertical="center" wrapText="1"/>
    </xf>
    <xf numFmtId="178" fontId="28" fillId="0" borderId="1" xfId="5" applyNumberFormat="1" applyFont="1" applyBorder="1" applyAlignment="1">
      <alignment horizontal="center" vertical="center" wrapText="1"/>
    </xf>
    <xf numFmtId="178" fontId="28" fillId="4" borderId="1" xfId="5" applyNumberFormat="1" applyFont="1" applyFill="1" applyBorder="1" applyAlignment="1">
      <alignment horizontal="center" vertical="center" wrapText="1"/>
    </xf>
    <xf numFmtId="0" fontId="34" fillId="0" borderId="1" xfId="0" applyFont="1" applyBorder="1" applyAlignment="1">
      <alignment horizontal="center" vertical="center" wrapText="1"/>
    </xf>
    <xf numFmtId="0" fontId="12" fillId="0" borderId="1" xfId="0" applyFont="1" applyBorder="1" applyAlignment="1">
      <alignment horizontal="center" vertical="center" wrapText="1"/>
    </xf>
    <xf numFmtId="2" fontId="12" fillId="0" borderId="1" xfId="0" applyNumberFormat="1" applyFont="1" applyBorder="1" applyAlignment="1">
      <alignment horizontal="center" vertical="center" wrapText="1"/>
    </xf>
    <xf numFmtId="176" fontId="12" fillId="0" borderId="1" xfId="0" applyNumberFormat="1" applyFont="1" applyBorder="1" applyAlignment="1">
      <alignment horizontal="center" vertical="center" wrapText="1"/>
    </xf>
    <xf numFmtId="0" fontId="34" fillId="0" borderId="1" xfId="0" applyFont="1" applyBorder="1" applyAlignment="1">
      <alignment horizontal="center" vertical="center"/>
    </xf>
    <xf numFmtId="1" fontId="12" fillId="0" borderId="1" xfId="0" applyNumberFormat="1" applyFont="1" applyBorder="1" applyAlignment="1">
      <alignment horizontal="center" vertical="center"/>
    </xf>
    <xf numFmtId="0" fontId="15" fillId="0" borderId="0" xfId="0" applyFont="1" applyAlignment="1"/>
    <xf numFmtId="8" fontId="12" fillId="0" borderId="0" xfId="0" applyNumberFormat="1" applyFont="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35" fillId="4" borderId="0" xfId="0" applyFont="1" applyFill="1">
      <alignment vertical="center"/>
    </xf>
    <xf numFmtId="0" fontId="28" fillId="0" borderId="1" xfId="0" applyFont="1" applyBorder="1" applyAlignment="1">
      <alignment horizontal="center" vertical="center" wrapText="1"/>
    </xf>
    <xf numFmtId="176" fontId="0" fillId="0" borderId="1" xfId="0" applyNumberFormat="1" applyBorder="1" applyAlignment="1">
      <alignment horizontal="center" vertical="center"/>
    </xf>
    <xf numFmtId="0" fontId="36" fillId="0" borderId="1" xfId="0" applyFont="1" applyBorder="1">
      <alignment vertical="center"/>
    </xf>
    <xf numFmtId="0" fontId="36" fillId="0" borderId="0" xfId="0" applyFont="1">
      <alignment vertical="center"/>
    </xf>
    <xf numFmtId="176" fontId="0" fillId="0" borderId="0" xfId="0" applyNumberFormat="1" applyFont="1">
      <alignment vertical="center"/>
    </xf>
    <xf numFmtId="2" fontId="28" fillId="0" borderId="1" xfId="0" applyNumberFormat="1"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2" fontId="12" fillId="0" borderId="1" xfId="0" applyNumberFormat="1" applyFont="1" applyFill="1" applyBorder="1" applyAlignment="1">
      <alignment horizontal="center" vertical="center" wrapText="1"/>
    </xf>
    <xf numFmtId="2" fontId="12" fillId="0" borderId="1"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xf>
    <xf numFmtId="2" fontId="29" fillId="0" borderId="1" xfId="0" applyNumberFormat="1" applyFont="1" applyFill="1" applyBorder="1" applyAlignment="1">
      <alignment horizontal="center" vertical="center" wrapText="1"/>
    </xf>
    <xf numFmtId="2" fontId="28" fillId="0" borderId="1" xfId="0" applyNumberFormat="1" applyFont="1" applyFill="1" applyBorder="1" applyAlignment="1">
      <alignment horizontal="center" vertical="center" wrapText="1"/>
    </xf>
    <xf numFmtId="176" fontId="29" fillId="0" borderId="1" xfId="0" applyNumberFormat="1" applyFont="1" applyFill="1" applyBorder="1" applyAlignment="1">
      <alignment horizontal="center" vertical="center" wrapText="1"/>
    </xf>
    <xf numFmtId="176" fontId="28" fillId="0" borderId="1" xfId="0" applyNumberFormat="1" applyFont="1" applyFill="1" applyBorder="1" applyAlignment="1">
      <alignment horizontal="center" vertical="center" wrapText="1"/>
    </xf>
    <xf numFmtId="176" fontId="28" fillId="0" borderId="1" xfId="0" applyNumberFormat="1" applyFont="1" applyFill="1" applyBorder="1" applyAlignment="1">
      <alignment vertical="center" wrapText="1"/>
    </xf>
    <xf numFmtId="0" fontId="30" fillId="0" borderId="1" xfId="0" applyFont="1" applyFill="1" applyBorder="1" applyAlignment="1">
      <alignment horizontal="center" vertical="center" wrapText="1"/>
    </xf>
    <xf numFmtId="0" fontId="37" fillId="0" borderId="1" xfId="0" applyFont="1" applyBorder="1">
      <alignment vertical="center"/>
    </xf>
    <xf numFmtId="0" fontId="37" fillId="0" borderId="1" xfId="0" applyFont="1" applyBorder="1" applyAlignment="1">
      <alignment horizontal="center" vertical="center"/>
    </xf>
    <xf numFmtId="0" fontId="37" fillId="0" borderId="1" xfId="0" applyFont="1" applyBorder="1" applyAlignment="1">
      <alignment horizontal="center" vertical="center" wrapText="1"/>
    </xf>
    <xf numFmtId="0" fontId="38" fillId="0" borderId="1" xfId="0" applyFont="1" applyBorder="1">
      <alignment vertical="center"/>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4" xfId="0" applyFont="1" applyBorder="1" applyAlignment="1">
      <alignment horizontal="center" vertical="center"/>
    </xf>
    <xf numFmtId="10" fontId="0" fillId="0" borderId="0" xfId="1" applyNumberFormat="1" applyFont="1">
      <alignment vertical="center"/>
    </xf>
    <xf numFmtId="0" fontId="8" fillId="0" borderId="1" xfId="0" applyFont="1" applyBorder="1" applyAlignment="1">
      <alignment vertical="center" wrapText="1"/>
    </xf>
    <xf numFmtId="182" fontId="0" fillId="0" borderId="0" xfId="0" applyNumberFormat="1" applyFont="1">
      <alignment vertical="center"/>
    </xf>
    <xf numFmtId="182" fontId="0" fillId="0" borderId="1" xfId="0" applyNumberFormat="1" applyBorder="1" applyAlignment="1">
      <alignment horizontal="center" vertical="center"/>
    </xf>
    <xf numFmtId="1" fontId="29" fillId="0" borderId="1" xfId="0" applyNumberFormat="1" applyFont="1" applyFill="1" applyBorder="1" applyAlignment="1">
      <alignment horizontal="center" vertical="center" wrapText="1"/>
    </xf>
    <xf numFmtId="183" fontId="30" fillId="0" borderId="1" xfId="0" applyNumberFormat="1" applyFont="1" applyFill="1" applyBorder="1" applyAlignment="1">
      <alignment horizontal="center" vertical="center" wrapText="1"/>
    </xf>
    <xf numFmtId="0" fontId="29" fillId="4" borderId="1" xfId="0" applyFont="1" applyFill="1" applyBorder="1" applyAlignment="1">
      <alignment horizontal="center" vertical="center" wrapText="1"/>
    </xf>
    <xf numFmtId="2" fontId="0" fillId="0" borderId="0" xfId="0" applyNumberFormat="1" applyFont="1" applyBorder="1">
      <alignment vertical="center"/>
    </xf>
    <xf numFmtId="0" fontId="0" fillId="0" borderId="0" xfId="0" applyBorder="1">
      <alignment vertical="center"/>
    </xf>
    <xf numFmtId="2" fontId="0" fillId="0" borderId="1" xfId="0" applyNumberFormat="1" applyBorder="1">
      <alignment vertical="center"/>
    </xf>
    <xf numFmtId="182" fontId="29" fillId="0" borderId="1" xfId="0" applyNumberFormat="1" applyFont="1" applyBorder="1" applyAlignment="1">
      <alignment horizontal="center" vertical="center"/>
    </xf>
    <xf numFmtId="182" fontId="28" fillId="0" borderId="1" xfId="0" applyNumberFormat="1" applyFont="1" applyBorder="1" applyAlignment="1"/>
    <xf numFmtId="182" fontId="12" fillId="0" borderId="1" xfId="0" applyNumberFormat="1" applyFont="1" applyBorder="1" applyAlignment="1">
      <alignment horizontal="center" vertical="center"/>
    </xf>
    <xf numFmtId="9" fontId="28" fillId="0" borderId="3" xfId="0" applyNumberFormat="1" applyFont="1" applyBorder="1" applyAlignment="1">
      <alignment horizontal="center" vertical="center"/>
    </xf>
    <xf numFmtId="10" fontId="28" fillId="0" borderId="3" xfId="0" applyNumberFormat="1" applyFont="1" applyBorder="1" applyAlignment="1">
      <alignment horizontal="center" vertical="center"/>
    </xf>
    <xf numFmtId="184" fontId="0" fillId="0" borderId="1" xfId="0" applyNumberFormat="1" applyBorder="1" applyAlignment="1">
      <alignment horizontal="center" vertical="center"/>
    </xf>
    <xf numFmtId="0" fontId="42" fillId="0" borderId="0" xfId="11">
      <alignment vertical="center"/>
    </xf>
    <xf numFmtId="0" fontId="0" fillId="0" borderId="0" xfId="0" applyFont="1" applyAlignment="1">
      <alignment vertical="center" wrapText="1"/>
    </xf>
    <xf numFmtId="0" fontId="8" fillId="0" borderId="1" xfId="0" applyFont="1" applyBorder="1" applyAlignment="1">
      <alignment horizontal="center" vertical="center"/>
    </xf>
    <xf numFmtId="0" fontId="8" fillId="0" borderId="0" xfId="0" applyFont="1" applyAlignment="1">
      <alignment horizontal="center" vertical="center"/>
    </xf>
    <xf numFmtId="0" fontId="8" fillId="4" borderId="1" xfId="0" applyFont="1" applyFill="1" applyBorder="1" applyAlignment="1">
      <alignment horizontal="center" vertical="center"/>
    </xf>
    <xf numFmtId="0" fontId="8" fillId="4" borderId="1" xfId="0" applyFont="1" applyFill="1" applyBorder="1" applyAlignment="1">
      <alignment horizontal="center" vertical="center" wrapText="1"/>
    </xf>
    <xf numFmtId="0" fontId="8" fillId="4" borderId="1" xfId="0" applyFont="1" applyFill="1" applyBorder="1">
      <alignment vertical="center"/>
    </xf>
    <xf numFmtId="0" fontId="14" fillId="4" borderId="1" xfId="0" applyFont="1" applyFill="1" applyBorder="1" applyAlignment="1">
      <alignment vertical="center" wrapText="1"/>
    </xf>
    <xf numFmtId="0" fontId="8" fillId="0" borderId="1" xfId="0" applyFont="1" applyBorder="1" applyAlignment="1">
      <alignment horizontal="center" vertical="center"/>
    </xf>
    <xf numFmtId="0" fontId="8" fillId="0" borderId="0" xfId="0" applyFont="1" applyAlignment="1">
      <alignment horizontal="center" vertical="center" wrapText="1"/>
    </xf>
    <xf numFmtId="0" fontId="0" fillId="0" borderId="1" xfId="0" applyFont="1" applyBorder="1" applyAlignment="1">
      <alignment vertical="center" wrapText="1"/>
    </xf>
    <xf numFmtId="0" fontId="6" fillId="0" borderId="1" xfId="0" applyFont="1" applyBorder="1" applyAlignment="1">
      <alignment vertical="center" wrapText="1"/>
    </xf>
    <xf numFmtId="0" fontId="16" fillId="0" borderId="0" xfId="0" applyFont="1">
      <alignment vertical="center"/>
    </xf>
    <xf numFmtId="0" fontId="8" fillId="0" borderId="1" xfId="0" applyFont="1" applyBorder="1" applyAlignment="1">
      <alignment horizontal="center" vertical="center" wrapText="1"/>
    </xf>
    <xf numFmtId="0" fontId="8" fillId="4" borderId="1" xfId="0" applyFont="1" applyFill="1" applyBorder="1" applyAlignment="1">
      <alignment vertical="center" wrapText="1"/>
    </xf>
    <xf numFmtId="0" fontId="43" fillId="0" borderId="0" xfId="0" applyFont="1">
      <alignment vertical="center"/>
    </xf>
    <xf numFmtId="2" fontId="0" fillId="0" borderId="7" xfId="0" applyNumberFormat="1" applyFont="1" applyFill="1" applyBorder="1">
      <alignment vertical="center"/>
    </xf>
    <xf numFmtId="2" fontId="0" fillId="0" borderId="0" xfId="0" applyNumberFormat="1" applyFont="1">
      <alignment vertical="center"/>
    </xf>
    <xf numFmtId="0" fontId="0" fillId="0" borderId="0" xfId="0" applyFont="1" applyBorder="1" applyAlignment="1">
      <alignment horizontal="center" vertical="center" wrapText="1"/>
    </xf>
    <xf numFmtId="0" fontId="8" fillId="0" borderId="0" xfId="0" applyFont="1" applyBorder="1" applyAlignment="1">
      <alignment horizontal="center" vertical="center"/>
    </xf>
    <xf numFmtId="0" fontId="8" fillId="0" borderId="0" xfId="0" applyFont="1" applyBorder="1">
      <alignment vertical="center"/>
    </xf>
    <xf numFmtId="0" fontId="8" fillId="0" borderId="0"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0" xfId="0" applyFont="1" applyAlignment="1">
      <alignment vertical="center" wrapText="1"/>
    </xf>
    <xf numFmtId="0" fontId="14" fillId="0" borderId="0" xfId="0" applyFont="1" applyAlignment="1">
      <alignment vertical="center" wrapText="1"/>
    </xf>
    <xf numFmtId="0" fontId="8" fillId="0" borderId="0" xfId="0" applyFont="1" applyFill="1" applyBorder="1" applyAlignment="1">
      <alignment horizontal="center" vertical="center" wrapText="1"/>
    </xf>
    <xf numFmtId="0" fontId="6" fillId="0" borderId="0" xfId="0" applyFont="1">
      <alignment vertical="center"/>
    </xf>
    <xf numFmtId="0" fontId="6" fillId="0" borderId="1" xfId="0" applyFont="1" applyBorder="1">
      <alignment vertical="center"/>
    </xf>
    <xf numFmtId="0" fontId="6" fillId="0" borderId="1" xfId="0" applyFont="1" applyFill="1" applyBorder="1">
      <alignment vertical="center"/>
    </xf>
    <xf numFmtId="0" fontId="14" fillId="0" borderId="0" xfId="0" applyFont="1" applyFill="1" applyBorder="1">
      <alignment vertical="center"/>
    </xf>
    <xf numFmtId="0" fontId="14" fillId="0" borderId="1" xfId="0" applyFont="1" applyFill="1" applyBorder="1">
      <alignment vertical="center"/>
    </xf>
    <xf numFmtId="0" fontId="6" fillId="0" borderId="1" xfId="0" applyFont="1" applyBorder="1" applyAlignment="1">
      <alignment horizontal="center" vertical="center" wrapText="1"/>
    </xf>
    <xf numFmtId="9" fontId="0" fillId="0" borderId="1" xfId="1" applyNumberFormat="1" applyFont="1" applyBorder="1" applyAlignment="1">
      <alignment vertical="center" wrapText="1"/>
    </xf>
    <xf numFmtId="0" fontId="0" fillId="0" borderId="0" xfId="0" applyFont="1" applyAlignment="1">
      <alignment horizontal="center" vertical="center"/>
    </xf>
    <xf numFmtId="0" fontId="44" fillId="0" borderId="1" xfId="0" applyFont="1" applyBorder="1" applyAlignment="1">
      <alignment horizontal="center" vertical="center" wrapText="1"/>
    </xf>
    <xf numFmtId="0" fontId="8" fillId="0" borderId="1" xfId="0" applyFont="1" applyFill="1" applyBorder="1" applyAlignment="1">
      <alignment horizontal="center" vertical="center" wrapText="1"/>
    </xf>
    <xf numFmtId="49" fontId="6" fillId="0" borderId="1" xfId="0" applyNumberFormat="1" applyFont="1" applyBorder="1">
      <alignment vertical="center"/>
    </xf>
    <xf numFmtId="0" fontId="0" fillId="0" borderId="1" xfId="0" applyFont="1" applyBorder="1" applyAlignment="1">
      <alignment horizontal="center" vertical="center"/>
    </xf>
    <xf numFmtId="0" fontId="8" fillId="0" borderId="0" xfId="0" applyFont="1" applyFill="1" applyBorder="1">
      <alignment vertical="center"/>
    </xf>
    <xf numFmtId="0" fontId="8" fillId="0" borderId="1" xfId="0" applyFont="1" applyFill="1" applyBorder="1" applyAlignment="1">
      <alignment vertical="center" wrapText="1"/>
    </xf>
    <xf numFmtId="0" fontId="6" fillId="0" borderId="0" xfId="0" applyFont="1" applyBorder="1">
      <alignment vertical="center"/>
    </xf>
    <xf numFmtId="0" fontId="0" fillId="0" borderId="0" xfId="0" applyFont="1" applyBorder="1" applyAlignment="1">
      <alignment vertical="center" wrapText="1"/>
    </xf>
    <xf numFmtId="9" fontId="0" fillId="0" borderId="0" xfId="1" applyNumberFormat="1" applyFont="1" applyBorder="1" applyAlignment="1">
      <alignment vertical="center" wrapText="1"/>
    </xf>
    <xf numFmtId="0" fontId="0" fillId="0" borderId="0" xfId="0" applyFont="1" applyBorder="1">
      <alignment vertical="center"/>
    </xf>
    <xf numFmtId="0" fontId="45" fillId="0" borderId="0" xfId="0" applyFont="1">
      <alignment vertical="center"/>
    </xf>
    <xf numFmtId="176" fontId="46" fillId="5" borderId="9" xfId="0" applyNumberFormat="1" applyFont="1" applyFill="1" applyBorder="1" applyAlignment="1">
      <alignment horizontal="center" vertical="center" wrapText="1"/>
    </xf>
    <xf numFmtId="176" fontId="46" fillId="5" borderId="11" xfId="0" applyNumberFormat="1" applyFont="1" applyFill="1" applyBorder="1" applyAlignment="1">
      <alignment horizontal="center" vertical="center" wrapText="1"/>
    </xf>
    <xf numFmtId="176" fontId="46" fillId="5" borderId="12" xfId="0" applyNumberFormat="1" applyFont="1" applyFill="1" applyBorder="1" applyAlignment="1">
      <alignment horizontal="center" vertical="center" wrapText="1"/>
    </xf>
    <xf numFmtId="176" fontId="47" fillId="0" borderId="10" xfId="0" applyNumberFormat="1" applyFont="1" applyBorder="1" applyAlignment="1">
      <alignment horizontal="center" vertical="center"/>
    </xf>
    <xf numFmtId="176" fontId="2" fillId="0" borderId="0" xfId="0" applyNumberFormat="1" applyFont="1" applyAlignment="1">
      <alignment horizontal="center" vertical="center"/>
    </xf>
    <xf numFmtId="176" fontId="48" fillId="0" borderId="6" xfId="0" applyNumberFormat="1" applyFont="1" applyBorder="1" applyAlignment="1">
      <alignment horizontal="center" vertical="center" wrapText="1"/>
    </xf>
    <xf numFmtId="176" fontId="48" fillId="0" borderId="1" xfId="0" applyNumberFormat="1" applyFont="1" applyBorder="1" applyAlignment="1">
      <alignment horizontal="center" vertical="center" wrapText="1"/>
    </xf>
    <xf numFmtId="176" fontId="49" fillId="0" borderId="0" xfId="0" applyNumberFormat="1" applyFont="1" applyAlignment="1">
      <alignment horizontal="center" vertical="center"/>
    </xf>
    <xf numFmtId="176" fontId="47" fillId="0" borderId="13" xfId="0" applyNumberFormat="1" applyFont="1" applyBorder="1" applyAlignment="1">
      <alignment horizontal="center" vertical="center"/>
    </xf>
    <xf numFmtId="176" fontId="48" fillId="0" borderId="14" xfId="0" applyNumberFormat="1" applyFont="1" applyBorder="1" applyAlignment="1">
      <alignment horizontal="center" vertical="center" wrapText="1"/>
    </xf>
    <xf numFmtId="176" fontId="47" fillId="0" borderId="9" xfId="0" applyNumberFormat="1" applyFont="1" applyBorder="1" applyAlignment="1">
      <alignment horizontal="center" vertical="center"/>
    </xf>
    <xf numFmtId="176" fontId="47" fillId="0" borderId="15" xfId="0" applyNumberFormat="1" applyFont="1" applyBorder="1" applyAlignment="1">
      <alignment horizontal="center" vertical="center"/>
    </xf>
    <xf numFmtId="176" fontId="48" fillId="0" borderId="12" xfId="0" applyNumberFormat="1" applyFont="1" applyBorder="1" applyAlignment="1">
      <alignment horizontal="center" vertical="center" wrapText="1"/>
    </xf>
    <xf numFmtId="176" fontId="2" fillId="0" borderId="15" xfId="0" applyNumberFormat="1" applyFont="1" applyBorder="1" applyAlignment="1">
      <alignment horizontal="center" vertical="center"/>
    </xf>
    <xf numFmtId="176" fontId="47" fillId="0" borderId="0" xfId="0" applyNumberFormat="1" applyFont="1" applyAlignment="1">
      <alignment horizontal="center" vertical="center"/>
    </xf>
    <xf numFmtId="176" fontId="50" fillId="0" borderId="0" xfId="0" applyNumberFormat="1" applyFont="1" applyAlignment="1">
      <alignment vertical="center"/>
    </xf>
    <xf numFmtId="176" fontId="52" fillId="0" borderId="8" xfId="0" applyNumberFormat="1" applyFont="1" applyBorder="1" applyAlignment="1">
      <alignment vertical="center"/>
    </xf>
    <xf numFmtId="176" fontId="54" fillId="0" borderId="8" xfId="0" applyNumberFormat="1" applyFont="1" applyBorder="1" applyAlignment="1">
      <alignment vertical="center"/>
    </xf>
    <xf numFmtId="176" fontId="46" fillId="5" borderId="1" xfId="0" applyNumberFormat="1" applyFont="1" applyFill="1" applyBorder="1" applyAlignment="1">
      <alignment horizontal="center" vertical="center" wrapText="1"/>
    </xf>
    <xf numFmtId="176" fontId="2" fillId="0" borderId="1" xfId="0" applyNumberFormat="1" applyFont="1" applyBorder="1" applyAlignment="1">
      <alignment horizontal="center" vertical="center"/>
    </xf>
    <xf numFmtId="0" fontId="39" fillId="0" borderId="1" xfId="0" applyFont="1" applyBorder="1" applyAlignment="1">
      <alignment horizontal="center" vertical="center"/>
    </xf>
    <xf numFmtId="0" fontId="39" fillId="0" borderId="1" xfId="0" applyFont="1" applyBorder="1" applyAlignment="1">
      <alignment horizontal="center" vertical="center" wrapText="1"/>
    </xf>
    <xf numFmtId="9" fontId="0" fillId="0" borderId="1" xfId="0" applyNumberFormat="1" applyFont="1" applyBorder="1" applyAlignment="1">
      <alignment horizontal="center" vertical="center"/>
    </xf>
    <xf numFmtId="0" fontId="14" fillId="0" borderId="1" xfId="0" applyFont="1" applyBorder="1" applyAlignment="1">
      <alignment horizontal="center" vertical="center"/>
    </xf>
    <xf numFmtId="182" fontId="0" fillId="0" borderId="1" xfId="0" applyNumberFormat="1" applyFont="1" applyBorder="1" applyAlignment="1">
      <alignment horizontal="center" vertical="center"/>
    </xf>
    <xf numFmtId="0" fontId="20" fillId="0" borderId="1" xfId="0" applyFont="1" applyBorder="1" applyAlignment="1">
      <alignment horizontal="center" vertical="center"/>
    </xf>
    <xf numFmtId="0" fontId="22" fillId="0" borderId="1" xfId="0" applyFont="1" applyBorder="1" applyAlignment="1">
      <alignment horizontal="center" vertical="center"/>
    </xf>
    <xf numFmtId="0" fontId="0" fillId="0" borderId="0" xfId="0" applyAlignment="1">
      <alignment vertical="center" wrapText="1"/>
    </xf>
    <xf numFmtId="176" fontId="0" fillId="0" borderId="0" xfId="0" applyNumberFormat="1">
      <alignment vertical="center"/>
    </xf>
    <xf numFmtId="9" fontId="0" fillId="0" borderId="0" xfId="1" applyNumberFormat="1" applyFont="1">
      <alignment vertical="center"/>
    </xf>
    <xf numFmtId="0" fontId="55" fillId="0" borderId="1" xfId="0" applyFont="1" applyBorder="1" applyAlignment="1">
      <alignment horizontal="center" vertical="center" wrapText="1" readingOrder="1"/>
    </xf>
    <xf numFmtId="0" fontId="55" fillId="0" borderId="1" xfId="0" applyFont="1" applyBorder="1" applyAlignment="1">
      <alignment horizontal="left" vertical="center" wrapText="1" readingOrder="1"/>
    </xf>
    <xf numFmtId="0" fontId="56" fillId="0" borderId="1" xfId="0" applyFont="1" applyBorder="1" applyAlignment="1">
      <alignment horizontal="center" vertical="center" wrapText="1" readingOrder="1"/>
    </xf>
    <xf numFmtId="9" fontId="56" fillId="0" borderId="1" xfId="1" applyFont="1" applyBorder="1" applyAlignment="1">
      <alignment horizontal="center" vertical="center" wrapText="1" readingOrder="1"/>
    </xf>
    <xf numFmtId="10" fontId="56" fillId="0" borderId="1" xfId="1" applyNumberFormat="1" applyFont="1" applyBorder="1" applyAlignment="1">
      <alignment horizontal="center" vertical="center" wrapText="1" readingOrder="1"/>
    </xf>
    <xf numFmtId="0" fontId="59" fillId="6" borderId="16" xfId="0" applyFont="1" applyFill="1" applyBorder="1" applyAlignment="1">
      <alignment horizontal="center" vertical="center" wrapText="1" readingOrder="1"/>
    </xf>
    <xf numFmtId="0" fontId="60" fillId="6" borderId="16" xfId="0" applyFont="1" applyFill="1" applyBorder="1" applyAlignment="1">
      <alignment horizontal="center" vertical="center" wrapText="1" readingOrder="1"/>
    </xf>
    <xf numFmtId="10" fontId="60" fillId="6" borderId="16" xfId="0" applyNumberFormat="1" applyFont="1" applyFill="1" applyBorder="1" applyAlignment="1">
      <alignment horizontal="center" vertical="center" wrapText="1" readingOrder="1"/>
    </xf>
    <xf numFmtId="0" fontId="8" fillId="0" borderId="0" xfId="0" applyFont="1" applyAlignment="1">
      <alignment vertical="center"/>
    </xf>
    <xf numFmtId="0" fontId="59" fillId="0" borderId="20" xfId="0" applyFont="1" applyBorder="1" applyAlignment="1">
      <alignment horizontal="center" vertical="center" wrapText="1" readingOrder="1"/>
    </xf>
    <xf numFmtId="0" fontId="61" fillId="0" borderId="20" xfId="0" applyFont="1" applyBorder="1" applyAlignment="1">
      <alignment horizontal="center" vertical="center" wrapText="1" readingOrder="1"/>
    </xf>
    <xf numFmtId="0" fontId="60" fillId="0" borderId="20" xfId="0" applyFont="1" applyBorder="1" applyAlignment="1">
      <alignment horizontal="center" vertical="center" wrapText="1" readingOrder="1"/>
    </xf>
    <xf numFmtId="0" fontId="18" fillId="0" borderId="2" xfId="0" applyFont="1" applyBorder="1" applyAlignment="1">
      <alignment vertical="center"/>
    </xf>
    <xf numFmtId="0" fontId="25" fillId="0" borderId="2" xfId="0" applyFont="1" applyBorder="1" applyAlignment="1">
      <alignment vertical="center"/>
    </xf>
    <xf numFmtId="0" fontId="58" fillId="0" borderId="0" xfId="0" applyFont="1">
      <alignment vertical="center"/>
    </xf>
    <xf numFmtId="1" fontId="0" fillId="0" borderId="0" xfId="0" applyNumberFormat="1" applyBorder="1" applyAlignment="1">
      <alignment horizontal="center" vertical="center"/>
    </xf>
    <xf numFmtId="0" fontId="6" fillId="0" borderId="0" xfId="0" applyFont="1" applyBorder="1" applyAlignment="1">
      <alignment horizontal="center" vertical="center"/>
    </xf>
    <xf numFmtId="0" fontId="58" fillId="0" borderId="0" xfId="0" applyFont="1" applyFill="1" applyBorder="1" applyAlignment="1">
      <alignment horizontal="left" vertical="center"/>
    </xf>
    <xf numFmtId="0" fontId="25" fillId="0" borderId="21" xfId="0" applyFont="1" applyBorder="1" applyAlignment="1">
      <alignment vertical="center"/>
    </xf>
    <xf numFmtId="0" fontId="25" fillId="0" borderId="6" xfId="0" applyFont="1" applyBorder="1" applyAlignment="1">
      <alignment horizontal="center" vertical="center"/>
    </xf>
    <xf numFmtId="0" fontId="25" fillId="0" borderId="22" xfId="0" applyFont="1" applyBorder="1" applyAlignment="1">
      <alignment vertical="center"/>
    </xf>
    <xf numFmtId="0" fontId="25" fillId="0" borderId="23" xfId="0" applyFont="1"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182"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16" fillId="0" borderId="6" xfId="0" applyFont="1" applyFill="1" applyBorder="1" applyAlignment="1">
      <alignment vertical="center"/>
    </xf>
    <xf numFmtId="0" fontId="16" fillId="0" borderId="0" xfId="0" applyFont="1" applyFill="1" applyBorder="1" applyAlignment="1">
      <alignment vertical="center"/>
    </xf>
    <xf numFmtId="0" fontId="18" fillId="0" borderId="2" xfId="0" applyFont="1" applyBorder="1" applyAlignment="1">
      <alignment vertical="center" wrapText="1"/>
    </xf>
    <xf numFmtId="0" fontId="22" fillId="0" borderId="1" xfId="0" applyFont="1" applyBorder="1">
      <alignment vertical="center"/>
    </xf>
    <xf numFmtId="0" fontId="58" fillId="0" borderId="1" xfId="0" applyFont="1" applyBorder="1">
      <alignment vertical="center"/>
    </xf>
    <xf numFmtId="0" fontId="0" fillId="0" borderId="2" xfId="0" applyBorder="1" applyAlignment="1">
      <alignment vertical="center"/>
    </xf>
    <xf numFmtId="2" fontId="8" fillId="0" borderId="1" xfId="0" applyNumberFormat="1" applyFont="1" applyBorder="1" applyAlignment="1">
      <alignment horizontal="center" vertical="center"/>
    </xf>
    <xf numFmtId="181" fontId="8" fillId="0" borderId="1" xfId="0" applyNumberFormat="1" applyFont="1" applyBorder="1" applyAlignment="1">
      <alignment horizontal="center" vertical="center"/>
    </xf>
    <xf numFmtId="0" fontId="8" fillId="0" borderId="5" xfId="0" applyFont="1" applyBorder="1" applyAlignment="1">
      <alignment vertical="center" wrapText="1"/>
    </xf>
    <xf numFmtId="0" fontId="16" fillId="4" borderId="2" xfId="0" applyFont="1" applyFill="1" applyBorder="1" applyAlignment="1">
      <alignment horizontal="center" vertical="center"/>
    </xf>
    <xf numFmtId="0" fontId="16" fillId="4" borderId="3" xfId="0" applyFont="1" applyFill="1" applyBorder="1" applyAlignment="1">
      <alignment horizontal="center" vertical="center"/>
    </xf>
    <xf numFmtId="0" fontId="16" fillId="4" borderId="4" xfId="0" applyFont="1" applyFill="1" applyBorder="1" applyAlignment="1">
      <alignment horizontal="center" vertical="center"/>
    </xf>
    <xf numFmtId="0" fontId="16" fillId="4" borderId="8" xfId="0" applyFont="1" applyFill="1" applyBorder="1" applyAlignment="1">
      <alignment horizontal="center" vertical="center"/>
    </xf>
    <xf numFmtId="0" fontId="59" fillId="6" borderId="17" xfId="0" applyFont="1" applyFill="1" applyBorder="1" applyAlignment="1">
      <alignment horizontal="center" vertical="center" wrapText="1" readingOrder="1"/>
    </xf>
    <xf numFmtId="0" fontId="59" fillId="6" borderId="18" xfId="0" applyFont="1" applyFill="1" applyBorder="1" applyAlignment="1">
      <alignment horizontal="center" vertical="center" wrapText="1" readingOrder="1"/>
    </xf>
    <xf numFmtId="0" fontId="59" fillId="6" borderId="19" xfId="0" applyFont="1" applyFill="1" applyBorder="1" applyAlignment="1">
      <alignment horizontal="center" vertical="center" wrapText="1" readingOrder="1"/>
    </xf>
    <xf numFmtId="0" fontId="16" fillId="4" borderId="24" xfId="0" applyFont="1" applyFill="1" applyBorder="1" applyAlignment="1">
      <alignment horizontal="center" vertical="center"/>
    </xf>
    <xf numFmtId="0" fontId="16" fillId="4" borderId="21" xfId="0" applyFont="1" applyFill="1"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0" fillId="0" borderId="6" xfId="0" applyFont="1" applyBorder="1" applyAlignment="1">
      <alignment horizontal="center" vertical="center"/>
    </xf>
    <xf numFmtId="0" fontId="8" fillId="0" borderId="0" xfId="0" applyFont="1" applyAlignment="1">
      <alignment horizontal="left" vertical="center" wrapText="1"/>
    </xf>
    <xf numFmtId="0" fontId="0" fillId="0" borderId="0" xfId="0" applyFont="1" applyAlignment="1">
      <alignment horizontal="left" vertical="center" wrapText="1"/>
    </xf>
    <xf numFmtId="0" fontId="8" fillId="0" borderId="1" xfId="0" applyFont="1" applyBorder="1" applyAlignment="1">
      <alignment horizontal="center" vertical="center"/>
    </xf>
    <xf numFmtId="0" fontId="44"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1" xfId="0" applyFont="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4" borderId="5" xfId="0" applyFont="1" applyFill="1" applyBorder="1" applyAlignment="1">
      <alignment horizontal="center" vertical="center"/>
    </xf>
    <xf numFmtId="0" fontId="8" fillId="4" borderId="7" xfId="0" applyFont="1" applyFill="1" applyBorder="1" applyAlignment="1">
      <alignment horizontal="center" vertical="center"/>
    </xf>
    <xf numFmtId="0" fontId="8" fillId="4" borderId="6" xfId="0" applyFont="1" applyFill="1" applyBorder="1" applyAlignment="1">
      <alignment horizontal="center" vertical="center"/>
    </xf>
    <xf numFmtId="0" fontId="55" fillId="0" borderId="1" xfId="0" applyFont="1" applyBorder="1" applyAlignment="1">
      <alignment horizontal="center" vertical="center" wrapText="1" readingOrder="1"/>
    </xf>
    <xf numFmtId="0" fontId="57" fillId="0" borderId="1" xfId="0" applyFont="1" applyBorder="1" applyAlignment="1">
      <alignment horizontal="center" vertical="center" wrapText="1" readingOrder="1"/>
    </xf>
    <xf numFmtId="0" fontId="56" fillId="0" borderId="1" xfId="0" applyFont="1" applyBorder="1" applyAlignment="1">
      <alignment horizontal="center" vertical="center" wrapText="1" readingOrder="1"/>
    </xf>
    <xf numFmtId="10" fontId="56" fillId="0" borderId="1" xfId="1" applyNumberFormat="1" applyFont="1" applyBorder="1" applyAlignment="1">
      <alignment horizontal="center" vertical="center" wrapText="1" readingOrder="1"/>
    </xf>
    <xf numFmtId="0" fontId="58" fillId="0" borderId="1" xfId="0" applyFont="1" applyBorder="1" applyAlignment="1">
      <alignment horizontal="center" vertical="center"/>
    </xf>
    <xf numFmtId="0" fontId="28" fillId="0" borderId="1" xfId="0" applyFont="1" applyBorder="1" applyAlignment="1">
      <alignment horizontal="center"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4" xfId="0" applyFont="1" applyBorder="1" applyAlignment="1">
      <alignment horizontal="center" vertical="center"/>
    </xf>
    <xf numFmtId="0" fontId="28"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0" fontId="26" fillId="3" borderId="1" xfId="0" applyFont="1" applyFill="1" applyBorder="1" applyAlignment="1">
      <alignment horizontal="center" vertical="center"/>
    </xf>
    <xf numFmtId="0" fontId="27" fillId="0" borderId="1" xfId="0" applyFont="1" applyBorder="1" applyAlignment="1">
      <alignment horizontal="center" vertical="center"/>
    </xf>
    <xf numFmtId="0" fontId="28" fillId="0" borderId="1" xfId="0" applyFont="1" applyBorder="1" applyAlignment="1">
      <alignment horizontal="center" vertical="center"/>
    </xf>
    <xf numFmtId="0" fontId="28" fillId="0" borderId="2" xfId="0" applyFont="1" applyBorder="1" applyAlignment="1">
      <alignment horizontal="center" vertical="center"/>
    </xf>
    <xf numFmtId="0" fontId="28" fillId="0" borderId="3" xfId="0" applyFont="1" applyBorder="1" applyAlignment="1">
      <alignment horizontal="center" vertical="center"/>
    </xf>
    <xf numFmtId="0" fontId="28" fillId="0" borderId="4" xfId="0" applyFont="1" applyBorder="1" applyAlignment="1">
      <alignment horizontal="center" vertical="center"/>
    </xf>
    <xf numFmtId="0" fontId="26" fillId="3" borderId="2" xfId="0" applyFont="1" applyFill="1" applyBorder="1" applyAlignment="1">
      <alignment horizontal="center" vertical="center"/>
    </xf>
    <xf numFmtId="0" fontId="26" fillId="3" borderId="3" xfId="0" applyFont="1" applyFill="1" applyBorder="1" applyAlignment="1">
      <alignment horizontal="center" vertical="center"/>
    </xf>
    <xf numFmtId="0" fontId="26" fillId="3" borderId="4" xfId="0" applyFont="1" applyFill="1" applyBorder="1" applyAlignment="1">
      <alignment horizontal="center" vertical="center"/>
    </xf>
    <xf numFmtId="0" fontId="10" fillId="0" borderId="1" xfId="0" applyFont="1" applyBorder="1" applyAlignment="1">
      <alignment horizontal="center" vertical="center"/>
    </xf>
    <xf numFmtId="0" fontId="34" fillId="0" borderId="1" xfId="0" applyFont="1" applyBorder="1" applyAlignment="1">
      <alignment horizontal="center" vertical="center" wrapText="1"/>
    </xf>
    <xf numFmtId="0" fontId="34" fillId="0" borderId="2" xfId="0" applyFont="1" applyBorder="1" applyAlignment="1">
      <alignment horizontal="center" vertical="center" wrapText="1"/>
    </xf>
    <xf numFmtId="0" fontId="34" fillId="0" borderId="4" xfId="0" applyFont="1" applyBorder="1" applyAlignment="1">
      <alignment horizontal="center" vertical="center" wrapText="1"/>
    </xf>
    <xf numFmtId="0" fontId="34" fillId="0" borderId="3" xfId="0" applyFont="1" applyBorder="1" applyAlignment="1">
      <alignment horizontal="center" vertical="center" wrapText="1"/>
    </xf>
    <xf numFmtId="0" fontId="12" fillId="0" borderId="0" xfId="0" applyFont="1" applyAlignment="1">
      <alignment horizontal="center" vertical="center"/>
    </xf>
    <xf numFmtId="10" fontId="12" fillId="0" borderId="0" xfId="0" applyNumberFormat="1" applyFont="1" applyAlignment="1">
      <alignment horizontal="center" vertical="center"/>
    </xf>
    <xf numFmtId="0" fontId="34" fillId="0" borderId="5" xfId="0" applyFont="1" applyBorder="1" applyAlignment="1">
      <alignment horizontal="center" vertical="center" wrapText="1"/>
    </xf>
    <xf numFmtId="0" fontId="34" fillId="0" borderId="6" xfId="0" applyFont="1" applyBorder="1" applyAlignment="1">
      <alignment horizontal="center" vertical="center" wrapText="1"/>
    </xf>
    <xf numFmtId="0" fontId="34" fillId="0" borderId="2" xfId="0" applyFont="1" applyBorder="1" applyAlignment="1">
      <alignment horizontal="center"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xf>
    <xf numFmtId="0" fontId="34" fillId="0" borderId="5" xfId="0" applyFont="1" applyBorder="1" applyAlignment="1">
      <alignment horizontal="center" vertical="center"/>
    </xf>
    <xf numFmtId="0" fontId="34" fillId="0" borderId="6" xfId="0" applyFont="1" applyBorder="1" applyAlignment="1">
      <alignment horizontal="center" vertical="center"/>
    </xf>
  </cellXfs>
  <cellStyles count="12">
    <cellStyle name="Jun 3 2" xfId="4" xr:uid="{9F18AC97-3540-48CD-885F-74F614527045}"/>
    <cellStyle name="百分比" xfId="1" builtinId="5"/>
    <cellStyle name="常规" xfId="0" builtinId="0"/>
    <cellStyle name="常规 12 2" xfId="6" xr:uid="{98521E28-9AD3-4D0D-83C0-F2753C84178E}"/>
    <cellStyle name="常规 2" xfId="2" xr:uid="{2DFE9E43-995E-44DB-9C4B-27EC46141B72}"/>
    <cellStyle name="常规 2 10" xfId="10" xr:uid="{160D7E0E-8594-43DD-844A-EE1A89E1C2D1}"/>
    <cellStyle name="常规 2 2" xfId="8" xr:uid="{42D0966F-B400-4639-896A-884BFC6447D5}"/>
    <cellStyle name="常规 3" xfId="3" xr:uid="{8A10AE73-BBDE-42FE-8F92-4F5D7F5ED128}"/>
    <cellStyle name="常规 4" xfId="5" xr:uid="{972F0DBA-7F54-4F61-BC72-7CE86DC487C5}"/>
    <cellStyle name="常规 5 2" xfId="9" xr:uid="{68903E4C-B8D6-4431-A6E2-4800322548C6}"/>
    <cellStyle name="常规 7" xfId="7" xr:uid="{6C71CC32-EAED-4528-ABA5-4D69A0CE553B}"/>
    <cellStyle name="超链接" xfId="11" builtinId="8"/>
  </cellStyles>
  <dxfs count="0"/>
  <tableStyles count="0" defaultTableStyle="TableStyleMedium2" defaultPivotStyle="PivotStyleLight16"/>
  <colors>
    <mruColors>
      <color rgb="FFFF77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544287</xdr:colOff>
      <xdr:row>132</xdr:row>
      <xdr:rowOff>66524</xdr:rowOff>
    </xdr:from>
    <xdr:to>
      <xdr:col>19</xdr:col>
      <xdr:colOff>90729</xdr:colOff>
      <xdr:row>192</xdr:row>
      <xdr:rowOff>117904</xdr:rowOff>
    </xdr:to>
    <xdr:pic>
      <xdr:nvPicPr>
        <xdr:cNvPr id="2" name="图片 1">
          <a:extLst>
            <a:ext uri="{FF2B5EF4-FFF2-40B4-BE49-F238E27FC236}">
              <a16:creationId xmlns:a16="http://schemas.microsoft.com/office/drawing/2014/main" id="{E3A5562F-C284-427B-AD3A-7541FDDDBAE2}"/>
            </a:ext>
          </a:extLst>
        </xdr:cNvPr>
        <xdr:cNvPicPr>
          <a:picLocks noChangeAspect="1"/>
        </xdr:cNvPicPr>
      </xdr:nvPicPr>
      <xdr:blipFill>
        <a:blip xmlns:r="http://schemas.openxmlformats.org/officeDocument/2006/relationships" r:embed="rId1"/>
        <a:stretch>
          <a:fillRect/>
        </a:stretch>
      </xdr:blipFill>
      <xdr:spPr>
        <a:xfrm>
          <a:off x="11931954" y="32149143"/>
          <a:ext cx="6597965" cy="11741428"/>
        </a:xfrm>
        <a:prstGeom prst="rect">
          <a:avLst/>
        </a:prstGeom>
      </xdr:spPr>
    </xdr:pic>
    <xdr:clientData/>
  </xdr:twoCellAnchor>
  <xdr:twoCellAnchor editAs="oneCell">
    <xdr:from>
      <xdr:col>7</xdr:col>
      <xdr:colOff>290289</xdr:colOff>
      <xdr:row>203</xdr:row>
      <xdr:rowOff>64982</xdr:rowOff>
    </xdr:from>
    <xdr:to>
      <xdr:col>19</xdr:col>
      <xdr:colOff>592668</xdr:colOff>
      <xdr:row>230</xdr:row>
      <xdr:rowOff>116140</xdr:rowOff>
    </xdr:to>
    <xdr:pic>
      <xdr:nvPicPr>
        <xdr:cNvPr id="3" name="图片 2">
          <a:extLst>
            <a:ext uri="{FF2B5EF4-FFF2-40B4-BE49-F238E27FC236}">
              <a16:creationId xmlns:a16="http://schemas.microsoft.com/office/drawing/2014/main" id="{88D96AF0-B31B-4D6F-9868-187A9E864145}"/>
            </a:ext>
          </a:extLst>
        </xdr:cNvPr>
        <xdr:cNvPicPr>
          <a:picLocks noChangeAspect="1"/>
        </xdr:cNvPicPr>
      </xdr:nvPicPr>
      <xdr:blipFill rotWithShape="1">
        <a:blip xmlns:r="http://schemas.openxmlformats.org/officeDocument/2006/relationships" r:embed="rId2"/>
        <a:srcRect t="4820" b="10619"/>
        <a:stretch/>
      </xdr:blipFill>
      <xdr:spPr>
        <a:xfrm rot="16200000">
          <a:off x="12375066" y="42826063"/>
          <a:ext cx="5318634" cy="799495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aike.baidu.com/item/%E6%97%85%E6%B8%B8%E9%A5%AD%E5%BA%97%E6%98%9F%E7%BA%A7%E7%9A%84%E5%88%92%E5%88%86%E4%B8%8E%E8%AF%84%E5%AE%9A/381657?fr=aladdin" TargetMode="External"/><Relationship Id="rId1" Type="http://schemas.openxmlformats.org/officeDocument/2006/relationships/hyperlink" Target="http://www.360doc.com/content/10/1210/13/4551898_76739419.s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B0389-B893-47E3-9556-FE19A8111FAA}">
  <dimension ref="A1:E92"/>
  <sheetViews>
    <sheetView zoomScaleNormal="100" workbookViewId="0">
      <selection activeCell="D8" sqref="D8"/>
    </sheetView>
  </sheetViews>
  <sheetFormatPr defaultColWidth="8.7265625" defaultRowHeight="12.5" x14ac:dyDescent="0.25"/>
  <cols>
    <col min="1" max="1" width="8.7265625" style="22"/>
    <col min="2" max="2" width="40.81640625" style="22" bestFit="1" customWidth="1"/>
    <col min="3" max="3" width="17.26953125" style="22" bestFit="1" customWidth="1"/>
    <col min="4" max="4" width="64.7265625" style="22" customWidth="1"/>
    <col min="5" max="5" width="47.7265625" style="22" bestFit="1" customWidth="1"/>
    <col min="6" max="16384" width="8.7265625" style="22"/>
  </cols>
  <sheetData>
    <row r="1" spans="1:5" ht="14.5" x14ac:dyDescent="0.25">
      <c r="A1" s="276" t="s">
        <v>725</v>
      </c>
    </row>
    <row r="2" spans="1:5" ht="13" x14ac:dyDescent="0.25">
      <c r="A2" s="298" t="s">
        <v>222</v>
      </c>
      <c r="B2" s="299"/>
      <c r="C2" s="299"/>
      <c r="D2" s="299"/>
      <c r="E2" s="300"/>
    </row>
    <row r="3" spans="1:5" ht="13" x14ac:dyDescent="0.25">
      <c r="A3" s="20" t="s">
        <v>141</v>
      </c>
      <c r="B3" s="20" t="s">
        <v>142</v>
      </c>
      <c r="C3" s="20" t="s">
        <v>143</v>
      </c>
      <c r="D3" s="20" t="s">
        <v>139</v>
      </c>
      <c r="E3" s="20" t="s">
        <v>144</v>
      </c>
    </row>
    <row r="4" spans="1:5" ht="13" x14ac:dyDescent="0.25">
      <c r="A4" s="23">
        <v>1</v>
      </c>
      <c r="B4" s="19" t="s">
        <v>145</v>
      </c>
      <c r="C4" s="7" t="str">
        <f>IFERROR((C5+C6),"由必填项计算可得")</f>
        <v>由必填项计算可得</v>
      </c>
      <c r="D4" s="3" t="s">
        <v>651</v>
      </c>
      <c r="E4" s="17" t="s">
        <v>228</v>
      </c>
    </row>
    <row r="5" spans="1:5" ht="13" x14ac:dyDescent="0.25">
      <c r="A5" s="33">
        <v>1.1000000000000001</v>
      </c>
      <c r="B5" s="31" t="s">
        <v>173</v>
      </c>
      <c r="C5" s="295" t="s">
        <v>830</v>
      </c>
      <c r="D5" s="3" t="s">
        <v>650</v>
      </c>
      <c r="E5" s="17" t="s">
        <v>228</v>
      </c>
    </row>
    <row r="6" spans="1:5" ht="13" x14ac:dyDescent="0.25">
      <c r="A6" s="33">
        <v>1.2</v>
      </c>
      <c r="B6" s="19" t="s">
        <v>238</v>
      </c>
      <c r="C6" s="295" t="s">
        <v>830</v>
      </c>
      <c r="D6" s="168" t="s">
        <v>651</v>
      </c>
      <c r="E6" s="17" t="s">
        <v>228</v>
      </c>
    </row>
    <row r="7" spans="1:5" ht="39" x14ac:dyDescent="0.25">
      <c r="A7" s="23">
        <v>2</v>
      </c>
      <c r="B7" s="209" t="s">
        <v>495</v>
      </c>
      <c r="C7" s="295" t="s">
        <v>830</v>
      </c>
      <c r="D7" s="168" t="s">
        <v>652</v>
      </c>
      <c r="E7" s="206" t="s">
        <v>839</v>
      </c>
    </row>
    <row r="8" spans="1:5" ht="52" x14ac:dyDescent="0.25">
      <c r="A8" s="23">
        <v>3</v>
      </c>
      <c r="B8" s="19" t="s">
        <v>836</v>
      </c>
      <c r="C8" s="144" t="str">
        <f>IFERROR((C9+C10),"由必填项计算可得")</f>
        <v>由必填项计算可得</v>
      </c>
      <c r="D8" s="26" t="s">
        <v>648</v>
      </c>
      <c r="E8" s="206" t="s">
        <v>839</v>
      </c>
    </row>
    <row r="9" spans="1:5" ht="13" x14ac:dyDescent="0.25">
      <c r="A9" s="21">
        <v>3.1</v>
      </c>
      <c r="B9" s="19" t="s">
        <v>835</v>
      </c>
      <c r="C9" s="295" t="s">
        <v>830</v>
      </c>
      <c r="D9" s="3" t="s">
        <v>649</v>
      </c>
      <c r="E9" s="17" t="s">
        <v>228</v>
      </c>
    </row>
    <row r="10" spans="1:5" ht="26" x14ac:dyDescent="0.25">
      <c r="A10" s="21">
        <v>3.2</v>
      </c>
      <c r="B10" s="19" t="s">
        <v>138</v>
      </c>
      <c r="C10" s="295" t="s">
        <v>830</v>
      </c>
      <c r="D10" s="3" t="s">
        <v>647</v>
      </c>
      <c r="E10" s="206" t="s">
        <v>646</v>
      </c>
    </row>
    <row r="11" spans="1:5" ht="14.5" x14ac:dyDescent="0.25">
      <c r="A11" s="279" t="s">
        <v>726</v>
      </c>
    </row>
    <row r="12" spans="1:5" ht="14.5" x14ac:dyDescent="0.25">
      <c r="A12" s="276" t="s">
        <v>725</v>
      </c>
    </row>
    <row r="13" spans="1:5" ht="13" x14ac:dyDescent="0.25">
      <c r="A13" s="298" t="s">
        <v>223</v>
      </c>
      <c r="B13" s="299"/>
      <c r="C13" s="299"/>
      <c r="D13" s="299"/>
      <c r="E13" s="300"/>
    </row>
    <row r="14" spans="1:5" ht="13" x14ac:dyDescent="0.25">
      <c r="A14" s="20" t="s">
        <v>141</v>
      </c>
      <c r="B14" s="20" t="s">
        <v>142</v>
      </c>
      <c r="C14" s="20" t="s">
        <v>143</v>
      </c>
      <c r="D14" s="20" t="s">
        <v>139</v>
      </c>
      <c r="E14" s="20" t="s">
        <v>144</v>
      </c>
    </row>
    <row r="15" spans="1:5" ht="26" x14ac:dyDescent="0.25">
      <c r="A15" s="21">
        <v>1</v>
      </c>
      <c r="B15" s="19" t="s">
        <v>233</v>
      </c>
      <c r="C15" s="288" t="s">
        <v>830</v>
      </c>
      <c r="D15" s="3" t="s">
        <v>684</v>
      </c>
      <c r="E15" s="208" t="s">
        <v>677</v>
      </c>
    </row>
    <row r="16" spans="1:5" ht="26" x14ac:dyDescent="0.25">
      <c r="A16" s="21">
        <v>2</v>
      </c>
      <c r="B16" s="19" t="s">
        <v>234</v>
      </c>
      <c r="C16" s="288" t="s">
        <v>830</v>
      </c>
      <c r="D16" s="3" t="s">
        <v>683</v>
      </c>
      <c r="E16" s="208" t="s">
        <v>678</v>
      </c>
    </row>
    <row r="17" spans="1:5" ht="26" x14ac:dyDescent="0.25">
      <c r="A17" s="21">
        <v>3</v>
      </c>
      <c r="B17" s="19" t="s">
        <v>237</v>
      </c>
      <c r="C17" s="288" t="s">
        <v>830</v>
      </c>
      <c r="D17" s="3" t="s">
        <v>681</v>
      </c>
      <c r="E17" s="208" t="s">
        <v>679</v>
      </c>
    </row>
    <row r="18" spans="1:5" ht="26" x14ac:dyDescent="0.25">
      <c r="A18" s="33">
        <v>4</v>
      </c>
      <c r="B18" s="19" t="s">
        <v>235</v>
      </c>
      <c r="C18" s="288" t="s">
        <v>830</v>
      </c>
      <c r="D18" s="45" t="s">
        <v>682</v>
      </c>
      <c r="E18" s="208" t="s">
        <v>680</v>
      </c>
    </row>
    <row r="19" spans="1:5" ht="26" x14ac:dyDescent="0.25">
      <c r="A19" s="33">
        <v>5</v>
      </c>
      <c r="B19" s="31" t="s">
        <v>174</v>
      </c>
      <c r="C19" s="288" t="s">
        <v>830</v>
      </c>
      <c r="D19" s="168" t="s">
        <v>653</v>
      </c>
      <c r="E19" s="17" t="s">
        <v>228</v>
      </c>
    </row>
    <row r="20" spans="1:5" ht="14.5" x14ac:dyDescent="0.25">
      <c r="A20" s="279" t="s">
        <v>726</v>
      </c>
      <c r="B20" s="202"/>
      <c r="C20" s="277"/>
      <c r="D20" s="204"/>
      <c r="E20" s="278"/>
    </row>
    <row r="21" spans="1:5" ht="14.5" x14ac:dyDescent="0.25">
      <c r="A21" s="276" t="s">
        <v>725</v>
      </c>
    </row>
    <row r="22" spans="1:5" ht="13" x14ac:dyDescent="0.25">
      <c r="A22" s="298" t="s">
        <v>224</v>
      </c>
      <c r="B22" s="299"/>
      <c r="C22" s="299"/>
      <c r="D22" s="299"/>
      <c r="E22" s="300"/>
    </row>
    <row r="23" spans="1:5" ht="13" x14ac:dyDescent="0.25">
      <c r="A23" s="20" t="s">
        <v>141</v>
      </c>
      <c r="B23" s="20" t="s">
        <v>142</v>
      </c>
      <c r="C23" s="20" t="s">
        <v>143</v>
      </c>
      <c r="D23" s="20" t="s">
        <v>139</v>
      </c>
      <c r="E23" s="20" t="s">
        <v>144</v>
      </c>
    </row>
    <row r="24" spans="1:5" ht="29.15" customHeight="1" x14ac:dyDescent="0.25">
      <c r="A24" s="21">
        <v>1</v>
      </c>
      <c r="B24" s="19" t="s">
        <v>146</v>
      </c>
      <c r="C24" s="76" t="s">
        <v>831</v>
      </c>
      <c r="D24" s="3" t="s">
        <v>670</v>
      </c>
      <c r="E24" s="297" t="s">
        <v>673</v>
      </c>
    </row>
    <row r="25" spans="1:5" ht="29.15" customHeight="1" x14ac:dyDescent="0.25">
      <c r="A25" s="21">
        <v>2</v>
      </c>
      <c r="B25" s="19" t="s">
        <v>147</v>
      </c>
      <c r="C25" s="76">
        <v>1</v>
      </c>
      <c r="D25" s="3" t="s">
        <v>670</v>
      </c>
      <c r="E25" s="168" t="s">
        <v>673</v>
      </c>
    </row>
    <row r="26" spans="1:5" ht="14.5" x14ac:dyDescent="0.25">
      <c r="A26" s="279" t="s">
        <v>726</v>
      </c>
    </row>
    <row r="27" spans="1:5" ht="14.5" x14ac:dyDescent="0.25">
      <c r="A27" s="276" t="s">
        <v>725</v>
      </c>
    </row>
    <row r="28" spans="1:5" ht="13" x14ac:dyDescent="0.25">
      <c r="A28" s="298" t="s">
        <v>241</v>
      </c>
      <c r="B28" s="299"/>
      <c r="C28" s="299"/>
      <c r="D28" s="299"/>
      <c r="E28" s="300"/>
    </row>
    <row r="29" spans="1:5" ht="13" x14ac:dyDescent="0.25">
      <c r="A29" s="20" t="s">
        <v>141</v>
      </c>
      <c r="B29" s="20" t="s">
        <v>142</v>
      </c>
      <c r="C29" s="20" t="s">
        <v>143</v>
      </c>
      <c r="D29" s="20" t="s">
        <v>139</v>
      </c>
      <c r="E29" s="20" t="s">
        <v>144</v>
      </c>
    </row>
    <row r="30" spans="1:5" ht="13" x14ac:dyDescent="0.25">
      <c r="A30" s="34">
        <v>1</v>
      </c>
      <c r="B30" s="35" t="s">
        <v>236</v>
      </c>
      <c r="C30" s="20" t="s">
        <v>727</v>
      </c>
      <c r="D30" s="20" t="s">
        <v>727</v>
      </c>
      <c r="E30" s="20" t="s">
        <v>148</v>
      </c>
    </row>
    <row r="31" spans="1:5" ht="13" x14ac:dyDescent="0.25">
      <c r="A31" s="21">
        <v>1.1000000000000001</v>
      </c>
      <c r="B31" s="19" t="s">
        <v>242</v>
      </c>
      <c r="C31" s="20" t="s">
        <v>727</v>
      </c>
      <c r="D31" s="20" t="s">
        <v>727</v>
      </c>
      <c r="E31" s="20" t="s">
        <v>727</v>
      </c>
    </row>
    <row r="32" spans="1:5" ht="65" x14ac:dyDescent="0.25">
      <c r="A32" s="18" t="s">
        <v>149</v>
      </c>
      <c r="B32" s="13" t="s">
        <v>243</v>
      </c>
      <c r="C32" s="287" t="s">
        <v>830</v>
      </c>
      <c r="D32" s="168" t="s">
        <v>706</v>
      </c>
      <c r="E32" s="206" t="s">
        <v>645</v>
      </c>
    </row>
    <row r="33" spans="1:5" ht="13" x14ac:dyDescent="0.25">
      <c r="A33" s="18" t="s">
        <v>150</v>
      </c>
      <c r="B33" s="13" t="s">
        <v>244</v>
      </c>
      <c r="C33" s="76" t="s">
        <v>832</v>
      </c>
      <c r="D33" s="3" t="s">
        <v>727</v>
      </c>
      <c r="E33" s="4" t="s">
        <v>727</v>
      </c>
    </row>
    <row r="34" spans="1:5" ht="13" x14ac:dyDescent="0.25">
      <c r="A34" s="17">
        <v>1.2</v>
      </c>
      <c r="B34" s="31" t="s">
        <v>245</v>
      </c>
      <c r="C34" s="5" t="s">
        <v>727</v>
      </c>
      <c r="D34" s="3" t="s">
        <v>727</v>
      </c>
      <c r="E34" s="4" t="s">
        <v>727</v>
      </c>
    </row>
    <row r="35" spans="1:5" ht="26" x14ac:dyDescent="0.25">
      <c r="A35" s="18" t="s">
        <v>140</v>
      </c>
      <c r="B35" s="13" t="s">
        <v>247</v>
      </c>
      <c r="C35" s="76" t="s">
        <v>830</v>
      </c>
      <c r="D35" s="168" t="s">
        <v>674</v>
      </c>
      <c r="E35" s="206" t="s">
        <v>645</v>
      </c>
    </row>
    <row r="36" spans="1:5" ht="13" x14ac:dyDescent="0.25">
      <c r="A36" s="17">
        <v>1.3</v>
      </c>
      <c r="B36" s="31" t="s">
        <v>246</v>
      </c>
      <c r="C36" s="76" t="s">
        <v>727</v>
      </c>
      <c r="D36" s="168" t="s">
        <v>727</v>
      </c>
      <c r="E36" s="4" t="s">
        <v>727</v>
      </c>
    </row>
    <row r="37" spans="1:5" ht="26" x14ac:dyDescent="0.25">
      <c r="A37" s="18" t="s">
        <v>194</v>
      </c>
      <c r="B37" s="13" t="s">
        <v>248</v>
      </c>
      <c r="C37" s="76" t="s">
        <v>830</v>
      </c>
      <c r="D37" s="168" t="s">
        <v>675</v>
      </c>
      <c r="E37" s="206" t="s">
        <v>645</v>
      </c>
    </row>
    <row r="38" spans="1:5" ht="14.5" x14ac:dyDescent="0.25">
      <c r="A38" s="279" t="s">
        <v>726</v>
      </c>
    </row>
    <row r="39" spans="1:5" ht="14.5" x14ac:dyDescent="0.25">
      <c r="A39" s="276" t="s">
        <v>725</v>
      </c>
    </row>
    <row r="40" spans="1:5" ht="13" x14ac:dyDescent="0.25">
      <c r="A40" s="298" t="s">
        <v>225</v>
      </c>
      <c r="B40" s="299"/>
      <c r="C40" s="299"/>
      <c r="D40" s="299"/>
      <c r="E40" s="300"/>
    </row>
    <row r="41" spans="1:5" ht="13" x14ac:dyDescent="0.25">
      <c r="A41" s="20" t="s">
        <v>141</v>
      </c>
      <c r="B41" s="20" t="s">
        <v>142</v>
      </c>
      <c r="C41" s="20" t="s">
        <v>143</v>
      </c>
      <c r="D41" s="20" t="s">
        <v>139</v>
      </c>
      <c r="E41" s="20" t="s">
        <v>144</v>
      </c>
    </row>
    <row r="42" spans="1:5" ht="13" x14ac:dyDescent="0.25">
      <c r="A42" s="34">
        <v>1</v>
      </c>
      <c r="B42" s="35" t="s">
        <v>265</v>
      </c>
      <c r="C42" s="5" t="s">
        <v>727</v>
      </c>
      <c r="D42" s="160" t="s">
        <v>727</v>
      </c>
      <c r="E42" s="161" t="s">
        <v>727</v>
      </c>
    </row>
    <row r="43" spans="1:5" ht="13" x14ac:dyDescent="0.25">
      <c r="A43" s="30">
        <v>1.1000000000000001</v>
      </c>
      <c r="B43" s="28" t="s">
        <v>257</v>
      </c>
      <c r="C43" s="296" t="s">
        <v>830</v>
      </c>
      <c r="D43" s="3" t="s">
        <v>669</v>
      </c>
      <c r="E43" s="162" t="s">
        <v>837</v>
      </c>
    </row>
    <row r="44" spans="1:5" ht="13" x14ac:dyDescent="0.25">
      <c r="A44" s="33">
        <v>1.2</v>
      </c>
      <c r="B44" s="31" t="s">
        <v>258</v>
      </c>
      <c r="C44" s="296" t="s">
        <v>830</v>
      </c>
      <c r="D44" s="3" t="s">
        <v>671</v>
      </c>
      <c r="E44" s="162" t="s">
        <v>837</v>
      </c>
    </row>
    <row r="45" spans="1:5" ht="13" x14ac:dyDescent="0.25">
      <c r="A45" s="30">
        <v>1.3</v>
      </c>
      <c r="B45" s="28" t="s">
        <v>259</v>
      </c>
      <c r="C45" s="296" t="s">
        <v>830</v>
      </c>
      <c r="D45" s="3" t="s">
        <v>672</v>
      </c>
      <c r="E45" s="206" t="s">
        <v>727</v>
      </c>
    </row>
    <row r="46" spans="1:5" ht="13" x14ac:dyDescent="0.25">
      <c r="A46" s="34">
        <v>2</v>
      </c>
      <c r="B46" s="35" t="s">
        <v>266</v>
      </c>
      <c r="C46" s="5" t="s">
        <v>727</v>
      </c>
      <c r="D46" s="163" t="s">
        <v>727</v>
      </c>
      <c r="E46" s="163" t="s">
        <v>727</v>
      </c>
    </row>
    <row r="47" spans="1:5" ht="13" x14ac:dyDescent="0.25">
      <c r="A47" s="30">
        <v>2.1</v>
      </c>
      <c r="B47" s="31" t="s">
        <v>267</v>
      </c>
      <c r="C47" s="76" t="s">
        <v>832</v>
      </c>
      <c r="D47" s="3" t="s">
        <v>727</v>
      </c>
      <c r="E47" s="214" t="s">
        <v>727</v>
      </c>
    </row>
    <row r="48" spans="1:5" ht="13" x14ac:dyDescent="0.25">
      <c r="A48" s="34">
        <v>3</v>
      </c>
      <c r="B48" s="35" t="s">
        <v>153</v>
      </c>
      <c r="C48" s="214" t="s">
        <v>727</v>
      </c>
      <c r="D48" s="214" t="s">
        <v>727</v>
      </c>
      <c r="E48" s="214" t="s">
        <v>727</v>
      </c>
    </row>
    <row r="49" spans="1:5" ht="78" x14ac:dyDescent="0.25">
      <c r="A49" s="30">
        <v>3.1</v>
      </c>
      <c r="B49" s="28" t="s">
        <v>154</v>
      </c>
      <c r="C49" s="288" t="s">
        <v>830</v>
      </c>
      <c r="D49" s="37" t="s">
        <v>158</v>
      </c>
      <c r="E49" s="37" t="s">
        <v>829</v>
      </c>
    </row>
    <row r="50" spans="1:5" ht="13" x14ac:dyDescent="0.25">
      <c r="A50" s="30">
        <v>3.2</v>
      </c>
      <c r="B50" s="28" t="s">
        <v>155</v>
      </c>
      <c r="C50" s="76" t="s">
        <v>830</v>
      </c>
      <c r="D50" s="15" t="s">
        <v>159</v>
      </c>
      <c r="E50" s="3" t="s">
        <v>152</v>
      </c>
    </row>
    <row r="51" spans="1:5" ht="13" x14ac:dyDescent="0.25">
      <c r="A51" s="34">
        <v>4</v>
      </c>
      <c r="B51" s="35" t="s">
        <v>156</v>
      </c>
      <c r="C51" s="214" t="s">
        <v>727</v>
      </c>
      <c r="D51" s="214" t="s">
        <v>727</v>
      </c>
      <c r="E51" s="214" t="s">
        <v>727</v>
      </c>
    </row>
    <row r="52" spans="1:5" ht="26" x14ac:dyDescent="0.25">
      <c r="A52" s="30">
        <v>4.0999999999999996</v>
      </c>
      <c r="B52" s="28" t="s">
        <v>157</v>
      </c>
      <c r="C52" s="288" t="s">
        <v>830</v>
      </c>
      <c r="D52" s="37" t="s">
        <v>160</v>
      </c>
      <c r="E52" s="37" t="s">
        <v>833</v>
      </c>
    </row>
    <row r="53" spans="1:5" ht="13" x14ac:dyDescent="0.25">
      <c r="A53" s="30">
        <v>4.2</v>
      </c>
      <c r="B53" s="28" t="s">
        <v>155</v>
      </c>
      <c r="C53" s="76" t="s">
        <v>830</v>
      </c>
      <c r="D53" s="15" t="s">
        <v>159</v>
      </c>
      <c r="E53" s="3" t="s">
        <v>152</v>
      </c>
    </row>
    <row r="54" spans="1:5" ht="14.5" x14ac:dyDescent="0.25">
      <c r="A54" s="279" t="s">
        <v>726</v>
      </c>
    </row>
    <row r="55" spans="1:5" ht="14.5" x14ac:dyDescent="0.25">
      <c r="A55" s="276" t="s">
        <v>725</v>
      </c>
    </row>
    <row r="56" spans="1:5" ht="13" x14ac:dyDescent="0.25">
      <c r="A56" s="298" t="s">
        <v>226</v>
      </c>
      <c r="B56" s="299"/>
      <c r="C56" s="299"/>
      <c r="D56" s="299"/>
      <c r="E56" s="300"/>
    </row>
    <row r="57" spans="1:5" ht="13" x14ac:dyDescent="0.25">
      <c r="A57" s="29" t="s">
        <v>141</v>
      </c>
      <c r="B57" s="29" t="s">
        <v>142</v>
      </c>
      <c r="C57" s="29" t="s">
        <v>143</v>
      </c>
      <c r="D57" s="29" t="s">
        <v>139</v>
      </c>
      <c r="E57" s="29" t="s">
        <v>144</v>
      </c>
    </row>
    <row r="58" spans="1:5" ht="13" x14ac:dyDescent="0.25">
      <c r="A58" s="39">
        <v>1</v>
      </c>
      <c r="B58" s="40" t="s">
        <v>161</v>
      </c>
      <c r="C58" s="5" t="s">
        <v>727</v>
      </c>
      <c r="D58" s="3" t="s">
        <v>727</v>
      </c>
      <c r="E58" s="28" t="s">
        <v>727</v>
      </c>
    </row>
    <row r="59" spans="1:5" ht="13" x14ac:dyDescent="0.25">
      <c r="A59" s="41">
        <v>1.1000000000000001</v>
      </c>
      <c r="B59" s="38" t="s">
        <v>162</v>
      </c>
      <c r="C59" s="288" t="s">
        <v>830</v>
      </c>
      <c r="D59" s="3" t="s">
        <v>163</v>
      </c>
      <c r="E59" s="36" t="s">
        <v>727</v>
      </c>
    </row>
    <row r="60" spans="1:5" ht="13" x14ac:dyDescent="0.25">
      <c r="A60" s="41">
        <v>1.2</v>
      </c>
      <c r="B60" s="38" t="s">
        <v>274</v>
      </c>
      <c r="C60" s="288" t="s">
        <v>830</v>
      </c>
      <c r="D60" s="3" t="s">
        <v>163</v>
      </c>
      <c r="E60" s="36" t="s">
        <v>727</v>
      </c>
    </row>
    <row r="61" spans="1:5" ht="65" x14ac:dyDescent="0.25">
      <c r="A61" s="39">
        <v>2</v>
      </c>
      <c r="B61" s="12" t="s">
        <v>164</v>
      </c>
      <c r="C61" s="288" t="s">
        <v>830</v>
      </c>
      <c r="D61" s="42" t="s">
        <v>168</v>
      </c>
      <c r="E61" s="208" t="s">
        <v>167</v>
      </c>
    </row>
    <row r="62" spans="1:5" ht="13" x14ac:dyDescent="0.25">
      <c r="A62" s="39">
        <v>3</v>
      </c>
      <c r="B62" s="3" t="s">
        <v>165</v>
      </c>
      <c r="C62" s="288" t="s">
        <v>830</v>
      </c>
      <c r="D62" s="3" t="s">
        <v>163</v>
      </c>
      <c r="E62" s="214" t="s">
        <v>727</v>
      </c>
    </row>
    <row r="63" spans="1:5" ht="13" x14ac:dyDescent="0.25">
      <c r="A63" s="39">
        <v>4</v>
      </c>
      <c r="B63" s="3" t="s">
        <v>166</v>
      </c>
      <c r="C63" s="288" t="s">
        <v>830</v>
      </c>
      <c r="D63" s="3" t="s">
        <v>163</v>
      </c>
      <c r="E63" s="214" t="s">
        <v>727</v>
      </c>
    </row>
    <row r="64" spans="1:5" ht="13" x14ac:dyDescent="0.25">
      <c r="A64" s="39">
        <v>5</v>
      </c>
      <c r="B64" s="3" t="s">
        <v>185</v>
      </c>
      <c r="C64" s="288" t="s">
        <v>830</v>
      </c>
      <c r="D64" s="3" t="s">
        <v>188</v>
      </c>
      <c r="E64" s="214" t="s">
        <v>727</v>
      </c>
    </row>
    <row r="65" spans="1:5" ht="13" x14ac:dyDescent="0.25">
      <c r="A65" s="39">
        <v>6</v>
      </c>
      <c r="B65" s="3" t="s">
        <v>186</v>
      </c>
      <c r="C65" s="288" t="s">
        <v>830</v>
      </c>
      <c r="D65" s="3" t="s">
        <v>727</v>
      </c>
      <c r="E65" s="214" t="s">
        <v>727</v>
      </c>
    </row>
    <row r="66" spans="1:5" ht="13" x14ac:dyDescent="0.25">
      <c r="A66" s="41">
        <v>6.1</v>
      </c>
      <c r="B66" s="31" t="s">
        <v>189</v>
      </c>
      <c r="C66" s="288" t="s">
        <v>830</v>
      </c>
      <c r="D66" s="3" t="s">
        <v>187</v>
      </c>
      <c r="E66" s="214" t="s">
        <v>727</v>
      </c>
    </row>
    <row r="67" spans="1:5" ht="13" x14ac:dyDescent="0.25">
      <c r="A67" s="41">
        <v>6.2</v>
      </c>
      <c r="B67" s="31" t="s">
        <v>190</v>
      </c>
      <c r="C67" s="288" t="s">
        <v>830</v>
      </c>
      <c r="D67" s="3" t="s">
        <v>187</v>
      </c>
      <c r="E67" s="214" t="s">
        <v>727</v>
      </c>
    </row>
    <row r="68" spans="1:5" s="146" customFormat="1" ht="13" x14ac:dyDescent="0.25">
      <c r="A68" s="39">
        <v>7</v>
      </c>
      <c r="B68" s="3" t="s">
        <v>122</v>
      </c>
      <c r="C68" s="257" t="s">
        <v>834</v>
      </c>
      <c r="D68" s="3" t="s">
        <v>229</v>
      </c>
      <c r="E68" s="145" t="s">
        <v>727</v>
      </c>
    </row>
    <row r="69" spans="1:5" ht="14.5" x14ac:dyDescent="0.25">
      <c r="A69" s="279" t="s">
        <v>726</v>
      </c>
    </row>
    <row r="70" spans="1:5" ht="14.5" x14ac:dyDescent="0.25">
      <c r="A70" s="276" t="s">
        <v>725</v>
      </c>
    </row>
    <row r="71" spans="1:5" ht="13" x14ac:dyDescent="0.25">
      <c r="A71" s="298" t="s">
        <v>227</v>
      </c>
      <c r="B71" s="299"/>
      <c r="C71" s="299"/>
      <c r="D71" s="299"/>
      <c r="E71" s="300"/>
    </row>
    <row r="72" spans="1:5" ht="13" x14ac:dyDescent="0.25">
      <c r="A72" s="32" t="s">
        <v>141</v>
      </c>
      <c r="B72" s="32" t="s">
        <v>142</v>
      </c>
      <c r="C72" s="32" t="s">
        <v>143</v>
      </c>
      <c r="D72" s="32" t="s">
        <v>139</v>
      </c>
      <c r="E72" s="32" t="s">
        <v>144</v>
      </c>
    </row>
    <row r="73" spans="1:5" ht="39" x14ac:dyDescent="0.25">
      <c r="A73" s="39">
        <v>1</v>
      </c>
      <c r="B73" s="40" t="s">
        <v>232</v>
      </c>
      <c r="C73" s="288" t="s">
        <v>830</v>
      </c>
      <c r="D73" s="3" t="s">
        <v>213</v>
      </c>
      <c r="E73" s="25" t="s">
        <v>838</v>
      </c>
    </row>
    <row r="74" spans="1:5" ht="13" x14ac:dyDescent="0.25">
      <c r="A74" s="39">
        <v>2</v>
      </c>
      <c r="B74" s="40" t="s">
        <v>212</v>
      </c>
      <c r="C74" s="288" t="s">
        <v>830</v>
      </c>
      <c r="D74" s="3" t="s">
        <v>656</v>
      </c>
      <c r="E74" s="206" t="s">
        <v>727</v>
      </c>
    </row>
    <row r="75" spans="1:5" ht="13" x14ac:dyDescent="0.25">
      <c r="A75" s="39">
        <v>3</v>
      </c>
      <c r="B75" s="40" t="s">
        <v>211</v>
      </c>
      <c r="C75" s="288" t="s">
        <v>830</v>
      </c>
      <c r="D75" s="3" t="s">
        <v>654</v>
      </c>
      <c r="E75" s="208" t="s">
        <v>655</v>
      </c>
    </row>
    <row r="76" spans="1:5" ht="13" x14ac:dyDescent="0.25">
      <c r="A76" s="39">
        <v>4</v>
      </c>
      <c r="B76" s="3" t="s">
        <v>217</v>
      </c>
      <c r="C76" s="31" t="s">
        <v>218</v>
      </c>
      <c r="D76" s="3" t="s">
        <v>219</v>
      </c>
      <c r="E76" s="214" t="s">
        <v>727</v>
      </c>
    </row>
    <row r="77" spans="1:5" ht="14.5" x14ac:dyDescent="0.25">
      <c r="A77" s="279" t="s">
        <v>726</v>
      </c>
    </row>
    <row r="81" spans="4:5" x14ac:dyDescent="0.25">
      <c r="D81" s="6"/>
    </row>
    <row r="90" spans="4:5" x14ac:dyDescent="0.25">
      <c r="E90" s="261"/>
    </row>
    <row r="91" spans="4:5" x14ac:dyDescent="0.25">
      <c r="E91" s="261"/>
    </row>
    <row r="92" spans="4:5" x14ac:dyDescent="0.25">
      <c r="E92" s="261"/>
    </row>
  </sheetData>
  <mergeCells count="7">
    <mergeCell ref="A71:E71"/>
    <mergeCell ref="A56:E56"/>
    <mergeCell ref="A2:E2"/>
    <mergeCell ref="A40:E40"/>
    <mergeCell ref="A13:E13"/>
    <mergeCell ref="A22:E22"/>
    <mergeCell ref="A28:E28"/>
  </mergeCells>
  <phoneticPr fontId="7"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20063-3025-4BD4-8A8F-7D90770B1C16}">
  <dimension ref="A1:X18"/>
  <sheetViews>
    <sheetView workbookViewId="0">
      <selection activeCell="A2" sqref="A2"/>
    </sheetView>
  </sheetViews>
  <sheetFormatPr defaultRowHeight="12.5" x14ac:dyDescent="0.25"/>
  <cols>
    <col min="1" max="1" width="8.81640625" bestFit="1" customWidth="1"/>
    <col min="2" max="2" width="14.7265625" bestFit="1" customWidth="1"/>
    <col min="3" max="3" width="12.26953125" bestFit="1" customWidth="1"/>
    <col min="4" max="5" width="8.81640625" bestFit="1" customWidth="1"/>
    <col min="6" max="12" width="13.54296875" bestFit="1" customWidth="1"/>
    <col min="13" max="23" width="12.26953125" bestFit="1" customWidth="1"/>
    <col min="24" max="24" width="11" bestFit="1" customWidth="1"/>
  </cols>
  <sheetData>
    <row r="1" spans="1:24" ht="21" x14ac:dyDescent="0.25">
      <c r="A1" s="341" t="s">
        <v>201</v>
      </c>
      <c r="B1" s="342"/>
      <c r="C1" s="342"/>
      <c r="D1" s="342"/>
      <c r="E1" s="342"/>
      <c r="F1" s="342"/>
      <c r="G1" s="342"/>
      <c r="H1" s="342"/>
      <c r="I1" s="342"/>
      <c r="J1" s="342"/>
      <c r="K1" s="342"/>
      <c r="L1" s="342"/>
      <c r="M1" s="342"/>
      <c r="N1" s="342"/>
      <c r="O1" s="342"/>
      <c r="P1" s="342"/>
      <c r="Q1" s="342"/>
      <c r="R1" s="342"/>
      <c r="S1" s="342"/>
      <c r="T1" s="342"/>
      <c r="U1" s="342"/>
      <c r="V1" s="342"/>
      <c r="W1" s="343"/>
    </row>
    <row r="2" spans="1:24" ht="15" x14ac:dyDescent="0.25">
      <c r="A2" s="71" t="s">
        <v>0</v>
      </c>
      <c r="B2" s="71" t="s">
        <v>6</v>
      </c>
      <c r="C2" s="71" t="s">
        <v>104</v>
      </c>
      <c r="D2" s="71">
        <v>1</v>
      </c>
      <c r="E2" s="71">
        <v>2</v>
      </c>
      <c r="F2" s="71">
        <v>3</v>
      </c>
      <c r="G2" s="71">
        <v>4</v>
      </c>
      <c r="H2" s="71">
        <v>5</v>
      </c>
      <c r="I2" s="71">
        <v>6</v>
      </c>
      <c r="J2" s="71">
        <v>7</v>
      </c>
      <c r="K2" s="71">
        <v>8</v>
      </c>
      <c r="L2" s="71">
        <v>9</v>
      </c>
      <c r="M2" s="71">
        <v>10</v>
      </c>
      <c r="N2" s="71">
        <v>11</v>
      </c>
      <c r="O2" s="71">
        <v>12</v>
      </c>
      <c r="P2" s="71">
        <v>13</v>
      </c>
      <c r="Q2" s="71">
        <v>14</v>
      </c>
      <c r="R2" s="71">
        <v>15</v>
      </c>
      <c r="S2" s="71">
        <v>16</v>
      </c>
      <c r="T2" s="71">
        <v>17</v>
      </c>
      <c r="U2" s="71">
        <v>18</v>
      </c>
      <c r="V2" s="71">
        <v>19</v>
      </c>
      <c r="W2" s="71">
        <v>20</v>
      </c>
    </row>
    <row r="3" spans="1:24" ht="15" x14ac:dyDescent="0.25">
      <c r="A3" s="71"/>
      <c r="B3" s="71"/>
      <c r="C3" s="71" t="s">
        <v>105</v>
      </c>
      <c r="D3" s="71">
        <v>2021</v>
      </c>
      <c r="E3" s="71">
        <v>2022</v>
      </c>
      <c r="F3" s="71">
        <v>2023</v>
      </c>
      <c r="G3" s="71">
        <v>2024</v>
      </c>
      <c r="H3" s="71">
        <v>2025</v>
      </c>
      <c r="I3" s="71">
        <v>2026</v>
      </c>
      <c r="J3" s="71">
        <v>2027</v>
      </c>
      <c r="K3" s="71">
        <v>2028</v>
      </c>
      <c r="L3" s="71">
        <v>2029</v>
      </c>
      <c r="M3" s="71">
        <v>2030</v>
      </c>
      <c r="N3" s="71">
        <v>2031</v>
      </c>
      <c r="O3" s="71">
        <v>2032</v>
      </c>
      <c r="P3" s="71">
        <v>2033</v>
      </c>
      <c r="Q3" s="71">
        <v>2034</v>
      </c>
      <c r="R3" s="71">
        <v>2035</v>
      </c>
      <c r="S3" s="71">
        <v>2036</v>
      </c>
      <c r="T3" s="71">
        <v>2037</v>
      </c>
      <c r="U3" s="71">
        <v>2038</v>
      </c>
      <c r="V3" s="71">
        <v>2039</v>
      </c>
      <c r="W3" s="71">
        <v>2040</v>
      </c>
    </row>
    <row r="4" spans="1:24" ht="15" x14ac:dyDescent="0.25">
      <c r="A4" s="102">
        <v>1</v>
      </c>
      <c r="B4" s="102" t="s">
        <v>202</v>
      </c>
      <c r="C4" s="68"/>
      <c r="D4" s="107"/>
      <c r="E4" s="107"/>
      <c r="F4" s="107"/>
      <c r="G4" s="107"/>
      <c r="H4" s="107"/>
      <c r="I4" s="107"/>
      <c r="J4" s="107"/>
      <c r="K4" s="107"/>
      <c r="L4" s="107"/>
      <c r="M4" s="107"/>
      <c r="N4" s="68"/>
      <c r="O4" s="68"/>
      <c r="P4" s="68"/>
      <c r="Q4" s="68"/>
      <c r="R4" s="68"/>
      <c r="S4" s="68"/>
      <c r="T4" s="68"/>
      <c r="U4" s="68"/>
      <c r="V4" s="68"/>
      <c r="W4" s="68"/>
    </row>
    <row r="5" spans="1:24" ht="15" x14ac:dyDescent="0.25">
      <c r="A5" s="102">
        <v>1.1000000000000001</v>
      </c>
      <c r="B5" s="102" t="s">
        <v>203</v>
      </c>
      <c r="C5" s="108" t="e">
        <f>'输出值1-总投资估算表'!F34</f>
        <v>#VALUE!</v>
      </c>
      <c r="D5" s="109"/>
      <c r="E5" s="108"/>
      <c r="F5" s="108"/>
      <c r="G5" s="108"/>
      <c r="H5" s="108"/>
      <c r="I5" s="108"/>
      <c r="J5" s="108"/>
      <c r="K5" s="108"/>
      <c r="L5" s="108"/>
      <c r="M5" s="108"/>
      <c r="N5" s="68"/>
      <c r="O5" s="68"/>
      <c r="P5" s="68"/>
      <c r="Q5" s="68"/>
      <c r="R5" s="68"/>
      <c r="S5" s="68"/>
      <c r="T5" s="68"/>
      <c r="U5" s="68"/>
      <c r="V5" s="68"/>
      <c r="W5" s="68"/>
    </row>
    <row r="6" spans="1:24" ht="15" x14ac:dyDescent="0.25">
      <c r="A6" s="102">
        <v>1.2</v>
      </c>
      <c r="B6" s="102" t="s">
        <v>204</v>
      </c>
      <c r="C6" s="107" t="e">
        <f>SUM(D6:M6)</f>
        <v>#VALUE!</v>
      </c>
      <c r="D6" s="107"/>
      <c r="E6" s="107"/>
      <c r="F6" s="110" t="e">
        <f>$C$5*(1-输入值【1】!$C$50)/输入值【1】!$C$49</f>
        <v>#VALUE!</v>
      </c>
      <c r="G6" s="110" t="e">
        <f>$C$5*(1-输入值【1】!$C$50)/输入值【1】!$C$49</f>
        <v>#VALUE!</v>
      </c>
      <c r="H6" s="110" t="e">
        <f>$C$5*(1-输入值【1】!$C$50)/输入值【1】!$C$49</f>
        <v>#VALUE!</v>
      </c>
      <c r="I6" s="110" t="e">
        <f>$C$5*(1-输入值【1】!$C$50)/输入值【1】!$C$49</f>
        <v>#VALUE!</v>
      </c>
      <c r="J6" s="110" t="e">
        <f>$C$5*(1-输入值【1】!$C$50)/输入值【1】!$C$49</f>
        <v>#VALUE!</v>
      </c>
      <c r="K6" s="110" t="e">
        <f>$C$5*(1-输入值【1】!$C$50)/输入值【1】!$C$49</f>
        <v>#VALUE!</v>
      </c>
      <c r="L6" s="110" t="e">
        <f>$C$5*(1-输入值【1】!$C$50)/输入值【1】!$C$49</f>
        <v>#VALUE!</v>
      </c>
      <c r="M6" s="110" t="e">
        <f>$C$5*(1-输入值【1】!$C$50)/输入值【1】!$C$49</f>
        <v>#VALUE!</v>
      </c>
      <c r="N6" s="110" t="e">
        <f>$C$5*(1-输入值【1】!$C$50)/输入值【1】!$C$49</f>
        <v>#VALUE!</v>
      </c>
      <c r="O6" s="110" t="e">
        <f>$C$5*(1-输入值【1】!$C$50)/输入值【1】!$C$49</f>
        <v>#VALUE!</v>
      </c>
      <c r="P6" s="110" t="e">
        <f>$C$5*(1-输入值【1】!$C$50)/输入值【1】!$C$49</f>
        <v>#VALUE!</v>
      </c>
      <c r="Q6" s="110" t="e">
        <f>$C$5*(1-输入值【1】!$C$50)/输入值【1】!$C$49</f>
        <v>#VALUE!</v>
      </c>
      <c r="R6" s="110" t="e">
        <f>$C$5*(1-输入值【1】!$C$50)/输入值【1】!$C$49</f>
        <v>#VALUE!</v>
      </c>
      <c r="S6" s="110" t="e">
        <f>$C$5*(1-输入值【1】!$C$50)/输入值【1】!$C$49</f>
        <v>#VALUE!</v>
      </c>
      <c r="T6" s="110" t="e">
        <f>$C$5*(1-输入值【1】!$C$50)/输入值【1】!$C$49</f>
        <v>#VALUE!</v>
      </c>
      <c r="U6" s="110" t="e">
        <f>$C$5*(1-输入值【1】!$C$50)/输入值【1】!$C$49</f>
        <v>#VALUE!</v>
      </c>
      <c r="V6" s="110" t="e">
        <f>$C$5*(1-输入值【1】!$C$50)/输入值【1】!$C$49</f>
        <v>#VALUE!</v>
      </c>
      <c r="W6" s="110" t="e">
        <f>$C$5*(1-输入值【1】!$C$50)/输入值【1】!$C$49</f>
        <v>#VALUE!</v>
      </c>
      <c r="X6" s="147"/>
    </row>
    <row r="7" spans="1:24" ht="15" x14ac:dyDescent="0.25">
      <c r="A7" s="102">
        <v>1.3</v>
      </c>
      <c r="B7" s="102" t="s">
        <v>205</v>
      </c>
      <c r="C7" s="107"/>
      <c r="D7" s="107"/>
      <c r="E7" s="107"/>
      <c r="F7" s="177" t="e">
        <f>C5-F6</f>
        <v>#VALUE!</v>
      </c>
      <c r="G7" s="177" t="e">
        <f>F7-G6</f>
        <v>#VALUE!</v>
      </c>
      <c r="H7" s="177" t="e">
        <f t="shared" ref="H7:W7" si="0">G7-H6</f>
        <v>#VALUE!</v>
      </c>
      <c r="I7" s="177" t="e">
        <f t="shared" si="0"/>
        <v>#VALUE!</v>
      </c>
      <c r="J7" s="177" t="e">
        <f t="shared" si="0"/>
        <v>#VALUE!</v>
      </c>
      <c r="K7" s="177" t="e">
        <f t="shared" si="0"/>
        <v>#VALUE!</v>
      </c>
      <c r="L7" s="177" t="e">
        <f t="shared" si="0"/>
        <v>#VALUE!</v>
      </c>
      <c r="M7" s="177" t="e">
        <f t="shared" si="0"/>
        <v>#VALUE!</v>
      </c>
      <c r="N7" s="177" t="e">
        <f t="shared" si="0"/>
        <v>#VALUE!</v>
      </c>
      <c r="O7" s="177" t="e">
        <f t="shared" si="0"/>
        <v>#VALUE!</v>
      </c>
      <c r="P7" s="177" t="e">
        <f t="shared" si="0"/>
        <v>#VALUE!</v>
      </c>
      <c r="Q7" s="177" t="e">
        <f t="shared" si="0"/>
        <v>#VALUE!</v>
      </c>
      <c r="R7" s="177" t="e">
        <f t="shared" si="0"/>
        <v>#VALUE!</v>
      </c>
      <c r="S7" s="177" t="e">
        <f t="shared" si="0"/>
        <v>#VALUE!</v>
      </c>
      <c r="T7" s="177" t="e">
        <f t="shared" si="0"/>
        <v>#VALUE!</v>
      </c>
      <c r="U7" s="177" t="e">
        <f t="shared" si="0"/>
        <v>#VALUE!</v>
      </c>
      <c r="V7" s="177" t="e">
        <f t="shared" si="0"/>
        <v>#VALUE!</v>
      </c>
      <c r="W7" s="177" t="e">
        <f t="shared" si="0"/>
        <v>#VALUE!</v>
      </c>
    </row>
    <row r="8" spans="1:24" ht="15" x14ac:dyDescent="0.25">
      <c r="A8" s="102">
        <v>1.4</v>
      </c>
      <c r="B8" s="102" t="s">
        <v>206</v>
      </c>
      <c r="C8" s="107"/>
      <c r="D8" s="107"/>
      <c r="E8" s="107"/>
      <c r="F8" s="111"/>
      <c r="G8" s="111"/>
      <c r="H8" s="111"/>
      <c r="I8" s="111"/>
      <c r="J8" s="111"/>
      <c r="K8" s="111"/>
      <c r="L8" s="111"/>
      <c r="M8" s="111"/>
      <c r="N8" s="68"/>
      <c r="O8" s="68"/>
      <c r="P8" s="68"/>
      <c r="Q8" s="68"/>
      <c r="R8" s="68"/>
      <c r="S8" s="68"/>
      <c r="T8" s="68"/>
      <c r="U8" s="68"/>
      <c r="V8" s="68"/>
      <c r="W8" s="112" t="e">
        <f>W7</f>
        <v>#VALUE!</v>
      </c>
    </row>
    <row r="9" spans="1:24" ht="15" x14ac:dyDescent="0.25">
      <c r="A9" s="113"/>
      <c r="B9" s="113"/>
      <c r="C9" s="114"/>
      <c r="D9" s="114"/>
      <c r="E9" s="114"/>
      <c r="F9" s="115"/>
      <c r="G9" s="115"/>
      <c r="H9" s="115"/>
      <c r="I9" s="115"/>
      <c r="J9" s="115"/>
      <c r="K9" s="115"/>
      <c r="L9" s="115"/>
      <c r="M9" s="115"/>
      <c r="N9" s="86"/>
      <c r="O9" s="86"/>
      <c r="P9" s="86"/>
      <c r="Q9" s="86"/>
      <c r="R9" s="86"/>
      <c r="S9" s="86"/>
      <c r="T9" s="86"/>
      <c r="U9" s="86"/>
      <c r="V9" s="86"/>
      <c r="W9" s="116"/>
    </row>
    <row r="10" spans="1:24" x14ac:dyDescent="0.25">
      <c r="A10" s="22"/>
      <c r="B10" s="22"/>
      <c r="C10" s="22"/>
      <c r="D10" s="22"/>
      <c r="E10" s="22"/>
      <c r="F10" s="22"/>
      <c r="G10" s="22"/>
      <c r="H10" s="22"/>
      <c r="I10" s="22"/>
      <c r="J10" s="22"/>
      <c r="K10" s="22"/>
      <c r="L10" s="22"/>
      <c r="M10" s="22"/>
    </row>
    <row r="11" spans="1:24" ht="21" x14ac:dyDescent="0.25">
      <c r="A11" s="335" t="s">
        <v>207</v>
      </c>
      <c r="B11" s="335"/>
      <c r="C11" s="335"/>
      <c r="D11" s="335"/>
      <c r="E11" s="335"/>
      <c r="F11" s="335"/>
      <c r="G11" s="335"/>
      <c r="H11" s="335"/>
      <c r="I11" s="335"/>
      <c r="J11" s="335"/>
      <c r="K11" s="335"/>
      <c r="L11" s="335"/>
      <c r="M11" s="335"/>
      <c r="N11" s="335"/>
      <c r="O11" s="335"/>
      <c r="P11" s="335"/>
      <c r="Q11" s="335"/>
      <c r="R11" s="335"/>
      <c r="S11" s="335"/>
      <c r="T11" s="335"/>
      <c r="U11" s="335"/>
      <c r="V11" s="335"/>
      <c r="W11" s="335"/>
    </row>
    <row r="12" spans="1:24" ht="15" x14ac:dyDescent="0.25">
      <c r="A12" s="71" t="s">
        <v>0</v>
      </c>
      <c r="B12" s="71" t="s">
        <v>6</v>
      </c>
      <c r="C12" s="71" t="s">
        <v>104</v>
      </c>
      <c r="D12" s="71">
        <v>1</v>
      </c>
      <c r="E12" s="71">
        <v>2</v>
      </c>
      <c r="F12" s="71">
        <v>3</v>
      </c>
      <c r="G12" s="71">
        <v>4</v>
      </c>
      <c r="H12" s="71">
        <v>5</v>
      </c>
      <c r="I12" s="71">
        <v>6</v>
      </c>
      <c r="J12" s="71">
        <v>7</v>
      </c>
      <c r="K12" s="71">
        <v>8</v>
      </c>
      <c r="L12" s="71">
        <v>9</v>
      </c>
      <c r="M12" s="71">
        <v>10</v>
      </c>
      <c r="N12" s="71">
        <v>11</v>
      </c>
      <c r="O12" s="71">
        <v>12</v>
      </c>
      <c r="P12" s="71">
        <v>13</v>
      </c>
      <c r="Q12" s="71">
        <v>14</v>
      </c>
      <c r="R12" s="71">
        <v>15</v>
      </c>
      <c r="S12" s="71">
        <v>16</v>
      </c>
      <c r="T12" s="71">
        <v>17</v>
      </c>
      <c r="U12" s="71">
        <v>18</v>
      </c>
      <c r="V12" s="71">
        <v>19</v>
      </c>
      <c r="W12" s="71">
        <v>20</v>
      </c>
    </row>
    <row r="13" spans="1:24" ht="15" x14ac:dyDescent="0.25">
      <c r="A13" s="71"/>
      <c r="B13" s="71"/>
      <c r="C13" s="71" t="s">
        <v>105</v>
      </c>
      <c r="D13" s="71">
        <v>2021</v>
      </c>
      <c r="E13" s="71">
        <v>2022</v>
      </c>
      <c r="F13" s="71">
        <v>2023</v>
      </c>
      <c r="G13" s="71">
        <v>2024</v>
      </c>
      <c r="H13" s="71">
        <v>2025</v>
      </c>
      <c r="I13" s="71">
        <v>2026</v>
      </c>
      <c r="J13" s="71">
        <v>2027</v>
      </c>
      <c r="K13" s="71">
        <v>2028</v>
      </c>
      <c r="L13" s="71">
        <v>2029</v>
      </c>
      <c r="M13" s="71">
        <v>2030</v>
      </c>
      <c r="N13" s="71">
        <v>2031</v>
      </c>
      <c r="O13" s="71">
        <v>2032</v>
      </c>
      <c r="P13" s="71">
        <v>2033</v>
      </c>
      <c r="Q13" s="71">
        <v>2034</v>
      </c>
      <c r="R13" s="71">
        <v>2035</v>
      </c>
      <c r="S13" s="71">
        <v>2036</v>
      </c>
      <c r="T13" s="71">
        <v>2037</v>
      </c>
      <c r="U13" s="71">
        <v>2038</v>
      </c>
      <c r="V13" s="71">
        <v>2039</v>
      </c>
      <c r="W13" s="71">
        <v>2040</v>
      </c>
    </row>
    <row r="14" spans="1:24" ht="15.5" x14ac:dyDescent="0.25">
      <c r="A14" s="102">
        <v>1</v>
      </c>
      <c r="B14" s="102" t="s">
        <v>208</v>
      </c>
      <c r="C14" s="102"/>
      <c r="D14" s="102"/>
      <c r="E14" s="102"/>
      <c r="F14" s="102"/>
      <c r="G14" s="102"/>
      <c r="H14" s="102"/>
      <c r="I14" s="102"/>
      <c r="J14" s="102"/>
      <c r="K14" s="102"/>
      <c r="L14" s="102"/>
      <c r="M14" s="102"/>
      <c r="N14" s="91"/>
      <c r="O14" s="91"/>
      <c r="P14" s="91"/>
      <c r="Q14" s="91"/>
      <c r="R14" s="91"/>
      <c r="S14" s="91"/>
      <c r="T14" s="91"/>
      <c r="U14" s="91"/>
      <c r="V14" s="91"/>
      <c r="W14" s="91"/>
    </row>
    <row r="15" spans="1:24" ht="15.5" x14ac:dyDescent="0.25">
      <c r="A15" s="102">
        <v>1.1000000000000001</v>
      </c>
      <c r="B15" s="102" t="s">
        <v>203</v>
      </c>
      <c r="C15" s="104"/>
      <c r="D15" s="103"/>
      <c r="E15" s="104"/>
      <c r="F15" s="104"/>
      <c r="G15" s="104"/>
      <c r="H15" s="104"/>
      <c r="I15" s="104"/>
      <c r="J15" s="104"/>
      <c r="K15" s="104"/>
      <c r="L15" s="104"/>
      <c r="M15" s="104"/>
      <c r="N15" s="91"/>
      <c r="O15" s="91"/>
      <c r="P15" s="91"/>
      <c r="Q15" s="91"/>
      <c r="R15" s="91"/>
      <c r="S15" s="91"/>
      <c r="T15" s="91"/>
      <c r="U15" s="91"/>
      <c r="V15" s="91"/>
      <c r="W15" s="91"/>
    </row>
    <row r="16" spans="1:24" ht="15" x14ac:dyDescent="0.25">
      <c r="A16" s="102">
        <v>1.2</v>
      </c>
      <c r="B16" s="102" t="s">
        <v>209</v>
      </c>
      <c r="C16" s="104"/>
      <c r="D16" s="102"/>
      <c r="E16" s="102"/>
      <c r="F16" s="105"/>
      <c r="G16" s="105"/>
      <c r="H16" s="105"/>
      <c r="I16" s="105"/>
      <c r="J16" s="105"/>
      <c r="K16" s="105"/>
      <c r="L16" s="105"/>
      <c r="M16" s="105"/>
      <c r="N16" s="105"/>
      <c r="O16" s="105"/>
      <c r="P16" s="105"/>
      <c r="Q16" s="105"/>
      <c r="R16" s="105"/>
      <c r="S16" s="105"/>
      <c r="T16" s="105"/>
      <c r="U16" s="105"/>
      <c r="V16" s="105"/>
      <c r="W16" s="105"/>
    </row>
    <row r="17" spans="1:23" ht="15" x14ac:dyDescent="0.25">
      <c r="A17" s="107">
        <v>1.3</v>
      </c>
      <c r="B17" s="107" t="s">
        <v>205</v>
      </c>
      <c r="C17" s="107"/>
      <c r="D17" s="107"/>
      <c r="E17" s="107"/>
      <c r="F17" s="111"/>
      <c r="G17" s="111"/>
      <c r="H17" s="111"/>
      <c r="I17" s="111"/>
      <c r="J17" s="111"/>
      <c r="K17" s="111"/>
      <c r="L17" s="111"/>
      <c r="M17" s="111"/>
      <c r="N17" s="111"/>
      <c r="O17" s="111"/>
      <c r="P17" s="111"/>
      <c r="Q17" s="111"/>
      <c r="R17" s="111"/>
      <c r="S17" s="111"/>
      <c r="T17" s="111"/>
      <c r="U17" s="111"/>
      <c r="V17" s="111"/>
      <c r="W17" s="111"/>
    </row>
    <row r="18" spans="1:23" ht="15" x14ac:dyDescent="0.25">
      <c r="A18" s="107">
        <v>1.4</v>
      </c>
      <c r="B18" s="107" t="s">
        <v>206</v>
      </c>
      <c r="C18" s="107"/>
      <c r="D18" s="107"/>
      <c r="E18" s="107"/>
      <c r="F18" s="111"/>
      <c r="G18" s="111"/>
      <c r="H18" s="111"/>
      <c r="I18" s="111"/>
      <c r="J18" s="111"/>
      <c r="K18" s="111"/>
      <c r="L18" s="111"/>
      <c r="M18" s="111"/>
      <c r="N18" s="68"/>
      <c r="O18" s="68"/>
      <c r="P18" s="68"/>
      <c r="Q18" s="68"/>
      <c r="R18" s="68"/>
      <c r="S18" s="68"/>
      <c r="T18" s="68"/>
      <c r="U18" s="68"/>
      <c r="V18" s="68"/>
      <c r="W18" s="112"/>
    </row>
  </sheetData>
  <mergeCells count="2">
    <mergeCell ref="A1:W1"/>
    <mergeCell ref="A11:W11"/>
  </mergeCells>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C22D2-7F48-4DF5-A3F1-5B312E44D89C}">
  <dimension ref="A1:V14"/>
  <sheetViews>
    <sheetView topLeftCell="B1" workbookViewId="0">
      <selection activeCell="B15" sqref="B15"/>
    </sheetView>
  </sheetViews>
  <sheetFormatPr defaultRowHeight="12.5" x14ac:dyDescent="0.25"/>
  <cols>
    <col min="1" max="1" width="8.81640625" bestFit="1" customWidth="1"/>
    <col min="2" max="2" width="19.453125" bestFit="1" customWidth="1"/>
    <col min="3" max="5" width="11.1796875" bestFit="1" customWidth="1"/>
    <col min="6" max="22" width="11.81640625" bestFit="1" customWidth="1"/>
  </cols>
  <sheetData>
    <row r="1" spans="1:22" ht="21" x14ac:dyDescent="0.25">
      <c r="A1" s="335" t="s">
        <v>214</v>
      </c>
      <c r="B1" s="335"/>
      <c r="C1" s="335"/>
      <c r="D1" s="335"/>
      <c r="E1" s="335"/>
      <c r="F1" s="335"/>
      <c r="G1" s="335"/>
      <c r="H1" s="335"/>
      <c r="I1" s="335"/>
      <c r="J1" s="335"/>
      <c r="K1" s="335"/>
      <c r="L1" s="335"/>
      <c r="M1" s="335"/>
      <c r="N1" s="335"/>
      <c r="O1" s="335"/>
      <c r="P1" s="335"/>
      <c r="Q1" s="335"/>
      <c r="R1" s="335"/>
      <c r="S1" s="335"/>
      <c r="T1" s="335"/>
      <c r="U1" s="335"/>
      <c r="V1" s="335"/>
    </row>
    <row r="2" spans="1:22" s="46" customFormat="1" ht="15" x14ac:dyDescent="0.25">
      <c r="A2" s="345" t="s">
        <v>0</v>
      </c>
      <c r="B2" s="345" t="s">
        <v>6</v>
      </c>
      <c r="C2" s="346" t="s">
        <v>75</v>
      </c>
      <c r="D2" s="347"/>
      <c r="E2" s="346" t="s">
        <v>77</v>
      </c>
      <c r="F2" s="348"/>
      <c r="G2" s="348"/>
      <c r="H2" s="348"/>
      <c r="I2" s="348"/>
      <c r="J2" s="348"/>
      <c r="K2" s="348"/>
      <c r="L2" s="348"/>
      <c r="M2" s="348"/>
      <c r="N2" s="348"/>
      <c r="O2" s="348"/>
      <c r="P2" s="348"/>
      <c r="Q2" s="348"/>
      <c r="R2" s="348"/>
      <c r="S2" s="348"/>
      <c r="T2" s="348"/>
      <c r="U2" s="348"/>
      <c r="V2" s="347"/>
    </row>
    <row r="3" spans="1:22" s="46" customFormat="1" ht="15" x14ac:dyDescent="0.25">
      <c r="A3" s="345"/>
      <c r="B3" s="345"/>
      <c r="C3" s="132">
        <v>2021</v>
      </c>
      <c r="D3" s="132">
        <v>2022</v>
      </c>
      <c r="E3" s="132">
        <v>2023</v>
      </c>
      <c r="F3" s="132">
        <v>2024</v>
      </c>
      <c r="G3" s="132">
        <v>2025</v>
      </c>
      <c r="H3" s="132">
        <v>2026</v>
      </c>
      <c r="I3" s="132">
        <v>2027</v>
      </c>
      <c r="J3" s="132">
        <v>2028</v>
      </c>
      <c r="K3" s="132">
        <v>2029</v>
      </c>
      <c r="L3" s="132">
        <v>2030</v>
      </c>
      <c r="M3" s="132">
        <v>2031</v>
      </c>
      <c r="N3" s="132">
        <v>2032</v>
      </c>
      <c r="O3" s="132">
        <v>2033</v>
      </c>
      <c r="P3" s="132">
        <v>2034</v>
      </c>
      <c r="Q3" s="132">
        <v>2035</v>
      </c>
      <c r="R3" s="132">
        <v>2036</v>
      </c>
      <c r="S3" s="132">
        <v>2037</v>
      </c>
      <c r="T3" s="132">
        <v>2038</v>
      </c>
      <c r="U3" s="132">
        <v>2039</v>
      </c>
      <c r="V3" s="132">
        <v>2040</v>
      </c>
    </row>
    <row r="4" spans="1:22" ht="15" x14ac:dyDescent="0.25">
      <c r="A4" s="133">
        <v>1</v>
      </c>
      <c r="B4" s="133" t="s">
        <v>118</v>
      </c>
      <c r="C4" s="134" t="e">
        <f>'输出值2-营业收入估算表'!D4</f>
        <v>#VALUE!</v>
      </c>
      <c r="D4" s="134" t="e">
        <f>'输出值2-营业收入估算表'!E4</f>
        <v>#VALUE!</v>
      </c>
      <c r="E4" s="134" t="e">
        <f>'输出值2-营业收入估算表'!F4</f>
        <v>#VALUE!</v>
      </c>
      <c r="F4" s="134" t="e">
        <f>'输出值2-营业收入估算表'!G4</f>
        <v>#VALUE!</v>
      </c>
      <c r="G4" s="134" t="e">
        <f>'输出值2-营业收入估算表'!H4</f>
        <v>#VALUE!</v>
      </c>
      <c r="H4" s="134" t="e">
        <f>'输出值2-营业收入估算表'!I4</f>
        <v>#VALUE!</v>
      </c>
      <c r="I4" s="134" t="e">
        <f>'输出值2-营业收入估算表'!J4</f>
        <v>#VALUE!</v>
      </c>
      <c r="J4" s="134" t="e">
        <f>'输出值2-营业收入估算表'!K4</f>
        <v>#VALUE!</v>
      </c>
      <c r="K4" s="134" t="e">
        <f>'输出值2-营业收入估算表'!L4</f>
        <v>#VALUE!</v>
      </c>
      <c r="L4" s="134" t="e">
        <f>'输出值2-营业收入估算表'!M4</f>
        <v>#VALUE!</v>
      </c>
      <c r="M4" s="134" t="e">
        <f>'输出值2-营业收入估算表'!N4</f>
        <v>#VALUE!</v>
      </c>
      <c r="N4" s="134" t="e">
        <f>'输出值2-营业收入估算表'!O4</f>
        <v>#VALUE!</v>
      </c>
      <c r="O4" s="134" t="e">
        <f>'输出值2-营业收入估算表'!P4</f>
        <v>#VALUE!</v>
      </c>
      <c r="P4" s="134" t="e">
        <f>'输出值2-营业收入估算表'!Q4</f>
        <v>#VALUE!</v>
      </c>
      <c r="Q4" s="134" t="e">
        <f>'输出值2-营业收入估算表'!R4</f>
        <v>#VALUE!</v>
      </c>
      <c r="R4" s="134" t="e">
        <f>'输出值2-营业收入估算表'!S4</f>
        <v>#VALUE!</v>
      </c>
      <c r="S4" s="134" t="e">
        <f>'输出值2-营业收入估算表'!T4</f>
        <v>#VALUE!</v>
      </c>
      <c r="T4" s="134" t="e">
        <f>'输出值2-营业收入估算表'!U4</f>
        <v>#VALUE!</v>
      </c>
      <c r="U4" s="134" t="e">
        <f>'输出值2-营业收入估算表'!V4</f>
        <v>#VALUE!</v>
      </c>
      <c r="V4" s="134" t="e">
        <f>'输出值2-营业收入估算表'!W4</f>
        <v>#VALUE!</v>
      </c>
    </row>
    <row r="5" spans="1:22" ht="15" x14ac:dyDescent="0.25">
      <c r="A5" s="133">
        <v>2</v>
      </c>
      <c r="B5" s="133" t="s">
        <v>103</v>
      </c>
      <c r="C5" s="134"/>
      <c r="D5" s="134"/>
      <c r="E5" s="134"/>
      <c r="F5" s="134"/>
      <c r="G5" s="134"/>
      <c r="H5" s="134"/>
      <c r="I5" s="134"/>
      <c r="J5" s="134"/>
      <c r="K5" s="134"/>
      <c r="L5" s="134"/>
      <c r="M5" s="134"/>
      <c r="N5" s="134"/>
      <c r="O5" s="134"/>
      <c r="P5" s="134"/>
      <c r="Q5" s="134"/>
      <c r="R5" s="134"/>
      <c r="S5" s="134"/>
      <c r="T5" s="134"/>
      <c r="U5" s="134"/>
      <c r="V5" s="134"/>
    </row>
    <row r="6" spans="1:22" ht="15" x14ac:dyDescent="0.25">
      <c r="A6" s="133">
        <v>3</v>
      </c>
      <c r="B6" s="133" t="s">
        <v>136</v>
      </c>
      <c r="C6" s="134" t="e">
        <f>'输出值3-增值税及其他税金估算表'!D20</f>
        <v>#VALUE!</v>
      </c>
      <c r="D6" s="134" t="e">
        <f>'输出值3-增值税及其他税金估算表'!E20</f>
        <v>#VALUE!</v>
      </c>
      <c r="E6" s="134" t="e">
        <f>'输出值3-增值税及其他税金估算表'!F20</f>
        <v>#VALUE!</v>
      </c>
      <c r="F6" s="134" t="e">
        <f>'输出值3-增值税及其他税金估算表'!G20</f>
        <v>#VALUE!</v>
      </c>
      <c r="G6" s="134" t="e">
        <f>'输出值3-增值税及其他税金估算表'!H20</f>
        <v>#VALUE!</v>
      </c>
      <c r="H6" s="134" t="e">
        <f>'输出值3-增值税及其他税金估算表'!I20</f>
        <v>#VALUE!</v>
      </c>
      <c r="I6" s="134" t="e">
        <f>'输出值3-增值税及其他税金估算表'!J20</f>
        <v>#VALUE!</v>
      </c>
      <c r="J6" s="134" t="e">
        <f>'输出值3-增值税及其他税金估算表'!K20</f>
        <v>#VALUE!</v>
      </c>
      <c r="K6" s="134" t="e">
        <f>'输出值3-增值税及其他税金估算表'!L20</f>
        <v>#VALUE!</v>
      </c>
      <c r="L6" s="134" t="e">
        <f>'输出值3-增值税及其他税金估算表'!M20</f>
        <v>#VALUE!</v>
      </c>
      <c r="M6" s="134" t="e">
        <f>'输出值3-增值税及其他税金估算表'!N20</f>
        <v>#VALUE!</v>
      </c>
      <c r="N6" s="134" t="e">
        <f>'输出值3-增值税及其他税金估算表'!O20</f>
        <v>#VALUE!</v>
      </c>
      <c r="O6" s="134" t="e">
        <f>'输出值3-增值税及其他税金估算表'!P20</f>
        <v>#VALUE!</v>
      </c>
      <c r="P6" s="134" t="e">
        <f>'输出值3-增值税及其他税金估算表'!Q20</f>
        <v>#VALUE!</v>
      </c>
      <c r="Q6" s="134" t="e">
        <f>'输出值3-增值税及其他税金估算表'!R20</f>
        <v>#VALUE!</v>
      </c>
      <c r="R6" s="134" t="e">
        <f>'输出值3-增值税及其他税金估算表'!S20</f>
        <v>#VALUE!</v>
      </c>
      <c r="S6" s="134" t="e">
        <f>'输出值3-增值税及其他税金估算表'!T20</f>
        <v>#VALUE!</v>
      </c>
      <c r="T6" s="134" t="e">
        <f>'输出值3-增值税及其他税金估算表'!U20</f>
        <v>#VALUE!</v>
      </c>
      <c r="U6" s="134" t="e">
        <f>'输出值3-增值税及其他税金估算表'!V20</f>
        <v>#VALUE!</v>
      </c>
      <c r="V6" s="134" t="e">
        <f>'输出值3-增值税及其他税金估算表'!W20</f>
        <v>#VALUE!</v>
      </c>
    </row>
    <row r="7" spans="1:22" ht="15" x14ac:dyDescent="0.25">
      <c r="A7" s="133">
        <v>4</v>
      </c>
      <c r="B7" s="133" t="s">
        <v>10</v>
      </c>
      <c r="C7" s="134" t="e">
        <f>'输出值4-总成本费用估算表'!D15</f>
        <v>#VALUE!</v>
      </c>
      <c r="D7" s="134" t="e">
        <f>'输出值4-总成本费用估算表'!E15</f>
        <v>#VALUE!</v>
      </c>
      <c r="E7" s="134" t="e">
        <f>'输出值4-总成本费用估算表'!F15</f>
        <v>#VALUE!</v>
      </c>
      <c r="F7" s="134" t="e">
        <f>'输出值4-总成本费用估算表'!G15</f>
        <v>#VALUE!</v>
      </c>
      <c r="G7" s="134" t="e">
        <f>'输出值4-总成本费用估算表'!H15</f>
        <v>#VALUE!</v>
      </c>
      <c r="H7" s="134" t="e">
        <f>'输出值4-总成本费用估算表'!I15</f>
        <v>#VALUE!</v>
      </c>
      <c r="I7" s="134" t="e">
        <f>'输出值4-总成本费用估算表'!J15</f>
        <v>#VALUE!</v>
      </c>
      <c r="J7" s="134" t="e">
        <f>'输出值4-总成本费用估算表'!K15</f>
        <v>#VALUE!</v>
      </c>
      <c r="K7" s="134" t="e">
        <f>'输出值4-总成本费用估算表'!L15</f>
        <v>#VALUE!</v>
      </c>
      <c r="L7" s="134" t="e">
        <f>'输出值4-总成本费用估算表'!M15</f>
        <v>#VALUE!</v>
      </c>
      <c r="M7" s="134" t="e">
        <f>'输出值4-总成本费用估算表'!N15</f>
        <v>#VALUE!</v>
      </c>
      <c r="N7" s="134" t="e">
        <f>'输出值4-总成本费用估算表'!O15</f>
        <v>#VALUE!</v>
      </c>
      <c r="O7" s="134" t="e">
        <f>'输出值4-总成本费用估算表'!P15</f>
        <v>#VALUE!</v>
      </c>
      <c r="P7" s="134" t="e">
        <f>'输出值4-总成本费用估算表'!Q15</f>
        <v>#VALUE!</v>
      </c>
      <c r="Q7" s="134" t="e">
        <f>'输出值4-总成本费用估算表'!R15</f>
        <v>#VALUE!</v>
      </c>
      <c r="R7" s="134" t="e">
        <f>'输出值4-总成本费用估算表'!S15</f>
        <v>#VALUE!</v>
      </c>
      <c r="S7" s="134" t="e">
        <f>'输出值4-总成本费用估算表'!T15</f>
        <v>#VALUE!</v>
      </c>
      <c r="T7" s="134" t="e">
        <f>'输出值4-总成本费用估算表'!U15</f>
        <v>#VALUE!</v>
      </c>
      <c r="U7" s="134" t="e">
        <f>'输出值4-总成本费用估算表'!V15</f>
        <v>#VALUE!</v>
      </c>
      <c r="V7" s="134" t="e">
        <f>'输出值4-总成本费用估算表'!W15</f>
        <v>#VALUE!</v>
      </c>
    </row>
    <row r="8" spans="1:22" ht="15" x14ac:dyDescent="0.25">
      <c r="A8" s="133">
        <v>6</v>
      </c>
      <c r="B8" s="133" t="s">
        <v>78</v>
      </c>
      <c r="C8" s="135" t="e">
        <f>C4-C6-C7</f>
        <v>#VALUE!</v>
      </c>
      <c r="D8" s="135" t="e">
        <f>D4-D6-D7</f>
        <v>#VALUE!</v>
      </c>
      <c r="E8" s="135" t="e">
        <f t="shared" ref="E8:V8" si="0">E4-E6-E7</f>
        <v>#VALUE!</v>
      </c>
      <c r="F8" s="135" t="e">
        <f t="shared" si="0"/>
        <v>#VALUE!</v>
      </c>
      <c r="G8" s="135" t="e">
        <f t="shared" si="0"/>
        <v>#VALUE!</v>
      </c>
      <c r="H8" s="135" t="e">
        <f t="shared" si="0"/>
        <v>#VALUE!</v>
      </c>
      <c r="I8" s="135" t="e">
        <f t="shared" si="0"/>
        <v>#VALUE!</v>
      </c>
      <c r="J8" s="135" t="e">
        <f t="shared" si="0"/>
        <v>#VALUE!</v>
      </c>
      <c r="K8" s="135" t="e">
        <f t="shared" si="0"/>
        <v>#VALUE!</v>
      </c>
      <c r="L8" s="135" t="e">
        <f t="shared" si="0"/>
        <v>#VALUE!</v>
      </c>
      <c r="M8" s="135" t="e">
        <f t="shared" si="0"/>
        <v>#VALUE!</v>
      </c>
      <c r="N8" s="135" t="e">
        <f t="shared" si="0"/>
        <v>#VALUE!</v>
      </c>
      <c r="O8" s="135" t="e">
        <f t="shared" si="0"/>
        <v>#VALUE!</v>
      </c>
      <c r="P8" s="135" t="e">
        <f t="shared" si="0"/>
        <v>#VALUE!</v>
      </c>
      <c r="Q8" s="135" t="e">
        <f t="shared" si="0"/>
        <v>#VALUE!</v>
      </c>
      <c r="R8" s="135" t="e">
        <f t="shared" si="0"/>
        <v>#VALUE!</v>
      </c>
      <c r="S8" s="135" t="e">
        <f t="shared" si="0"/>
        <v>#VALUE!</v>
      </c>
      <c r="T8" s="135" t="e">
        <f t="shared" si="0"/>
        <v>#VALUE!</v>
      </c>
      <c r="U8" s="135" t="e">
        <f t="shared" si="0"/>
        <v>#VALUE!</v>
      </c>
      <c r="V8" s="135" t="e">
        <f t="shared" si="0"/>
        <v>#VALUE!</v>
      </c>
    </row>
    <row r="9" spans="1:22" ht="15" x14ac:dyDescent="0.25">
      <c r="A9" s="133">
        <v>7</v>
      </c>
      <c r="B9" s="133" t="s">
        <v>79</v>
      </c>
      <c r="C9" s="135" t="e">
        <f>C8</f>
        <v>#VALUE!</v>
      </c>
      <c r="D9" s="135" t="e">
        <f>D8</f>
        <v>#VALUE!</v>
      </c>
      <c r="E9" s="135" t="e">
        <f t="shared" ref="E9:V9" si="1">E8</f>
        <v>#VALUE!</v>
      </c>
      <c r="F9" s="135" t="e">
        <f t="shared" si="1"/>
        <v>#VALUE!</v>
      </c>
      <c r="G9" s="135" t="e">
        <f t="shared" si="1"/>
        <v>#VALUE!</v>
      </c>
      <c r="H9" s="135" t="e">
        <f t="shared" si="1"/>
        <v>#VALUE!</v>
      </c>
      <c r="I9" s="135" t="e">
        <f t="shared" si="1"/>
        <v>#VALUE!</v>
      </c>
      <c r="J9" s="135" t="e">
        <f t="shared" si="1"/>
        <v>#VALUE!</v>
      </c>
      <c r="K9" s="135" t="e">
        <f t="shared" si="1"/>
        <v>#VALUE!</v>
      </c>
      <c r="L9" s="135" t="e">
        <f t="shared" si="1"/>
        <v>#VALUE!</v>
      </c>
      <c r="M9" s="135" t="e">
        <f t="shared" si="1"/>
        <v>#VALUE!</v>
      </c>
      <c r="N9" s="135" t="e">
        <f t="shared" si="1"/>
        <v>#VALUE!</v>
      </c>
      <c r="O9" s="135" t="e">
        <f t="shared" si="1"/>
        <v>#VALUE!</v>
      </c>
      <c r="P9" s="135" t="e">
        <f t="shared" si="1"/>
        <v>#VALUE!</v>
      </c>
      <c r="Q9" s="135" t="e">
        <f t="shared" si="1"/>
        <v>#VALUE!</v>
      </c>
      <c r="R9" s="135" t="e">
        <f t="shared" si="1"/>
        <v>#VALUE!</v>
      </c>
      <c r="S9" s="135" t="e">
        <f t="shared" si="1"/>
        <v>#VALUE!</v>
      </c>
      <c r="T9" s="135" t="e">
        <f t="shared" si="1"/>
        <v>#VALUE!</v>
      </c>
      <c r="U9" s="135" t="e">
        <f t="shared" si="1"/>
        <v>#VALUE!</v>
      </c>
      <c r="V9" s="135" t="e">
        <f t="shared" si="1"/>
        <v>#VALUE!</v>
      </c>
    </row>
    <row r="10" spans="1:22" ht="15" x14ac:dyDescent="0.25">
      <c r="A10" s="133">
        <v>8</v>
      </c>
      <c r="B10" s="133" t="s">
        <v>80</v>
      </c>
      <c r="C10" s="134" t="e">
        <f>C9*25%</f>
        <v>#VALUE!</v>
      </c>
      <c r="D10" s="134" t="e">
        <f>D9*25%</f>
        <v>#VALUE!</v>
      </c>
      <c r="E10" s="134" t="e">
        <f t="shared" ref="E10:V10" si="2">E9*25%</f>
        <v>#VALUE!</v>
      </c>
      <c r="F10" s="134" t="e">
        <f t="shared" si="2"/>
        <v>#VALUE!</v>
      </c>
      <c r="G10" s="134" t="e">
        <f t="shared" si="2"/>
        <v>#VALUE!</v>
      </c>
      <c r="H10" s="134" t="e">
        <f t="shared" si="2"/>
        <v>#VALUE!</v>
      </c>
      <c r="I10" s="134" t="e">
        <f t="shared" si="2"/>
        <v>#VALUE!</v>
      </c>
      <c r="J10" s="134" t="e">
        <f t="shared" si="2"/>
        <v>#VALUE!</v>
      </c>
      <c r="K10" s="134" t="e">
        <f t="shared" si="2"/>
        <v>#VALUE!</v>
      </c>
      <c r="L10" s="134" t="e">
        <f t="shared" si="2"/>
        <v>#VALUE!</v>
      </c>
      <c r="M10" s="134" t="e">
        <f t="shared" si="2"/>
        <v>#VALUE!</v>
      </c>
      <c r="N10" s="134" t="e">
        <f t="shared" si="2"/>
        <v>#VALUE!</v>
      </c>
      <c r="O10" s="134" t="e">
        <f t="shared" si="2"/>
        <v>#VALUE!</v>
      </c>
      <c r="P10" s="134" t="e">
        <f t="shared" si="2"/>
        <v>#VALUE!</v>
      </c>
      <c r="Q10" s="134" t="e">
        <f t="shared" si="2"/>
        <v>#VALUE!</v>
      </c>
      <c r="R10" s="134" t="e">
        <f t="shared" si="2"/>
        <v>#VALUE!</v>
      </c>
      <c r="S10" s="134" t="e">
        <f t="shared" si="2"/>
        <v>#VALUE!</v>
      </c>
      <c r="T10" s="134" t="e">
        <f t="shared" si="2"/>
        <v>#VALUE!</v>
      </c>
      <c r="U10" s="134" t="e">
        <f t="shared" si="2"/>
        <v>#VALUE!</v>
      </c>
      <c r="V10" s="134" t="e">
        <f t="shared" si="2"/>
        <v>#VALUE!</v>
      </c>
    </row>
    <row r="11" spans="1:22" ht="15" x14ac:dyDescent="0.25">
      <c r="A11" s="133">
        <v>9</v>
      </c>
      <c r="B11" s="133" t="s">
        <v>81</v>
      </c>
      <c r="C11" s="135" t="e">
        <f>C8-C10</f>
        <v>#VALUE!</v>
      </c>
      <c r="D11" s="135" t="e">
        <f>D8-D10</f>
        <v>#VALUE!</v>
      </c>
      <c r="E11" s="135" t="e">
        <f t="shared" ref="E11:V11" si="3">E8-E10</f>
        <v>#VALUE!</v>
      </c>
      <c r="F11" s="135" t="e">
        <f t="shared" si="3"/>
        <v>#VALUE!</v>
      </c>
      <c r="G11" s="135" t="e">
        <f t="shared" si="3"/>
        <v>#VALUE!</v>
      </c>
      <c r="H11" s="135" t="e">
        <f t="shared" si="3"/>
        <v>#VALUE!</v>
      </c>
      <c r="I11" s="135" t="e">
        <f t="shared" si="3"/>
        <v>#VALUE!</v>
      </c>
      <c r="J11" s="135" t="e">
        <f t="shared" si="3"/>
        <v>#VALUE!</v>
      </c>
      <c r="K11" s="135" t="e">
        <f t="shared" si="3"/>
        <v>#VALUE!</v>
      </c>
      <c r="L11" s="135" t="e">
        <f t="shared" si="3"/>
        <v>#VALUE!</v>
      </c>
      <c r="M11" s="135" t="e">
        <f t="shared" si="3"/>
        <v>#VALUE!</v>
      </c>
      <c r="N11" s="135" t="e">
        <f t="shared" si="3"/>
        <v>#VALUE!</v>
      </c>
      <c r="O11" s="135" t="e">
        <f t="shared" si="3"/>
        <v>#VALUE!</v>
      </c>
      <c r="P11" s="135" t="e">
        <f t="shared" si="3"/>
        <v>#VALUE!</v>
      </c>
      <c r="Q11" s="135" t="e">
        <f t="shared" si="3"/>
        <v>#VALUE!</v>
      </c>
      <c r="R11" s="135" t="e">
        <f t="shared" si="3"/>
        <v>#VALUE!</v>
      </c>
      <c r="S11" s="135" t="e">
        <f t="shared" si="3"/>
        <v>#VALUE!</v>
      </c>
      <c r="T11" s="135" t="e">
        <f t="shared" si="3"/>
        <v>#VALUE!</v>
      </c>
      <c r="U11" s="135" t="e">
        <f t="shared" si="3"/>
        <v>#VALUE!</v>
      </c>
      <c r="V11" s="135" t="e">
        <f t="shared" si="3"/>
        <v>#VALUE!</v>
      </c>
    </row>
    <row r="12" spans="1:22" ht="15" x14ac:dyDescent="0.25">
      <c r="A12" s="133">
        <v>10</v>
      </c>
      <c r="B12" s="133" t="s">
        <v>82</v>
      </c>
      <c r="C12" s="134" t="e">
        <f>C11*10%</f>
        <v>#VALUE!</v>
      </c>
      <c r="D12" s="134" t="e">
        <f>D11*10%</f>
        <v>#VALUE!</v>
      </c>
      <c r="E12" s="134" t="e">
        <f t="shared" ref="E12:U12" si="4">E11*10%</f>
        <v>#VALUE!</v>
      </c>
      <c r="F12" s="134" t="e">
        <f t="shared" si="4"/>
        <v>#VALUE!</v>
      </c>
      <c r="G12" s="134" t="e">
        <f t="shared" si="4"/>
        <v>#VALUE!</v>
      </c>
      <c r="H12" s="134" t="e">
        <f t="shared" si="4"/>
        <v>#VALUE!</v>
      </c>
      <c r="I12" s="134" t="e">
        <f t="shared" si="4"/>
        <v>#VALUE!</v>
      </c>
      <c r="J12" s="134" t="e">
        <f t="shared" si="4"/>
        <v>#VALUE!</v>
      </c>
      <c r="K12" s="134" t="e">
        <f t="shared" si="4"/>
        <v>#VALUE!</v>
      </c>
      <c r="L12" s="134" t="e">
        <f t="shared" si="4"/>
        <v>#VALUE!</v>
      </c>
      <c r="M12" s="134" t="e">
        <f t="shared" si="4"/>
        <v>#VALUE!</v>
      </c>
      <c r="N12" s="134" t="e">
        <f t="shared" si="4"/>
        <v>#VALUE!</v>
      </c>
      <c r="O12" s="134" t="e">
        <f t="shared" si="4"/>
        <v>#VALUE!</v>
      </c>
      <c r="P12" s="134" t="e">
        <f t="shared" si="4"/>
        <v>#VALUE!</v>
      </c>
      <c r="Q12" s="134" t="e">
        <f t="shared" si="4"/>
        <v>#VALUE!</v>
      </c>
      <c r="R12" s="134" t="e">
        <f t="shared" si="4"/>
        <v>#VALUE!</v>
      </c>
      <c r="S12" s="134" t="e">
        <f t="shared" si="4"/>
        <v>#VALUE!</v>
      </c>
      <c r="T12" s="134" t="e">
        <f t="shared" si="4"/>
        <v>#VALUE!</v>
      </c>
      <c r="U12" s="134" t="e">
        <f t="shared" si="4"/>
        <v>#VALUE!</v>
      </c>
      <c r="V12" s="134" t="e">
        <f>V11*10%</f>
        <v>#VALUE!</v>
      </c>
    </row>
    <row r="13" spans="1:22" ht="15" x14ac:dyDescent="0.25">
      <c r="A13" s="133">
        <v>11</v>
      </c>
      <c r="B13" s="133" t="s">
        <v>83</v>
      </c>
      <c r="C13" s="135" t="e">
        <f>C11-C12</f>
        <v>#VALUE!</v>
      </c>
      <c r="D13" s="135" t="e">
        <f>D11-D12</f>
        <v>#VALUE!</v>
      </c>
      <c r="E13" s="135" t="e">
        <f t="shared" ref="E13:V13" si="5">E11-E12</f>
        <v>#VALUE!</v>
      </c>
      <c r="F13" s="135" t="e">
        <f t="shared" si="5"/>
        <v>#VALUE!</v>
      </c>
      <c r="G13" s="135" t="e">
        <f t="shared" si="5"/>
        <v>#VALUE!</v>
      </c>
      <c r="H13" s="135" t="e">
        <f t="shared" si="5"/>
        <v>#VALUE!</v>
      </c>
      <c r="I13" s="135" t="e">
        <f t="shared" si="5"/>
        <v>#VALUE!</v>
      </c>
      <c r="J13" s="135" t="e">
        <f t="shared" si="5"/>
        <v>#VALUE!</v>
      </c>
      <c r="K13" s="135" t="e">
        <f t="shared" si="5"/>
        <v>#VALUE!</v>
      </c>
      <c r="L13" s="135" t="e">
        <f t="shared" si="5"/>
        <v>#VALUE!</v>
      </c>
      <c r="M13" s="135" t="e">
        <f t="shared" si="5"/>
        <v>#VALUE!</v>
      </c>
      <c r="N13" s="135" t="e">
        <f t="shared" si="5"/>
        <v>#VALUE!</v>
      </c>
      <c r="O13" s="135" t="e">
        <f t="shared" si="5"/>
        <v>#VALUE!</v>
      </c>
      <c r="P13" s="135" t="e">
        <f t="shared" si="5"/>
        <v>#VALUE!</v>
      </c>
      <c r="Q13" s="135" t="e">
        <f t="shared" si="5"/>
        <v>#VALUE!</v>
      </c>
      <c r="R13" s="135" t="e">
        <f t="shared" si="5"/>
        <v>#VALUE!</v>
      </c>
      <c r="S13" s="135" t="e">
        <f t="shared" si="5"/>
        <v>#VALUE!</v>
      </c>
      <c r="T13" s="135" t="e">
        <f t="shared" si="5"/>
        <v>#VALUE!</v>
      </c>
      <c r="U13" s="135" t="e">
        <f t="shared" si="5"/>
        <v>#VALUE!</v>
      </c>
      <c r="V13" s="135" t="e">
        <f t="shared" si="5"/>
        <v>#VALUE!</v>
      </c>
    </row>
    <row r="14" spans="1:22" ht="15" x14ac:dyDescent="0.25">
      <c r="A14" s="133">
        <v>12</v>
      </c>
      <c r="B14" s="133" t="s">
        <v>12</v>
      </c>
      <c r="C14" s="135" t="e">
        <f>C13</f>
        <v>#VALUE!</v>
      </c>
      <c r="D14" s="135" t="e">
        <f>C14+D13</f>
        <v>#VALUE!</v>
      </c>
      <c r="E14" s="135" t="e">
        <f t="shared" ref="E14:V14" si="6">D14+E13</f>
        <v>#VALUE!</v>
      </c>
      <c r="F14" s="135" t="e">
        <f t="shared" si="6"/>
        <v>#VALUE!</v>
      </c>
      <c r="G14" s="135" t="e">
        <f t="shared" si="6"/>
        <v>#VALUE!</v>
      </c>
      <c r="H14" s="135" t="e">
        <f t="shared" si="6"/>
        <v>#VALUE!</v>
      </c>
      <c r="I14" s="135" t="e">
        <f t="shared" si="6"/>
        <v>#VALUE!</v>
      </c>
      <c r="J14" s="135" t="e">
        <f t="shared" si="6"/>
        <v>#VALUE!</v>
      </c>
      <c r="K14" s="135" t="e">
        <f t="shared" si="6"/>
        <v>#VALUE!</v>
      </c>
      <c r="L14" s="135" t="e">
        <f t="shared" si="6"/>
        <v>#VALUE!</v>
      </c>
      <c r="M14" s="135" t="e">
        <f t="shared" si="6"/>
        <v>#VALUE!</v>
      </c>
      <c r="N14" s="135" t="e">
        <f t="shared" si="6"/>
        <v>#VALUE!</v>
      </c>
      <c r="O14" s="135" t="e">
        <f t="shared" si="6"/>
        <v>#VALUE!</v>
      </c>
      <c r="P14" s="135" t="e">
        <f t="shared" si="6"/>
        <v>#VALUE!</v>
      </c>
      <c r="Q14" s="135" t="e">
        <f t="shared" si="6"/>
        <v>#VALUE!</v>
      </c>
      <c r="R14" s="135" t="e">
        <f t="shared" si="6"/>
        <v>#VALUE!</v>
      </c>
      <c r="S14" s="135" t="e">
        <f t="shared" si="6"/>
        <v>#VALUE!</v>
      </c>
      <c r="T14" s="135" t="e">
        <f t="shared" si="6"/>
        <v>#VALUE!</v>
      </c>
      <c r="U14" s="135" t="e">
        <f t="shared" si="6"/>
        <v>#VALUE!</v>
      </c>
      <c r="V14" s="135" t="e">
        <f t="shared" si="6"/>
        <v>#VALUE!</v>
      </c>
    </row>
  </sheetData>
  <mergeCells count="5">
    <mergeCell ref="A1:V1"/>
    <mergeCell ref="A2:A3"/>
    <mergeCell ref="B2:B3"/>
    <mergeCell ref="C2:D2"/>
    <mergeCell ref="E2:V2"/>
  </mergeCells>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FE74-CA21-4ED6-BE7C-FEB2BFDBB40F}">
  <dimension ref="A1:W26"/>
  <sheetViews>
    <sheetView zoomScale="80" zoomScaleNormal="80" workbookViewId="0">
      <selection activeCell="B25" sqref="B25"/>
    </sheetView>
  </sheetViews>
  <sheetFormatPr defaultRowHeight="12.5" x14ac:dyDescent="0.25"/>
  <cols>
    <col min="1" max="1" width="7.1796875" bestFit="1" customWidth="1"/>
    <col min="2" max="2" width="38" bestFit="1" customWidth="1"/>
    <col min="3" max="4" width="13.7265625" bestFit="1" customWidth="1"/>
    <col min="5" max="5" width="16.54296875" bestFit="1" customWidth="1"/>
    <col min="6" max="6" width="10.81640625" bestFit="1" customWidth="1"/>
    <col min="7" max="22" width="12.26953125" bestFit="1" customWidth="1"/>
    <col min="23" max="23" width="16.54296875" bestFit="1" customWidth="1"/>
  </cols>
  <sheetData>
    <row r="1" spans="1:23" ht="21" x14ac:dyDescent="0.25">
      <c r="A1" s="341" t="s">
        <v>215</v>
      </c>
      <c r="B1" s="342"/>
      <c r="C1" s="342"/>
      <c r="D1" s="342"/>
      <c r="E1" s="342"/>
      <c r="F1" s="342"/>
      <c r="G1" s="342"/>
      <c r="H1" s="342"/>
      <c r="I1" s="342"/>
      <c r="J1" s="342"/>
      <c r="K1" s="342"/>
      <c r="L1" s="342"/>
      <c r="M1" s="342"/>
      <c r="N1" s="342"/>
      <c r="O1" s="342"/>
      <c r="P1" s="342"/>
      <c r="Q1" s="342"/>
      <c r="R1" s="342"/>
      <c r="S1" s="342"/>
      <c r="T1" s="342"/>
      <c r="U1" s="342"/>
      <c r="V1" s="342"/>
      <c r="W1" s="343"/>
    </row>
    <row r="2" spans="1:23" s="46" customFormat="1" ht="15" x14ac:dyDescent="0.25">
      <c r="A2" s="351" t="s">
        <v>141</v>
      </c>
      <c r="B2" s="356" t="s">
        <v>6</v>
      </c>
      <c r="C2" s="357" t="s">
        <v>105</v>
      </c>
      <c r="D2" s="353" t="s">
        <v>75</v>
      </c>
      <c r="E2" s="354"/>
      <c r="F2" s="354" t="s">
        <v>220</v>
      </c>
      <c r="G2" s="354"/>
      <c r="H2" s="354"/>
      <c r="I2" s="354"/>
      <c r="J2" s="354"/>
      <c r="K2" s="354"/>
      <c r="L2" s="354"/>
      <c r="M2" s="354"/>
      <c r="N2" s="354"/>
      <c r="O2" s="354"/>
      <c r="P2" s="354"/>
      <c r="Q2" s="354"/>
      <c r="R2" s="354"/>
      <c r="S2" s="354"/>
      <c r="T2" s="354"/>
      <c r="U2" s="354"/>
      <c r="V2" s="354"/>
      <c r="W2" s="355"/>
    </row>
    <row r="3" spans="1:23" s="46" customFormat="1" ht="15" x14ac:dyDescent="0.25">
      <c r="A3" s="352"/>
      <c r="B3" s="356"/>
      <c r="C3" s="358"/>
      <c r="D3" s="136">
        <v>2021</v>
      </c>
      <c r="E3" s="136">
        <v>2022</v>
      </c>
      <c r="F3" s="136">
        <v>2023</v>
      </c>
      <c r="G3" s="136">
        <v>2024</v>
      </c>
      <c r="H3" s="136">
        <v>2025</v>
      </c>
      <c r="I3" s="136">
        <v>2026</v>
      </c>
      <c r="J3" s="136">
        <v>2027</v>
      </c>
      <c r="K3" s="136">
        <v>2028</v>
      </c>
      <c r="L3" s="136">
        <v>2029</v>
      </c>
      <c r="M3" s="136">
        <v>2030</v>
      </c>
      <c r="N3" s="136">
        <v>2031</v>
      </c>
      <c r="O3" s="136">
        <v>2032</v>
      </c>
      <c r="P3" s="136">
        <v>2033</v>
      </c>
      <c r="Q3" s="136">
        <v>2034</v>
      </c>
      <c r="R3" s="136">
        <v>2035</v>
      </c>
      <c r="S3" s="136">
        <v>2036</v>
      </c>
      <c r="T3" s="136">
        <v>2037</v>
      </c>
      <c r="U3" s="136">
        <v>2038</v>
      </c>
      <c r="V3" s="136">
        <v>2039</v>
      </c>
      <c r="W3" s="136">
        <v>2040</v>
      </c>
    </row>
    <row r="4" spans="1:23" ht="15.5" x14ac:dyDescent="0.35">
      <c r="A4" s="140">
        <v>1</v>
      </c>
      <c r="B4" s="141" t="s">
        <v>13</v>
      </c>
      <c r="C4" s="149"/>
      <c r="D4" s="150"/>
      <c r="E4" s="102"/>
      <c r="F4" s="102"/>
      <c r="G4" s="102"/>
      <c r="H4" s="102"/>
      <c r="I4" s="102"/>
      <c r="J4" s="102"/>
      <c r="K4" s="102"/>
      <c r="L4" s="102"/>
      <c r="M4" s="102"/>
      <c r="N4" s="102"/>
      <c r="O4" s="94"/>
      <c r="P4" s="94"/>
      <c r="Q4" s="94"/>
      <c r="R4" s="94"/>
      <c r="S4" s="94"/>
      <c r="T4" s="94"/>
      <c r="U4" s="94"/>
      <c r="V4" s="94"/>
      <c r="W4" s="94"/>
    </row>
    <row r="5" spans="1:23" ht="15" x14ac:dyDescent="0.25">
      <c r="A5" s="102">
        <v>1.1000000000000001</v>
      </c>
      <c r="B5" s="133" t="s">
        <v>118</v>
      </c>
      <c r="C5" s="151" t="e">
        <f>SUM(D5:W5)</f>
        <v>#VALUE!</v>
      </c>
      <c r="D5" s="152" t="e">
        <f>'输出值2-营业收入估算表'!D4</f>
        <v>#VALUE!</v>
      </c>
      <c r="E5" s="104" t="e">
        <f>'输出值2-营业收入估算表'!E4</f>
        <v>#VALUE!</v>
      </c>
      <c r="F5" s="104" t="e">
        <f>'输出值2-营业收入估算表'!F4</f>
        <v>#VALUE!</v>
      </c>
      <c r="G5" s="104" t="e">
        <f>'输出值2-营业收入估算表'!G4</f>
        <v>#VALUE!</v>
      </c>
      <c r="H5" s="104" t="e">
        <f>'输出值2-营业收入估算表'!H4</f>
        <v>#VALUE!</v>
      </c>
      <c r="I5" s="104" t="e">
        <f>'输出值2-营业收入估算表'!I4</f>
        <v>#VALUE!</v>
      </c>
      <c r="J5" s="104" t="e">
        <f>'输出值2-营业收入估算表'!J4</f>
        <v>#VALUE!</v>
      </c>
      <c r="K5" s="104" t="e">
        <f>'输出值2-营业收入估算表'!K4</f>
        <v>#VALUE!</v>
      </c>
      <c r="L5" s="104" t="e">
        <f>'输出值2-营业收入估算表'!L4</f>
        <v>#VALUE!</v>
      </c>
      <c r="M5" s="104" t="e">
        <f>'输出值2-营业收入估算表'!M4</f>
        <v>#VALUE!</v>
      </c>
      <c r="N5" s="104" t="e">
        <f>'输出值2-营业收入估算表'!N4</f>
        <v>#VALUE!</v>
      </c>
      <c r="O5" s="104" t="e">
        <f>'输出值2-营业收入估算表'!O4</f>
        <v>#VALUE!</v>
      </c>
      <c r="P5" s="104" t="e">
        <f>'输出值2-营业收入估算表'!P4</f>
        <v>#VALUE!</v>
      </c>
      <c r="Q5" s="104" t="e">
        <f>'输出值2-营业收入估算表'!Q4</f>
        <v>#VALUE!</v>
      </c>
      <c r="R5" s="104" t="e">
        <f>'输出值2-营业收入估算表'!R4</f>
        <v>#VALUE!</v>
      </c>
      <c r="S5" s="104" t="e">
        <f>'输出值2-营业收入估算表'!S4</f>
        <v>#VALUE!</v>
      </c>
      <c r="T5" s="104" t="e">
        <f>'输出值2-营业收入估算表'!T4</f>
        <v>#VALUE!</v>
      </c>
      <c r="U5" s="104" t="e">
        <f>'输出值2-营业收入估算表'!U4</f>
        <v>#VALUE!</v>
      </c>
      <c r="V5" s="104" t="e">
        <f>'输出值2-营业收入估算表'!V4</f>
        <v>#VALUE!</v>
      </c>
      <c r="W5" s="104" t="e">
        <f>'输出值2-营业收入估算表'!W4</f>
        <v>#VALUE!</v>
      </c>
    </row>
    <row r="6" spans="1:23" ht="15" x14ac:dyDescent="0.25">
      <c r="A6" s="102">
        <v>1.2</v>
      </c>
      <c r="B6" s="133" t="s">
        <v>119</v>
      </c>
      <c r="C6" s="151">
        <f t="shared" ref="C6:C17" si="0">SUM(D6:W6)</f>
        <v>0</v>
      </c>
      <c r="D6" s="152">
        <f>'输出值6-利润表'!C5</f>
        <v>0</v>
      </c>
      <c r="E6" s="104">
        <f>'输出值6-利润表'!D5</f>
        <v>0</v>
      </c>
      <c r="F6" s="104">
        <f>'输出值6-利润表'!E5</f>
        <v>0</v>
      </c>
      <c r="G6" s="104">
        <f>'输出值6-利润表'!F5</f>
        <v>0</v>
      </c>
      <c r="H6" s="104">
        <f>'输出值6-利润表'!G5</f>
        <v>0</v>
      </c>
      <c r="I6" s="104">
        <f>'输出值6-利润表'!H5</f>
        <v>0</v>
      </c>
      <c r="J6" s="104">
        <f>'输出值6-利润表'!I5</f>
        <v>0</v>
      </c>
      <c r="K6" s="104">
        <f>'输出值6-利润表'!J5</f>
        <v>0</v>
      </c>
      <c r="L6" s="104">
        <f>'输出值6-利润表'!K5</f>
        <v>0</v>
      </c>
      <c r="M6" s="104">
        <f>'输出值6-利润表'!L5</f>
        <v>0</v>
      </c>
      <c r="N6" s="104">
        <f>'输出值6-利润表'!M5</f>
        <v>0</v>
      </c>
      <c r="O6" s="104">
        <f>'输出值6-利润表'!N5</f>
        <v>0</v>
      </c>
      <c r="P6" s="104">
        <f>'输出值6-利润表'!O5</f>
        <v>0</v>
      </c>
      <c r="Q6" s="104">
        <f>'输出值6-利润表'!P5</f>
        <v>0</v>
      </c>
      <c r="R6" s="104">
        <f>'输出值6-利润表'!Q5</f>
        <v>0</v>
      </c>
      <c r="S6" s="104">
        <f>'输出值6-利润表'!R5</f>
        <v>0</v>
      </c>
      <c r="T6" s="104">
        <f>'输出值6-利润表'!S5</f>
        <v>0</v>
      </c>
      <c r="U6" s="104">
        <f>'输出值6-利润表'!T5</f>
        <v>0</v>
      </c>
      <c r="V6" s="104">
        <f>'输出值6-利润表'!U5</f>
        <v>0</v>
      </c>
      <c r="W6" s="104">
        <f>'输出值6-利润表'!V5</f>
        <v>0</v>
      </c>
    </row>
    <row r="7" spans="1:23" ht="16" x14ac:dyDescent="0.35">
      <c r="A7" s="102">
        <v>1.3</v>
      </c>
      <c r="B7" s="133" t="s">
        <v>216</v>
      </c>
      <c r="C7" s="151" t="e">
        <f t="shared" si="0"/>
        <v>#VALUE!</v>
      </c>
      <c r="D7" s="150"/>
      <c r="E7" s="102"/>
      <c r="F7" s="102"/>
      <c r="G7" s="102"/>
      <c r="H7" s="102"/>
      <c r="I7" s="102"/>
      <c r="J7" s="102"/>
      <c r="K7" s="102"/>
      <c r="L7" s="102"/>
      <c r="M7" s="102"/>
      <c r="N7" s="102"/>
      <c r="O7" s="94"/>
      <c r="P7" s="94"/>
      <c r="Q7" s="94"/>
      <c r="R7" s="94"/>
      <c r="S7" s="94"/>
      <c r="T7" s="94"/>
      <c r="U7" s="94"/>
      <c r="V7" s="94"/>
      <c r="W7" s="178" t="e">
        <f>'输出值5-折旧摊销费用估算表'!W8+'输出值5-折旧摊销费用估算表'!W18</f>
        <v>#VALUE!</v>
      </c>
    </row>
    <row r="8" spans="1:23" ht="15" x14ac:dyDescent="0.25">
      <c r="A8" s="102">
        <v>1.4</v>
      </c>
      <c r="B8" s="133" t="s">
        <v>84</v>
      </c>
      <c r="C8" s="151" t="e">
        <f t="shared" si="0"/>
        <v>#VALUE!</v>
      </c>
      <c r="D8" s="152" t="e">
        <f>'输出值8-还本付息表'!D6</f>
        <v>#VALUE!</v>
      </c>
      <c r="E8" s="104" t="e">
        <f>'输出值8-还本付息表'!E6</f>
        <v>#VALUE!</v>
      </c>
      <c r="F8" s="104">
        <f>'输出值8-还本付息表'!F6</f>
        <v>0</v>
      </c>
      <c r="G8" s="104">
        <f>'输出值8-还本付息表'!G6</f>
        <v>0</v>
      </c>
      <c r="H8" s="104">
        <f>'输出值8-还本付息表'!H6</f>
        <v>0</v>
      </c>
      <c r="I8" s="104">
        <f>'输出值8-还本付息表'!I6</f>
        <v>0</v>
      </c>
      <c r="J8" s="104">
        <f>'输出值8-还本付息表'!J6</f>
        <v>0</v>
      </c>
      <c r="K8" s="104">
        <f>'输出值8-还本付息表'!K6</f>
        <v>0</v>
      </c>
      <c r="L8" s="104">
        <f>'输出值8-还本付息表'!L6</f>
        <v>0</v>
      </c>
      <c r="M8" s="104">
        <f>'输出值8-还本付息表'!M6</f>
        <v>0</v>
      </c>
      <c r="N8" s="104">
        <f>'输出值8-还本付息表'!N6</f>
        <v>0</v>
      </c>
      <c r="O8" s="104">
        <f>'输出值8-还本付息表'!O6</f>
        <v>0</v>
      </c>
      <c r="P8" s="104">
        <f>'输出值8-还本付息表'!P6</f>
        <v>0</v>
      </c>
      <c r="Q8" s="104">
        <f>'输出值8-还本付息表'!Q6</f>
        <v>0</v>
      </c>
      <c r="R8" s="104">
        <f>'输出值8-还本付息表'!R6</f>
        <v>0</v>
      </c>
      <c r="S8" s="104">
        <f>'输出值8-还本付息表'!S6</f>
        <v>0</v>
      </c>
      <c r="T8" s="104">
        <f>'输出值8-还本付息表'!T6</f>
        <v>0</v>
      </c>
      <c r="U8" s="104">
        <f>'输出值8-还本付息表'!U6</f>
        <v>0</v>
      </c>
      <c r="V8" s="104">
        <f>'输出值8-还本付息表'!V6</f>
        <v>0</v>
      </c>
      <c r="W8" s="104">
        <f>'输出值8-还本付息表'!W6</f>
        <v>0</v>
      </c>
    </row>
    <row r="9" spans="1:23" ht="15" x14ac:dyDescent="0.25">
      <c r="A9" s="102">
        <v>1.5</v>
      </c>
      <c r="B9" s="133" t="s">
        <v>85</v>
      </c>
      <c r="C9" s="151" t="e">
        <f t="shared" si="0"/>
        <v>#VALUE!</v>
      </c>
      <c r="D9" s="152" t="e">
        <f>SUM(D5:D8)</f>
        <v>#VALUE!</v>
      </c>
      <c r="E9" s="104" t="e">
        <f t="shared" ref="E9:W9" si="1">SUM(E5:E8)</f>
        <v>#VALUE!</v>
      </c>
      <c r="F9" s="104" t="e">
        <f t="shared" si="1"/>
        <v>#VALUE!</v>
      </c>
      <c r="G9" s="104" t="e">
        <f t="shared" si="1"/>
        <v>#VALUE!</v>
      </c>
      <c r="H9" s="104" t="e">
        <f t="shared" si="1"/>
        <v>#VALUE!</v>
      </c>
      <c r="I9" s="104" t="e">
        <f t="shared" si="1"/>
        <v>#VALUE!</v>
      </c>
      <c r="J9" s="104" t="e">
        <f t="shared" si="1"/>
        <v>#VALUE!</v>
      </c>
      <c r="K9" s="104" t="e">
        <f t="shared" si="1"/>
        <v>#VALUE!</v>
      </c>
      <c r="L9" s="104" t="e">
        <f t="shared" si="1"/>
        <v>#VALUE!</v>
      </c>
      <c r="M9" s="104" t="e">
        <f t="shared" si="1"/>
        <v>#VALUE!</v>
      </c>
      <c r="N9" s="104" t="e">
        <f t="shared" si="1"/>
        <v>#VALUE!</v>
      </c>
      <c r="O9" s="104" t="e">
        <f t="shared" si="1"/>
        <v>#VALUE!</v>
      </c>
      <c r="P9" s="104" t="e">
        <f t="shared" si="1"/>
        <v>#VALUE!</v>
      </c>
      <c r="Q9" s="104" t="e">
        <f t="shared" si="1"/>
        <v>#VALUE!</v>
      </c>
      <c r="R9" s="104" t="e">
        <f t="shared" si="1"/>
        <v>#VALUE!</v>
      </c>
      <c r="S9" s="104" t="e">
        <f t="shared" si="1"/>
        <v>#VALUE!</v>
      </c>
      <c r="T9" s="104" t="e">
        <f t="shared" si="1"/>
        <v>#VALUE!</v>
      </c>
      <c r="U9" s="104" t="e">
        <f t="shared" si="1"/>
        <v>#VALUE!</v>
      </c>
      <c r="V9" s="104" t="e">
        <f t="shared" si="1"/>
        <v>#VALUE!</v>
      </c>
      <c r="W9" s="104" t="e">
        <f t="shared" si="1"/>
        <v>#VALUE!</v>
      </c>
    </row>
    <row r="10" spans="1:23" ht="15.5" x14ac:dyDescent="0.35">
      <c r="A10" s="140">
        <v>2</v>
      </c>
      <c r="B10" s="141" t="s">
        <v>14</v>
      </c>
      <c r="C10" s="149"/>
      <c r="D10" s="150"/>
      <c r="E10" s="102"/>
      <c r="F10" s="102"/>
      <c r="G10" s="102"/>
      <c r="H10" s="102"/>
      <c r="I10" s="102"/>
      <c r="J10" s="102"/>
      <c r="K10" s="102"/>
      <c r="L10" s="102"/>
      <c r="M10" s="102"/>
      <c r="N10" s="102"/>
      <c r="O10" s="94"/>
      <c r="P10" s="94"/>
      <c r="Q10" s="94"/>
      <c r="R10" s="94"/>
      <c r="S10" s="94"/>
      <c r="T10" s="94"/>
      <c r="U10" s="94"/>
      <c r="V10" s="94"/>
      <c r="W10" s="94"/>
    </row>
    <row r="11" spans="1:23" ht="15.5" x14ac:dyDescent="0.35">
      <c r="A11" s="102">
        <v>2.1</v>
      </c>
      <c r="B11" s="133" t="s">
        <v>86</v>
      </c>
      <c r="C11" s="151" t="e">
        <f t="shared" si="0"/>
        <v>#VALUE!</v>
      </c>
      <c r="D11" s="152">
        <v>0</v>
      </c>
      <c r="E11" s="179" t="e">
        <f>'输出值1-总投资估算表'!F34</f>
        <v>#VALUE!</v>
      </c>
      <c r="F11" s="102"/>
      <c r="G11" s="102"/>
      <c r="H11" s="102"/>
      <c r="I11" s="102"/>
      <c r="J11" s="102"/>
      <c r="K11" s="102"/>
      <c r="L11" s="102"/>
      <c r="M11" s="102"/>
      <c r="N11" s="102"/>
      <c r="O11" s="94"/>
      <c r="P11" s="94"/>
      <c r="Q11" s="94"/>
      <c r="R11" s="94"/>
      <c r="S11" s="94"/>
      <c r="T11" s="94"/>
      <c r="U11" s="94"/>
      <c r="V11" s="94"/>
      <c r="W11" s="94"/>
    </row>
    <row r="12" spans="1:23" ht="15" x14ac:dyDescent="0.25">
      <c r="A12" s="102">
        <v>2.2000000000000002</v>
      </c>
      <c r="B12" s="133" t="s">
        <v>275</v>
      </c>
      <c r="C12" s="151" t="e">
        <f t="shared" si="0"/>
        <v>#VALUE!</v>
      </c>
      <c r="D12" s="104" t="e">
        <f>'输出值4-总成本费用估算表'!D12</f>
        <v>#VALUE!</v>
      </c>
      <c r="E12" s="104" t="e">
        <f>'输出值4-总成本费用估算表'!E12</f>
        <v>#VALUE!</v>
      </c>
      <c r="F12" s="104" t="e">
        <f>'输出值4-总成本费用估算表'!F12</f>
        <v>#VALUE!</v>
      </c>
      <c r="G12" s="104" t="e">
        <f>'输出值4-总成本费用估算表'!G12</f>
        <v>#VALUE!</v>
      </c>
      <c r="H12" s="104" t="e">
        <f>'输出值4-总成本费用估算表'!H12</f>
        <v>#VALUE!</v>
      </c>
      <c r="I12" s="104" t="e">
        <f>'输出值4-总成本费用估算表'!I12</f>
        <v>#VALUE!</v>
      </c>
      <c r="J12" s="104" t="e">
        <f>'输出值4-总成本费用估算表'!J12</f>
        <v>#VALUE!</v>
      </c>
      <c r="K12" s="104" t="e">
        <f>'输出值4-总成本费用估算表'!K12</f>
        <v>#VALUE!</v>
      </c>
      <c r="L12" s="104" t="e">
        <f>'输出值4-总成本费用估算表'!L12</f>
        <v>#VALUE!</v>
      </c>
      <c r="M12" s="104" t="e">
        <f>'输出值4-总成本费用估算表'!M12</f>
        <v>#VALUE!</v>
      </c>
      <c r="N12" s="104" t="e">
        <f>'输出值4-总成本费用估算表'!N12</f>
        <v>#VALUE!</v>
      </c>
      <c r="O12" s="104" t="e">
        <f>'输出值4-总成本费用估算表'!O12</f>
        <v>#VALUE!</v>
      </c>
      <c r="P12" s="104" t="e">
        <f>'输出值4-总成本费用估算表'!P12</f>
        <v>#VALUE!</v>
      </c>
      <c r="Q12" s="104" t="e">
        <f>'输出值4-总成本费用估算表'!Q12</f>
        <v>#VALUE!</v>
      </c>
      <c r="R12" s="104" t="e">
        <f>'输出值4-总成本费用估算表'!R12</f>
        <v>#VALUE!</v>
      </c>
      <c r="S12" s="104" t="e">
        <f>'输出值4-总成本费用估算表'!S12</f>
        <v>#VALUE!</v>
      </c>
      <c r="T12" s="104" t="e">
        <f>'输出值4-总成本费用估算表'!T12</f>
        <v>#VALUE!</v>
      </c>
      <c r="U12" s="104" t="e">
        <f>'输出值4-总成本费用估算表'!U12</f>
        <v>#VALUE!</v>
      </c>
      <c r="V12" s="104" t="e">
        <f>'输出值4-总成本费用估算表'!V12</f>
        <v>#VALUE!</v>
      </c>
      <c r="W12" s="104" t="e">
        <f>'输出值4-总成本费用估算表'!W12</f>
        <v>#VALUE!</v>
      </c>
    </row>
    <row r="13" spans="1:23" ht="15" x14ac:dyDescent="0.25">
      <c r="A13" s="102">
        <v>2.2999999999999998</v>
      </c>
      <c r="B13" s="133" t="s">
        <v>221</v>
      </c>
      <c r="C13" s="151" t="e">
        <f t="shared" si="0"/>
        <v>#VALUE!</v>
      </c>
      <c r="D13" s="152" t="e">
        <f>'输出值3-增值税及其他税金估算表'!D20</f>
        <v>#VALUE!</v>
      </c>
      <c r="E13" s="104" t="e">
        <f>'输出值3-增值税及其他税金估算表'!E20</f>
        <v>#VALUE!</v>
      </c>
      <c r="F13" s="104" t="e">
        <f>'输出值3-增值税及其他税金估算表'!F20</f>
        <v>#VALUE!</v>
      </c>
      <c r="G13" s="104" t="e">
        <f>'输出值3-增值税及其他税金估算表'!G20</f>
        <v>#VALUE!</v>
      </c>
      <c r="H13" s="104" t="e">
        <f>'输出值3-增值税及其他税金估算表'!H20</f>
        <v>#VALUE!</v>
      </c>
      <c r="I13" s="104" t="e">
        <f>'输出值3-增值税及其他税金估算表'!I20</f>
        <v>#VALUE!</v>
      </c>
      <c r="J13" s="104" t="e">
        <f>'输出值3-增值税及其他税金估算表'!J20</f>
        <v>#VALUE!</v>
      </c>
      <c r="K13" s="104" t="e">
        <f>'输出值3-增值税及其他税金估算表'!K20</f>
        <v>#VALUE!</v>
      </c>
      <c r="L13" s="104" t="e">
        <f>'输出值3-增值税及其他税金估算表'!L20</f>
        <v>#VALUE!</v>
      </c>
      <c r="M13" s="104" t="e">
        <f>'输出值3-增值税及其他税金估算表'!M20</f>
        <v>#VALUE!</v>
      </c>
      <c r="N13" s="104" t="e">
        <f>'输出值3-增值税及其他税金估算表'!N20</f>
        <v>#VALUE!</v>
      </c>
      <c r="O13" s="104" t="e">
        <f>'输出值3-增值税及其他税金估算表'!O20</f>
        <v>#VALUE!</v>
      </c>
      <c r="P13" s="104" t="e">
        <f>'输出值3-增值税及其他税金估算表'!P20</f>
        <v>#VALUE!</v>
      </c>
      <c r="Q13" s="104" t="e">
        <f>'输出值3-增值税及其他税金估算表'!Q20</f>
        <v>#VALUE!</v>
      </c>
      <c r="R13" s="104" t="e">
        <f>'输出值3-增值税及其他税金估算表'!R20</f>
        <v>#VALUE!</v>
      </c>
      <c r="S13" s="104" t="e">
        <f>'输出值3-增值税及其他税金估算表'!S20</f>
        <v>#VALUE!</v>
      </c>
      <c r="T13" s="104" t="e">
        <f>'输出值3-增值税及其他税金估算表'!T20</f>
        <v>#VALUE!</v>
      </c>
      <c r="U13" s="104" t="e">
        <f>'输出值3-增值税及其他税金估算表'!U20</f>
        <v>#VALUE!</v>
      </c>
      <c r="V13" s="104" t="e">
        <f>'输出值3-增值税及其他税金估算表'!V20</f>
        <v>#VALUE!</v>
      </c>
      <c r="W13" s="104" t="e">
        <f>'输出值3-增值税及其他税金估算表'!W20</f>
        <v>#VALUE!</v>
      </c>
    </row>
    <row r="14" spans="1:23" ht="15" x14ac:dyDescent="0.25">
      <c r="A14" s="102">
        <v>2.4</v>
      </c>
      <c r="B14" s="133" t="s">
        <v>87</v>
      </c>
      <c r="C14" s="151" t="e">
        <f t="shared" si="0"/>
        <v>#VALUE!</v>
      </c>
      <c r="D14" s="152">
        <f>'输出值8-还本付息表'!D10</f>
        <v>0</v>
      </c>
      <c r="E14" s="104">
        <f>'输出值8-还本付息表'!E10</f>
        <v>0</v>
      </c>
      <c r="F14" s="104" t="e">
        <f>'输出值8-还本付息表'!F10</f>
        <v>#VALUE!</v>
      </c>
      <c r="G14" s="104" t="e">
        <f>'输出值8-还本付息表'!G10</f>
        <v>#VALUE!</v>
      </c>
      <c r="H14" s="104" t="e">
        <f>'输出值8-还本付息表'!H10</f>
        <v>#VALUE!</v>
      </c>
      <c r="I14" s="104" t="e">
        <f>'输出值8-还本付息表'!I10</f>
        <v>#VALUE!</v>
      </c>
      <c r="J14" s="104" t="e">
        <f>'输出值8-还本付息表'!J10</f>
        <v>#VALUE!</v>
      </c>
      <c r="K14" s="104">
        <f>'输出值8-还本付息表'!K10</f>
        <v>0</v>
      </c>
      <c r="L14" s="104">
        <f>'输出值8-还本付息表'!L10</f>
        <v>0</v>
      </c>
      <c r="M14" s="104">
        <f>'输出值8-还本付息表'!M10</f>
        <v>0</v>
      </c>
      <c r="N14" s="104">
        <f>'输出值8-还本付息表'!N10</f>
        <v>0</v>
      </c>
      <c r="O14" s="104">
        <f>'输出值8-还本付息表'!O10</f>
        <v>0</v>
      </c>
      <c r="P14" s="104">
        <f>'输出值8-还本付息表'!P10</f>
        <v>0</v>
      </c>
      <c r="Q14" s="104">
        <f>'输出值8-还本付息表'!Q10</f>
        <v>0</v>
      </c>
      <c r="R14" s="104">
        <f>'输出值8-还本付息表'!R10</f>
        <v>0</v>
      </c>
      <c r="S14" s="104">
        <f>'输出值8-还本付息表'!S10</f>
        <v>0</v>
      </c>
      <c r="T14" s="104">
        <f>'输出值8-还本付息表'!T10</f>
        <v>0</v>
      </c>
      <c r="U14" s="104">
        <f>'输出值8-还本付息表'!U10</f>
        <v>0</v>
      </c>
      <c r="V14" s="104">
        <f>'输出值8-还本付息表'!V10</f>
        <v>0</v>
      </c>
      <c r="W14" s="104">
        <f>'输出值8-还本付息表'!W10</f>
        <v>0</v>
      </c>
    </row>
    <row r="15" spans="1:23" ht="15" x14ac:dyDescent="0.25">
      <c r="A15" s="102">
        <v>2.5</v>
      </c>
      <c r="B15" s="133" t="s">
        <v>11</v>
      </c>
      <c r="C15" s="151" t="e">
        <f t="shared" si="0"/>
        <v>#VALUE!</v>
      </c>
      <c r="D15" s="152" t="e">
        <f>'输出值6-利润表'!C10</f>
        <v>#VALUE!</v>
      </c>
      <c r="E15" s="104" t="e">
        <f>'输出值6-利润表'!D10</f>
        <v>#VALUE!</v>
      </c>
      <c r="F15" s="104" t="e">
        <f>'输出值6-利润表'!E10</f>
        <v>#VALUE!</v>
      </c>
      <c r="G15" s="104" t="e">
        <f>'输出值6-利润表'!F10</f>
        <v>#VALUE!</v>
      </c>
      <c r="H15" s="104" t="e">
        <f>'输出值6-利润表'!G10</f>
        <v>#VALUE!</v>
      </c>
      <c r="I15" s="104" t="e">
        <f>'输出值6-利润表'!H10</f>
        <v>#VALUE!</v>
      </c>
      <c r="J15" s="104" t="e">
        <f>'输出值6-利润表'!I10</f>
        <v>#VALUE!</v>
      </c>
      <c r="K15" s="104" t="e">
        <f>'输出值6-利润表'!J10</f>
        <v>#VALUE!</v>
      </c>
      <c r="L15" s="104" t="e">
        <f>'输出值6-利润表'!K10</f>
        <v>#VALUE!</v>
      </c>
      <c r="M15" s="104" t="e">
        <f>'输出值6-利润表'!L10</f>
        <v>#VALUE!</v>
      </c>
      <c r="N15" s="104" t="e">
        <f>'输出值6-利润表'!M10</f>
        <v>#VALUE!</v>
      </c>
      <c r="O15" s="104" t="e">
        <f>'输出值6-利润表'!N10</f>
        <v>#VALUE!</v>
      </c>
      <c r="P15" s="104" t="e">
        <f>'输出值6-利润表'!O10</f>
        <v>#VALUE!</v>
      </c>
      <c r="Q15" s="104" t="e">
        <f>'输出值6-利润表'!P10</f>
        <v>#VALUE!</v>
      </c>
      <c r="R15" s="104" t="e">
        <f>'输出值6-利润表'!Q10</f>
        <v>#VALUE!</v>
      </c>
      <c r="S15" s="104" t="e">
        <f>'输出值6-利润表'!R10</f>
        <v>#VALUE!</v>
      </c>
      <c r="T15" s="104" t="e">
        <f>'输出值6-利润表'!S10</f>
        <v>#VALUE!</v>
      </c>
      <c r="U15" s="104" t="e">
        <f>'输出值6-利润表'!T10</f>
        <v>#VALUE!</v>
      </c>
      <c r="V15" s="104" t="e">
        <f>'输出值6-利润表'!U10</f>
        <v>#VALUE!</v>
      </c>
      <c r="W15" s="104" t="e">
        <f>'输出值6-利润表'!V10</f>
        <v>#VALUE!</v>
      </c>
    </row>
    <row r="16" spans="1:23" ht="15" x14ac:dyDescent="0.25">
      <c r="A16" s="102">
        <v>2.6</v>
      </c>
      <c r="B16" s="133" t="s">
        <v>88</v>
      </c>
      <c r="C16" s="151" t="e">
        <f t="shared" si="0"/>
        <v>#VALUE!</v>
      </c>
      <c r="D16" s="152" t="e">
        <f t="shared" ref="D16:W16" si="2">SUM(D11:D15)</f>
        <v>#VALUE!</v>
      </c>
      <c r="E16" s="104" t="e">
        <f t="shared" si="2"/>
        <v>#VALUE!</v>
      </c>
      <c r="F16" s="104" t="e">
        <f t="shared" si="2"/>
        <v>#VALUE!</v>
      </c>
      <c r="G16" s="104" t="e">
        <f t="shared" si="2"/>
        <v>#VALUE!</v>
      </c>
      <c r="H16" s="104" t="e">
        <f t="shared" si="2"/>
        <v>#VALUE!</v>
      </c>
      <c r="I16" s="104" t="e">
        <f t="shared" si="2"/>
        <v>#VALUE!</v>
      </c>
      <c r="J16" s="104" t="e">
        <f t="shared" si="2"/>
        <v>#VALUE!</v>
      </c>
      <c r="K16" s="104" t="e">
        <f t="shared" si="2"/>
        <v>#VALUE!</v>
      </c>
      <c r="L16" s="104" t="e">
        <f t="shared" si="2"/>
        <v>#VALUE!</v>
      </c>
      <c r="M16" s="104" t="e">
        <f t="shared" si="2"/>
        <v>#VALUE!</v>
      </c>
      <c r="N16" s="104" t="e">
        <f t="shared" si="2"/>
        <v>#VALUE!</v>
      </c>
      <c r="O16" s="104" t="e">
        <f t="shared" si="2"/>
        <v>#VALUE!</v>
      </c>
      <c r="P16" s="104" t="e">
        <f t="shared" si="2"/>
        <v>#VALUE!</v>
      </c>
      <c r="Q16" s="104" t="e">
        <f t="shared" si="2"/>
        <v>#VALUE!</v>
      </c>
      <c r="R16" s="104" t="e">
        <f t="shared" si="2"/>
        <v>#VALUE!</v>
      </c>
      <c r="S16" s="104" t="e">
        <f t="shared" si="2"/>
        <v>#VALUE!</v>
      </c>
      <c r="T16" s="104" t="e">
        <f t="shared" si="2"/>
        <v>#VALUE!</v>
      </c>
      <c r="U16" s="104" t="e">
        <f t="shared" si="2"/>
        <v>#VALUE!</v>
      </c>
      <c r="V16" s="104" t="e">
        <f t="shared" si="2"/>
        <v>#VALUE!</v>
      </c>
      <c r="W16" s="104" t="e">
        <f t="shared" si="2"/>
        <v>#VALUE!</v>
      </c>
    </row>
    <row r="17" spans="1:23" ht="15" x14ac:dyDescent="0.25">
      <c r="A17" s="140">
        <v>3</v>
      </c>
      <c r="B17" s="141" t="s">
        <v>89</v>
      </c>
      <c r="C17" s="151" t="e">
        <f t="shared" si="0"/>
        <v>#VALUE!</v>
      </c>
      <c r="D17" s="152" t="e">
        <f t="shared" ref="D17:W17" si="3">D9-D16</f>
        <v>#VALUE!</v>
      </c>
      <c r="E17" s="104" t="e">
        <f t="shared" si="3"/>
        <v>#VALUE!</v>
      </c>
      <c r="F17" s="104" t="e">
        <f t="shared" si="3"/>
        <v>#VALUE!</v>
      </c>
      <c r="G17" s="104" t="e">
        <f t="shared" si="3"/>
        <v>#VALUE!</v>
      </c>
      <c r="H17" s="104" t="e">
        <f t="shared" si="3"/>
        <v>#VALUE!</v>
      </c>
      <c r="I17" s="104" t="e">
        <f t="shared" si="3"/>
        <v>#VALUE!</v>
      </c>
      <c r="J17" s="104" t="e">
        <f t="shared" si="3"/>
        <v>#VALUE!</v>
      </c>
      <c r="K17" s="104" t="e">
        <f t="shared" si="3"/>
        <v>#VALUE!</v>
      </c>
      <c r="L17" s="104" t="e">
        <f t="shared" si="3"/>
        <v>#VALUE!</v>
      </c>
      <c r="M17" s="104" t="e">
        <f t="shared" si="3"/>
        <v>#VALUE!</v>
      </c>
      <c r="N17" s="104" t="e">
        <f t="shared" si="3"/>
        <v>#VALUE!</v>
      </c>
      <c r="O17" s="104" t="e">
        <f t="shared" si="3"/>
        <v>#VALUE!</v>
      </c>
      <c r="P17" s="104" t="e">
        <f t="shared" si="3"/>
        <v>#VALUE!</v>
      </c>
      <c r="Q17" s="104" t="e">
        <f t="shared" si="3"/>
        <v>#VALUE!</v>
      </c>
      <c r="R17" s="104" t="e">
        <f t="shared" si="3"/>
        <v>#VALUE!</v>
      </c>
      <c r="S17" s="104" t="e">
        <f t="shared" si="3"/>
        <v>#VALUE!</v>
      </c>
      <c r="T17" s="104" t="e">
        <f t="shared" si="3"/>
        <v>#VALUE!</v>
      </c>
      <c r="U17" s="104" t="e">
        <f t="shared" si="3"/>
        <v>#VALUE!</v>
      </c>
      <c r="V17" s="104" t="e">
        <f t="shared" si="3"/>
        <v>#VALUE!</v>
      </c>
      <c r="W17" s="104" t="e">
        <f t="shared" si="3"/>
        <v>#VALUE!</v>
      </c>
    </row>
    <row r="18" spans="1:23" ht="15" x14ac:dyDescent="0.25">
      <c r="A18" s="140">
        <v>4</v>
      </c>
      <c r="B18" s="141" t="s">
        <v>90</v>
      </c>
      <c r="C18" s="149"/>
      <c r="D18" s="153" t="e">
        <f>D17</f>
        <v>#VALUE!</v>
      </c>
      <c r="E18" s="137" t="e">
        <f>D18+E17</f>
        <v>#VALUE!</v>
      </c>
      <c r="F18" s="137" t="e">
        <f>E18+F17</f>
        <v>#VALUE!</v>
      </c>
      <c r="G18" s="137" t="e">
        <f>F18+G17</f>
        <v>#VALUE!</v>
      </c>
      <c r="H18" s="137" t="e">
        <f t="shared" ref="H18" si="4">G18+H17</f>
        <v>#VALUE!</v>
      </c>
      <c r="I18" s="137" t="e">
        <f t="shared" ref="I18" si="5">H18+I17</f>
        <v>#VALUE!</v>
      </c>
      <c r="J18" s="137" t="e">
        <f t="shared" ref="J18" si="6">I18+J17</f>
        <v>#VALUE!</v>
      </c>
      <c r="K18" s="137" t="e">
        <f t="shared" ref="K18" si="7">J18+K17</f>
        <v>#VALUE!</v>
      </c>
      <c r="L18" s="137" t="e">
        <f t="shared" ref="L18" si="8">K18+L17</f>
        <v>#VALUE!</v>
      </c>
      <c r="M18" s="137" t="e">
        <f t="shared" ref="M18" si="9">L18+M17</f>
        <v>#VALUE!</v>
      </c>
      <c r="N18" s="137" t="e">
        <f t="shared" ref="N18" si="10">M18+N17</f>
        <v>#VALUE!</v>
      </c>
      <c r="O18" s="137" t="e">
        <f t="shared" ref="O18" si="11">N18+O17</f>
        <v>#VALUE!</v>
      </c>
      <c r="P18" s="137" t="e">
        <f t="shared" ref="P18" si="12">O18+P17</f>
        <v>#VALUE!</v>
      </c>
      <c r="Q18" s="137" t="e">
        <f t="shared" ref="Q18" si="13">P18+Q17</f>
        <v>#VALUE!</v>
      </c>
      <c r="R18" s="137" t="e">
        <f t="shared" ref="R18" si="14">Q18+R17</f>
        <v>#VALUE!</v>
      </c>
      <c r="S18" s="137" t="e">
        <f t="shared" ref="S18" si="15">R18+S17</f>
        <v>#VALUE!</v>
      </c>
      <c r="T18" s="137" t="e">
        <f t="shared" ref="T18" si="16">S18+T17</f>
        <v>#VALUE!</v>
      </c>
      <c r="U18" s="137" t="e">
        <f t="shared" ref="U18" si="17">T18+U17</f>
        <v>#VALUE!</v>
      </c>
      <c r="V18" s="137" t="e">
        <f t="shared" ref="V18" si="18">U18+V17</f>
        <v>#VALUE!</v>
      </c>
      <c r="W18" s="137" t="e">
        <f t="shared" ref="W18" si="19">V18+W17</f>
        <v>#VALUE!</v>
      </c>
    </row>
    <row r="19" spans="1:23" ht="15.5" x14ac:dyDescent="0.35">
      <c r="A19" s="140">
        <v>5</v>
      </c>
      <c r="B19" s="141" t="s">
        <v>91</v>
      </c>
      <c r="C19" s="133"/>
      <c r="D19" s="102"/>
      <c r="E19" s="102"/>
      <c r="F19" s="102"/>
      <c r="G19" s="102"/>
      <c r="H19" s="102"/>
      <c r="I19" s="102"/>
      <c r="J19" s="102"/>
      <c r="K19" s="102"/>
      <c r="L19" s="102"/>
      <c r="M19" s="102"/>
      <c r="N19" s="102"/>
      <c r="O19" s="94"/>
      <c r="P19" s="94"/>
      <c r="Q19" s="94"/>
      <c r="R19" s="94"/>
      <c r="S19" s="94"/>
      <c r="T19" s="94"/>
      <c r="U19" s="94"/>
      <c r="V19" s="94"/>
      <c r="W19" s="94"/>
    </row>
    <row r="20" spans="1:23" ht="15.5" x14ac:dyDescent="0.35">
      <c r="A20" s="140">
        <v>6</v>
      </c>
      <c r="B20" s="141" t="s">
        <v>92</v>
      </c>
      <c r="C20" s="133"/>
      <c r="D20" s="102"/>
      <c r="E20" s="102"/>
      <c r="F20" s="102"/>
      <c r="G20" s="102"/>
      <c r="H20" s="102"/>
      <c r="I20" s="102"/>
      <c r="J20" s="102"/>
      <c r="K20" s="102"/>
      <c r="L20" s="102"/>
      <c r="M20" s="102"/>
      <c r="N20" s="102"/>
      <c r="O20" s="94"/>
      <c r="P20" s="94"/>
      <c r="Q20" s="94"/>
      <c r="R20" s="94"/>
      <c r="S20" s="94"/>
      <c r="T20" s="94"/>
      <c r="U20" s="94"/>
      <c r="V20" s="94"/>
      <c r="W20" s="94"/>
    </row>
    <row r="21" spans="1:23" ht="15.5" x14ac:dyDescent="0.35">
      <c r="A21" s="14"/>
      <c r="B21" s="349" t="s">
        <v>93</v>
      </c>
      <c r="C21" s="349"/>
      <c r="D21" s="349"/>
      <c r="E21" s="14"/>
      <c r="F21" s="349" t="s">
        <v>94</v>
      </c>
      <c r="G21" s="349"/>
      <c r="H21" s="14"/>
      <c r="I21" s="14"/>
      <c r="J21" s="349" t="s">
        <v>95</v>
      </c>
      <c r="K21" s="349"/>
      <c r="L21" s="349"/>
      <c r="M21" s="14"/>
      <c r="N21" s="14"/>
      <c r="O21" s="138"/>
      <c r="P21" s="138"/>
      <c r="Q21" s="138"/>
      <c r="R21" s="138"/>
      <c r="S21" s="138"/>
      <c r="T21" s="138"/>
      <c r="U21" s="138"/>
      <c r="V21" s="138"/>
      <c r="W21" s="138"/>
    </row>
    <row r="22" spans="1:23" ht="15.5" x14ac:dyDescent="0.35">
      <c r="A22" s="14"/>
      <c r="B22" s="349" t="s">
        <v>96</v>
      </c>
      <c r="C22" s="349"/>
      <c r="D22" s="349"/>
      <c r="E22" s="14"/>
      <c r="F22" s="350" t="e">
        <f>IRR(D17:W17)</f>
        <v>#VALUE!</v>
      </c>
      <c r="G22" s="350"/>
      <c r="H22" s="14"/>
      <c r="I22" s="14"/>
      <c r="J22" s="350"/>
      <c r="K22" s="350"/>
      <c r="L22" s="350"/>
      <c r="M22" s="14"/>
      <c r="N22" s="14"/>
      <c r="O22" s="138"/>
      <c r="P22" s="138"/>
      <c r="Q22" s="138"/>
      <c r="R22" s="138"/>
      <c r="S22" s="138"/>
      <c r="T22" s="138"/>
      <c r="U22" s="138"/>
      <c r="V22" s="138"/>
      <c r="W22" s="138"/>
    </row>
    <row r="23" spans="1:23" ht="15.5" x14ac:dyDescent="0.35">
      <c r="A23" s="14"/>
      <c r="B23" s="349" t="s">
        <v>97</v>
      </c>
      <c r="C23" s="349"/>
      <c r="D23" s="349"/>
      <c r="E23" s="139" t="e">
        <f>NPV(6%,D17:W17)</f>
        <v>#VALUE!</v>
      </c>
      <c r="F23" s="349"/>
      <c r="G23" s="349"/>
      <c r="H23" s="14"/>
      <c r="I23" s="14"/>
      <c r="J23" s="349"/>
      <c r="K23" s="349"/>
      <c r="L23" s="349"/>
      <c r="M23" s="14"/>
      <c r="N23" s="14"/>
      <c r="O23" s="138"/>
      <c r="P23" s="138"/>
      <c r="Q23" s="138"/>
      <c r="R23" s="138"/>
      <c r="S23" s="138"/>
      <c r="T23" s="138"/>
      <c r="U23" s="138"/>
      <c r="V23" s="138"/>
      <c r="W23" s="138"/>
    </row>
    <row r="24" spans="1:23" ht="15.5" x14ac:dyDescent="0.35">
      <c r="A24" s="14"/>
      <c r="B24" s="349" t="s">
        <v>98</v>
      </c>
      <c r="C24" s="349"/>
      <c r="D24" s="349"/>
      <c r="E24" s="14"/>
      <c r="F24" s="349"/>
      <c r="G24" s="349"/>
      <c r="H24" s="14"/>
      <c r="I24" s="14"/>
      <c r="J24" s="349"/>
      <c r="K24" s="349"/>
      <c r="L24" s="349"/>
      <c r="M24" s="14"/>
      <c r="N24" s="14"/>
      <c r="O24" s="138"/>
      <c r="P24" s="138"/>
      <c r="Q24" s="138"/>
      <c r="R24" s="138"/>
      <c r="S24" s="138"/>
      <c r="T24" s="138"/>
      <c r="U24" s="138"/>
      <c r="V24" s="138"/>
      <c r="W24" s="138"/>
    </row>
    <row r="25" spans="1:23" ht="15.5" x14ac:dyDescent="0.25">
      <c r="A25" s="142"/>
      <c r="B25" s="106"/>
      <c r="C25" s="106"/>
      <c r="D25" s="106"/>
      <c r="E25" s="106"/>
      <c r="F25" s="106"/>
      <c r="G25" s="106"/>
      <c r="H25" s="106"/>
      <c r="I25" s="106"/>
      <c r="J25" s="106"/>
      <c r="K25" s="106"/>
      <c r="L25" s="106"/>
      <c r="M25" s="106"/>
      <c r="N25" s="106"/>
      <c r="O25" s="106"/>
      <c r="P25" s="106"/>
      <c r="Q25" s="106"/>
      <c r="R25" s="106"/>
      <c r="S25" s="106"/>
      <c r="T25" s="106"/>
      <c r="U25" s="106"/>
      <c r="V25" s="106"/>
      <c r="W25" s="106"/>
    </row>
    <row r="26" spans="1:23" x14ac:dyDescent="0.25">
      <c r="C26" s="167"/>
    </row>
  </sheetData>
  <mergeCells count="18">
    <mergeCell ref="A1:W1"/>
    <mergeCell ref="B21:D21"/>
    <mergeCell ref="F21:G21"/>
    <mergeCell ref="J21:L21"/>
    <mergeCell ref="B22:D22"/>
    <mergeCell ref="F22:G22"/>
    <mergeCell ref="J22:L22"/>
    <mergeCell ref="A2:A3"/>
    <mergeCell ref="D2:E2"/>
    <mergeCell ref="F2:W2"/>
    <mergeCell ref="B2:B3"/>
    <mergeCell ref="C2:C3"/>
    <mergeCell ref="B23:D23"/>
    <mergeCell ref="F23:G23"/>
    <mergeCell ref="J23:L23"/>
    <mergeCell ref="B24:D24"/>
    <mergeCell ref="F24:G24"/>
    <mergeCell ref="J24:L24"/>
  </mergeCells>
  <phoneticPr fontId="7"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C21D4-CD6E-4645-8E1D-B0463385DA04}">
  <dimension ref="A1:W14"/>
  <sheetViews>
    <sheetView workbookViewId="0">
      <selection activeCell="A2" sqref="A2"/>
    </sheetView>
  </sheetViews>
  <sheetFormatPr defaultRowHeight="12.5" x14ac:dyDescent="0.25"/>
  <cols>
    <col min="2" max="2" width="30.1796875" bestFit="1" customWidth="1"/>
    <col min="3" max="3" width="12.26953125" bestFit="1" customWidth="1"/>
    <col min="4" max="4" width="12.453125" bestFit="1" customWidth="1"/>
    <col min="5" max="23" width="11.1796875" bestFit="1" customWidth="1"/>
  </cols>
  <sheetData>
    <row r="1" spans="1:23" ht="21" x14ac:dyDescent="0.25">
      <c r="A1" s="335" t="s">
        <v>117</v>
      </c>
      <c r="B1" s="335"/>
      <c r="C1" s="335"/>
      <c r="D1" s="335"/>
      <c r="E1" s="335"/>
      <c r="F1" s="335"/>
      <c r="G1" s="335"/>
      <c r="H1" s="335"/>
      <c r="I1" s="335"/>
      <c r="J1" s="335"/>
      <c r="K1" s="335"/>
      <c r="L1" s="335"/>
      <c r="M1" s="335"/>
      <c r="N1" s="335"/>
      <c r="O1" s="335"/>
      <c r="P1" s="335"/>
      <c r="Q1" s="335"/>
      <c r="R1" s="335"/>
      <c r="S1" s="335"/>
      <c r="T1" s="335"/>
      <c r="U1" s="335"/>
      <c r="V1" s="335"/>
      <c r="W1" s="335"/>
    </row>
    <row r="2" spans="1:23" s="46" customFormat="1" ht="15" x14ac:dyDescent="0.25">
      <c r="A2" s="70"/>
      <c r="B2" s="70"/>
      <c r="C2" s="66" t="s">
        <v>210</v>
      </c>
      <c r="D2" s="66">
        <v>1</v>
      </c>
      <c r="E2" s="66">
        <v>2</v>
      </c>
      <c r="F2" s="66">
        <v>3</v>
      </c>
      <c r="G2" s="66">
        <v>4</v>
      </c>
      <c r="H2" s="66">
        <v>5</v>
      </c>
      <c r="I2" s="66">
        <v>6</v>
      </c>
      <c r="J2" s="66">
        <v>7</v>
      </c>
      <c r="K2" s="66">
        <v>8</v>
      </c>
      <c r="L2" s="66">
        <v>9</v>
      </c>
      <c r="M2" s="66">
        <v>10</v>
      </c>
      <c r="N2" s="66">
        <v>11</v>
      </c>
      <c r="O2" s="66">
        <v>12</v>
      </c>
      <c r="P2" s="66">
        <v>13</v>
      </c>
      <c r="Q2" s="66">
        <v>14</v>
      </c>
      <c r="R2" s="66">
        <v>15</v>
      </c>
      <c r="S2" s="66">
        <v>16</v>
      </c>
      <c r="T2" s="66">
        <v>17</v>
      </c>
      <c r="U2" s="66">
        <v>18</v>
      </c>
      <c r="V2" s="66">
        <v>19</v>
      </c>
      <c r="W2" s="66">
        <v>20</v>
      </c>
    </row>
    <row r="3" spans="1:23" s="46" customFormat="1" ht="15" x14ac:dyDescent="0.25">
      <c r="A3" s="70"/>
      <c r="B3" s="70"/>
      <c r="C3" s="66" t="s">
        <v>196</v>
      </c>
      <c r="D3" s="117">
        <v>2021</v>
      </c>
      <c r="E3" s="117">
        <v>2022</v>
      </c>
      <c r="F3" s="117">
        <v>2023</v>
      </c>
      <c r="G3" s="117">
        <v>2024</v>
      </c>
      <c r="H3" s="117">
        <v>2025</v>
      </c>
      <c r="I3" s="117">
        <v>2026</v>
      </c>
      <c r="J3" s="117">
        <v>2027</v>
      </c>
      <c r="K3" s="117">
        <v>2028</v>
      </c>
      <c r="L3" s="117">
        <v>2029</v>
      </c>
      <c r="M3" s="117">
        <v>2030</v>
      </c>
      <c r="N3" s="117">
        <v>2031</v>
      </c>
      <c r="O3" s="117">
        <v>2032</v>
      </c>
      <c r="P3" s="117">
        <v>2033</v>
      </c>
      <c r="Q3" s="117">
        <v>2034</v>
      </c>
      <c r="R3" s="117">
        <v>2035</v>
      </c>
      <c r="S3" s="117">
        <v>2036</v>
      </c>
      <c r="T3" s="117">
        <v>2037</v>
      </c>
      <c r="U3" s="117">
        <v>2038</v>
      </c>
      <c r="V3" s="117">
        <v>2039</v>
      </c>
      <c r="W3" s="117">
        <v>2040</v>
      </c>
    </row>
    <row r="4" spans="1:23" ht="15" x14ac:dyDescent="0.25">
      <c r="A4" s="118">
        <v>1</v>
      </c>
      <c r="B4" s="118" t="s">
        <v>106</v>
      </c>
      <c r="C4" s="119" t="str">
        <f>输入值【1】!C75</f>
        <v>必填</v>
      </c>
      <c r="D4" s="1"/>
      <c r="E4" s="1"/>
      <c r="F4" s="1"/>
      <c r="G4" s="1"/>
      <c r="H4" s="1"/>
      <c r="I4" s="1"/>
      <c r="J4" s="1"/>
      <c r="K4" s="1"/>
      <c r="L4" s="1"/>
      <c r="M4" s="1"/>
      <c r="N4" s="1"/>
      <c r="O4" s="1"/>
      <c r="P4" s="1"/>
      <c r="Q4" s="1"/>
      <c r="R4" s="1"/>
      <c r="S4" s="1"/>
      <c r="T4" s="1"/>
      <c r="U4" s="1"/>
      <c r="V4" s="1"/>
      <c r="W4" s="1"/>
    </row>
    <row r="5" spans="1:23" ht="15" x14ac:dyDescent="0.25">
      <c r="A5" s="120">
        <v>1.1000000000000001</v>
      </c>
      <c r="B5" s="118" t="s">
        <v>107</v>
      </c>
      <c r="C5" s="121"/>
      <c r="D5" s="129">
        <v>0</v>
      </c>
      <c r="E5" s="130" t="e">
        <f>D11</f>
        <v>#VALUE!</v>
      </c>
      <c r="F5" s="130" t="e">
        <f t="shared" ref="F5:W5" si="0">E11</f>
        <v>#VALUE!</v>
      </c>
      <c r="G5" s="130" t="e">
        <f t="shared" si="0"/>
        <v>#VALUE!</v>
      </c>
      <c r="H5" s="130" t="e">
        <f t="shared" si="0"/>
        <v>#VALUE!</v>
      </c>
      <c r="I5" s="130" t="e">
        <f t="shared" si="0"/>
        <v>#VALUE!</v>
      </c>
      <c r="J5" s="130" t="e">
        <f t="shared" si="0"/>
        <v>#VALUE!</v>
      </c>
      <c r="K5" s="130" t="e">
        <f t="shared" si="0"/>
        <v>#VALUE!</v>
      </c>
      <c r="L5" s="130" t="e">
        <f t="shared" si="0"/>
        <v>#VALUE!</v>
      </c>
      <c r="M5" s="130" t="e">
        <f t="shared" si="0"/>
        <v>#VALUE!</v>
      </c>
      <c r="N5" s="130" t="e">
        <f t="shared" si="0"/>
        <v>#VALUE!</v>
      </c>
      <c r="O5" s="130" t="e">
        <f t="shared" si="0"/>
        <v>#VALUE!</v>
      </c>
      <c r="P5" s="130" t="e">
        <f t="shared" si="0"/>
        <v>#VALUE!</v>
      </c>
      <c r="Q5" s="130" t="e">
        <f t="shared" si="0"/>
        <v>#VALUE!</v>
      </c>
      <c r="R5" s="130" t="e">
        <f t="shared" si="0"/>
        <v>#VALUE!</v>
      </c>
      <c r="S5" s="130" t="e">
        <f t="shared" si="0"/>
        <v>#VALUE!</v>
      </c>
      <c r="T5" s="130" t="e">
        <f t="shared" si="0"/>
        <v>#VALUE!</v>
      </c>
      <c r="U5" s="130" t="e">
        <f t="shared" si="0"/>
        <v>#VALUE!</v>
      </c>
      <c r="V5" s="130" t="e">
        <f t="shared" si="0"/>
        <v>#VALUE!</v>
      </c>
      <c r="W5" s="130" t="e">
        <f t="shared" si="0"/>
        <v>#VALUE!</v>
      </c>
    </row>
    <row r="6" spans="1:23" ht="15" x14ac:dyDescent="0.25">
      <c r="A6" s="120">
        <v>1.2</v>
      </c>
      <c r="B6" s="120" t="s">
        <v>108</v>
      </c>
      <c r="C6" s="122" t="e">
        <f>SUM(D6:X6)</f>
        <v>#VALUE!</v>
      </c>
      <c r="D6" s="123" t="e">
        <f>('输出值1-总投资估算表'!F30+('输出值1-总投资估算表'!F34-'输出值1-总投资估算表'!F30)*输入值【1】!C24)*输入值【1】!C73</f>
        <v>#VALUE!</v>
      </c>
      <c r="E6" s="123" t="e">
        <f>('输出值1-总投资估算表'!F34-'输出值1-总投资估算表'!F30)*输入值【1】!C24*输入值【1】!C73</f>
        <v>#VALUE!</v>
      </c>
      <c r="F6" s="123">
        <v>0</v>
      </c>
      <c r="G6" s="123">
        <v>0</v>
      </c>
      <c r="H6" s="123"/>
      <c r="I6" s="123"/>
      <c r="J6" s="123"/>
      <c r="K6" s="123"/>
      <c r="L6" s="123"/>
      <c r="M6" s="123"/>
      <c r="N6" s="123"/>
      <c r="O6" s="123"/>
      <c r="P6" s="123"/>
      <c r="Q6" s="123"/>
      <c r="R6" s="123"/>
      <c r="S6" s="123"/>
      <c r="T6" s="123"/>
      <c r="U6" s="123"/>
      <c r="V6" s="123"/>
      <c r="W6" s="123"/>
    </row>
    <row r="7" spans="1:23" ht="15" x14ac:dyDescent="0.25">
      <c r="A7" s="120">
        <v>1.3</v>
      </c>
      <c r="B7" s="120" t="s">
        <v>109</v>
      </c>
      <c r="C7" s="121"/>
      <c r="D7" s="130" t="e">
        <f>(D5+D6/2)*$C$4</f>
        <v>#VALUE!</v>
      </c>
      <c r="E7" s="130" t="e">
        <f t="shared" ref="E7:W7" si="1">(E5+E6/2)*$C$4</f>
        <v>#VALUE!</v>
      </c>
      <c r="F7" s="130" t="e">
        <f t="shared" si="1"/>
        <v>#VALUE!</v>
      </c>
      <c r="G7" s="130" t="e">
        <f t="shared" si="1"/>
        <v>#VALUE!</v>
      </c>
      <c r="H7" s="130" t="e">
        <f t="shared" si="1"/>
        <v>#VALUE!</v>
      </c>
      <c r="I7" s="130" t="e">
        <f t="shared" si="1"/>
        <v>#VALUE!</v>
      </c>
      <c r="J7" s="130" t="e">
        <f t="shared" si="1"/>
        <v>#VALUE!</v>
      </c>
      <c r="K7" s="130" t="e">
        <f t="shared" si="1"/>
        <v>#VALUE!</v>
      </c>
      <c r="L7" s="130" t="e">
        <f t="shared" si="1"/>
        <v>#VALUE!</v>
      </c>
      <c r="M7" s="130" t="e">
        <f t="shared" si="1"/>
        <v>#VALUE!</v>
      </c>
      <c r="N7" s="130" t="e">
        <f t="shared" si="1"/>
        <v>#VALUE!</v>
      </c>
      <c r="O7" s="130" t="e">
        <f t="shared" si="1"/>
        <v>#VALUE!</v>
      </c>
      <c r="P7" s="130" t="e">
        <f t="shared" si="1"/>
        <v>#VALUE!</v>
      </c>
      <c r="Q7" s="130" t="e">
        <f t="shared" si="1"/>
        <v>#VALUE!</v>
      </c>
      <c r="R7" s="130" t="e">
        <f t="shared" si="1"/>
        <v>#VALUE!</v>
      </c>
      <c r="S7" s="130" t="e">
        <f t="shared" si="1"/>
        <v>#VALUE!</v>
      </c>
      <c r="T7" s="130" t="e">
        <f t="shared" si="1"/>
        <v>#VALUE!</v>
      </c>
      <c r="U7" s="130" t="e">
        <f t="shared" si="1"/>
        <v>#VALUE!</v>
      </c>
      <c r="V7" s="130" t="e">
        <f t="shared" si="1"/>
        <v>#VALUE!</v>
      </c>
      <c r="W7" s="130" t="e">
        <f t="shared" si="1"/>
        <v>#VALUE!</v>
      </c>
    </row>
    <row r="8" spans="1:23" ht="15" x14ac:dyDescent="0.25">
      <c r="A8" s="124">
        <v>1.4</v>
      </c>
      <c r="B8" s="125" t="s">
        <v>110</v>
      </c>
      <c r="C8" s="126" t="e">
        <f>SUM(D8:X8)</f>
        <v>#VALUE!</v>
      </c>
      <c r="D8" s="131" t="e">
        <f>D9+D10</f>
        <v>#VALUE!</v>
      </c>
      <c r="E8" s="131" t="e">
        <f>E9+E10</f>
        <v>#VALUE!</v>
      </c>
      <c r="F8" s="131" t="e">
        <f>F9+F10</f>
        <v>#VALUE!</v>
      </c>
      <c r="G8" s="131" t="e">
        <f t="shared" ref="G8:R8" si="2">G9+G10</f>
        <v>#VALUE!</v>
      </c>
      <c r="H8" s="131" t="e">
        <f t="shared" si="2"/>
        <v>#VALUE!</v>
      </c>
      <c r="I8" s="131" t="e">
        <f>I9+I10</f>
        <v>#VALUE!</v>
      </c>
      <c r="J8" s="131" t="e">
        <f t="shared" si="2"/>
        <v>#VALUE!</v>
      </c>
      <c r="K8" s="131" t="e">
        <f t="shared" si="2"/>
        <v>#VALUE!</v>
      </c>
      <c r="L8" s="131" t="e">
        <f t="shared" si="2"/>
        <v>#VALUE!</v>
      </c>
      <c r="M8" s="131" t="e">
        <f t="shared" si="2"/>
        <v>#VALUE!</v>
      </c>
      <c r="N8" s="131" t="e">
        <f t="shared" si="2"/>
        <v>#VALUE!</v>
      </c>
      <c r="O8" s="131" t="e">
        <f t="shared" si="2"/>
        <v>#VALUE!</v>
      </c>
      <c r="P8" s="131" t="e">
        <f t="shared" si="2"/>
        <v>#VALUE!</v>
      </c>
      <c r="Q8" s="131">
        <f t="shared" si="2"/>
        <v>0</v>
      </c>
      <c r="R8" s="131">
        <f t="shared" si="2"/>
        <v>0</v>
      </c>
      <c r="S8" s="131"/>
      <c r="T8" s="131"/>
      <c r="U8" s="131"/>
      <c r="V8" s="131"/>
      <c r="W8" s="131"/>
    </row>
    <row r="9" spans="1:23" ht="15" x14ac:dyDescent="0.25">
      <c r="A9" s="124" t="s">
        <v>111</v>
      </c>
      <c r="B9" s="124" t="s">
        <v>112</v>
      </c>
      <c r="C9" s="126" t="e">
        <f>SUM(D9:X9)</f>
        <v>#VALUE!</v>
      </c>
      <c r="D9" s="131" t="e">
        <f>D7</f>
        <v>#VALUE!</v>
      </c>
      <c r="E9" s="131" t="e">
        <f>E7</f>
        <v>#VALUE!</v>
      </c>
      <c r="F9" s="131" t="e">
        <f t="shared" ref="F9:P9" si="3">F7</f>
        <v>#VALUE!</v>
      </c>
      <c r="G9" s="131" t="e">
        <f t="shared" si="3"/>
        <v>#VALUE!</v>
      </c>
      <c r="H9" s="131" t="e">
        <f t="shared" si="3"/>
        <v>#VALUE!</v>
      </c>
      <c r="I9" s="131" t="e">
        <f t="shared" si="3"/>
        <v>#VALUE!</v>
      </c>
      <c r="J9" s="131" t="e">
        <f t="shared" si="3"/>
        <v>#VALUE!</v>
      </c>
      <c r="K9" s="131" t="e">
        <f t="shared" si="3"/>
        <v>#VALUE!</v>
      </c>
      <c r="L9" s="131" t="e">
        <f t="shared" si="3"/>
        <v>#VALUE!</v>
      </c>
      <c r="M9" s="131" t="e">
        <f t="shared" si="3"/>
        <v>#VALUE!</v>
      </c>
      <c r="N9" s="131" t="e">
        <f t="shared" si="3"/>
        <v>#VALUE!</v>
      </c>
      <c r="O9" s="131" t="e">
        <f t="shared" si="3"/>
        <v>#VALUE!</v>
      </c>
      <c r="P9" s="131" t="e">
        <f t="shared" si="3"/>
        <v>#VALUE!</v>
      </c>
      <c r="Q9" s="131"/>
      <c r="R9" s="131"/>
      <c r="S9" s="131"/>
      <c r="T9" s="131"/>
      <c r="U9" s="131"/>
      <c r="V9" s="131"/>
      <c r="W9" s="131"/>
    </row>
    <row r="10" spans="1:23" ht="15" x14ac:dyDescent="0.25">
      <c r="A10" s="120" t="s">
        <v>113</v>
      </c>
      <c r="B10" s="120" t="s">
        <v>114</v>
      </c>
      <c r="C10" s="121" t="e">
        <f>SUM(D10:X10)</f>
        <v>#VALUE!</v>
      </c>
      <c r="D10" s="130">
        <v>0</v>
      </c>
      <c r="E10" s="130">
        <v>0</v>
      </c>
      <c r="F10" s="130" t="e">
        <f>$C$6/$C$14</f>
        <v>#VALUE!</v>
      </c>
      <c r="G10" s="130" t="e">
        <f t="shared" ref="G10:J10" si="4">$C$6/$C$14</f>
        <v>#VALUE!</v>
      </c>
      <c r="H10" s="130" t="e">
        <f t="shared" si="4"/>
        <v>#VALUE!</v>
      </c>
      <c r="I10" s="130" t="e">
        <f t="shared" si="4"/>
        <v>#VALUE!</v>
      </c>
      <c r="J10" s="130" t="e">
        <f t="shared" si="4"/>
        <v>#VALUE!</v>
      </c>
      <c r="K10" s="130"/>
      <c r="L10" s="130"/>
      <c r="M10" s="130"/>
      <c r="N10" s="130"/>
      <c r="O10" s="130"/>
      <c r="P10" s="130"/>
      <c r="Q10" s="130"/>
      <c r="R10" s="130"/>
      <c r="S10" s="130"/>
      <c r="T10" s="130"/>
      <c r="U10" s="130"/>
      <c r="V10" s="130"/>
      <c r="W10" s="130"/>
    </row>
    <row r="11" spans="1:23" ht="15" x14ac:dyDescent="0.25">
      <c r="A11" s="120">
        <v>1.5</v>
      </c>
      <c r="B11" s="120" t="s">
        <v>115</v>
      </c>
      <c r="C11" s="121"/>
      <c r="D11" s="130" t="e">
        <f>D5+D6+D7-D8</f>
        <v>#VALUE!</v>
      </c>
      <c r="E11" s="130" t="e">
        <f t="shared" ref="E11:W11" si="5">E5+E6+E7-E8</f>
        <v>#VALUE!</v>
      </c>
      <c r="F11" s="130" t="e">
        <f t="shared" si="5"/>
        <v>#VALUE!</v>
      </c>
      <c r="G11" s="130" t="e">
        <f t="shared" si="5"/>
        <v>#VALUE!</v>
      </c>
      <c r="H11" s="130" t="e">
        <f t="shared" si="5"/>
        <v>#VALUE!</v>
      </c>
      <c r="I11" s="130" t="e">
        <f t="shared" si="5"/>
        <v>#VALUE!</v>
      </c>
      <c r="J11" s="130" t="e">
        <f t="shared" si="5"/>
        <v>#VALUE!</v>
      </c>
      <c r="K11" s="130" t="e">
        <f t="shared" si="5"/>
        <v>#VALUE!</v>
      </c>
      <c r="L11" s="130" t="e">
        <f t="shared" si="5"/>
        <v>#VALUE!</v>
      </c>
      <c r="M11" s="130" t="e">
        <f t="shared" si="5"/>
        <v>#VALUE!</v>
      </c>
      <c r="N11" s="130" t="e">
        <f t="shared" si="5"/>
        <v>#VALUE!</v>
      </c>
      <c r="O11" s="130" t="e">
        <f t="shared" si="5"/>
        <v>#VALUE!</v>
      </c>
      <c r="P11" s="130" t="e">
        <f t="shared" si="5"/>
        <v>#VALUE!</v>
      </c>
      <c r="Q11" s="130" t="e">
        <f t="shared" si="5"/>
        <v>#VALUE!</v>
      </c>
      <c r="R11" s="130" t="e">
        <f t="shared" si="5"/>
        <v>#VALUE!</v>
      </c>
      <c r="S11" s="130" t="e">
        <f t="shared" si="5"/>
        <v>#VALUE!</v>
      </c>
      <c r="T11" s="130" t="e">
        <f t="shared" si="5"/>
        <v>#VALUE!</v>
      </c>
      <c r="U11" s="130" t="e">
        <f t="shared" si="5"/>
        <v>#VALUE!</v>
      </c>
      <c r="V11" s="130" t="e">
        <f t="shared" si="5"/>
        <v>#VALUE!</v>
      </c>
      <c r="W11" s="130" t="e">
        <f t="shared" si="5"/>
        <v>#VALUE!</v>
      </c>
    </row>
    <row r="12" spans="1:23" ht="15" x14ac:dyDescent="0.25">
      <c r="A12" s="127"/>
      <c r="B12" s="127"/>
      <c r="C12" s="127"/>
      <c r="D12" s="127"/>
      <c r="E12" s="127"/>
      <c r="F12" s="127"/>
      <c r="G12" s="127"/>
      <c r="H12" s="127"/>
      <c r="I12" s="127"/>
      <c r="J12" s="127"/>
      <c r="K12" s="127"/>
      <c r="L12" s="127"/>
      <c r="M12" s="127"/>
      <c r="N12" s="127"/>
      <c r="O12" s="127"/>
      <c r="P12" s="127"/>
      <c r="Q12" s="127"/>
      <c r="R12" s="127"/>
      <c r="S12" s="127"/>
      <c r="T12" s="127"/>
      <c r="U12" s="127"/>
      <c r="V12" s="127"/>
      <c r="W12" s="127"/>
    </row>
    <row r="13" spans="1:23" ht="15" x14ac:dyDescent="0.25">
      <c r="A13" s="127"/>
      <c r="B13" s="117" t="s">
        <v>116</v>
      </c>
      <c r="C13" s="128" t="e">
        <f>1-输入值【1】!C73</f>
        <v>#VALUE!</v>
      </c>
      <c r="D13" s="127"/>
      <c r="E13" s="127"/>
      <c r="F13" s="127"/>
      <c r="G13" s="127"/>
      <c r="H13" s="127"/>
      <c r="I13" s="127"/>
      <c r="J13" s="127"/>
      <c r="K13" s="127"/>
      <c r="L13" s="127"/>
      <c r="M13" s="127"/>
      <c r="N13" s="127"/>
      <c r="O13" s="127"/>
      <c r="P13" s="127"/>
      <c r="Q13" s="127"/>
      <c r="R13" s="127"/>
      <c r="S13" s="127"/>
      <c r="T13" s="127"/>
      <c r="U13" s="127"/>
      <c r="V13" s="127"/>
      <c r="W13" s="127"/>
    </row>
    <row r="14" spans="1:23" ht="15" x14ac:dyDescent="0.25">
      <c r="A14" s="127"/>
      <c r="B14" s="117" t="s">
        <v>135</v>
      </c>
      <c r="C14" s="117" t="str">
        <f>输入值【1】!C74</f>
        <v>必填</v>
      </c>
      <c r="D14" s="127"/>
      <c r="E14" s="127"/>
      <c r="F14" s="127"/>
      <c r="G14" s="127"/>
      <c r="H14" s="127"/>
      <c r="I14" s="127"/>
      <c r="J14" s="127"/>
      <c r="K14" s="127"/>
      <c r="L14" s="127"/>
      <c r="M14" s="127"/>
      <c r="N14" s="127"/>
      <c r="O14" s="127"/>
      <c r="P14" s="127"/>
      <c r="Q14" s="127"/>
      <c r="R14" s="127"/>
      <c r="S14" s="127"/>
      <c r="T14" s="127"/>
      <c r="U14" s="127"/>
      <c r="V14" s="127"/>
      <c r="W14" s="127"/>
    </row>
  </sheetData>
  <mergeCells count="1">
    <mergeCell ref="A1:W1"/>
  </mergeCells>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CC6A-12AC-4E05-B692-D303A6F865AC}">
  <dimension ref="A1:AB118"/>
  <sheetViews>
    <sheetView tabSelected="1" zoomScale="85" zoomScaleNormal="85" workbookViewId="0">
      <selection activeCell="B4" sqref="B4"/>
    </sheetView>
  </sheetViews>
  <sheetFormatPr defaultRowHeight="12.5" x14ac:dyDescent="0.25"/>
  <cols>
    <col min="1" max="1" width="12.453125" customWidth="1"/>
    <col min="2" max="2" width="17.6328125" bestFit="1" customWidth="1"/>
    <col min="3" max="3" width="11.1796875" bestFit="1" customWidth="1"/>
    <col min="4" max="4" width="19.453125" customWidth="1"/>
    <col min="5" max="5" width="11.36328125" customWidth="1"/>
    <col min="7" max="7" width="13" bestFit="1" customWidth="1"/>
    <col min="8" max="8" width="10.453125" bestFit="1" customWidth="1"/>
    <col min="9" max="23" width="9.453125" bestFit="1" customWidth="1"/>
    <col min="24" max="24" width="22" customWidth="1"/>
    <col min="25" max="25" width="25.90625" style="184" customWidth="1"/>
    <col min="26" max="26" width="27.54296875" customWidth="1"/>
    <col min="27" max="27" width="47.81640625" customWidth="1"/>
    <col min="28" max="28" width="27.453125" customWidth="1"/>
  </cols>
  <sheetData>
    <row r="1" spans="1:26" ht="14.5" x14ac:dyDescent="0.25">
      <c r="A1" s="276" t="s">
        <v>725</v>
      </c>
    </row>
    <row r="2" spans="1:26" ht="14.5" customHeight="1" x14ac:dyDescent="0.25">
      <c r="A2" s="301" t="s">
        <v>728</v>
      </c>
      <c r="B2" s="301"/>
      <c r="C2" s="301"/>
      <c r="D2" s="301"/>
      <c r="E2" s="301"/>
      <c r="Y2"/>
      <c r="Z2" s="184"/>
    </row>
    <row r="3" spans="1:26" ht="13" x14ac:dyDescent="0.25">
      <c r="A3" s="252" t="s">
        <v>141</v>
      </c>
      <c r="B3" s="252" t="s">
        <v>142</v>
      </c>
      <c r="C3" s="284" t="s">
        <v>143</v>
      </c>
      <c r="D3" s="253" t="s">
        <v>139</v>
      </c>
      <c r="E3" s="32" t="s">
        <v>144</v>
      </c>
      <c r="K3" s="213"/>
      <c r="Y3"/>
      <c r="Z3" s="184"/>
    </row>
    <row r="4" spans="1:26" ht="65" x14ac:dyDescent="0.25">
      <c r="A4" s="252">
        <v>1</v>
      </c>
      <c r="B4" s="252" t="s">
        <v>250</v>
      </c>
      <c r="C4" s="254">
        <v>0.05</v>
      </c>
      <c r="D4" s="37" t="s">
        <v>657</v>
      </c>
      <c r="E4" s="285" t="s">
        <v>645</v>
      </c>
      <c r="Y4"/>
      <c r="Z4" s="184"/>
    </row>
    <row r="5" spans="1:26" ht="52" x14ac:dyDescent="0.25">
      <c r="A5" s="252">
        <v>2</v>
      </c>
      <c r="B5" s="32" t="s">
        <v>272</v>
      </c>
      <c r="C5" s="24">
        <v>0.01</v>
      </c>
      <c r="D5" s="286" t="s">
        <v>664</v>
      </c>
      <c r="E5" s="168" t="s">
        <v>663</v>
      </c>
      <c r="I5" s="167"/>
      <c r="Y5"/>
      <c r="Z5" s="184"/>
    </row>
    <row r="6" spans="1:26" ht="91" x14ac:dyDescent="0.25">
      <c r="A6" s="252">
        <v>3</v>
      </c>
      <c r="B6" s="285" t="s">
        <v>661</v>
      </c>
      <c r="C6" s="224">
        <v>393</v>
      </c>
      <c r="D6" s="37" t="s">
        <v>668</v>
      </c>
      <c r="E6" s="285" t="s">
        <v>645</v>
      </c>
      <c r="J6" s="213"/>
      <c r="Y6"/>
      <c r="Z6" s="184"/>
    </row>
    <row r="7" spans="1:26" ht="221" x14ac:dyDescent="0.25">
      <c r="A7" s="252">
        <v>4</v>
      </c>
      <c r="B7" s="32" t="s">
        <v>662</v>
      </c>
      <c r="C7" s="256">
        <v>4.8992366412213739</v>
      </c>
      <c r="D7" s="37" t="s">
        <v>709</v>
      </c>
      <c r="E7" s="285" t="s">
        <v>645</v>
      </c>
      <c r="H7" s="167"/>
      <c r="Y7"/>
      <c r="Z7" s="184"/>
    </row>
    <row r="8" spans="1:26" ht="14.5" x14ac:dyDescent="0.25">
      <c r="A8" s="276" t="s">
        <v>726</v>
      </c>
    </row>
    <row r="9" spans="1:26" ht="14.5" x14ac:dyDescent="0.25">
      <c r="A9" s="276" t="s">
        <v>725</v>
      </c>
    </row>
    <row r="10" spans="1:26" ht="13" x14ac:dyDescent="0.25">
      <c r="A10" s="305" t="s">
        <v>729</v>
      </c>
      <c r="B10" s="301"/>
      <c r="C10" s="301"/>
      <c r="D10" s="301"/>
      <c r="E10" s="301"/>
      <c r="F10" s="301"/>
      <c r="G10" s="301"/>
      <c r="H10" s="301"/>
      <c r="I10" s="301"/>
      <c r="J10" s="301"/>
      <c r="K10" s="301"/>
      <c r="L10" s="301"/>
      <c r="M10" s="301"/>
      <c r="N10" s="301"/>
      <c r="O10" s="301"/>
      <c r="P10" s="301"/>
      <c r="Q10" s="301"/>
      <c r="R10" s="301"/>
      <c r="S10" s="301"/>
      <c r="T10" s="301"/>
      <c r="U10" s="301"/>
      <c r="V10" s="301"/>
      <c r="W10" s="301"/>
      <c r="Y10"/>
    </row>
    <row r="11" spans="1:26" s="46" customFormat="1" ht="13" x14ac:dyDescent="0.25">
      <c r="A11" s="282" t="s">
        <v>179</v>
      </c>
      <c r="B11" s="275" t="s">
        <v>178</v>
      </c>
      <c r="C11" s="275" t="s">
        <v>178</v>
      </c>
      <c r="D11" s="275" t="s">
        <v>77</v>
      </c>
      <c r="E11" s="275" t="s">
        <v>77</v>
      </c>
      <c r="F11" s="275" t="s">
        <v>77</v>
      </c>
      <c r="G11" s="275" t="s">
        <v>77</v>
      </c>
      <c r="H11" s="275" t="s">
        <v>77</v>
      </c>
      <c r="I11" s="275" t="s">
        <v>77</v>
      </c>
      <c r="J11" s="275" t="s">
        <v>77</v>
      </c>
      <c r="K11" s="275" t="s">
        <v>77</v>
      </c>
      <c r="L11" s="275" t="s">
        <v>77</v>
      </c>
      <c r="M11" s="275" t="s">
        <v>77</v>
      </c>
      <c r="N11" s="275" t="s">
        <v>77</v>
      </c>
      <c r="O11" s="275" t="s">
        <v>77</v>
      </c>
      <c r="P11" s="275" t="s">
        <v>77</v>
      </c>
      <c r="Q11" s="275" t="s">
        <v>77</v>
      </c>
      <c r="R11" s="275" t="s">
        <v>77</v>
      </c>
      <c r="S11" s="275" t="s">
        <v>77</v>
      </c>
      <c r="T11" s="275" t="s">
        <v>77</v>
      </c>
      <c r="U11" s="283" t="s">
        <v>77</v>
      </c>
      <c r="V11" s="253" t="s">
        <v>727</v>
      </c>
      <c r="W11" s="32" t="s">
        <v>727</v>
      </c>
    </row>
    <row r="12" spans="1:26" s="46" customFormat="1" ht="13" x14ac:dyDescent="0.25">
      <c r="A12" s="280" t="s">
        <v>177</v>
      </c>
      <c r="B12" s="281">
        <v>1</v>
      </c>
      <c r="C12" s="281">
        <v>2</v>
      </c>
      <c r="D12" s="281">
        <v>3</v>
      </c>
      <c r="E12" s="281">
        <v>4</v>
      </c>
      <c r="F12" s="281">
        <v>5</v>
      </c>
      <c r="G12" s="281">
        <v>6</v>
      </c>
      <c r="H12" s="281">
        <v>7</v>
      </c>
      <c r="I12" s="281">
        <v>8</v>
      </c>
      <c r="J12" s="281">
        <v>9</v>
      </c>
      <c r="K12" s="281">
        <v>10</v>
      </c>
      <c r="L12" s="281">
        <v>11</v>
      </c>
      <c r="M12" s="281">
        <v>12</v>
      </c>
      <c r="N12" s="281">
        <v>13</v>
      </c>
      <c r="O12" s="281">
        <v>14</v>
      </c>
      <c r="P12" s="281">
        <v>15</v>
      </c>
      <c r="Q12" s="281">
        <v>16</v>
      </c>
      <c r="R12" s="281">
        <v>17</v>
      </c>
      <c r="S12" s="281">
        <v>18</v>
      </c>
      <c r="T12" s="281">
        <v>19</v>
      </c>
      <c r="U12" s="281">
        <v>20</v>
      </c>
      <c r="V12" s="253" t="s">
        <v>139</v>
      </c>
      <c r="W12" s="32" t="s">
        <v>144</v>
      </c>
    </row>
    <row r="13" spans="1:26" ht="39" customHeight="1" x14ac:dyDescent="0.25">
      <c r="A13" s="291" t="s">
        <v>249</v>
      </c>
      <c r="B13" s="43"/>
      <c r="C13" s="43"/>
      <c r="D13" s="77">
        <v>550</v>
      </c>
      <c r="E13" s="77">
        <f>D13*(1+$C$4)</f>
        <v>577.5</v>
      </c>
      <c r="F13" s="77">
        <f t="shared" ref="E13:U13" si="0">E13*(1+$C$4)</f>
        <v>606.375</v>
      </c>
      <c r="G13" s="77">
        <f t="shared" si="0"/>
        <v>636.69375000000002</v>
      </c>
      <c r="H13" s="77">
        <f t="shared" si="0"/>
        <v>668.5284375</v>
      </c>
      <c r="I13" s="77">
        <f t="shared" si="0"/>
        <v>701.95485937500007</v>
      </c>
      <c r="J13" s="77">
        <f t="shared" si="0"/>
        <v>737.0526023437501</v>
      </c>
      <c r="K13" s="77">
        <f t="shared" si="0"/>
        <v>773.90523246093767</v>
      </c>
      <c r="L13" s="77">
        <f t="shared" si="0"/>
        <v>812.60049408398459</v>
      </c>
      <c r="M13" s="77">
        <f t="shared" si="0"/>
        <v>853.23051878818387</v>
      </c>
      <c r="N13" s="77">
        <f t="shared" si="0"/>
        <v>895.89204472759309</v>
      </c>
      <c r="O13" s="77">
        <f t="shared" si="0"/>
        <v>940.68664696397275</v>
      </c>
      <c r="P13" s="77">
        <f t="shared" si="0"/>
        <v>987.72097931217138</v>
      </c>
      <c r="Q13" s="77">
        <f t="shared" si="0"/>
        <v>1037.10702827778</v>
      </c>
      <c r="R13" s="77">
        <f t="shared" si="0"/>
        <v>1088.9623796916692</v>
      </c>
      <c r="S13" s="77">
        <f t="shared" si="0"/>
        <v>1143.4104986762527</v>
      </c>
      <c r="T13" s="77">
        <f t="shared" si="0"/>
        <v>1200.5810236100654</v>
      </c>
      <c r="U13" s="77">
        <f t="shared" si="0"/>
        <v>1260.6100747905687</v>
      </c>
      <c r="V13" s="37" t="s">
        <v>707</v>
      </c>
      <c r="W13" s="206" t="s">
        <v>645</v>
      </c>
      <c r="Y13"/>
    </row>
    <row r="14" spans="1:26" ht="33" customHeight="1" x14ac:dyDescent="0.25">
      <c r="A14" s="274" t="s">
        <v>251</v>
      </c>
      <c r="B14" s="45"/>
      <c r="C14" s="45"/>
      <c r="D14" s="78">
        <v>0.4</v>
      </c>
      <c r="E14" s="78">
        <v>0.6</v>
      </c>
      <c r="F14" s="78">
        <v>0.7</v>
      </c>
      <c r="G14" s="78">
        <f>F14</f>
        <v>0.7</v>
      </c>
      <c r="H14" s="78">
        <f>G14</f>
        <v>0.7</v>
      </c>
      <c r="I14" s="78">
        <f t="shared" ref="I14:U14" si="1">H14</f>
        <v>0.7</v>
      </c>
      <c r="J14" s="78">
        <f t="shared" si="1"/>
        <v>0.7</v>
      </c>
      <c r="K14" s="78">
        <f t="shared" si="1"/>
        <v>0.7</v>
      </c>
      <c r="L14" s="78">
        <f t="shared" si="1"/>
        <v>0.7</v>
      </c>
      <c r="M14" s="78">
        <f t="shared" si="1"/>
        <v>0.7</v>
      </c>
      <c r="N14" s="78">
        <f t="shared" si="1"/>
        <v>0.7</v>
      </c>
      <c r="O14" s="78">
        <f t="shared" si="1"/>
        <v>0.7</v>
      </c>
      <c r="P14" s="78">
        <f t="shared" si="1"/>
        <v>0.7</v>
      </c>
      <c r="Q14" s="78">
        <f t="shared" si="1"/>
        <v>0.7</v>
      </c>
      <c r="R14" s="78">
        <f t="shared" si="1"/>
        <v>0.7</v>
      </c>
      <c r="S14" s="78">
        <f t="shared" si="1"/>
        <v>0.7</v>
      </c>
      <c r="T14" s="78">
        <f t="shared" si="1"/>
        <v>0.7</v>
      </c>
      <c r="U14" s="78">
        <f t="shared" si="1"/>
        <v>0.7</v>
      </c>
      <c r="V14" s="37" t="s">
        <v>708</v>
      </c>
      <c r="W14" s="206" t="s">
        <v>665</v>
      </c>
      <c r="Y14"/>
    </row>
    <row r="15" spans="1:26" ht="14.5" x14ac:dyDescent="0.25">
      <c r="A15" s="276" t="s">
        <v>726</v>
      </c>
    </row>
    <row r="16" spans="1:26" ht="14.5" x14ac:dyDescent="0.25">
      <c r="A16" s="276" t="s">
        <v>725</v>
      </c>
    </row>
    <row r="17" spans="1:28" ht="13" x14ac:dyDescent="0.25">
      <c r="A17" s="298" t="s">
        <v>730</v>
      </c>
      <c r="B17" s="299"/>
      <c r="C17" s="299"/>
      <c r="D17" s="299"/>
      <c r="E17" s="299"/>
      <c r="F17" s="299"/>
      <c r="G17" s="299"/>
      <c r="H17" s="299"/>
      <c r="I17" s="299"/>
      <c r="J17" s="299"/>
      <c r="K17" s="299"/>
      <c r="L17" s="299"/>
      <c r="M17" s="299"/>
      <c r="N17" s="299"/>
      <c r="O17" s="299"/>
      <c r="P17" s="299"/>
      <c r="Q17" s="299"/>
      <c r="R17" s="299"/>
      <c r="S17" s="299"/>
      <c r="T17" s="299"/>
      <c r="U17" s="299"/>
      <c r="V17" s="299"/>
      <c r="W17" s="300"/>
      <c r="X17" s="289"/>
    </row>
    <row r="18" spans="1:28" ht="13" x14ac:dyDescent="0.25">
      <c r="A18" s="44" t="s">
        <v>269</v>
      </c>
      <c r="B18" s="44" t="s">
        <v>271</v>
      </c>
      <c r="C18" s="44" t="s">
        <v>270</v>
      </c>
      <c r="D18" s="44" t="s">
        <v>732</v>
      </c>
      <c r="E18" s="44" t="s">
        <v>733</v>
      </c>
      <c r="F18" s="44" t="s">
        <v>734</v>
      </c>
      <c r="G18" s="44" t="s">
        <v>735</v>
      </c>
      <c r="H18" s="44" t="s">
        <v>736</v>
      </c>
      <c r="I18" s="44" t="s">
        <v>737</v>
      </c>
      <c r="J18" s="44" t="s">
        <v>738</v>
      </c>
      <c r="K18" s="44" t="s">
        <v>739</v>
      </c>
      <c r="L18" s="44" t="s">
        <v>740</v>
      </c>
      <c r="M18" s="44" t="s">
        <v>741</v>
      </c>
      <c r="N18" s="44" t="s">
        <v>742</v>
      </c>
      <c r="O18" s="44" t="s">
        <v>743</v>
      </c>
      <c r="P18" s="44" t="s">
        <v>744</v>
      </c>
      <c r="Q18" s="44" t="s">
        <v>745</v>
      </c>
      <c r="R18" s="44" t="s">
        <v>746</v>
      </c>
      <c r="S18" s="44" t="s">
        <v>747</v>
      </c>
      <c r="T18" s="44" t="s">
        <v>748</v>
      </c>
      <c r="U18" s="44" t="s">
        <v>749</v>
      </c>
      <c r="V18" s="44" t="s">
        <v>750</v>
      </c>
      <c r="W18" s="44" t="s">
        <v>751</v>
      </c>
      <c r="X18" s="184"/>
      <c r="Y18"/>
    </row>
    <row r="19" spans="1:28" ht="14.5" x14ac:dyDescent="0.25">
      <c r="A19" s="292" t="s">
        <v>752</v>
      </c>
      <c r="B19" s="16">
        <v>1</v>
      </c>
      <c r="C19" s="16">
        <v>60</v>
      </c>
      <c r="D19" s="16"/>
      <c r="E19" s="16"/>
      <c r="F19" s="176">
        <f>C19*B19</f>
        <v>60</v>
      </c>
      <c r="G19" s="176">
        <f>F19*(1+$C$5)</f>
        <v>60.6</v>
      </c>
      <c r="H19" s="176">
        <f t="shared" ref="G19:W19" si="2">G19*(1+$C$5)</f>
        <v>61.206000000000003</v>
      </c>
      <c r="I19" s="176">
        <f t="shared" si="2"/>
        <v>61.818060000000003</v>
      </c>
      <c r="J19" s="176">
        <f t="shared" si="2"/>
        <v>62.436240600000005</v>
      </c>
      <c r="K19" s="176">
        <f t="shared" si="2"/>
        <v>63.060603006000008</v>
      </c>
      <c r="L19" s="176">
        <f t="shared" si="2"/>
        <v>63.691209036060009</v>
      </c>
      <c r="M19" s="176">
        <f t="shared" si="2"/>
        <v>64.328121126420612</v>
      </c>
      <c r="N19" s="176">
        <f t="shared" si="2"/>
        <v>64.971402337684822</v>
      </c>
      <c r="O19" s="176">
        <f t="shared" si="2"/>
        <v>65.621116361061667</v>
      </c>
      <c r="P19" s="176">
        <f t="shared" si="2"/>
        <v>66.277327524672287</v>
      </c>
      <c r="Q19" s="176">
        <f t="shared" si="2"/>
        <v>66.940100799919009</v>
      </c>
      <c r="R19" s="176">
        <f t="shared" si="2"/>
        <v>67.609501807918193</v>
      </c>
      <c r="S19" s="176">
        <f t="shared" si="2"/>
        <v>68.285596825997374</v>
      </c>
      <c r="T19" s="176">
        <f t="shared" si="2"/>
        <v>68.968452794257345</v>
      </c>
      <c r="U19" s="176">
        <f t="shared" si="2"/>
        <v>69.65813732219992</v>
      </c>
      <c r="V19" s="176">
        <f t="shared" si="2"/>
        <v>70.354718695421923</v>
      </c>
      <c r="W19" s="176">
        <f t="shared" si="2"/>
        <v>71.058265882376148</v>
      </c>
      <c r="X19" s="184"/>
      <c r="Y19"/>
    </row>
    <row r="20" spans="1:28" ht="14.5" x14ac:dyDescent="0.25">
      <c r="A20" s="292" t="s">
        <v>753</v>
      </c>
      <c r="B20" s="16">
        <v>1</v>
      </c>
      <c r="C20" s="16">
        <v>7.2</v>
      </c>
      <c r="D20" s="16"/>
      <c r="E20" s="16"/>
      <c r="F20" s="176">
        <f t="shared" ref="F20:F83" si="3">C20*B20</f>
        <v>7.2</v>
      </c>
      <c r="G20" s="176">
        <f t="shared" ref="G20:W20" si="4">F20*(1+$C$5)</f>
        <v>7.2720000000000002</v>
      </c>
      <c r="H20" s="176">
        <f t="shared" si="4"/>
        <v>7.3447200000000006</v>
      </c>
      <c r="I20" s="176">
        <f t="shared" si="4"/>
        <v>7.418167200000001</v>
      </c>
      <c r="J20" s="176">
        <f t="shared" si="4"/>
        <v>7.4923488720000009</v>
      </c>
      <c r="K20" s="176">
        <f t="shared" si="4"/>
        <v>7.5672723607200005</v>
      </c>
      <c r="L20" s="176">
        <f t="shared" si="4"/>
        <v>7.6429450843272004</v>
      </c>
      <c r="M20" s="176">
        <f t="shared" si="4"/>
        <v>7.7193745351704726</v>
      </c>
      <c r="N20" s="176">
        <f t="shared" si="4"/>
        <v>7.7965682805221777</v>
      </c>
      <c r="O20" s="176">
        <f t="shared" si="4"/>
        <v>7.8745339633273996</v>
      </c>
      <c r="P20" s="176">
        <f t="shared" si="4"/>
        <v>7.9532793029606736</v>
      </c>
      <c r="Q20" s="176">
        <f t="shared" si="4"/>
        <v>8.0328120959902805</v>
      </c>
      <c r="R20" s="176">
        <f t="shared" si="4"/>
        <v>8.1131402169501836</v>
      </c>
      <c r="S20" s="176">
        <f t="shared" si="4"/>
        <v>8.1942716191196858</v>
      </c>
      <c r="T20" s="176">
        <f t="shared" si="4"/>
        <v>8.2762143353108826</v>
      </c>
      <c r="U20" s="176">
        <f t="shared" si="4"/>
        <v>8.3589764786639922</v>
      </c>
      <c r="V20" s="176">
        <f t="shared" si="4"/>
        <v>8.4425662434506314</v>
      </c>
      <c r="W20" s="176">
        <f t="shared" si="4"/>
        <v>8.5269919058851382</v>
      </c>
      <c r="X20" s="220"/>
      <c r="Y20" s="175"/>
      <c r="AB20" s="2"/>
    </row>
    <row r="21" spans="1:28" ht="14.5" x14ac:dyDescent="0.25">
      <c r="A21" s="292" t="s">
        <v>754</v>
      </c>
      <c r="B21" s="16">
        <v>0</v>
      </c>
      <c r="C21" s="16">
        <v>36</v>
      </c>
      <c r="D21" s="16"/>
      <c r="E21" s="16"/>
      <c r="F21" s="176">
        <f t="shared" si="3"/>
        <v>0</v>
      </c>
      <c r="G21" s="176">
        <f t="shared" ref="G21:W21" si="5">F21*(1+$C$5)</f>
        <v>0</v>
      </c>
      <c r="H21" s="176">
        <f t="shared" si="5"/>
        <v>0</v>
      </c>
      <c r="I21" s="176">
        <f t="shared" si="5"/>
        <v>0</v>
      </c>
      <c r="J21" s="176">
        <f t="shared" si="5"/>
        <v>0</v>
      </c>
      <c r="K21" s="176">
        <f t="shared" si="5"/>
        <v>0</v>
      </c>
      <c r="L21" s="176">
        <f t="shared" si="5"/>
        <v>0</v>
      </c>
      <c r="M21" s="176">
        <f t="shared" si="5"/>
        <v>0</v>
      </c>
      <c r="N21" s="176">
        <f t="shared" si="5"/>
        <v>0</v>
      </c>
      <c r="O21" s="176">
        <f t="shared" si="5"/>
        <v>0</v>
      </c>
      <c r="P21" s="176">
        <f t="shared" si="5"/>
        <v>0</v>
      </c>
      <c r="Q21" s="176">
        <f t="shared" si="5"/>
        <v>0</v>
      </c>
      <c r="R21" s="176">
        <f t="shared" si="5"/>
        <v>0</v>
      </c>
      <c r="S21" s="176">
        <f t="shared" si="5"/>
        <v>0</v>
      </c>
      <c r="T21" s="176">
        <f t="shared" si="5"/>
        <v>0</v>
      </c>
      <c r="U21" s="176">
        <f t="shared" si="5"/>
        <v>0</v>
      </c>
      <c r="V21" s="176">
        <f t="shared" si="5"/>
        <v>0</v>
      </c>
      <c r="W21" s="176">
        <f t="shared" si="5"/>
        <v>0</v>
      </c>
      <c r="X21" s="184"/>
      <c r="Y21" s="175"/>
    </row>
    <row r="22" spans="1:28" ht="14.5" x14ac:dyDescent="0.25">
      <c r="A22" s="292" t="s">
        <v>755</v>
      </c>
      <c r="B22" s="16">
        <v>1</v>
      </c>
      <c r="C22" s="16">
        <v>24</v>
      </c>
      <c r="D22" s="16"/>
      <c r="E22" s="16"/>
      <c r="F22" s="176">
        <f t="shared" si="3"/>
        <v>24</v>
      </c>
      <c r="G22" s="176">
        <f t="shared" ref="G22:W22" si="6">F22*(1+$C$5)</f>
        <v>24.240000000000002</v>
      </c>
      <c r="H22" s="176">
        <f t="shared" si="6"/>
        <v>24.482400000000002</v>
      </c>
      <c r="I22" s="176">
        <f t="shared" si="6"/>
        <v>24.727224000000003</v>
      </c>
      <c r="J22" s="176">
        <f t="shared" si="6"/>
        <v>24.974496240000004</v>
      </c>
      <c r="K22" s="176">
        <f t="shared" si="6"/>
        <v>25.224241202400005</v>
      </c>
      <c r="L22" s="176">
        <f t="shared" si="6"/>
        <v>25.476483614424005</v>
      </c>
      <c r="M22" s="176">
        <f t="shared" si="6"/>
        <v>25.731248450568245</v>
      </c>
      <c r="N22" s="176">
        <f t="shared" si="6"/>
        <v>25.988560935073927</v>
      </c>
      <c r="O22" s="176">
        <f t="shared" si="6"/>
        <v>26.248446544424667</v>
      </c>
      <c r="P22" s="176">
        <f t="shared" si="6"/>
        <v>26.510931009868912</v>
      </c>
      <c r="Q22" s="176">
        <f t="shared" si="6"/>
        <v>26.776040319967603</v>
      </c>
      <c r="R22" s="176">
        <f t="shared" si="6"/>
        <v>27.04380072316728</v>
      </c>
      <c r="S22" s="176">
        <f t="shared" si="6"/>
        <v>27.314238730398952</v>
      </c>
      <c r="T22" s="176">
        <f t="shared" si="6"/>
        <v>27.58738111770294</v>
      </c>
      <c r="U22" s="176">
        <f t="shared" si="6"/>
        <v>27.863254928879968</v>
      </c>
      <c r="V22" s="176">
        <f t="shared" si="6"/>
        <v>28.141887478168769</v>
      </c>
      <c r="W22" s="176">
        <f t="shared" si="6"/>
        <v>28.423306352950458</v>
      </c>
      <c r="X22" s="184"/>
      <c r="Y22" s="175"/>
    </row>
    <row r="23" spans="1:28" ht="14.5" x14ac:dyDescent="0.25">
      <c r="A23" s="292" t="s">
        <v>756</v>
      </c>
      <c r="B23" s="16">
        <v>1</v>
      </c>
      <c r="C23" s="16">
        <v>18</v>
      </c>
      <c r="D23" s="16"/>
      <c r="E23" s="16"/>
      <c r="F23" s="176">
        <f t="shared" si="3"/>
        <v>18</v>
      </c>
      <c r="G23" s="176">
        <f t="shared" ref="G23:W23" si="7">F23*(1+$C$5)</f>
        <v>18.18</v>
      </c>
      <c r="H23" s="176">
        <f t="shared" si="7"/>
        <v>18.361799999999999</v>
      </c>
      <c r="I23" s="176">
        <f t="shared" si="7"/>
        <v>18.545417999999998</v>
      </c>
      <c r="J23" s="176">
        <f t="shared" si="7"/>
        <v>18.730872179999999</v>
      </c>
      <c r="K23" s="176">
        <f t="shared" si="7"/>
        <v>18.9181809018</v>
      </c>
      <c r="L23" s="176">
        <f t="shared" si="7"/>
        <v>19.107362710817998</v>
      </c>
      <c r="M23" s="176">
        <f t="shared" si="7"/>
        <v>19.29843633792618</v>
      </c>
      <c r="N23" s="176">
        <f t="shared" si="7"/>
        <v>19.491420701305444</v>
      </c>
      <c r="O23" s="176">
        <f t="shared" si="7"/>
        <v>19.6863349083185</v>
      </c>
      <c r="P23" s="176">
        <f t="shared" si="7"/>
        <v>19.883198257401684</v>
      </c>
      <c r="Q23" s="176">
        <f t="shared" si="7"/>
        <v>20.082030239975701</v>
      </c>
      <c r="R23" s="176">
        <f t="shared" si="7"/>
        <v>20.28285054237546</v>
      </c>
      <c r="S23" s="176">
        <f t="shared" si="7"/>
        <v>20.485679047799216</v>
      </c>
      <c r="T23" s="176">
        <f t="shared" si="7"/>
        <v>20.69053583827721</v>
      </c>
      <c r="U23" s="176">
        <f t="shared" si="7"/>
        <v>20.897441196659983</v>
      </c>
      <c r="V23" s="176">
        <f t="shared" si="7"/>
        <v>21.106415608626584</v>
      </c>
      <c r="W23" s="176">
        <f t="shared" si="7"/>
        <v>21.31747976471285</v>
      </c>
      <c r="X23" s="184"/>
      <c r="Y23" s="175"/>
    </row>
    <row r="24" spans="1:28" ht="14.5" x14ac:dyDescent="0.25">
      <c r="A24" s="292" t="s">
        <v>757</v>
      </c>
      <c r="B24" s="16">
        <v>1</v>
      </c>
      <c r="C24" s="16">
        <v>30</v>
      </c>
      <c r="D24" s="16"/>
      <c r="E24" s="16"/>
      <c r="F24" s="176">
        <f t="shared" si="3"/>
        <v>30</v>
      </c>
      <c r="G24" s="176">
        <f t="shared" ref="G24:W24" si="8">F24*(1+$C$5)</f>
        <v>30.3</v>
      </c>
      <c r="H24" s="176">
        <f t="shared" si="8"/>
        <v>30.603000000000002</v>
      </c>
      <c r="I24" s="176">
        <f t="shared" si="8"/>
        <v>30.909030000000001</v>
      </c>
      <c r="J24" s="176">
        <f t="shared" si="8"/>
        <v>31.218120300000002</v>
      </c>
      <c r="K24" s="176">
        <f t="shared" si="8"/>
        <v>31.530301503000004</v>
      </c>
      <c r="L24" s="176">
        <f t="shared" si="8"/>
        <v>31.845604518030004</v>
      </c>
      <c r="M24" s="176">
        <f t="shared" si="8"/>
        <v>32.164060563210306</v>
      </c>
      <c r="N24" s="176">
        <f t="shared" si="8"/>
        <v>32.485701168842411</v>
      </c>
      <c r="O24" s="176">
        <f t="shared" si="8"/>
        <v>32.810558180530833</v>
      </c>
      <c r="P24" s="176">
        <f t="shared" si="8"/>
        <v>33.138663762336144</v>
      </c>
      <c r="Q24" s="176">
        <f t="shared" si="8"/>
        <v>33.470050399959504</v>
      </c>
      <c r="R24" s="176">
        <f t="shared" si="8"/>
        <v>33.804750903959096</v>
      </c>
      <c r="S24" s="176">
        <f t="shared" si="8"/>
        <v>34.142798412998687</v>
      </c>
      <c r="T24" s="176">
        <f t="shared" si="8"/>
        <v>34.484226397128673</v>
      </c>
      <c r="U24" s="176">
        <f t="shared" si="8"/>
        <v>34.82906866109996</v>
      </c>
      <c r="V24" s="176">
        <f t="shared" si="8"/>
        <v>35.177359347710961</v>
      </c>
      <c r="W24" s="176">
        <f t="shared" si="8"/>
        <v>35.529132941188074</v>
      </c>
      <c r="X24" s="184"/>
      <c r="Y24" s="175"/>
      <c r="Z24" s="174"/>
    </row>
    <row r="25" spans="1:28" ht="14.5" x14ac:dyDescent="0.25">
      <c r="A25" s="292" t="s">
        <v>758</v>
      </c>
      <c r="B25" s="16">
        <v>1</v>
      </c>
      <c r="C25" s="16">
        <v>21.6</v>
      </c>
      <c r="D25" s="16"/>
      <c r="E25" s="16"/>
      <c r="F25" s="176">
        <f t="shared" si="3"/>
        <v>21.6</v>
      </c>
      <c r="G25" s="176">
        <f t="shared" ref="G25:W25" si="9">F25*(1+$C$5)</f>
        <v>21.816000000000003</v>
      </c>
      <c r="H25" s="176">
        <f t="shared" si="9"/>
        <v>22.034160000000004</v>
      </c>
      <c r="I25" s="176">
        <f t="shared" si="9"/>
        <v>22.254501600000005</v>
      </c>
      <c r="J25" s="176">
        <f t="shared" si="9"/>
        <v>22.477046616000006</v>
      </c>
      <c r="K25" s="176">
        <f t="shared" si="9"/>
        <v>22.701817082160005</v>
      </c>
      <c r="L25" s="176">
        <f t="shared" si="9"/>
        <v>22.928835252981607</v>
      </c>
      <c r="M25" s="176">
        <f t="shared" si="9"/>
        <v>23.158123605511424</v>
      </c>
      <c r="N25" s="176">
        <f t="shared" si="9"/>
        <v>23.389704841566537</v>
      </c>
      <c r="O25" s="176">
        <f t="shared" si="9"/>
        <v>23.623601889982204</v>
      </c>
      <c r="P25" s="176">
        <f t="shared" si="9"/>
        <v>23.859837908882028</v>
      </c>
      <c r="Q25" s="176">
        <f t="shared" si="9"/>
        <v>24.098436287970848</v>
      </c>
      <c r="R25" s="176">
        <f t="shared" si="9"/>
        <v>24.339420650850556</v>
      </c>
      <c r="S25" s="176">
        <f t="shared" si="9"/>
        <v>24.582814857359061</v>
      </c>
      <c r="T25" s="176">
        <f t="shared" si="9"/>
        <v>24.828643005932651</v>
      </c>
      <c r="U25" s="176">
        <f t="shared" si="9"/>
        <v>25.076929435991978</v>
      </c>
      <c r="V25" s="176">
        <f t="shared" si="9"/>
        <v>25.327698730351898</v>
      </c>
      <c r="W25" s="176">
        <f t="shared" si="9"/>
        <v>25.580975717655416</v>
      </c>
      <c r="X25" s="174"/>
      <c r="Y25" s="175"/>
      <c r="Z25" s="174"/>
    </row>
    <row r="26" spans="1:28" ht="14.5" x14ac:dyDescent="0.25">
      <c r="A26" s="292" t="s">
        <v>759</v>
      </c>
      <c r="B26" s="16">
        <v>1</v>
      </c>
      <c r="C26" s="16">
        <v>21.6</v>
      </c>
      <c r="D26" s="16"/>
      <c r="E26" s="16"/>
      <c r="F26" s="176">
        <f t="shared" si="3"/>
        <v>21.6</v>
      </c>
      <c r="G26" s="176">
        <f t="shared" ref="G26:W26" si="10">F26*(1+$C$5)</f>
        <v>21.816000000000003</v>
      </c>
      <c r="H26" s="176">
        <f t="shared" si="10"/>
        <v>22.034160000000004</v>
      </c>
      <c r="I26" s="176">
        <f t="shared" si="10"/>
        <v>22.254501600000005</v>
      </c>
      <c r="J26" s="176">
        <f t="shared" si="10"/>
        <v>22.477046616000006</v>
      </c>
      <c r="K26" s="176">
        <f t="shared" si="10"/>
        <v>22.701817082160005</v>
      </c>
      <c r="L26" s="176">
        <f t="shared" si="10"/>
        <v>22.928835252981607</v>
      </c>
      <c r="M26" s="176">
        <f t="shared" si="10"/>
        <v>23.158123605511424</v>
      </c>
      <c r="N26" s="176">
        <f t="shared" si="10"/>
        <v>23.389704841566537</v>
      </c>
      <c r="O26" s="176">
        <f t="shared" si="10"/>
        <v>23.623601889982204</v>
      </c>
      <c r="P26" s="176">
        <f t="shared" si="10"/>
        <v>23.859837908882028</v>
      </c>
      <c r="Q26" s="176">
        <f t="shared" si="10"/>
        <v>24.098436287970848</v>
      </c>
      <c r="R26" s="176">
        <f t="shared" si="10"/>
        <v>24.339420650850556</v>
      </c>
      <c r="S26" s="176">
        <f t="shared" si="10"/>
        <v>24.582814857359061</v>
      </c>
      <c r="T26" s="176">
        <f t="shared" si="10"/>
        <v>24.828643005932651</v>
      </c>
      <c r="U26" s="176">
        <f t="shared" si="10"/>
        <v>25.076929435991978</v>
      </c>
      <c r="V26" s="176">
        <f t="shared" si="10"/>
        <v>25.327698730351898</v>
      </c>
      <c r="W26" s="176">
        <f t="shared" si="10"/>
        <v>25.580975717655416</v>
      </c>
      <c r="X26" s="184"/>
      <c r="Y26" s="175"/>
      <c r="Z26" s="174"/>
    </row>
    <row r="27" spans="1:28" ht="14.5" x14ac:dyDescent="0.25">
      <c r="A27" s="292" t="s">
        <v>760</v>
      </c>
      <c r="B27" s="16">
        <v>1</v>
      </c>
      <c r="C27" s="16">
        <v>21.6</v>
      </c>
      <c r="D27" s="16"/>
      <c r="E27" s="16"/>
      <c r="F27" s="176">
        <f t="shared" si="3"/>
        <v>21.6</v>
      </c>
      <c r="G27" s="176">
        <f t="shared" ref="G27:W27" si="11">F27*(1+$C$5)</f>
        <v>21.816000000000003</v>
      </c>
      <c r="H27" s="176">
        <f t="shared" si="11"/>
        <v>22.034160000000004</v>
      </c>
      <c r="I27" s="176">
        <f t="shared" si="11"/>
        <v>22.254501600000005</v>
      </c>
      <c r="J27" s="176">
        <f t="shared" si="11"/>
        <v>22.477046616000006</v>
      </c>
      <c r="K27" s="176">
        <f t="shared" si="11"/>
        <v>22.701817082160005</v>
      </c>
      <c r="L27" s="176">
        <f t="shared" si="11"/>
        <v>22.928835252981607</v>
      </c>
      <c r="M27" s="176">
        <f t="shared" si="11"/>
        <v>23.158123605511424</v>
      </c>
      <c r="N27" s="176">
        <f t="shared" si="11"/>
        <v>23.389704841566537</v>
      </c>
      <c r="O27" s="176">
        <f t="shared" si="11"/>
        <v>23.623601889982204</v>
      </c>
      <c r="P27" s="176">
        <f t="shared" si="11"/>
        <v>23.859837908882028</v>
      </c>
      <c r="Q27" s="176">
        <f t="shared" si="11"/>
        <v>24.098436287970848</v>
      </c>
      <c r="R27" s="176">
        <f t="shared" si="11"/>
        <v>24.339420650850556</v>
      </c>
      <c r="S27" s="176">
        <f t="shared" si="11"/>
        <v>24.582814857359061</v>
      </c>
      <c r="T27" s="176">
        <f t="shared" si="11"/>
        <v>24.828643005932651</v>
      </c>
      <c r="U27" s="176">
        <f t="shared" si="11"/>
        <v>25.076929435991978</v>
      </c>
      <c r="V27" s="176">
        <f t="shared" si="11"/>
        <v>25.327698730351898</v>
      </c>
      <c r="W27" s="176">
        <f t="shared" si="11"/>
        <v>25.580975717655416</v>
      </c>
      <c r="X27" s="184"/>
      <c r="Y27" s="175"/>
      <c r="Z27" s="174"/>
    </row>
    <row r="28" spans="1:28" ht="14.5" x14ac:dyDescent="0.25">
      <c r="A28" s="292" t="s">
        <v>761</v>
      </c>
      <c r="B28" s="16">
        <v>1</v>
      </c>
      <c r="C28" s="16">
        <v>21.6</v>
      </c>
      <c r="D28" s="16"/>
      <c r="E28" s="16"/>
      <c r="F28" s="176">
        <f t="shared" si="3"/>
        <v>21.6</v>
      </c>
      <c r="G28" s="176">
        <f t="shared" ref="G28:W28" si="12">F28*(1+$C$5)</f>
        <v>21.816000000000003</v>
      </c>
      <c r="H28" s="176">
        <f t="shared" si="12"/>
        <v>22.034160000000004</v>
      </c>
      <c r="I28" s="176">
        <f t="shared" si="12"/>
        <v>22.254501600000005</v>
      </c>
      <c r="J28" s="176">
        <f t="shared" si="12"/>
        <v>22.477046616000006</v>
      </c>
      <c r="K28" s="176">
        <f t="shared" si="12"/>
        <v>22.701817082160005</v>
      </c>
      <c r="L28" s="176">
        <f t="shared" si="12"/>
        <v>22.928835252981607</v>
      </c>
      <c r="M28" s="176">
        <f t="shared" si="12"/>
        <v>23.158123605511424</v>
      </c>
      <c r="N28" s="176">
        <f t="shared" si="12"/>
        <v>23.389704841566537</v>
      </c>
      <c r="O28" s="176">
        <f t="shared" si="12"/>
        <v>23.623601889982204</v>
      </c>
      <c r="P28" s="176">
        <f t="shared" si="12"/>
        <v>23.859837908882028</v>
      </c>
      <c r="Q28" s="176">
        <f t="shared" si="12"/>
        <v>24.098436287970848</v>
      </c>
      <c r="R28" s="176">
        <f t="shared" si="12"/>
        <v>24.339420650850556</v>
      </c>
      <c r="S28" s="176">
        <f t="shared" si="12"/>
        <v>24.582814857359061</v>
      </c>
      <c r="T28" s="176">
        <f t="shared" si="12"/>
        <v>24.828643005932651</v>
      </c>
      <c r="U28" s="176">
        <f t="shared" si="12"/>
        <v>25.076929435991978</v>
      </c>
      <c r="V28" s="176">
        <f t="shared" si="12"/>
        <v>25.327698730351898</v>
      </c>
      <c r="W28" s="176">
        <f t="shared" si="12"/>
        <v>25.580975717655416</v>
      </c>
      <c r="X28" s="184"/>
      <c r="Y28" s="175"/>
      <c r="Z28" s="174"/>
    </row>
    <row r="29" spans="1:28" ht="14.5" x14ac:dyDescent="0.25">
      <c r="A29" s="15" t="s">
        <v>762</v>
      </c>
      <c r="B29" s="16">
        <v>1</v>
      </c>
      <c r="C29" s="16">
        <v>9.6</v>
      </c>
      <c r="D29" s="16"/>
      <c r="E29" s="16"/>
      <c r="F29" s="176">
        <f t="shared" si="3"/>
        <v>9.6</v>
      </c>
      <c r="G29" s="176">
        <f t="shared" ref="G29:W29" si="13">F29*(1+$C$5)</f>
        <v>9.6959999999999997</v>
      </c>
      <c r="H29" s="176">
        <f t="shared" si="13"/>
        <v>9.792959999999999</v>
      </c>
      <c r="I29" s="176">
        <f t="shared" si="13"/>
        <v>9.8908895999999995</v>
      </c>
      <c r="J29" s="176">
        <f t="shared" si="13"/>
        <v>9.9897984959999988</v>
      </c>
      <c r="K29" s="176">
        <f t="shared" si="13"/>
        <v>10.089696480959999</v>
      </c>
      <c r="L29" s="176">
        <f t="shared" si="13"/>
        <v>10.190593445769599</v>
      </c>
      <c r="M29" s="176">
        <f t="shared" si="13"/>
        <v>10.292499380227294</v>
      </c>
      <c r="N29" s="176">
        <f t="shared" si="13"/>
        <v>10.395424374029567</v>
      </c>
      <c r="O29" s="176">
        <f t="shared" si="13"/>
        <v>10.499378617769862</v>
      </c>
      <c r="P29" s="176">
        <f t="shared" si="13"/>
        <v>10.604372403947561</v>
      </c>
      <c r="Q29" s="176">
        <f t="shared" si="13"/>
        <v>10.710416127987036</v>
      </c>
      <c r="R29" s="176">
        <f t="shared" si="13"/>
        <v>10.817520289266907</v>
      </c>
      <c r="S29" s="176">
        <f t="shared" si="13"/>
        <v>10.925695492159576</v>
      </c>
      <c r="T29" s="176">
        <f t="shared" si="13"/>
        <v>11.034952447081173</v>
      </c>
      <c r="U29" s="176">
        <f t="shared" si="13"/>
        <v>11.145301971551984</v>
      </c>
      <c r="V29" s="176">
        <f t="shared" si="13"/>
        <v>11.256754991267504</v>
      </c>
      <c r="W29" s="176">
        <f t="shared" si="13"/>
        <v>11.36932254118018</v>
      </c>
      <c r="X29" s="184"/>
      <c r="Y29" s="175"/>
      <c r="Z29" s="174"/>
    </row>
    <row r="30" spans="1:28" ht="14.5" x14ac:dyDescent="0.25">
      <c r="A30" s="292" t="s">
        <v>763</v>
      </c>
      <c r="B30" s="16">
        <v>1</v>
      </c>
      <c r="C30" s="16">
        <v>9.6</v>
      </c>
      <c r="D30" s="16"/>
      <c r="E30" s="16"/>
      <c r="F30" s="176">
        <f t="shared" si="3"/>
        <v>9.6</v>
      </c>
      <c r="G30" s="176">
        <f t="shared" ref="G30:W30" si="14">F30*(1+$C$5)</f>
        <v>9.6959999999999997</v>
      </c>
      <c r="H30" s="176">
        <f t="shared" si="14"/>
        <v>9.792959999999999</v>
      </c>
      <c r="I30" s="176">
        <f t="shared" si="14"/>
        <v>9.8908895999999995</v>
      </c>
      <c r="J30" s="176">
        <f t="shared" si="14"/>
        <v>9.9897984959999988</v>
      </c>
      <c r="K30" s="176">
        <f t="shared" si="14"/>
        <v>10.089696480959999</v>
      </c>
      <c r="L30" s="176">
        <f t="shared" si="14"/>
        <v>10.190593445769599</v>
      </c>
      <c r="M30" s="176">
        <f t="shared" si="14"/>
        <v>10.292499380227294</v>
      </c>
      <c r="N30" s="176">
        <f t="shared" si="14"/>
        <v>10.395424374029567</v>
      </c>
      <c r="O30" s="176">
        <f t="shared" si="14"/>
        <v>10.499378617769862</v>
      </c>
      <c r="P30" s="176">
        <f t="shared" si="14"/>
        <v>10.604372403947561</v>
      </c>
      <c r="Q30" s="176">
        <f t="shared" si="14"/>
        <v>10.710416127987036</v>
      </c>
      <c r="R30" s="176">
        <f t="shared" si="14"/>
        <v>10.817520289266907</v>
      </c>
      <c r="S30" s="176">
        <f t="shared" si="14"/>
        <v>10.925695492159576</v>
      </c>
      <c r="T30" s="176">
        <f t="shared" si="14"/>
        <v>11.034952447081173</v>
      </c>
      <c r="U30" s="176">
        <f t="shared" si="14"/>
        <v>11.145301971551984</v>
      </c>
      <c r="V30" s="176">
        <f t="shared" si="14"/>
        <v>11.256754991267504</v>
      </c>
      <c r="W30" s="176">
        <f t="shared" si="14"/>
        <v>11.36932254118018</v>
      </c>
      <c r="X30" s="184"/>
      <c r="Y30" s="175"/>
      <c r="Z30" s="174"/>
    </row>
    <row r="31" spans="1:28" ht="14.5" x14ac:dyDescent="0.25">
      <c r="A31" s="292" t="s">
        <v>764</v>
      </c>
      <c r="B31" s="16">
        <v>1</v>
      </c>
      <c r="C31" s="16">
        <v>5.4</v>
      </c>
      <c r="D31" s="16"/>
      <c r="E31" s="16"/>
      <c r="F31" s="176">
        <f t="shared" si="3"/>
        <v>5.4</v>
      </c>
      <c r="G31" s="176">
        <f t="shared" ref="G31:W31" si="15">F31*(1+$C$5)</f>
        <v>5.4540000000000006</v>
      </c>
      <c r="H31" s="176">
        <f t="shared" si="15"/>
        <v>5.5085400000000009</v>
      </c>
      <c r="I31" s="176">
        <f t="shared" si="15"/>
        <v>5.5636254000000012</v>
      </c>
      <c r="J31" s="176">
        <f t="shared" si="15"/>
        <v>5.6192616540000015</v>
      </c>
      <c r="K31" s="176">
        <f t="shared" si="15"/>
        <v>5.6754542705400013</v>
      </c>
      <c r="L31" s="176">
        <f t="shared" si="15"/>
        <v>5.7322088132454017</v>
      </c>
      <c r="M31" s="176">
        <f t="shared" si="15"/>
        <v>5.789530901377856</v>
      </c>
      <c r="N31" s="176">
        <f t="shared" si="15"/>
        <v>5.8474262103916343</v>
      </c>
      <c r="O31" s="176">
        <f t="shared" si="15"/>
        <v>5.9059004724955511</v>
      </c>
      <c r="P31" s="176">
        <f t="shared" si="15"/>
        <v>5.964959477220507</v>
      </c>
      <c r="Q31" s="176">
        <f t="shared" si="15"/>
        <v>6.0246090719927121</v>
      </c>
      <c r="R31" s="176">
        <f t="shared" si="15"/>
        <v>6.084855162712639</v>
      </c>
      <c r="S31" s="176">
        <f t="shared" si="15"/>
        <v>6.1457037143397653</v>
      </c>
      <c r="T31" s="176">
        <f t="shared" si="15"/>
        <v>6.2071607514831628</v>
      </c>
      <c r="U31" s="176">
        <f t="shared" si="15"/>
        <v>6.2692323589979946</v>
      </c>
      <c r="V31" s="176">
        <f t="shared" si="15"/>
        <v>6.3319246825879745</v>
      </c>
      <c r="W31" s="176">
        <f t="shared" si="15"/>
        <v>6.3952439294138541</v>
      </c>
      <c r="X31" s="184"/>
      <c r="Y31" s="175"/>
      <c r="Z31" s="174"/>
    </row>
    <row r="32" spans="1:28" ht="14.5" x14ac:dyDescent="0.25">
      <c r="A32" s="292" t="s">
        <v>765</v>
      </c>
      <c r="B32" s="16">
        <v>1</v>
      </c>
      <c r="C32" s="16">
        <v>5.4</v>
      </c>
      <c r="D32" s="16"/>
      <c r="E32" s="16"/>
      <c r="F32" s="176">
        <f t="shared" si="3"/>
        <v>5.4</v>
      </c>
      <c r="G32" s="176">
        <f t="shared" ref="G32:W32" si="16">F32*(1+$C$5)</f>
        <v>5.4540000000000006</v>
      </c>
      <c r="H32" s="176">
        <f t="shared" si="16"/>
        <v>5.5085400000000009</v>
      </c>
      <c r="I32" s="176">
        <f t="shared" si="16"/>
        <v>5.5636254000000012</v>
      </c>
      <c r="J32" s="176">
        <f t="shared" si="16"/>
        <v>5.6192616540000015</v>
      </c>
      <c r="K32" s="176">
        <f t="shared" si="16"/>
        <v>5.6754542705400013</v>
      </c>
      <c r="L32" s="176">
        <f t="shared" si="16"/>
        <v>5.7322088132454017</v>
      </c>
      <c r="M32" s="176">
        <f t="shared" si="16"/>
        <v>5.789530901377856</v>
      </c>
      <c r="N32" s="176">
        <f t="shared" si="16"/>
        <v>5.8474262103916343</v>
      </c>
      <c r="O32" s="176">
        <f t="shared" si="16"/>
        <v>5.9059004724955511</v>
      </c>
      <c r="P32" s="176">
        <f t="shared" si="16"/>
        <v>5.964959477220507</v>
      </c>
      <c r="Q32" s="176">
        <f t="shared" si="16"/>
        <v>6.0246090719927121</v>
      </c>
      <c r="R32" s="176">
        <f t="shared" si="16"/>
        <v>6.084855162712639</v>
      </c>
      <c r="S32" s="176">
        <f t="shared" si="16"/>
        <v>6.1457037143397653</v>
      </c>
      <c r="T32" s="176">
        <f t="shared" si="16"/>
        <v>6.2071607514831628</v>
      </c>
      <c r="U32" s="176">
        <f t="shared" si="16"/>
        <v>6.2692323589979946</v>
      </c>
      <c r="V32" s="176">
        <f t="shared" si="16"/>
        <v>6.3319246825879745</v>
      </c>
      <c r="W32" s="176">
        <f t="shared" si="16"/>
        <v>6.3952439294138541</v>
      </c>
      <c r="X32" s="184"/>
      <c r="Y32" s="175"/>
      <c r="Z32" s="174"/>
    </row>
    <row r="33" spans="1:26" ht="14.5" x14ac:dyDescent="0.25">
      <c r="A33" s="292" t="s">
        <v>766</v>
      </c>
      <c r="B33" s="16">
        <v>1</v>
      </c>
      <c r="C33" s="16">
        <v>5.4</v>
      </c>
      <c r="D33" s="16"/>
      <c r="E33" s="16"/>
      <c r="F33" s="176">
        <f t="shared" si="3"/>
        <v>5.4</v>
      </c>
      <c r="G33" s="176">
        <f t="shared" ref="G33:W33" si="17">F33*(1+$C$5)</f>
        <v>5.4540000000000006</v>
      </c>
      <c r="H33" s="176">
        <f t="shared" si="17"/>
        <v>5.5085400000000009</v>
      </c>
      <c r="I33" s="176">
        <f t="shared" si="17"/>
        <v>5.5636254000000012</v>
      </c>
      <c r="J33" s="176">
        <f t="shared" si="17"/>
        <v>5.6192616540000015</v>
      </c>
      <c r="K33" s="176">
        <f t="shared" si="17"/>
        <v>5.6754542705400013</v>
      </c>
      <c r="L33" s="176">
        <f t="shared" si="17"/>
        <v>5.7322088132454017</v>
      </c>
      <c r="M33" s="176">
        <f t="shared" si="17"/>
        <v>5.789530901377856</v>
      </c>
      <c r="N33" s="176">
        <f t="shared" si="17"/>
        <v>5.8474262103916343</v>
      </c>
      <c r="O33" s="176">
        <f t="shared" si="17"/>
        <v>5.9059004724955511</v>
      </c>
      <c r="P33" s="176">
        <f t="shared" si="17"/>
        <v>5.964959477220507</v>
      </c>
      <c r="Q33" s="176">
        <f t="shared" si="17"/>
        <v>6.0246090719927121</v>
      </c>
      <c r="R33" s="176">
        <f t="shared" si="17"/>
        <v>6.084855162712639</v>
      </c>
      <c r="S33" s="176">
        <f t="shared" si="17"/>
        <v>6.1457037143397653</v>
      </c>
      <c r="T33" s="176">
        <f t="shared" si="17"/>
        <v>6.2071607514831628</v>
      </c>
      <c r="U33" s="176">
        <f t="shared" si="17"/>
        <v>6.2692323589979946</v>
      </c>
      <c r="V33" s="176">
        <f t="shared" si="17"/>
        <v>6.3319246825879745</v>
      </c>
      <c r="W33" s="176">
        <f t="shared" si="17"/>
        <v>6.3952439294138541</v>
      </c>
      <c r="X33" s="184"/>
      <c r="Y33" s="175"/>
      <c r="Z33" s="174"/>
    </row>
    <row r="34" spans="1:26" ht="14.5" x14ac:dyDescent="0.25">
      <c r="A34" s="292" t="s">
        <v>767</v>
      </c>
      <c r="B34" s="16">
        <v>1</v>
      </c>
      <c r="C34" s="16">
        <v>5.4</v>
      </c>
      <c r="D34" s="16"/>
      <c r="E34" s="16"/>
      <c r="F34" s="176">
        <f t="shared" si="3"/>
        <v>5.4</v>
      </c>
      <c r="G34" s="176">
        <f t="shared" ref="G34:W34" si="18">F34*(1+$C$5)</f>
        <v>5.4540000000000006</v>
      </c>
      <c r="H34" s="176">
        <f t="shared" si="18"/>
        <v>5.5085400000000009</v>
      </c>
      <c r="I34" s="176">
        <f t="shared" si="18"/>
        <v>5.5636254000000012</v>
      </c>
      <c r="J34" s="176">
        <f t="shared" si="18"/>
        <v>5.6192616540000015</v>
      </c>
      <c r="K34" s="176">
        <f t="shared" si="18"/>
        <v>5.6754542705400013</v>
      </c>
      <c r="L34" s="176">
        <f t="shared" si="18"/>
        <v>5.7322088132454017</v>
      </c>
      <c r="M34" s="176">
        <f t="shared" si="18"/>
        <v>5.789530901377856</v>
      </c>
      <c r="N34" s="176">
        <f t="shared" si="18"/>
        <v>5.8474262103916343</v>
      </c>
      <c r="O34" s="176">
        <f t="shared" si="18"/>
        <v>5.9059004724955511</v>
      </c>
      <c r="P34" s="176">
        <f t="shared" si="18"/>
        <v>5.964959477220507</v>
      </c>
      <c r="Q34" s="176">
        <f t="shared" si="18"/>
        <v>6.0246090719927121</v>
      </c>
      <c r="R34" s="176">
        <f t="shared" si="18"/>
        <v>6.084855162712639</v>
      </c>
      <c r="S34" s="176">
        <f t="shared" si="18"/>
        <v>6.1457037143397653</v>
      </c>
      <c r="T34" s="176">
        <f t="shared" si="18"/>
        <v>6.2071607514831628</v>
      </c>
      <c r="U34" s="176">
        <f t="shared" si="18"/>
        <v>6.2692323589979946</v>
      </c>
      <c r="V34" s="176">
        <f t="shared" si="18"/>
        <v>6.3319246825879745</v>
      </c>
      <c r="W34" s="176">
        <f t="shared" si="18"/>
        <v>6.3952439294138541</v>
      </c>
      <c r="X34" s="184"/>
      <c r="Y34" s="175"/>
      <c r="Z34" s="174"/>
    </row>
    <row r="35" spans="1:26" ht="14.5" x14ac:dyDescent="0.25">
      <c r="A35" s="292" t="s">
        <v>768</v>
      </c>
      <c r="B35" s="16">
        <v>1</v>
      </c>
      <c r="C35" s="16">
        <v>3.6</v>
      </c>
      <c r="D35" s="16"/>
      <c r="E35" s="16"/>
      <c r="F35" s="176">
        <f t="shared" si="3"/>
        <v>3.6</v>
      </c>
      <c r="G35" s="176">
        <f t="shared" ref="G35:W35" si="19">F35*(1+$C$5)</f>
        <v>3.6360000000000001</v>
      </c>
      <c r="H35" s="176">
        <f t="shared" si="19"/>
        <v>3.6723600000000003</v>
      </c>
      <c r="I35" s="176">
        <f t="shared" si="19"/>
        <v>3.7090836000000005</v>
      </c>
      <c r="J35" s="176">
        <f t="shared" si="19"/>
        <v>3.7461744360000004</v>
      </c>
      <c r="K35" s="176">
        <f t="shared" si="19"/>
        <v>3.7836361803600003</v>
      </c>
      <c r="L35" s="176">
        <f t="shared" si="19"/>
        <v>3.8214725421636002</v>
      </c>
      <c r="M35" s="176">
        <f t="shared" si="19"/>
        <v>3.8596872675852363</v>
      </c>
      <c r="N35" s="176">
        <f t="shared" si="19"/>
        <v>3.8982841402610888</v>
      </c>
      <c r="O35" s="176">
        <f t="shared" si="19"/>
        <v>3.9372669816636998</v>
      </c>
      <c r="P35" s="176">
        <f t="shared" si="19"/>
        <v>3.9766396514803368</v>
      </c>
      <c r="Q35" s="176">
        <f t="shared" si="19"/>
        <v>4.0164060479951402</v>
      </c>
      <c r="R35" s="176">
        <f t="shared" si="19"/>
        <v>4.0565701084750918</v>
      </c>
      <c r="S35" s="176">
        <f t="shared" si="19"/>
        <v>4.0971358095598429</v>
      </c>
      <c r="T35" s="176">
        <f t="shared" si="19"/>
        <v>4.1381071676554413</v>
      </c>
      <c r="U35" s="176">
        <f t="shared" si="19"/>
        <v>4.1794882393319961</v>
      </c>
      <c r="V35" s="176">
        <f t="shared" si="19"/>
        <v>4.2212831217253157</v>
      </c>
      <c r="W35" s="176">
        <f t="shared" si="19"/>
        <v>4.2634959529425691</v>
      </c>
      <c r="X35" s="184"/>
      <c r="Y35" s="175"/>
      <c r="Z35" s="174"/>
    </row>
    <row r="36" spans="1:26" ht="14.5" x14ac:dyDescent="0.25">
      <c r="A36" s="292" t="s">
        <v>769</v>
      </c>
      <c r="B36" s="16">
        <v>1</v>
      </c>
      <c r="C36" s="16">
        <v>5.4</v>
      </c>
      <c r="D36" s="16"/>
      <c r="E36" s="16"/>
      <c r="F36" s="176">
        <f t="shared" si="3"/>
        <v>5.4</v>
      </c>
      <c r="G36" s="176">
        <f t="shared" ref="G36:W36" si="20">F36*(1+$C$5)</f>
        <v>5.4540000000000006</v>
      </c>
      <c r="H36" s="176">
        <f t="shared" si="20"/>
        <v>5.5085400000000009</v>
      </c>
      <c r="I36" s="176">
        <f t="shared" si="20"/>
        <v>5.5636254000000012</v>
      </c>
      <c r="J36" s="176">
        <f t="shared" si="20"/>
        <v>5.6192616540000015</v>
      </c>
      <c r="K36" s="176">
        <f t="shared" si="20"/>
        <v>5.6754542705400013</v>
      </c>
      <c r="L36" s="176">
        <f t="shared" si="20"/>
        <v>5.7322088132454017</v>
      </c>
      <c r="M36" s="176">
        <f t="shared" si="20"/>
        <v>5.789530901377856</v>
      </c>
      <c r="N36" s="176">
        <f t="shared" si="20"/>
        <v>5.8474262103916343</v>
      </c>
      <c r="O36" s="176">
        <f t="shared" si="20"/>
        <v>5.9059004724955511</v>
      </c>
      <c r="P36" s="176">
        <f t="shared" si="20"/>
        <v>5.964959477220507</v>
      </c>
      <c r="Q36" s="176">
        <f t="shared" si="20"/>
        <v>6.0246090719927121</v>
      </c>
      <c r="R36" s="176">
        <f t="shared" si="20"/>
        <v>6.084855162712639</v>
      </c>
      <c r="S36" s="176">
        <f t="shared" si="20"/>
        <v>6.1457037143397653</v>
      </c>
      <c r="T36" s="176">
        <f t="shared" si="20"/>
        <v>6.2071607514831628</v>
      </c>
      <c r="U36" s="176">
        <f t="shared" si="20"/>
        <v>6.2692323589979946</v>
      </c>
      <c r="V36" s="176">
        <f t="shared" si="20"/>
        <v>6.3319246825879745</v>
      </c>
      <c r="W36" s="176">
        <f t="shared" si="20"/>
        <v>6.3952439294138541</v>
      </c>
      <c r="X36" s="184"/>
      <c r="Y36" s="175"/>
      <c r="Z36" s="174"/>
    </row>
    <row r="37" spans="1:26" ht="14.5" x14ac:dyDescent="0.25">
      <c r="A37" s="292" t="s">
        <v>770</v>
      </c>
      <c r="B37" s="16">
        <v>1</v>
      </c>
      <c r="C37" s="16">
        <v>9.6</v>
      </c>
      <c r="D37" s="16"/>
      <c r="E37" s="16"/>
      <c r="F37" s="176">
        <f t="shared" si="3"/>
        <v>9.6</v>
      </c>
      <c r="G37" s="176">
        <f t="shared" ref="G37:W37" si="21">F37*(1+$C$5)</f>
        <v>9.6959999999999997</v>
      </c>
      <c r="H37" s="176">
        <f t="shared" si="21"/>
        <v>9.792959999999999</v>
      </c>
      <c r="I37" s="176">
        <f t="shared" si="21"/>
        <v>9.8908895999999995</v>
      </c>
      <c r="J37" s="176">
        <f t="shared" si="21"/>
        <v>9.9897984959999988</v>
      </c>
      <c r="K37" s="176">
        <f t="shared" si="21"/>
        <v>10.089696480959999</v>
      </c>
      <c r="L37" s="176">
        <f t="shared" si="21"/>
        <v>10.190593445769599</v>
      </c>
      <c r="M37" s="176">
        <f t="shared" si="21"/>
        <v>10.292499380227294</v>
      </c>
      <c r="N37" s="176">
        <f t="shared" si="21"/>
        <v>10.395424374029567</v>
      </c>
      <c r="O37" s="176">
        <f t="shared" si="21"/>
        <v>10.499378617769862</v>
      </c>
      <c r="P37" s="176">
        <f t="shared" si="21"/>
        <v>10.604372403947561</v>
      </c>
      <c r="Q37" s="176">
        <f t="shared" si="21"/>
        <v>10.710416127987036</v>
      </c>
      <c r="R37" s="176">
        <f t="shared" si="21"/>
        <v>10.817520289266907</v>
      </c>
      <c r="S37" s="176">
        <f t="shared" si="21"/>
        <v>10.925695492159576</v>
      </c>
      <c r="T37" s="176">
        <f t="shared" si="21"/>
        <v>11.034952447081173</v>
      </c>
      <c r="U37" s="176">
        <f t="shared" si="21"/>
        <v>11.145301971551984</v>
      </c>
      <c r="V37" s="176">
        <f t="shared" si="21"/>
        <v>11.256754991267504</v>
      </c>
      <c r="W37" s="176">
        <f t="shared" si="21"/>
        <v>11.36932254118018</v>
      </c>
      <c r="X37" s="184"/>
      <c r="Y37" s="175"/>
      <c r="Z37" s="174"/>
    </row>
    <row r="38" spans="1:26" ht="14.5" x14ac:dyDescent="0.25">
      <c r="A38" s="292" t="s">
        <v>771</v>
      </c>
      <c r="B38" s="16">
        <v>1</v>
      </c>
      <c r="C38" s="16">
        <v>3.6</v>
      </c>
      <c r="D38" s="16"/>
      <c r="E38" s="16"/>
      <c r="F38" s="176">
        <f t="shared" si="3"/>
        <v>3.6</v>
      </c>
      <c r="G38" s="176">
        <f t="shared" ref="G38:W38" si="22">F38*(1+$C$5)</f>
        <v>3.6360000000000001</v>
      </c>
      <c r="H38" s="176">
        <f t="shared" si="22"/>
        <v>3.6723600000000003</v>
      </c>
      <c r="I38" s="176">
        <f t="shared" si="22"/>
        <v>3.7090836000000005</v>
      </c>
      <c r="J38" s="176">
        <f t="shared" si="22"/>
        <v>3.7461744360000004</v>
      </c>
      <c r="K38" s="176">
        <f t="shared" si="22"/>
        <v>3.7836361803600003</v>
      </c>
      <c r="L38" s="176">
        <f t="shared" si="22"/>
        <v>3.8214725421636002</v>
      </c>
      <c r="M38" s="176">
        <f t="shared" si="22"/>
        <v>3.8596872675852363</v>
      </c>
      <c r="N38" s="176">
        <f t="shared" si="22"/>
        <v>3.8982841402610888</v>
      </c>
      <c r="O38" s="176">
        <f t="shared" si="22"/>
        <v>3.9372669816636998</v>
      </c>
      <c r="P38" s="176">
        <f t="shared" si="22"/>
        <v>3.9766396514803368</v>
      </c>
      <c r="Q38" s="176">
        <f t="shared" si="22"/>
        <v>4.0164060479951402</v>
      </c>
      <c r="R38" s="176">
        <f t="shared" si="22"/>
        <v>4.0565701084750918</v>
      </c>
      <c r="S38" s="176">
        <f t="shared" si="22"/>
        <v>4.0971358095598429</v>
      </c>
      <c r="T38" s="176">
        <f t="shared" si="22"/>
        <v>4.1381071676554413</v>
      </c>
      <c r="U38" s="176">
        <f t="shared" si="22"/>
        <v>4.1794882393319961</v>
      </c>
      <c r="V38" s="176">
        <f t="shared" si="22"/>
        <v>4.2212831217253157</v>
      </c>
      <c r="W38" s="176">
        <f t="shared" si="22"/>
        <v>4.2634959529425691</v>
      </c>
      <c r="X38" s="184"/>
      <c r="Y38" s="175"/>
      <c r="Z38" s="174"/>
    </row>
    <row r="39" spans="1:26" ht="14.5" x14ac:dyDescent="0.25">
      <c r="A39" s="293" t="s">
        <v>772</v>
      </c>
      <c r="B39" s="16">
        <v>1</v>
      </c>
      <c r="C39" s="16">
        <v>1.8</v>
      </c>
      <c r="D39" s="16"/>
      <c r="E39" s="16"/>
      <c r="F39" s="176">
        <f t="shared" si="3"/>
        <v>1.8</v>
      </c>
      <c r="G39" s="176">
        <f t="shared" ref="G39:W39" si="23">F39*(1+$C$5)</f>
        <v>1.8180000000000001</v>
      </c>
      <c r="H39" s="176">
        <f t="shared" si="23"/>
        <v>1.8361800000000001</v>
      </c>
      <c r="I39" s="176">
        <f t="shared" si="23"/>
        <v>1.8545418000000002</v>
      </c>
      <c r="J39" s="176">
        <f t="shared" si="23"/>
        <v>1.8730872180000002</v>
      </c>
      <c r="K39" s="176">
        <f t="shared" si="23"/>
        <v>1.8918180901800001</v>
      </c>
      <c r="L39" s="176">
        <f t="shared" si="23"/>
        <v>1.9107362710818001</v>
      </c>
      <c r="M39" s="176">
        <f t="shared" si="23"/>
        <v>1.9298436337926181</v>
      </c>
      <c r="N39" s="176">
        <f t="shared" si="23"/>
        <v>1.9491420701305444</v>
      </c>
      <c r="O39" s="176">
        <f t="shared" si="23"/>
        <v>1.9686334908318499</v>
      </c>
      <c r="P39" s="176">
        <f t="shared" si="23"/>
        <v>1.9883198257401684</v>
      </c>
      <c r="Q39" s="176">
        <f t="shared" si="23"/>
        <v>2.0082030239975701</v>
      </c>
      <c r="R39" s="176">
        <f t="shared" si="23"/>
        <v>2.0282850542375459</v>
      </c>
      <c r="S39" s="176">
        <f t="shared" si="23"/>
        <v>2.0485679047799215</v>
      </c>
      <c r="T39" s="176">
        <f t="shared" si="23"/>
        <v>2.0690535838277206</v>
      </c>
      <c r="U39" s="176">
        <f t="shared" si="23"/>
        <v>2.089744119665998</v>
      </c>
      <c r="V39" s="176">
        <f t="shared" si="23"/>
        <v>2.1106415608626579</v>
      </c>
      <c r="W39" s="176">
        <f t="shared" si="23"/>
        <v>2.1317479764712846</v>
      </c>
      <c r="X39" s="184"/>
      <c r="Y39" s="175"/>
      <c r="Z39" s="174"/>
    </row>
    <row r="40" spans="1:26" ht="14.5" x14ac:dyDescent="0.25">
      <c r="A40" s="292" t="s">
        <v>773</v>
      </c>
      <c r="B40" s="16">
        <v>1</v>
      </c>
      <c r="C40" s="16">
        <v>1.8</v>
      </c>
      <c r="D40" s="16"/>
      <c r="E40" s="16"/>
      <c r="F40" s="176">
        <f t="shared" si="3"/>
        <v>1.8</v>
      </c>
      <c r="G40" s="176">
        <f t="shared" ref="G40:W40" si="24">F40*(1+$C$5)</f>
        <v>1.8180000000000001</v>
      </c>
      <c r="H40" s="176">
        <f t="shared" si="24"/>
        <v>1.8361800000000001</v>
      </c>
      <c r="I40" s="176">
        <f t="shared" si="24"/>
        <v>1.8545418000000002</v>
      </c>
      <c r="J40" s="176">
        <f t="shared" si="24"/>
        <v>1.8730872180000002</v>
      </c>
      <c r="K40" s="176">
        <f t="shared" si="24"/>
        <v>1.8918180901800001</v>
      </c>
      <c r="L40" s="176">
        <f t="shared" si="24"/>
        <v>1.9107362710818001</v>
      </c>
      <c r="M40" s="176">
        <f t="shared" si="24"/>
        <v>1.9298436337926181</v>
      </c>
      <c r="N40" s="176">
        <f t="shared" si="24"/>
        <v>1.9491420701305444</v>
      </c>
      <c r="O40" s="176">
        <f t="shared" si="24"/>
        <v>1.9686334908318499</v>
      </c>
      <c r="P40" s="176">
        <f t="shared" si="24"/>
        <v>1.9883198257401684</v>
      </c>
      <c r="Q40" s="176">
        <f t="shared" si="24"/>
        <v>2.0082030239975701</v>
      </c>
      <c r="R40" s="176">
        <f t="shared" si="24"/>
        <v>2.0282850542375459</v>
      </c>
      <c r="S40" s="176">
        <f t="shared" si="24"/>
        <v>2.0485679047799215</v>
      </c>
      <c r="T40" s="176">
        <f t="shared" si="24"/>
        <v>2.0690535838277206</v>
      </c>
      <c r="U40" s="176">
        <f t="shared" si="24"/>
        <v>2.089744119665998</v>
      </c>
      <c r="V40" s="176">
        <f t="shared" si="24"/>
        <v>2.1106415608626579</v>
      </c>
      <c r="W40" s="176">
        <f t="shared" si="24"/>
        <v>2.1317479764712846</v>
      </c>
      <c r="X40" s="184"/>
      <c r="Y40" s="175"/>
      <c r="Z40" s="174"/>
    </row>
    <row r="41" spans="1:26" ht="14.5" x14ac:dyDescent="0.25">
      <c r="A41" s="293" t="s">
        <v>774</v>
      </c>
      <c r="B41" s="16">
        <v>2</v>
      </c>
      <c r="C41" s="16">
        <v>24</v>
      </c>
      <c r="D41" s="16"/>
      <c r="E41" s="16"/>
      <c r="F41" s="176">
        <f t="shared" si="3"/>
        <v>48</v>
      </c>
      <c r="G41" s="176">
        <f t="shared" ref="G41:W41" si="25">F41*(1+$C$5)</f>
        <v>48.480000000000004</v>
      </c>
      <c r="H41" s="176">
        <f t="shared" si="25"/>
        <v>48.964800000000004</v>
      </c>
      <c r="I41" s="176">
        <f t="shared" si="25"/>
        <v>49.454448000000006</v>
      </c>
      <c r="J41" s="176">
        <f t="shared" si="25"/>
        <v>49.948992480000008</v>
      </c>
      <c r="K41" s="176">
        <f t="shared" si="25"/>
        <v>50.448482404800011</v>
      </c>
      <c r="L41" s="176">
        <f t="shared" si="25"/>
        <v>50.95296722884801</v>
      </c>
      <c r="M41" s="176">
        <f t="shared" si="25"/>
        <v>51.46249690113649</v>
      </c>
      <c r="N41" s="176">
        <f t="shared" si="25"/>
        <v>51.977121870147855</v>
      </c>
      <c r="O41" s="176">
        <f t="shared" si="25"/>
        <v>52.496893088849333</v>
      </c>
      <c r="P41" s="176">
        <f t="shared" si="25"/>
        <v>53.021862019737824</v>
      </c>
      <c r="Q41" s="176">
        <f t="shared" si="25"/>
        <v>53.552080639935205</v>
      </c>
      <c r="R41" s="176">
        <f t="shared" si="25"/>
        <v>54.08760144633456</v>
      </c>
      <c r="S41" s="176">
        <f t="shared" si="25"/>
        <v>54.628477460797903</v>
      </c>
      <c r="T41" s="176">
        <f t="shared" si="25"/>
        <v>55.174762235405879</v>
      </c>
      <c r="U41" s="176">
        <f t="shared" si="25"/>
        <v>55.726509857759936</v>
      </c>
      <c r="V41" s="176">
        <f t="shared" si="25"/>
        <v>56.283774956337538</v>
      </c>
      <c r="W41" s="176">
        <f t="shared" si="25"/>
        <v>56.846612705900917</v>
      </c>
      <c r="X41" s="184"/>
      <c r="Y41" s="175"/>
      <c r="Z41" s="174"/>
    </row>
    <row r="42" spans="1:26" ht="14.5" x14ac:dyDescent="0.25">
      <c r="A42" s="292" t="s">
        <v>775</v>
      </c>
      <c r="B42" s="16">
        <v>1</v>
      </c>
      <c r="C42" s="16">
        <v>12</v>
      </c>
      <c r="D42" s="16"/>
      <c r="E42" s="16"/>
      <c r="F42" s="176">
        <f t="shared" si="3"/>
        <v>12</v>
      </c>
      <c r="G42" s="176">
        <f t="shared" ref="G42:W42" si="26">F42*(1+$C$5)</f>
        <v>12.120000000000001</v>
      </c>
      <c r="H42" s="176">
        <f t="shared" si="26"/>
        <v>12.241200000000001</v>
      </c>
      <c r="I42" s="176">
        <f t="shared" si="26"/>
        <v>12.363612000000002</v>
      </c>
      <c r="J42" s="176">
        <f t="shared" si="26"/>
        <v>12.487248120000002</v>
      </c>
      <c r="K42" s="176">
        <f t="shared" si="26"/>
        <v>12.612120601200003</v>
      </c>
      <c r="L42" s="176">
        <f t="shared" si="26"/>
        <v>12.738241807212002</v>
      </c>
      <c r="M42" s="176">
        <f t="shared" si="26"/>
        <v>12.865624225284122</v>
      </c>
      <c r="N42" s="176">
        <f t="shared" si="26"/>
        <v>12.994280467536964</v>
      </c>
      <c r="O42" s="176">
        <f t="shared" si="26"/>
        <v>13.124223272212333</v>
      </c>
      <c r="P42" s="176">
        <f t="shared" si="26"/>
        <v>13.255465504934456</v>
      </c>
      <c r="Q42" s="176">
        <f t="shared" si="26"/>
        <v>13.388020159983801</v>
      </c>
      <c r="R42" s="176">
        <f t="shared" si="26"/>
        <v>13.52190036158364</v>
      </c>
      <c r="S42" s="176">
        <f t="shared" si="26"/>
        <v>13.657119365199476</v>
      </c>
      <c r="T42" s="176">
        <f t="shared" si="26"/>
        <v>13.79369055885147</v>
      </c>
      <c r="U42" s="176">
        <f t="shared" si="26"/>
        <v>13.931627464439984</v>
      </c>
      <c r="V42" s="176">
        <f t="shared" si="26"/>
        <v>14.070943739084385</v>
      </c>
      <c r="W42" s="176">
        <f t="shared" si="26"/>
        <v>14.211653176475229</v>
      </c>
      <c r="X42" s="184"/>
      <c r="Y42" s="175"/>
      <c r="Z42" s="174"/>
    </row>
    <row r="43" spans="1:26" ht="14.5" x14ac:dyDescent="0.25">
      <c r="A43" s="292" t="s">
        <v>776</v>
      </c>
      <c r="B43" s="16">
        <v>10</v>
      </c>
      <c r="C43" s="16">
        <v>7.2</v>
      </c>
      <c r="D43" s="16"/>
      <c r="E43" s="16"/>
      <c r="F43" s="176">
        <f t="shared" si="3"/>
        <v>72</v>
      </c>
      <c r="G43" s="176">
        <f t="shared" ref="G43:W43" si="27">F43*(1+$C$5)</f>
        <v>72.72</v>
      </c>
      <c r="H43" s="176">
        <f t="shared" si="27"/>
        <v>73.447199999999995</v>
      </c>
      <c r="I43" s="176">
        <f t="shared" si="27"/>
        <v>74.181671999999992</v>
      </c>
      <c r="J43" s="176">
        <f t="shared" si="27"/>
        <v>74.923488719999995</v>
      </c>
      <c r="K43" s="176">
        <f t="shared" si="27"/>
        <v>75.672723607199998</v>
      </c>
      <c r="L43" s="176">
        <f t="shared" si="27"/>
        <v>76.429450843271994</v>
      </c>
      <c r="M43" s="176">
        <f t="shared" si="27"/>
        <v>77.19374535170472</v>
      </c>
      <c r="N43" s="176">
        <f t="shared" si="27"/>
        <v>77.965682805221775</v>
      </c>
      <c r="O43" s="176">
        <f t="shared" si="27"/>
        <v>78.745339633274</v>
      </c>
      <c r="P43" s="176">
        <f t="shared" si="27"/>
        <v>79.532793029606736</v>
      </c>
      <c r="Q43" s="176">
        <f t="shared" si="27"/>
        <v>80.328120959902805</v>
      </c>
      <c r="R43" s="176">
        <f t="shared" si="27"/>
        <v>81.13140216950184</v>
      </c>
      <c r="S43" s="176">
        <f t="shared" si="27"/>
        <v>81.942716191196865</v>
      </c>
      <c r="T43" s="176">
        <f t="shared" si="27"/>
        <v>82.76214335310884</v>
      </c>
      <c r="U43" s="176">
        <f t="shared" si="27"/>
        <v>83.589764786639932</v>
      </c>
      <c r="V43" s="176">
        <f t="shared" si="27"/>
        <v>84.425662434506336</v>
      </c>
      <c r="W43" s="176">
        <f t="shared" si="27"/>
        <v>85.2699190588514</v>
      </c>
      <c r="X43" s="184"/>
      <c r="Y43" s="175"/>
      <c r="Z43" s="174"/>
    </row>
    <row r="44" spans="1:26" ht="14.5" x14ac:dyDescent="0.25">
      <c r="A44" s="292" t="s">
        <v>777</v>
      </c>
      <c r="B44" s="16">
        <v>2</v>
      </c>
      <c r="C44" s="16">
        <v>3.6</v>
      </c>
      <c r="D44" s="16"/>
      <c r="E44" s="16"/>
      <c r="F44" s="176">
        <f t="shared" si="3"/>
        <v>7.2</v>
      </c>
      <c r="G44" s="176">
        <f t="shared" ref="G44:W44" si="28">F44*(1+$C$5)</f>
        <v>7.2720000000000002</v>
      </c>
      <c r="H44" s="176">
        <f t="shared" si="28"/>
        <v>7.3447200000000006</v>
      </c>
      <c r="I44" s="176">
        <f t="shared" si="28"/>
        <v>7.418167200000001</v>
      </c>
      <c r="J44" s="176">
        <f t="shared" si="28"/>
        <v>7.4923488720000009</v>
      </c>
      <c r="K44" s="176">
        <f t="shared" si="28"/>
        <v>7.5672723607200005</v>
      </c>
      <c r="L44" s="176">
        <f t="shared" si="28"/>
        <v>7.6429450843272004</v>
      </c>
      <c r="M44" s="176">
        <f t="shared" si="28"/>
        <v>7.7193745351704726</v>
      </c>
      <c r="N44" s="176">
        <f t="shared" si="28"/>
        <v>7.7965682805221777</v>
      </c>
      <c r="O44" s="176">
        <f t="shared" si="28"/>
        <v>7.8745339633273996</v>
      </c>
      <c r="P44" s="176">
        <f t="shared" si="28"/>
        <v>7.9532793029606736</v>
      </c>
      <c r="Q44" s="176">
        <f t="shared" si="28"/>
        <v>8.0328120959902805</v>
      </c>
      <c r="R44" s="176">
        <f t="shared" si="28"/>
        <v>8.1131402169501836</v>
      </c>
      <c r="S44" s="176">
        <f t="shared" si="28"/>
        <v>8.1942716191196858</v>
      </c>
      <c r="T44" s="176">
        <f t="shared" si="28"/>
        <v>8.2762143353108826</v>
      </c>
      <c r="U44" s="176">
        <f t="shared" si="28"/>
        <v>8.3589764786639922</v>
      </c>
      <c r="V44" s="176">
        <f t="shared" si="28"/>
        <v>8.4425662434506314</v>
      </c>
      <c r="W44" s="176">
        <f t="shared" si="28"/>
        <v>8.5269919058851382</v>
      </c>
      <c r="X44" s="184"/>
      <c r="Y44" s="175"/>
      <c r="Z44" s="174"/>
    </row>
    <row r="45" spans="1:26" ht="14.5" x14ac:dyDescent="0.25">
      <c r="A45" s="292" t="s">
        <v>778</v>
      </c>
      <c r="B45" s="16">
        <v>1</v>
      </c>
      <c r="C45" s="16">
        <v>7.2</v>
      </c>
      <c r="D45" s="16"/>
      <c r="E45" s="16"/>
      <c r="F45" s="176">
        <f t="shared" si="3"/>
        <v>7.2</v>
      </c>
      <c r="G45" s="176">
        <f t="shared" ref="G45:W45" si="29">F45*(1+$C$5)</f>
        <v>7.2720000000000002</v>
      </c>
      <c r="H45" s="176">
        <f t="shared" si="29"/>
        <v>7.3447200000000006</v>
      </c>
      <c r="I45" s="176">
        <f t="shared" si="29"/>
        <v>7.418167200000001</v>
      </c>
      <c r="J45" s="176">
        <f t="shared" si="29"/>
        <v>7.4923488720000009</v>
      </c>
      <c r="K45" s="176">
        <f t="shared" si="29"/>
        <v>7.5672723607200005</v>
      </c>
      <c r="L45" s="176">
        <f t="shared" si="29"/>
        <v>7.6429450843272004</v>
      </c>
      <c r="M45" s="176">
        <f t="shared" si="29"/>
        <v>7.7193745351704726</v>
      </c>
      <c r="N45" s="176">
        <f t="shared" si="29"/>
        <v>7.7965682805221777</v>
      </c>
      <c r="O45" s="176">
        <f t="shared" si="29"/>
        <v>7.8745339633273996</v>
      </c>
      <c r="P45" s="176">
        <f t="shared" si="29"/>
        <v>7.9532793029606736</v>
      </c>
      <c r="Q45" s="176">
        <f t="shared" si="29"/>
        <v>8.0328120959902805</v>
      </c>
      <c r="R45" s="176">
        <f t="shared" si="29"/>
        <v>8.1131402169501836</v>
      </c>
      <c r="S45" s="176">
        <f t="shared" si="29"/>
        <v>8.1942716191196858</v>
      </c>
      <c r="T45" s="176">
        <f t="shared" si="29"/>
        <v>8.2762143353108826</v>
      </c>
      <c r="U45" s="176">
        <f t="shared" si="29"/>
        <v>8.3589764786639922</v>
      </c>
      <c r="V45" s="176">
        <f t="shared" si="29"/>
        <v>8.4425662434506314</v>
      </c>
      <c r="W45" s="176">
        <f t="shared" si="29"/>
        <v>8.5269919058851382</v>
      </c>
      <c r="X45" s="184"/>
      <c r="Y45" s="175"/>
      <c r="Z45" s="174"/>
    </row>
    <row r="46" spans="1:26" ht="14.5" x14ac:dyDescent="0.25">
      <c r="A46" s="292" t="s">
        <v>779</v>
      </c>
      <c r="B46" s="16">
        <v>1</v>
      </c>
      <c r="C46" s="16">
        <v>5.4</v>
      </c>
      <c r="D46" s="16"/>
      <c r="E46" s="16"/>
      <c r="F46" s="176">
        <f t="shared" si="3"/>
        <v>5.4</v>
      </c>
      <c r="G46" s="176">
        <f t="shared" ref="G46:W46" si="30">F46*(1+$C$5)</f>
        <v>5.4540000000000006</v>
      </c>
      <c r="H46" s="176">
        <f t="shared" si="30"/>
        <v>5.5085400000000009</v>
      </c>
      <c r="I46" s="176">
        <f t="shared" si="30"/>
        <v>5.5636254000000012</v>
      </c>
      <c r="J46" s="176">
        <f t="shared" si="30"/>
        <v>5.6192616540000015</v>
      </c>
      <c r="K46" s="176">
        <f t="shared" si="30"/>
        <v>5.6754542705400013</v>
      </c>
      <c r="L46" s="176">
        <f t="shared" si="30"/>
        <v>5.7322088132454017</v>
      </c>
      <c r="M46" s="176">
        <f t="shared" si="30"/>
        <v>5.789530901377856</v>
      </c>
      <c r="N46" s="176">
        <f t="shared" si="30"/>
        <v>5.8474262103916343</v>
      </c>
      <c r="O46" s="176">
        <f t="shared" si="30"/>
        <v>5.9059004724955511</v>
      </c>
      <c r="P46" s="176">
        <f t="shared" si="30"/>
        <v>5.964959477220507</v>
      </c>
      <c r="Q46" s="176">
        <f t="shared" si="30"/>
        <v>6.0246090719927121</v>
      </c>
      <c r="R46" s="176">
        <f t="shared" si="30"/>
        <v>6.084855162712639</v>
      </c>
      <c r="S46" s="176">
        <f t="shared" si="30"/>
        <v>6.1457037143397653</v>
      </c>
      <c r="T46" s="176">
        <f t="shared" si="30"/>
        <v>6.2071607514831628</v>
      </c>
      <c r="U46" s="176">
        <f t="shared" si="30"/>
        <v>6.2692323589979946</v>
      </c>
      <c r="V46" s="176">
        <f t="shared" si="30"/>
        <v>6.3319246825879745</v>
      </c>
      <c r="W46" s="176">
        <f t="shared" si="30"/>
        <v>6.3952439294138541</v>
      </c>
      <c r="X46" s="184"/>
      <c r="Y46" s="175"/>
      <c r="Z46" s="174"/>
    </row>
    <row r="47" spans="1:26" ht="14.5" x14ac:dyDescent="0.25">
      <c r="A47" s="292" t="s">
        <v>780</v>
      </c>
      <c r="B47" s="16">
        <v>3</v>
      </c>
      <c r="C47" s="16">
        <v>3.6</v>
      </c>
      <c r="D47" s="16"/>
      <c r="E47" s="16"/>
      <c r="F47" s="176">
        <f t="shared" si="3"/>
        <v>10.8</v>
      </c>
      <c r="G47" s="176">
        <f t="shared" ref="G47:W47" si="31">F47*(1+$C$5)</f>
        <v>10.908000000000001</v>
      </c>
      <c r="H47" s="176">
        <f t="shared" si="31"/>
        <v>11.017080000000002</v>
      </c>
      <c r="I47" s="176">
        <f t="shared" si="31"/>
        <v>11.127250800000002</v>
      </c>
      <c r="J47" s="176">
        <f t="shared" si="31"/>
        <v>11.238523308000003</v>
      </c>
      <c r="K47" s="176">
        <f t="shared" si="31"/>
        <v>11.350908541080003</v>
      </c>
      <c r="L47" s="176">
        <f t="shared" si="31"/>
        <v>11.464417626490803</v>
      </c>
      <c r="M47" s="176">
        <f t="shared" si="31"/>
        <v>11.579061802755712</v>
      </c>
      <c r="N47" s="176">
        <f t="shared" si="31"/>
        <v>11.694852420783269</v>
      </c>
      <c r="O47" s="176">
        <f t="shared" si="31"/>
        <v>11.811800944991102</v>
      </c>
      <c r="P47" s="176">
        <f t="shared" si="31"/>
        <v>11.929918954441014</v>
      </c>
      <c r="Q47" s="176">
        <f t="shared" si="31"/>
        <v>12.049218143985424</v>
      </c>
      <c r="R47" s="176">
        <f t="shared" si="31"/>
        <v>12.169710325425278</v>
      </c>
      <c r="S47" s="176">
        <f t="shared" si="31"/>
        <v>12.291407428679531</v>
      </c>
      <c r="T47" s="176">
        <f t="shared" si="31"/>
        <v>12.414321502966326</v>
      </c>
      <c r="U47" s="176">
        <f t="shared" si="31"/>
        <v>12.538464717995989</v>
      </c>
      <c r="V47" s="176">
        <f t="shared" si="31"/>
        <v>12.663849365175949</v>
      </c>
      <c r="W47" s="176">
        <f t="shared" si="31"/>
        <v>12.790487858827708</v>
      </c>
      <c r="X47" s="184"/>
      <c r="Y47" s="175"/>
      <c r="Z47" s="174"/>
    </row>
    <row r="48" spans="1:26" ht="14.5" x14ac:dyDescent="0.25">
      <c r="A48" s="292" t="s">
        <v>825</v>
      </c>
      <c r="B48" s="16">
        <v>1</v>
      </c>
      <c r="C48" s="16">
        <v>9.6</v>
      </c>
      <c r="D48" s="16"/>
      <c r="E48" s="16"/>
      <c r="F48" s="176">
        <f t="shared" si="3"/>
        <v>9.6</v>
      </c>
      <c r="G48" s="176">
        <f t="shared" ref="G48:W48" si="32">F48*(1+$C$5)</f>
        <v>9.6959999999999997</v>
      </c>
      <c r="H48" s="176">
        <f t="shared" si="32"/>
        <v>9.792959999999999</v>
      </c>
      <c r="I48" s="176">
        <f t="shared" si="32"/>
        <v>9.8908895999999995</v>
      </c>
      <c r="J48" s="176">
        <f t="shared" si="32"/>
        <v>9.9897984959999988</v>
      </c>
      <c r="K48" s="176">
        <f t="shared" si="32"/>
        <v>10.089696480959999</v>
      </c>
      <c r="L48" s="176">
        <f t="shared" si="32"/>
        <v>10.190593445769599</v>
      </c>
      <c r="M48" s="176">
        <f t="shared" si="32"/>
        <v>10.292499380227294</v>
      </c>
      <c r="N48" s="176">
        <f t="shared" si="32"/>
        <v>10.395424374029567</v>
      </c>
      <c r="O48" s="176">
        <f t="shared" si="32"/>
        <v>10.499378617769862</v>
      </c>
      <c r="P48" s="176">
        <f t="shared" si="32"/>
        <v>10.604372403947561</v>
      </c>
      <c r="Q48" s="176">
        <f t="shared" si="32"/>
        <v>10.710416127987036</v>
      </c>
      <c r="R48" s="176">
        <f t="shared" si="32"/>
        <v>10.817520289266907</v>
      </c>
      <c r="S48" s="176">
        <f t="shared" si="32"/>
        <v>10.925695492159576</v>
      </c>
      <c r="T48" s="176">
        <f t="shared" si="32"/>
        <v>11.034952447081173</v>
      </c>
      <c r="U48" s="176">
        <f t="shared" si="32"/>
        <v>11.145301971551984</v>
      </c>
      <c r="V48" s="176">
        <f t="shared" si="32"/>
        <v>11.256754991267504</v>
      </c>
      <c r="W48" s="176">
        <f t="shared" si="32"/>
        <v>11.36932254118018</v>
      </c>
      <c r="X48" s="184"/>
      <c r="Y48" s="175"/>
      <c r="Z48" s="174"/>
    </row>
    <row r="49" spans="1:26" ht="14.5" x14ac:dyDescent="0.25">
      <c r="A49" s="292" t="s">
        <v>781</v>
      </c>
      <c r="B49" s="16">
        <v>1</v>
      </c>
      <c r="C49" s="16">
        <v>4.8</v>
      </c>
      <c r="D49" s="16"/>
      <c r="E49" s="16"/>
      <c r="F49" s="176">
        <f t="shared" si="3"/>
        <v>4.8</v>
      </c>
      <c r="G49" s="176">
        <f t="shared" ref="G49:W49" si="33">F49*(1+$C$5)</f>
        <v>4.8479999999999999</v>
      </c>
      <c r="H49" s="176">
        <f t="shared" si="33"/>
        <v>4.8964799999999995</v>
      </c>
      <c r="I49" s="176">
        <f t="shared" si="33"/>
        <v>4.9454447999999998</v>
      </c>
      <c r="J49" s="176">
        <f t="shared" si="33"/>
        <v>4.9948992479999994</v>
      </c>
      <c r="K49" s="176">
        <f t="shared" si="33"/>
        <v>5.0448482404799995</v>
      </c>
      <c r="L49" s="176">
        <f t="shared" si="33"/>
        <v>5.0952967228847994</v>
      </c>
      <c r="M49" s="176">
        <f t="shared" si="33"/>
        <v>5.1462496901136472</v>
      </c>
      <c r="N49" s="176">
        <f t="shared" si="33"/>
        <v>5.1977121870147833</v>
      </c>
      <c r="O49" s="176">
        <f t="shared" si="33"/>
        <v>5.249689308884931</v>
      </c>
      <c r="P49" s="176">
        <f t="shared" si="33"/>
        <v>5.3021862019737807</v>
      </c>
      <c r="Q49" s="176">
        <f t="shared" si="33"/>
        <v>5.3552080639935182</v>
      </c>
      <c r="R49" s="176">
        <f t="shared" si="33"/>
        <v>5.4087601446334537</v>
      </c>
      <c r="S49" s="176">
        <f t="shared" si="33"/>
        <v>5.4628477460797882</v>
      </c>
      <c r="T49" s="176">
        <f t="shared" si="33"/>
        <v>5.5174762235405863</v>
      </c>
      <c r="U49" s="176">
        <f t="shared" si="33"/>
        <v>5.5726509857759918</v>
      </c>
      <c r="V49" s="176">
        <f t="shared" si="33"/>
        <v>5.6283774956337522</v>
      </c>
      <c r="W49" s="176">
        <f t="shared" si="33"/>
        <v>5.6846612705900901</v>
      </c>
      <c r="X49" s="184"/>
      <c r="Y49" s="175"/>
      <c r="Z49" s="174"/>
    </row>
    <row r="50" spans="1:26" ht="14.5" x14ac:dyDescent="0.25">
      <c r="A50" s="292" t="s">
        <v>782</v>
      </c>
      <c r="B50" s="16">
        <v>1</v>
      </c>
      <c r="C50" s="16">
        <v>4.8</v>
      </c>
      <c r="D50" s="16"/>
      <c r="E50" s="16"/>
      <c r="F50" s="176">
        <f t="shared" si="3"/>
        <v>4.8</v>
      </c>
      <c r="G50" s="176">
        <f t="shared" ref="G50:W50" si="34">F50*(1+$C$5)</f>
        <v>4.8479999999999999</v>
      </c>
      <c r="H50" s="176">
        <f t="shared" si="34"/>
        <v>4.8964799999999995</v>
      </c>
      <c r="I50" s="176">
        <f t="shared" si="34"/>
        <v>4.9454447999999998</v>
      </c>
      <c r="J50" s="176">
        <f t="shared" si="34"/>
        <v>4.9948992479999994</v>
      </c>
      <c r="K50" s="176">
        <f t="shared" si="34"/>
        <v>5.0448482404799995</v>
      </c>
      <c r="L50" s="176">
        <f t="shared" si="34"/>
        <v>5.0952967228847994</v>
      </c>
      <c r="M50" s="176">
        <f t="shared" si="34"/>
        <v>5.1462496901136472</v>
      </c>
      <c r="N50" s="176">
        <f t="shared" si="34"/>
        <v>5.1977121870147833</v>
      </c>
      <c r="O50" s="176">
        <f t="shared" si="34"/>
        <v>5.249689308884931</v>
      </c>
      <c r="P50" s="176">
        <f t="shared" si="34"/>
        <v>5.3021862019737807</v>
      </c>
      <c r="Q50" s="176">
        <f t="shared" si="34"/>
        <v>5.3552080639935182</v>
      </c>
      <c r="R50" s="176">
        <f t="shared" si="34"/>
        <v>5.4087601446334537</v>
      </c>
      <c r="S50" s="176">
        <f t="shared" si="34"/>
        <v>5.4628477460797882</v>
      </c>
      <c r="T50" s="176">
        <f t="shared" si="34"/>
        <v>5.5174762235405863</v>
      </c>
      <c r="U50" s="176">
        <f t="shared" si="34"/>
        <v>5.5726509857759918</v>
      </c>
      <c r="V50" s="176">
        <f t="shared" si="34"/>
        <v>5.6283774956337522</v>
      </c>
      <c r="W50" s="176">
        <f t="shared" si="34"/>
        <v>5.6846612705900901</v>
      </c>
      <c r="X50" s="184"/>
      <c r="Y50" s="175"/>
      <c r="Z50" s="174"/>
    </row>
    <row r="51" spans="1:26" ht="14.5" x14ac:dyDescent="0.25">
      <c r="A51" s="292" t="s">
        <v>783</v>
      </c>
      <c r="B51" s="16">
        <v>1</v>
      </c>
      <c r="C51" s="16">
        <v>4.8</v>
      </c>
      <c r="D51" s="16"/>
      <c r="E51" s="16"/>
      <c r="F51" s="176">
        <f t="shared" si="3"/>
        <v>4.8</v>
      </c>
      <c r="G51" s="176">
        <f t="shared" ref="G51:W51" si="35">F51*(1+$C$5)</f>
        <v>4.8479999999999999</v>
      </c>
      <c r="H51" s="176">
        <f t="shared" si="35"/>
        <v>4.8964799999999995</v>
      </c>
      <c r="I51" s="176">
        <f t="shared" si="35"/>
        <v>4.9454447999999998</v>
      </c>
      <c r="J51" s="176">
        <f t="shared" si="35"/>
        <v>4.9948992479999994</v>
      </c>
      <c r="K51" s="176">
        <f t="shared" si="35"/>
        <v>5.0448482404799995</v>
      </c>
      <c r="L51" s="176">
        <f t="shared" si="35"/>
        <v>5.0952967228847994</v>
      </c>
      <c r="M51" s="176">
        <f t="shared" si="35"/>
        <v>5.1462496901136472</v>
      </c>
      <c r="N51" s="176">
        <f t="shared" si="35"/>
        <v>5.1977121870147833</v>
      </c>
      <c r="O51" s="176">
        <f t="shared" si="35"/>
        <v>5.249689308884931</v>
      </c>
      <c r="P51" s="176">
        <f t="shared" si="35"/>
        <v>5.3021862019737807</v>
      </c>
      <c r="Q51" s="176">
        <f t="shared" si="35"/>
        <v>5.3552080639935182</v>
      </c>
      <c r="R51" s="176">
        <f t="shared" si="35"/>
        <v>5.4087601446334537</v>
      </c>
      <c r="S51" s="176">
        <f t="shared" si="35"/>
        <v>5.4628477460797882</v>
      </c>
      <c r="T51" s="176">
        <f t="shared" si="35"/>
        <v>5.5174762235405863</v>
      </c>
      <c r="U51" s="176">
        <f t="shared" si="35"/>
        <v>5.5726509857759918</v>
      </c>
      <c r="V51" s="176">
        <f t="shared" si="35"/>
        <v>5.6283774956337522</v>
      </c>
      <c r="W51" s="176">
        <f t="shared" si="35"/>
        <v>5.6846612705900901</v>
      </c>
      <c r="X51" s="184"/>
      <c r="Y51" s="175"/>
      <c r="Z51" s="174"/>
    </row>
    <row r="52" spans="1:26" ht="14.5" x14ac:dyDescent="0.25">
      <c r="A52" s="292" t="s">
        <v>784</v>
      </c>
      <c r="B52" s="16">
        <v>1</v>
      </c>
      <c r="C52" s="16">
        <v>4.8</v>
      </c>
      <c r="D52" s="16"/>
      <c r="E52" s="16"/>
      <c r="F52" s="176">
        <f t="shared" si="3"/>
        <v>4.8</v>
      </c>
      <c r="G52" s="176">
        <f t="shared" ref="G52:W52" si="36">F52*(1+$C$5)</f>
        <v>4.8479999999999999</v>
      </c>
      <c r="H52" s="176">
        <f t="shared" si="36"/>
        <v>4.8964799999999995</v>
      </c>
      <c r="I52" s="176">
        <f t="shared" si="36"/>
        <v>4.9454447999999998</v>
      </c>
      <c r="J52" s="176">
        <f t="shared" si="36"/>
        <v>4.9948992479999994</v>
      </c>
      <c r="K52" s="176">
        <f t="shared" si="36"/>
        <v>5.0448482404799995</v>
      </c>
      <c r="L52" s="176">
        <f t="shared" si="36"/>
        <v>5.0952967228847994</v>
      </c>
      <c r="M52" s="176">
        <f t="shared" si="36"/>
        <v>5.1462496901136472</v>
      </c>
      <c r="N52" s="176">
        <f t="shared" si="36"/>
        <v>5.1977121870147833</v>
      </c>
      <c r="O52" s="176">
        <f t="shared" si="36"/>
        <v>5.249689308884931</v>
      </c>
      <c r="P52" s="176">
        <f t="shared" si="36"/>
        <v>5.3021862019737807</v>
      </c>
      <c r="Q52" s="176">
        <f t="shared" si="36"/>
        <v>5.3552080639935182</v>
      </c>
      <c r="R52" s="176">
        <f t="shared" si="36"/>
        <v>5.4087601446334537</v>
      </c>
      <c r="S52" s="176">
        <f t="shared" si="36"/>
        <v>5.4628477460797882</v>
      </c>
      <c r="T52" s="176">
        <f t="shared" si="36"/>
        <v>5.5174762235405863</v>
      </c>
      <c r="U52" s="176">
        <f t="shared" si="36"/>
        <v>5.5726509857759918</v>
      </c>
      <c r="V52" s="176">
        <f t="shared" si="36"/>
        <v>5.6283774956337522</v>
      </c>
      <c r="W52" s="176">
        <f t="shared" si="36"/>
        <v>5.6846612705900901</v>
      </c>
      <c r="X52" s="184"/>
      <c r="Y52" s="175"/>
      <c r="Z52" s="174"/>
    </row>
    <row r="53" spans="1:26" ht="14.5" x14ac:dyDescent="0.25">
      <c r="A53" s="292" t="s">
        <v>826</v>
      </c>
      <c r="B53" s="16">
        <v>1</v>
      </c>
      <c r="C53" s="16">
        <v>3.6</v>
      </c>
      <c r="D53" s="16"/>
      <c r="E53" s="16"/>
      <c r="F53" s="176">
        <f t="shared" si="3"/>
        <v>3.6</v>
      </c>
      <c r="G53" s="176">
        <f t="shared" ref="G53:W53" si="37">F53*(1+$C$5)</f>
        <v>3.6360000000000001</v>
      </c>
      <c r="H53" s="176">
        <f t="shared" si="37"/>
        <v>3.6723600000000003</v>
      </c>
      <c r="I53" s="176">
        <f t="shared" si="37"/>
        <v>3.7090836000000005</v>
      </c>
      <c r="J53" s="176">
        <f t="shared" si="37"/>
        <v>3.7461744360000004</v>
      </c>
      <c r="K53" s="176">
        <f t="shared" si="37"/>
        <v>3.7836361803600003</v>
      </c>
      <c r="L53" s="176">
        <f t="shared" si="37"/>
        <v>3.8214725421636002</v>
      </c>
      <c r="M53" s="176">
        <f t="shared" si="37"/>
        <v>3.8596872675852363</v>
      </c>
      <c r="N53" s="176">
        <f t="shared" si="37"/>
        <v>3.8982841402610888</v>
      </c>
      <c r="O53" s="176">
        <f t="shared" si="37"/>
        <v>3.9372669816636998</v>
      </c>
      <c r="P53" s="176">
        <f t="shared" si="37"/>
        <v>3.9766396514803368</v>
      </c>
      <c r="Q53" s="176">
        <f t="shared" si="37"/>
        <v>4.0164060479951402</v>
      </c>
      <c r="R53" s="176">
        <f t="shared" si="37"/>
        <v>4.0565701084750918</v>
      </c>
      <c r="S53" s="176">
        <f t="shared" si="37"/>
        <v>4.0971358095598429</v>
      </c>
      <c r="T53" s="176">
        <f t="shared" si="37"/>
        <v>4.1381071676554413</v>
      </c>
      <c r="U53" s="176">
        <f t="shared" si="37"/>
        <v>4.1794882393319961</v>
      </c>
      <c r="V53" s="176">
        <f t="shared" si="37"/>
        <v>4.2212831217253157</v>
      </c>
      <c r="W53" s="176">
        <f t="shared" si="37"/>
        <v>4.2634959529425691</v>
      </c>
      <c r="X53" s="184"/>
      <c r="Y53" s="175"/>
      <c r="Z53" s="174"/>
    </row>
    <row r="54" spans="1:26" ht="14.5" x14ac:dyDescent="0.25">
      <c r="A54" s="292" t="s">
        <v>785</v>
      </c>
      <c r="B54" s="16">
        <v>1</v>
      </c>
      <c r="C54" s="16">
        <v>5.4</v>
      </c>
      <c r="D54" s="16"/>
      <c r="E54" s="16"/>
      <c r="F54" s="176">
        <f t="shared" si="3"/>
        <v>5.4</v>
      </c>
      <c r="G54" s="176">
        <f t="shared" ref="G54:W54" si="38">F54*(1+$C$5)</f>
        <v>5.4540000000000006</v>
      </c>
      <c r="H54" s="176">
        <f t="shared" si="38"/>
        <v>5.5085400000000009</v>
      </c>
      <c r="I54" s="176">
        <f t="shared" si="38"/>
        <v>5.5636254000000012</v>
      </c>
      <c r="J54" s="176">
        <f t="shared" si="38"/>
        <v>5.6192616540000015</v>
      </c>
      <c r="K54" s="176">
        <f t="shared" si="38"/>
        <v>5.6754542705400013</v>
      </c>
      <c r="L54" s="176">
        <f t="shared" si="38"/>
        <v>5.7322088132454017</v>
      </c>
      <c r="M54" s="176">
        <f t="shared" si="38"/>
        <v>5.789530901377856</v>
      </c>
      <c r="N54" s="176">
        <f t="shared" si="38"/>
        <v>5.8474262103916343</v>
      </c>
      <c r="O54" s="176">
        <f t="shared" si="38"/>
        <v>5.9059004724955511</v>
      </c>
      <c r="P54" s="176">
        <f t="shared" si="38"/>
        <v>5.964959477220507</v>
      </c>
      <c r="Q54" s="176">
        <f t="shared" si="38"/>
        <v>6.0246090719927121</v>
      </c>
      <c r="R54" s="176">
        <f t="shared" si="38"/>
        <v>6.084855162712639</v>
      </c>
      <c r="S54" s="176">
        <f t="shared" si="38"/>
        <v>6.1457037143397653</v>
      </c>
      <c r="T54" s="176">
        <f t="shared" si="38"/>
        <v>6.2071607514831628</v>
      </c>
      <c r="U54" s="176">
        <f t="shared" si="38"/>
        <v>6.2692323589979946</v>
      </c>
      <c r="V54" s="176">
        <f t="shared" si="38"/>
        <v>6.3319246825879745</v>
      </c>
      <c r="W54" s="176">
        <f t="shared" si="38"/>
        <v>6.3952439294138541</v>
      </c>
      <c r="X54" s="184"/>
      <c r="Y54" s="175"/>
      <c r="Z54" s="174"/>
    </row>
    <row r="55" spans="1:26" ht="14.5" x14ac:dyDescent="0.25">
      <c r="A55" s="292" t="s">
        <v>786</v>
      </c>
      <c r="B55" s="16">
        <v>10</v>
      </c>
      <c r="C55" s="16">
        <v>3.6</v>
      </c>
      <c r="D55" s="16"/>
      <c r="E55" s="16"/>
      <c r="F55" s="176">
        <f t="shared" si="3"/>
        <v>36</v>
      </c>
      <c r="G55" s="176">
        <f t="shared" ref="G55:W55" si="39">F55*(1+$C$5)</f>
        <v>36.36</v>
      </c>
      <c r="H55" s="176">
        <f t="shared" si="39"/>
        <v>36.723599999999998</v>
      </c>
      <c r="I55" s="176">
        <f t="shared" si="39"/>
        <v>37.090835999999996</v>
      </c>
      <c r="J55" s="176">
        <f t="shared" si="39"/>
        <v>37.461744359999997</v>
      </c>
      <c r="K55" s="176">
        <f t="shared" si="39"/>
        <v>37.836361803599999</v>
      </c>
      <c r="L55" s="176">
        <f t="shared" si="39"/>
        <v>38.214725421635997</v>
      </c>
      <c r="M55" s="176">
        <f t="shared" si="39"/>
        <v>38.59687267585236</v>
      </c>
      <c r="N55" s="176">
        <f t="shared" si="39"/>
        <v>38.982841402610887</v>
      </c>
      <c r="O55" s="176">
        <f t="shared" si="39"/>
        <v>39.372669816637</v>
      </c>
      <c r="P55" s="176">
        <f t="shared" si="39"/>
        <v>39.766396514803368</v>
      </c>
      <c r="Q55" s="176">
        <f t="shared" si="39"/>
        <v>40.164060479951402</v>
      </c>
      <c r="R55" s="176">
        <f t="shared" si="39"/>
        <v>40.56570108475092</v>
      </c>
      <c r="S55" s="176">
        <f t="shared" si="39"/>
        <v>40.971358095598433</v>
      </c>
      <c r="T55" s="176">
        <f t="shared" si="39"/>
        <v>41.38107167655442</v>
      </c>
      <c r="U55" s="176">
        <f t="shared" si="39"/>
        <v>41.794882393319966</v>
      </c>
      <c r="V55" s="176">
        <f t="shared" si="39"/>
        <v>42.212831217253168</v>
      </c>
      <c r="W55" s="176">
        <f t="shared" si="39"/>
        <v>42.6349595294257</v>
      </c>
      <c r="X55" s="184"/>
      <c r="Y55" s="175"/>
      <c r="Z55" s="174"/>
    </row>
    <row r="56" spans="1:26" ht="14.5" x14ac:dyDescent="0.25">
      <c r="A56" s="292" t="s">
        <v>824</v>
      </c>
      <c r="B56" s="16">
        <v>1</v>
      </c>
      <c r="C56" s="16">
        <v>21.6</v>
      </c>
      <c r="D56" s="16"/>
      <c r="E56" s="16"/>
      <c r="F56" s="176">
        <f t="shared" si="3"/>
        <v>21.6</v>
      </c>
      <c r="G56" s="176">
        <f t="shared" ref="G56:W56" si="40">F56*(1+$C$5)</f>
        <v>21.816000000000003</v>
      </c>
      <c r="H56" s="176">
        <f t="shared" si="40"/>
        <v>22.034160000000004</v>
      </c>
      <c r="I56" s="176">
        <f t="shared" si="40"/>
        <v>22.254501600000005</v>
      </c>
      <c r="J56" s="176">
        <f t="shared" si="40"/>
        <v>22.477046616000006</v>
      </c>
      <c r="K56" s="176">
        <f t="shared" si="40"/>
        <v>22.701817082160005</v>
      </c>
      <c r="L56" s="176">
        <f t="shared" si="40"/>
        <v>22.928835252981607</v>
      </c>
      <c r="M56" s="176">
        <f t="shared" si="40"/>
        <v>23.158123605511424</v>
      </c>
      <c r="N56" s="176">
        <f t="shared" si="40"/>
        <v>23.389704841566537</v>
      </c>
      <c r="O56" s="176">
        <f t="shared" si="40"/>
        <v>23.623601889982204</v>
      </c>
      <c r="P56" s="176">
        <f t="shared" si="40"/>
        <v>23.859837908882028</v>
      </c>
      <c r="Q56" s="176">
        <f t="shared" si="40"/>
        <v>24.098436287970848</v>
      </c>
      <c r="R56" s="176">
        <f t="shared" si="40"/>
        <v>24.339420650850556</v>
      </c>
      <c r="S56" s="176">
        <f t="shared" si="40"/>
        <v>24.582814857359061</v>
      </c>
      <c r="T56" s="176">
        <f t="shared" si="40"/>
        <v>24.828643005932651</v>
      </c>
      <c r="U56" s="176">
        <f t="shared" si="40"/>
        <v>25.076929435991978</v>
      </c>
      <c r="V56" s="176">
        <f t="shared" si="40"/>
        <v>25.327698730351898</v>
      </c>
      <c r="W56" s="176">
        <f t="shared" si="40"/>
        <v>25.580975717655416</v>
      </c>
      <c r="X56" s="184"/>
      <c r="Y56" s="175"/>
      <c r="Z56" s="174"/>
    </row>
    <row r="57" spans="1:26" ht="14.5" x14ac:dyDescent="0.25">
      <c r="A57" s="292" t="s">
        <v>787</v>
      </c>
      <c r="B57" s="16">
        <v>1</v>
      </c>
      <c r="C57" s="16">
        <v>9.6</v>
      </c>
      <c r="D57" s="16"/>
      <c r="E57" s="16"/>
      <c r="F57" s="176">
        <f t="shared" si="3"/>
        <v>9.6</v>
      </c>
      <c r="G57" s="176">
        <f t="shared" ref="G57:W57" si="41">F57*(1+$C$5)</f>
        <v>9.6959999999999997</v>
      </c>
      <c r="H57" s="176">
        <f t="shared" si="41"/>
        <v>9.792959999999999</v>
      </c>
      <c r="I57" s="176">
        <f t="shared" si="41"/>
        <v>9.8908895999999995</v>
      </c>
      <c r="J57" s="176">
        <f t="shared" si="41"/>
        <v>9.9897984959999988</v>
      </c>
      <c r="K57" s="176">
        <f t="shared" si="41"/>
        <v>10.089696480959999</v>
      </c>
      <c r="L57" s="176">
        <f t="shared" si="41"/>
        <v>10.190593445769599</v>
      </c>
      <c r="M57" s="176">
        <f t="shared" si="41"/>
        <v>10.292499380227294</v>
      </c>
      <c r="N57" s="176">
        <f t="shared" si="41"/>
        <v>10.395424374029567</v>
      </c>
      <c r="O57" s="176">
        <f t="shared" si="41"/>
        <v>10.499378617769862</v>
      </c>
      <c r="P57" s="176">
        <f t="shared" si="41"/>
        <v>10.604372403947561</v>
      </c>
      <c r="Q57" s="176">
        <f t="shared" si="41"/>
        <v>10.710416127987036</v>
      </c>
      <c r="R57" s="176">
        <f t="shared" si="41"/>
        <v>10.817520289266907</v>
      </c>
      <c r="S57" s="176">
        <f t="shared" si="41"/>
        <v>10.925695492159576</v>
      </c>
      <c r="T57" s="176">
        <f t="shared" si="41"/>
        <v>11.034952447081173</v>
      </c>
      <c r="U57" s="176">
        <f t="shared" si="41"/>
        <v>11.145301971551984</v>
      </c>
      <c r="V57" s="176">
        <f t="shared" si="41"/>
        <v>11.256754991267504</v>
      </c>
      <c r="W57" s="176">
        <f t="shared" si="41"/>
        <v>11.36932254118018</v>
      </c>
      <c r="X57" s="184"/>
      <c r="Y57" s="175"/>
      <c r="Z57" s="174"/>
    </row>
    <row r="58" spans="1:26" ht="14.5" x14ac:dyDescent="0.25">
      <c r="A58" s="292" t="s">
        <v>788</v>
      </c>
      <c r="B58" s="16">
        <v>1</v>
      </c>
      <c r="C58" s="16">
        <v>6</v>
      </c>
      <c r="D58" s="16"/>
      <c r="E58" s="16"/>
      <c r="F58" s="176">
        <f t="shared" si="3"/>
        <v>6</v>
      </c>
      <c r="G58" s="176">
        <f t="shared" ref="G58:W58" si="42">F58*(1+$C$5)</f>
        <v>6.0600000000000005</v>
      </c>
      <c r="H58" s="176">
        <f t="shared" si="42"/>
        <v>6.1206000000000005</v>
      </c>
      <c r="I58" s="176">
        <f t="shared" si="42"/>
        <v>6.1818060000000008</v>
      </c>
      <c r="J58" s="176">
        <f t="shared" si="42"/>
        <v>6.243624060000001</v>
      </c>
      <c r="K58" s="176">
        <f t="shared" si="42"/>
        <v>6.3060603006000013</v>
      </c>
      <c r="L58" s="176">
        <f t="shared" si="42"/>
        <v>6.3691209036060012</v>
      </c>
      <c r="M58" s="176">
        <f t="shared" si="42"/>
        <v>6.4328121126420612</v>
      </c>
      <c r="N58" s="176">
        <f t="shared" si="42"/>
        <v>6.4971402337684818</v>
      </c>
      <c r="O58" s="176">
        <f t="shared" si="42"/>
        <v>6.5621116361061667</v>
      </c>
      <c r="P58" s="176">
        <f t="shared" si="42"/>
        <v>6.627732752467228</v>
      </c>
      <c r="Q58" s="176">
        <f t="shared" si="42"/>
        <v>6.6940100799919007</v>
      </c>
      <c r="R58" s="176">
        <f t="shared" si="42"/>
        <v>6.76095018079182</v>
      </c>
      <c r="S58" s="176">
        <f t="shared" si="42"/>
        <v>6.8285596825997379</v>
      </c>
      <c r="T58" s="176">
        <f t="shared" si="42"/>
        <v>6.8968452794257349</v>
      </c>
      <c r="U58" s="176">
        <f t="shared" si="42"/>
        <v>6.965813732219992</v>
      </c>
      <c r="V58" s="176">
        <f t="shared" si="42"/>
        <v>7.0354718695421923</v>
      </c>
      <c r="W58" s="176">
        <f t="shared" si="42"/>
        <v>7.1058265882376146</v>
      </c>
      <c r="X58" s="184"/>
      <c r="Y58" s="175"/>
      <c r="Z58" s="174"/>
    </row>
    <row r="59" spans="1:26" ht="14.5" x14ac:dyDescent="0.25">
      <c r="A59" s="292" t="s">
        <v>789</v>
      </c>
      <c r="B59" s="16">
        <v>4</v>
      </c>
      <c r="C59" s="16">
        <v>6</v>
      </c>
      <c r="D59" s="16"/>
      <c r="E59" s="16"/>
      <c r="F59" s="176">
        <f t="shared" si="3"/>
        <v>24</v>
      </c>
      <c r="G59" s="176">
        <f t="shared" ref="G59:W59" si="43">F59*(1+$C$5)</f>
        <v>24.240000000000002</v>
      </c>
      <c r="H59" s="176">
        <f t="shared" si="43"/>
        <v>24.482400000000002</v>
      </c>
      <c r="I59" s="176">
        <f t="shared" si="43"/>
        <v>24.727224000000003</v>
      </c>
      <c r="J59" s="176">
        <f t="shared" si="43"/>
        <v>24.974496240000004</v>
      </c>
      <c r="K59" s="176">
        <f t="shared" si="43"/>
        <v>25.224241202400005</v>
      </c>
      <c r="L59" s="176">
        <f t="shared" si="43"/>
        <v>25.476483614424005</v>
      </c>
      <c r="M59" s="176">
        <f t="shared" si="43"/>
        <v>25.731248450568245</v>
      </c>
      <c r="N59" s="176">
        <f t="shared" si="43"/>
        <v>25.988560935073927</v>
      </c>
      <c r="O59" s="176">
        <f t="shared" si="43"/>
        <v>26.248446544424667</v>
      </c>
      <c r="P59" s="176">
        <f t="shared" si="43"/>
        <v>26.510931009868912</v>
      </c>
      <c r="Q59" s="176">
        <f t="shared" si="43"/>
        <v>26.776040319967603</v>
      </c>
      <c r="R59" s="176">
        <f t="shared" si="43"/>
        <v>27.04380072316728</v>
      </c>
      <c r="S59" s="176">
        <f t="shared" si="43"/>
        <v>27.314238730398952</v>
      </c>
      <c r="T59" s="176">
        <f t="shared" si="43"/>
        <v>27.58738111770294</v>
      </c>
      <c r="U59" s="176">
        <f t="shared" si="43"/>
        <v>27.863254928879968</v>
      </c>
      <c r="V59" s="176">
        <f t="shared" si="43"/>
        <v>28.141887478168769</v>
      </c>
      <c r="W59" s="176">
        <f t="shared" si="43"/>
        <v>28.423306352950458</v>
      </c>
      <c r="X59" s="184"/>
      <c r="Y59" s="175"/>
      <c r="Z59" s="174"/>
    </row>
    <row r="60" spans="1:26" ht="14.5" x14ac:dyDescent="0.25">
      <c r="A60" s="292" t="s">
        <v>790</v>
      </c>
      <c r="B60" s="16">
        <v>2</v>
      </c>
      <c r="C60" s="16">
        <v>4.8</v>
      </c>
      <c r="D60" s="16"/>
      <c r="E60" s="16"/>
      <c r="F60" s="176">
        <f t="shared" si="3"/>
        <v>9.6</v>
      </c>
      <c r="G60" s="176">
        <f t="shared" ref="G60:W60" si="44">F60*(1+$C$5)</f>
        <v>9.6959999999999997</v>
      </c>
      <c r="H60" s="176">
        <f t="shared" si="44"/>
        <v>9.792959999999999</v>
      </c>
      <c r="I60" s="176">
        <f t="shared" si="44"/>
        <v>9.8908895999999995</v>
      </c>
      <c r="J60" s="176">
        <f t="shared" si="44"/>
        <v>9.9897984959999988</v>
      </c>
      <c r="K60" s="176">
        <f t="shared" si="44"/>
        <v>10.089696480959999</v>
      </c>
      <c r="L60" s="176">
        <f t="shared" si="44"/>
        <v>10.190593445769599</v>
      </c>
      <c r="M60" s="176">
        <f t="shared" si="44"/>
        <v>10.292499380227294</v>
      </c>
      <c r="N60" s="176">
        <f t="shared" si="44"/>
        <v>10.395424374029567</v>
      </c>
      <c r="O60" s="176">
        <f t="shared" si="44"/>
        <v>10.499378617769862</v>
      </c>
      <c r="P60" s="176">
        <f t="shared" si="44"/>
        <v>10.604372403947561</v>
      </c>
      <c r="Q60" s="176">
        <f t="shared" si="44"/>
        <v>10.710416127987036</v>
      </c>
      <c r="R60" s="176">
        <f t="shared" si="44"/>
        <v>10.817520289266907</v>
      </c>
      <c r="S60" s="176">
        <f t="shared" si="44"/>
        <v>10.925695492159576</v>
      </c>
      <c r="T60" s="176">
        <f t="shared" si="44"/>
        <v>11.034952447081173</v>
      </c>
      <c r="U60" s="176">
        <f t="shared" si="44"/>
        <v>11.145301971551984</v>
      </c>
      <c r="V60" s="176">
        <f t="shared" si="44"/>
        <v>11.256754991267504</v>
      </c>
      <c r="W60" s="176">
        <f t="shared" si="44"/>
        <v>11.36932254118018</v>
      </c>
      <c r="X60" s="184"/>
      <c r="Y60" s="175"/>
      <c r="Z60" s="174"/>
    </row>
    <row r="61" spans="1:26" ht="14.5" x14ac:dyDescent="0.25">
      <c r="A61" s="292" t="s">
        <v>791</v>
      </c>
      <c r="B61" s="16">
        <v>13</v>
      </c>
      <c r="C61" s="16">
        <v>3.6</v>
      </c>
      <c r="D61" s="16"/>
      <c r="E61" s="16"/>
      <c r="F61" s="176">
        <f t="shared" si="3"/>
        <v>46.800000000000004</v>
      </c>
      <c r="G61" s="176">
        <f t="shared" ref="G61:W61" si="45">F61*(1+$C$5)</f>
        <v>47.268000000000008</v>
      </c>
      <c r="H61" s="176">
        <f t="shared" si="45"/>
        <v>47.740680000000012</v>
      </c>
      <c r="I61" s="176">
        <f t="shared" si="45"/>
        <v>48.218086800000009</v>
      </c>
      <c r="J61" s="176">
        <f t="shared" si="45"/>
        <v>48.700267668000009</v>
      </c>
      <c r="K61" s="176">
        <f t="shared" si="45"/>
        <v>49.187270344680009</v>
      </c>
      <c r="L61" s="176">
        <f t="shared" si="45"/>
        <v>49.679143048126811</v>
      </c>
      <c r="M61" s="176">
        <f t="shared" si="45"/>
        <v>50.175934478608077</v>
      </c>
      <c r="N61" s="176">
        <f t="shared" si="45"/>
        <v>50.677693823394158</v>
      </c>
      <c r="O61" s="176">
        <f t="shared" si="45"/>
        <v>51.184470761628099</v>
      </c>
      <c r="P61" s="176">
        <f t="shared" si="45"/>
        <v>51.696315469244382</v>
      </c>
      <c r="Q61" s="176">
        <f t="shared" si="45"/>
        <v>52.21327862393683</v>
      </c>
      <c r="R61" s="176">
        <f t="shared" si="45"/>
        <v>52.735411410176198</v>
      </c>
      <c r="S61" s="176">
        <f t="shared" si="45"/>
        <v>53.26276552427796</v>
      </c>
      <c r="T61" s="176">
        <f t="shared" si="45"/>
        <v>53.795393179520737</v>
      </c>
      <c r="U61" s="176">
        <f t="shared" si="45"/>
        <v>54.333347111315945</v>
      </c>
      <c r="V61" s="176">
        <f t="shared" si="45"/>
        <v>54.876680582429103</v>
      </c>
      <c r="W61" s="176">
        <f t="shared" si="45"/>
        <v>55.425447388253396</v>
      </c>
      <c r="X61" s="184"/>
      <c r="Y61" s="175"/>
      <c r="Z61" s="174"/>
    </row>
    <row r="62" spans="1:26" ht="14.5" x14ac:dyDescent="0.25">
      <c r="A62" s="292" t="s">
        <v>792</v>
      </c>
      <c r="B62" s="16">
        <v>12</v>
      </c>
      <c r="C62" s="16">
        <v>3.6</v>
      </c>
      <c r="D62" s="16"/>
      <c r="E62" s="16"/>
      <c r="F62" s="176">
        <f t="shared" si="3"/>
        <v>43.2</v>
      </c>
      <c r="G62" s="176">
        <f t="shared" ref="G62:W62" si="46">F62*(1+$C$5)</f>
        <v>43.632000000000005</v>
      </c>
      <c r="H62" s="176">
        <f t="shared" si="46"/>
        <v>44.068320000000007</v>
      </c>
      <c r="I62" s="176">
        <f t="shared" si="46"/>
        <v>44.509003200000009</v>
      </c>
      <c r="J62" s="176">
        <f t="shared" si="46"/>
        <v>44.954093232000012</v>
      </c>
      <c r="K62" s="176">
        <f t="shared" si="46"/>
        <v>45.40363416432001</v>
      </c>
      <c r="L62" s="176">
        <f t="shared" si="46"/>
        <v>45.857670505963213</v>
      </c>
      <c r="M62" s="176">
        <f t="shared" si="46"/>
        <v>46.316247211022848</v>
      </c>
      <c r="N62" s="176">
        <f t="shared" si="46"/>
        <v>46.779409683133075</v>
      </c>
      <c r="O62" s="176">
        <f t="shared" si="46"/>
        <v>47.247203779964408</v>
      </c>
      <c r="P62" s="176">
        <f t="shared" si="46"/>
        <v>47.719675817764056</v>
      </c>
      <c r="Q62" s="176">
        <f t="shared" si="46"/>
        <v>48.196872575941697</v>
      </c>
      <c r="R62" s="176">
        <f t="shared" si="46"/>
        <v>48.678841301701112</v>
      </c>
      <c r="S62" s="176">
        <f t="shared" si="46"/>
        <v>49.165629714718122</v>
      </c>
      <c r="T62" s="176">
        <f t="shared" si="46"/>
        <v>49.657286011865303</v>
      </c>
      <c r="U62" s="176">
        <f t="shared" si="46"/>
        <v>50.153858871983957</v>
      </c>
      <c r="V62" s="176">
        <f t="shared" si="46"/>
        <v>50.655397460703796</v>
      </c>
      <c r="W62" s="176">
        <f t="shared" si="46"/>
        <v>51.161951435310833</v>
      </c>
      <c r="X62" s="184"/>
      <c r="Y62" s="175"/>
      <c r="Z62" s="174"/>
    </row>
    <row r="63" spans="1:26" ht="14.5" x14ac:dyDescent="0.25">
      <c r="A63" s="292" t="s">
        <v>793</v>
      </c>
      <c r="B63" s="16">
        <v>12</v>
      </c>
      <c r="C63" s="16">
        <v>3.6</v>
      </c>
      <c r="D63" s="16"/>
      <c r="E63" s="16"/>
      <c r="F63" s="176">
        <f t="shared" si="3"/>
        <v>43.2</v>
      </c>
      <c r="G63" s="176">
        <f t="shared" ref="G63:W63" si="47">F63*(1+$C$5)</f>
        <v>43.632000000000005</v>
      </c>
      <c r="H63" s="176">
        <f t="shared" si="47"/>
        <v>44.068320000000007</v>
      </c>
      <c r="I63" s="176">
        <f t="shared" si="47"/>
        <v>44.509003200000009</v>
      </c>
      <c r="J63" s="176">
        <f t="shared" si="47"/>
        <v>44.954093232000012</v>
      </c>
      <c r="K63" s="176">
        <f t="shared" si="47"/>
        <v>45.40363416432001</v>
      </c>
      <c r="L63" s="176">
        <f t="shared" si="47"/>
        <v>45.857670505963213</v>
      </c>
      <c r="M63" s="176">
        <f t="shared" si="47"/>
        <v>46.316247211022848</v>
      </c>
      <c r="N63" s="176">
        <f t="shared" si="47"/>
        <v>46.779409683133075</v>
      </c>
      <c r="O63" s="176">
        <f t="shared" si="47"/>
        <v>47.247203779964408</v>
      </c>
      <c r="P63" s="176">
        <f t="shared" si="47"/>
        <v>47.719675817764056</v>
      </c>
      <c r="Q63" s="176">
        <f t="shared" si="47"/>
        <v>48.196872575941697</v>
      </c>
      <c r="R63" s="176">
        <f t="shared" si="47"/>
        <v>48.678841301701112</v>
      </c>
      <c r="S63" s="176">
        <f t="shared" si="47"/>
        <v>49.165629714718122</v>
      </c>
      <c r="T63" s="176">
        <f t="shared" si="47"/>
        <v>49.657286011865303</v>
      </c>
      <c r="U63" s="176">
        <f t="shared" si="47"/>
        <v>50.153858871983957</v>
      </c>
      <c r="V63" s="176">
        <f t="shared" si="47"/>
        <v>50.655397460703796</v>
      </c>
      <c r="W63" s="176">
        <f t="shared" si="47"/>
        <v>51.161951435310833</v>
      </c>
      <c r="X63" s="184"/>
      <c r="Y63" s="175"/>
      <c r="Z63" s="174"/>
    </row>
    <row r="64" spans="1:26" ht="14.5" x14ac:dyDescent="0.25">
      <c r="A64" s="292" t="s">
        <v>794</v>
      </c>
      <c r="B64" s="16">
        <v>5</v>
      </c>
      <c r="C64" s="16">
        <v>3.6</v>
      </c>
      <c r="D64" s="16"/>
      <c r="E64" s="16"/>
      <c r="F64" s="176">
        <f t="shared" si="3"/>
        <v>18</v>
      </c>
      <c r="G64" s="176">
        <f t="shared" ref="G64:W64" si="48">F64*(1+$C$5)</f>
        <v>18.18</v>
      </c>
      <c r="H64" s="176">
        <f t="shared" si="48"/>
        <v>18.361799999999999</v>
      </c>
      <c r="I64" s="176">
        <f t="shared" si="48"/>
        <v>18.545417999999998</v>
      </c>
      <c r="J64" s="176">
        <f t="shared" si="48"/>
        <v>18.730872179999999</v>
      </c>
      <c r="K64" s="176">
        <f t="shared" si="48"/>
        <v>18.9181809018</v>
      </c>
      <c r="L64" s="176">
        <f t="shared" si="48"/>
        <v>19.107362710817998</v>
      </c>
      <c r="M64" s="176">
        <f t="shared" si="48"/>
        <v>19.29843633792618</v>
      </c>
      <c r="N64" s="176">
        <f t="shared" si="48"/>
        <v>19.491420701305444</v>
      </c>
      <c r="O64" s="176">
        <f t="shared" si="48"/>
        <v>19.6863349083185</v>
      </c>
      <c r="P64" s="176">
        <f t="shared" si="48"/>
        <v>19.883198257401684</v>
      </c>
      <c r="Q64" s="176">
        <f t="shared" si="48"/>
        <v>20.082030239975701</v>
      </c>
      <c r="R64" s="176">
        <f t="shared" si="48"/>
        <v>20.28285054237546</v>
      </c>
      <c r="S64" s="176">
        <f t="shared" si="48"/>
        <v>20.485679047799216</v>
      </c>
      <c r="T64" s="176">
        <f t="shared" si="48"/>
        <v>20.69053583827721</v>
      </c>
      <c r="U64" s="176">
        <f t="shared" si="48"/>
        <v>20.897441196659983</v>
      </c>
      <c r="V64" s="176">
        <f t="shared" si="48"/>
        <v>21.106415608626584</v>
      </c>
      <c r="W64" s="176">
        <f t="shared" si="48"/>
        <v>21.31747976471285</v>
      </c>
      <c r="X64" s="184"/>
      <c r="Y64" s="175"/>
      <c r="Z64" s="174"/>
    </row>
    <row r="65" spans="1:26" ht="14.5" x14ac:dyDescent="0.25">
      <c r="A65" s="292" t="s">
        <v>795</v>
      </c>
      <c r="B65" s="16">
        <v>1</v>
      </c>
      <c r="C65" s="16">
        <v>12</v>
      </c>
      <c r="D65" s="16"/>
      <c r="E65" s="16"/>
      <c r="F65" s="176">
        <f t="shared" si="3"/>
        <v>12</v>
      </c>
      <c r="G65" s="176">
        <f t="shared" ref="G65:W65" si="49">F65*(1+$C$5)</f>
        <v>12.120000000000001</v>
      </c>
      <c r="H65" s="176">
        <f t="shared" si="49"/>
        <v>12.241200000000001</v>
      </c>
      <c r="I65" s="176">
        <f t="shared" si="49"/>
        <v>12.363612000000002</v>
      </c>
      <c r="J65" s="176">
        <f t="shared" si="49"/>
        <v>12.487248120000002</v>
      </c>
      <c r="K65" s="176">
        <f t="shared" si="49"/>
        <v>12.612120601200003</v>
      </c>
      <c r="L65" s="176">
        <f t="shared" si="49"/>
        <v>12.738241807212002</v>
      </c>
      <c r="M65" s="176">
        <f t="shared" si="49"/>
        <v>12.865624225284122</v>
      </c>
      <c r="N65" s="176">
        <f t="shared" si="49"/>
        <v>12.994280467536964</v>
      </c>
      <c r="O65" s="176">
        <f t="shared" si="49"/>
        <v>13.124223272212333</v>
      </c>
      <c r="P65" s="176">
        <f t="shared" si="49"/>
        <v>13.255465504934456</v>
      </c>
      <c r="Q65" s="176">
        <f t="shared" si="49"/>
        <v>13.388020159983801</v>
      </c>
      <c r="R65" s="176">
        <f t="shared" si="49"/>
        <v>13.52190036158364</v>
      </c>
      <c r="S65" s="176">
        <f t="shared" si="49"/>
        <v>13.657119365199476</v>
      </c>
      <c r="T65" s="176">
        <f t="shared" si="49"/>
        <v>13.79369055885147</v>
      </c>
      <c r="U65" s="176">
        <f t="shared" si="49"/>
        <v>13.931627464439984</v>
      </c>
      <c r="V65" s="176">
        <f t="shared" si="49"/>
        <v>14.070943739084385</v>
      </c>
      <c r="W65" s="176">
        <f t="shared" si="49"/>
        <v>14.211653176475229</v>
      </c>
      <c r="X65" s="184"/>
      <c r="Y65" s="175"/>
      <c r="Z65" s="174"/>
    </row>
    <row r="66" spans="1:26" ht="14.5" x14ac:dyDescent="0.25">
      <c r="A66" s="292" t="s">
        <v>796</v>
      </c>
      <c r="B66" s="16">
        <v>1</v>
      </c>
      <c r="C66" s="16">
        <v>8.4</v>
      </c>
      <c r="D66" s="16"/>
      <c r="E66" s="16"/>
      <c r="F66" s="176">
        <f t="shared" si="3"/>
        <v>8.4</v>
      </c>
      <c r="G66" s="176">
        <f t="shared" ref="G66:W66" si="50">F66*(1+$C$5)</f>
        <v>8.484</v>
      </c>
      <c r="H66" s="176">
        <f t="shared" si="50"/>
        <v>8.5688399999999998</v>
      </c>
      <c r="I66" s="176">
        <f t="shared" si="50"/>
        <v>8.6545284000000002</v>
      </c>
      <c r="J66" s="176">
        <f t="shared" si="50"/>
        <v>8.7410736839999998</v>
      </c>
      <c r="K66" s="176">
        <f t="shared" si="50"/>
        <v>8.8284844208400006</v>
      </c>
      <c r="L66" s="176">
        <f t="shared" si="50"/>
        <v>8.9167692650484014</v>
      </c>
      <c r="M66" s="176">
        <f t="shared" si="50"/>
        <v>9.0059369576988857</v>
      </c>
      <c r="N66" s="176">
        <f t="shared" si="50"/>
        <v>9.0959963272758753</v>
      </c>
      <c r="O66" s="176">
        <f t="shared" si="50"/>
        <v>9.1869562905486344</v>
      </c>
      <c r="P66" s="176">
        <f t="shared" si="50"/>
        <v>9.278825853454121</v>
      </c>
      <c r="Q66" s="176">
        <f t="shared" si="50"/>
        <v>9.3716141119886629</v>
      </c>
      <c r="R66" s="176">
        <f t="shared" si="50"/>
        <v>9.465330253108549</v>
      </c>
      <c r="S66" s="176">
        <f t="shared" si="50"/>
        <v>9.5599835556396346</v>
      </c>
      <c r="T66" s="176">
        <f t="shared" si="50"/>
        <v>9.6555833911960303</v>
      </c>
      <c r="U66" s="176">
        <f t="shared" si="50"/>
        <v>9.7521392251079906</v>
      </c>
      <c r="V66" s="176">
        <f t="shared" si="50"/>
        <v>9.8496606173590706</v>
      </c>
      <c r="W66" s="176">
        <f t="shared" si="50"/>
        <v>9.948157223532661</v>
      </c>
      <c r="X66" s="184"/>
      <c r="Y66" s="175"/>
      <c r="Z66" s="174"/>
    </row>
    <row r="67" spans="1:26" ht="14.5" x14ac:dyDescent="0.25">
      <c r="A67" s="292" t="s">
        <v>797</v>
      </c>
      <c r="B67" s="16">
        <v>1</v>
      </c>
      <c r="C67" s="16">
        <v>7.2</v>
      </c>
      <c r="D67" s="16"/>
      <c r="E67" s="16"/>
      <c r="F67" s="176">
        <f t="shared" si="3"/>
        <v>7.2</v>
      </c>
      <c r="G67" s="176">
        <f t="shared" ref="G67:W67" si="51">F67*(1+$C$5)</f>
        <v>7.2720000000000002</v>
      </c>
      <c r="H67" s="176">
        <f t="shared" si="51"/>
        <v>7.3447200000000006</v>
      </c>
      <c r="I67" s="176">
        <f t="shared" si="51"/>
        <v>7.418167200000001</v>
      </c>
      <c r="J67" s="176">
        <f t="shared" si="51"/>
        <v>7.4923488720000009</v>
      </c>
      <c r="K67" s="176">
        <f t="shared" si="51"/>
        <v>7.5672723607200005</v>
      </c>
      <c r="L67" s="176">
        <f t="shared" si="51"/>
        <v>7.6429450843272004</v>
      </c>
      <c r="M67" s="176">
        <f t="shared" si="51"/>
        <v>7.7193745351704726</v>
      </c>
      <c r="N67" s="176">
        <f t="shared" si="51"/>
        <v>7.7965682805221777</v>
      </c>
      <c r="O67" s="176">
        <f t="shared" si="51"/>
        <v>7.8745339633273996</v>
      </c>
      <c r="P67" s="176">
        <f t="shared" si="51"/>
        <v>7.9532793029606736</v>
      </c>
      <c r="Q67" s="176">
        <f t="shared" si="51"/>
        <v>8.0328120959902805</v>
      </c>
      <c r="R67" s="176">
        <f t="shared" si="51"/>
        <v>8.1131402169501836</v>
      </c>
      <c r="S67" s="176">
        <f t="shared" si="51"/>
        <v>8.1942716191196858</v>
      </c>
      <c r="T67" s="176">
        <f t="shared" si="51"/>
        <v>8.2762143353108826</v>
      </c>
      <c r="U67" s="176">
        <f t="shared" si="51"/>
        <v>8.3589764786639922</v>
      </c>
      <c r="V67" s="176">
        <f t="shared" si="51"/>
        <v>8.4425662434506314</v>
      </c>
      <c r="W67" s="176">
        <f t="shared" si="51"/>
        <v>8.5269919058851382</v>
      </c>
      <c r="X67" s="184"/>
      <c r="Y67" s="175"/>
      <c r="Z67" s="174"/>
    </row>
    <row r="68" spans="1:26" ht="14.5" x14ac:dyDescent="0.25">
      <c r="A68" s="292" t="s">
        <v>798</v>
      </c>
      <c r="B68" s="16">
        <v>6</v>
      </c>
      <c r="C68" s="16">
        <v>4.8</v>
      </c>
      <c r="D68" s="16"/>
      <c r="E68" s="16"/>
      <c r="F68" s="176">
        <f t="shared" si="3"/>
        <v>28.799999999999997</v>
      </c>
      <c r="G68" s="176">
        <f t="shared" ref="G68:W68" si="52">F68*(1+$C$5)</f>
        <v>29.087999999999997</v>
      </c>
      <c r="H68" s="176">
        <f t="shared" si="52"/>
        <v>29.378879999999999</v>
      </c>
      <c r="I68" s="176">
        <f t="shared" si="52"/>
        <v>29.6726688</v>
      </c>
      <c r="J68" s="176">
        <f t="shared" si="52"/>
        <v>29.969395488</v>
      </c>
      <c r="K68" s="176">
        <f t="shared" si="52"/>
        <v>30.269089442879999</v>
      </c>
      <c r="L68" s="176">
        <f t="shared" si="52"/>
        <v>30.571780337308798</v>
      </c>
      <c r="M68" s="176">
        <f t="shared" si="52"/>
        <v>30.877498140681887</v>
      </c>
      <c r="N68" s="176">
        <f t="shared" si="52"/>
        <v>31.186273122088707</v>
      </c>
      <c r="O68" s="176">
        <f t="shared" si="52"/>
        <v>31.498135853309595</v>
      </c>
      <c r="P68" s="176">
        <f t="shared" si="52"/>
        <v>31.813117211842691</v>
      </c>
      <c r="Q68" s="176">
        <f t="shared" si="52"/>
        <v>32.131248383961115</v>
      </c>
      <c r="R68" s="176">
        <f t="shared" si="52"/>
        <v>32.452560867800727</v>
      </c>
      <c r="S68" s="176">
        <f t="shared" si="52"/>
        <v>32.777086476478736</v>
      </c>
      <c r="T68" s="176">
        <f t="shared" si="52"/>
        <v>33.104857341243523</v>
      </c>
      <c r="U68" s="176">
        <f t="shared" si="52"/>
        <v>33.435905914655962</v>
      </c>
      <c r="V68" s="176">
        <f t="shared" si="52"/>
        <v>33.770264973802519</v>
      </c>
      <c r="W68" s="176">
        <f t="shared" si="52"/>
        <v>34.107967623540546</v>
      </c>
      <c r="X68" s="184"/>
      <c r="Y68" s="175"/>
      <c r="Z68" s="174"/>
    </row>
    <row r="69" spans="1:26" ht="14.5" x14ac:dyDescent="0.25">
      <c r="A69" s="292" t="s">
        <v>799</v>
      </c>
      <c r="B69" s="16">
        <v>4</v>
      </c>
      <c r="C69" s="16">
        <v>4.8</v>
      </c>
      <c r="D69" s="16"/>
      <c r="E69" s="16"/>
      <c r="F69" s="176">
        <f t="shared" si="3"/>
        <v>19.2</v>
      </c>
      <c r="G69" s="176">
        <f t="shared" ref="G69:W69" si="53">F69*(1+$C$5)</f>
        <v>19.391999999999999</v>
      </c>
      <c r="H69" s="176">
        <f t="shared" si="53"/>
        <v>19.585919999999998</v>
      </c>
      <c r="I69" s="176">
        <f t="shared" si="53"/>
        <v>19.781779199999999</v>
      </c>
      <c r="J69" s="176">
        <f t="shared" si="53"/>
        <v>19.979596991999998</v>
      </c>
      <c r="K69" s="176">
        <f t="shared" si="53"/>
        <v>20.179392961919998</v>
      </c>
      <c r="L69" s="176">
        <f t="shared" si="53"/>
        <v>20.381186891539198</v>
      </c>
      <c r="M69" s="176">
        <f t="shared" si="53"/>
        <v>20.584998760454589</v>
      </c>
      <c r="N69" s="176">
        <f t="shared" si="53"/>
        <v>20.790848748059133</v>
      </c>
      <c r="O69" s="176">
        <f t="shared" si="53"/>
        <v>20.998757235539724</v>
      </c>
      <c r="P69" s="176">
        <f t="shared" si="53"/>
        <v>21.208744807895123</v>
      </c>
      <c r="Q69" s="176">
        <f t="shared" si="53"/>
        <v>21.420832255974073</v>
      </c>
      <c r="R69" s="176">
        <f t="shared" si="53"/>
        <v>21.635040578533815</v>
      </c>
      <c r="S69" s="176">
        <f t="shared" si="53"/>
        <v>21.851390984319153</v>
      </c>
      <c r="T69" s="176">
        <f t="shared" si="53"/>
        <v>22.069904894162345</v>
      </c>
      <c r="U69" s="176">
        <f t="shared" si="53"/>
        <v>22.290603943103967</v>
      </c>
      <c r="V69" s="176">
        <f t="shared" si="53"/>
        <v>22.513509982535009</v>
      </c>
      <c r="W69" s="176">
        <f t="shared" si="53"/>
        <v>22.73864508236036</v>
      </c>
      <c r="X69" s="184"/>
      <c r="Y69" s="175"/>
      <c r="Z69" s="174"/>
    </row>
    <row r="70" spans="1:26" ht="14.5" x14ac:dyDescent="0.25">
      <c r="A70" s="292" t="s">
        <v>800</v>
      </c>
      <c r="B70" s="16">
        <v>12</v>
      </c>
      <c r="C70" s="16">
        <v>3.6</v>
      </c>
      <c r="D70" s="16"/>
      <c r="E70" s="16"/>
      <c r="F70" s="176">
        <f t="shared" si="3"/>
        <v>43.2</v>
      </c>
      <c r="G70" s="176">
        <f t="shared" ref="G70:W70" si="54">F70*(1+$C$5)</f>
        <v>43.632000000000005</v>
      </c>
      <c r="H70" s="176">
        <f t="shared" si="54"/>
        <v>44.068320000000007</v>
      </c>
      <c r="I70" s="176">
        <f t="shared" si="54"/>
        <v>44.509003200000009</v>
      </c>
      <c r="J70" s="176">
        <f t="shared" si="54"/>
        <v>44.954093232000012</v>
      </c>
      <c r="K70" s="176">
        <f t="shared" si="54"/>
        <v>45.40363416432001</v>
      </c>
      <c r="L70" s="176">
        <f t="shared" si="54"/>
        <v>45.857670505963213</v>
      </c>
      <c r="M70" s="176">
        <f t="shared" si="54"/>
        <v>46.316247211022848</v>
      </c>
      <c r="N70" s="176">
        <f t="shared" si="54"/>
        <v>46.779409683133075</v>
      </c>
      <c r="O70" s="176">
        <f t="shared" si="54"/>
        <v>47.247203779964408</v>
      </c>
      <c r="P70" s="176">
        <f t="shared" si="54"/>
        <v>47.719675817764056</v>
      </c>
      <c r="Q70" s="176">
        <f t="shared" si="54"/>
        <v>48.196872575941697</v>
      </c>
      <c r="R70" s="176">
        <f t="shared" si="54"/>
        <v>48.678841301701112</v>
      </c>
      <c r="S70" s="176">
        <f t="shared" si="54"/>
        <v>49.165629714718122</v>
      </c>
      <c r="T70" s="176">
        <f t="shared" si="54"/>
        <v>49.657286011865303</v>
      </c>
      <c r="U70" s="176">
        <f t="shared" si="54"/>
        <v>50.153858871983957</v>
      </c>
      <c r="V70" s="176">
        <f t="shared" si="54"/>
        <v>50.655397460703796</v>
      </c>
      <c r="W70" s="176">
        <f t="shared" si="54"/>
        <v>51.161951435310833</v>
      </c>
      <c r="X70" s="184"/>
      <c r="Y70" s="175"/>
      <c r="Z70" s="174"/>
    </row>
    <row r="71" spans="1:26" ht="14.5" x14ac:dyDescent="0.25">
      <c r="A71" s="292" t="s">
        <v>801</v>
      </c>
      <c r="B71" s="16">
        <v>32</v>
      </c>
      <c r="C71" s="16">
        <v>3.6</v>
      </c>
      <c r="D71" s="16"/>
      <c r="E71" s="16"/>
      <c r="F71" s="176">
        <f t="shared" si="3"/>
        <v>115.2</v>
      </c>
      <c r="G71" s="176">
        <f t="shared" ref="G71:W71" si="55">F71*(1+$C$5)</f>
        <v>116.352</v>
      </c>
      <c r="H71" s="176">
        <f t="shared" si="55"/>
        <v>117.51552000000001</v>
      </c>
      <c r="I71" s="176">
        <f t="shared" si="55"/>
        <v>118.69067520000002</v>
      </c>
      <c r="J71" s="176">
        <f t="shared" si="55"/>
        <v>119.87758195200001</v>
      </c>
      <c r="K71" s="176">
        <f t="shared" si="55"/>
        <v>121.07635777152001</v>
      </c>
      <c r="L71" s="176">
        <f t="shared" si="55"/>
        <v>122.28712134923521</v>
      </c>
      <c r="M71" s="176">
        <f t="shared" si="55"/>
        <v>123.50999256272756</v>
      </c>
      <c r="N71" s="176">
        <f t="shared" si="55"/>
        <v>124.74509248835484</v>
      </c>
      <c r="O71" s="176">
        <f t="shared" si="55"/>
        <v>125.99254341323839</v>
      </c>
      <c r="P71" s="176">
        <f t="shared" si="55"/>
        <v>127.25246884737078</v>
      </c>
      <c r="Q71" s="176">
        <f t="shared" si="55"/>
        <v>128.52499353584449</v>
      </c>
      <c r="R71" s="176">
        <f t="shared" si="55"/>
        <v>129.81024347120294</v>
      </c>
      <c r="S71" s="176">
        <f t="shared" si="55"/>
        <v>131.10834590591497</v>
      </c>
      <c r="T71" s="176">
        <f t="shared" si="55"/>
        <v>132.41942936497412</v>
      </c>
      <c r="U71" s="176">
        <f t="shared" si="55"/>
        <v>133.74362365862387</v>
      </c>
      <c r="V71" s="176">
        <f t="shared" si="55"/>
        <v>135.0810598952101</v>
      </c>
      <c r="W71" s="176">
        <f t="shared" si="55"/>
        <v>136.43187049416221</v>
      </c>
      <c r="X71" s="184"/>
      <c r="Y71" s="175"/>
      <c r="Z71" s="174"/>
    </row>
    <row r="72" spans="1:26" ht="14.5" x14ac:dyDescent="0.25">
      <c r="A72" s="292" t="s">
        <v>802</v>
      </c>
      <c r="B72" s="16">
        <v>26</v>
      </c>
      <c r="C72" s="16">
        <v>3.6</v>
      </c>
      <c r="D72" s="16"/>
      <c r="E72" s="16"/>
      <c r="F72" s="176">
        <f t="shared" si="3"/>
        <v>93.600000000000009</v>
      </c>
      <c r="G72" s="176">
        <f t="shared" ref="G72:W72" si="56">F72*(1+$C$5)</f>
        <v>94.536000000000016</v>
      </c>
      <c r="H72" s="176">
        <f t="shared" si="56"/>
        <v>95.481360000000024</v>
      </c>
      <c r="I72" s="176">
        <f t="shared" si="56"/>
        <v>96.436173600000018</v>
      </c>
      <c r="J72" s="176">
        <f t="shared" si="56"/>
        <v>97.400535336000019</v>
      </c>
      <c r="K72" s="176">
        <f t="shared" si="56"/>
        <v>98.374540689360018</v>
      </c>
      <c r="L72" s="176">
        <f t="shared" si="56"/>
        <v>99.358286096253622</v>
      </c>
      <c r="M72" s="176">
        <f t="shared" si="56"/>
        <v>100.35186895721615</v>
      </c>
      <c r="N72" s="176">
        <f t="shared" si="56"/>
        <v>101.35538764678832</v>
      </c>
      <c r="O72" s="176">
        <f t="shared" si="56"/>
        <v>102.3689415232562</v>
      </c>
      <c r="P72" s="176">
        <f t="shared" si="56"/>
        <v>103.39263093848876</v>
      </c>
      <c r="Q72" s="176">
        <f t="shared" si="56"/>
        <v>104.42655724787366</v>
      </c>
      <c r="R72" s="176">
        <f t="shared" si="56"/>
        <v>105.4708228203524</v>
      </c>
      <c r="S72" s="176">
        <f t="shared" si="56"/>
        <v>106.52553104855592</v>
      </c>
      <c r="T72" s="176">
        <f t="shared" si="56"/>
        <v>107.59078635904147</v>
      </c>
      <c r="U72" s="176">
        <f t="shared" si="56"/>
        <v>108.66669422263189</v>
      </c>
      <c r="V72" s="176">
        <f t="shared" si="56"/>
        <v>109.75336116485821</v>
      </c>
      <c r="W72" s="176">
        <f t="shared" si="56"/>
        <v>110.85089477650679</v>
      </c>
      <c r="X72" s="184"/>
      <c r="Y72" s="175"/>
      <c r="Z72" s="174"/>
    </row>
    <row r="73" spans="1:26" ht="14.5" x14ac:dyDescent="0.25">
      <c r="A73" s="292" t="s">
        <v>803</v>
      </c>
      <c r="B73" s="16">
        <v>2</v>
      </c>
      <c r="C73" s="16">
        <v>3.6</v>
      </c>
      <c r="D73" s="16"/>
      <c r="E73" s="16"/>
      <c r="F73" s="176">
        <f t="shared" si="3"/>
        <v>7.2</v>
      </c>
      <c r="G73" s="176">
        <f t="shared" ref="G73:W73" si="57">F73*(1+$C$5)</f>
        <v>7.2720000000000002</v>
      </c>
      <c r="H73" s="176">
        <f t="shared" si="57"/>
        <v>7.3447200000000006</v>
      </c>
      <c r="I73" s="176">
        <f t="shared" si="57"/>
        <v>7.418167200000001</v>
      </c>
      <c r="J73" s="176">
        <f t="shared" si="57"/>
        <v>7.4923488720000009</v>
      </c>
      <c r="K73" s="176">
        <f t="shared" si="57"/>
        <v>7.5672723607200005</v>
      </c>
      <c r="L73" s="176">
        <f t="shared" si="57"/>
        <v>7.6429450843272004</v>
      </c>
      <c r="M73" s="176">
        <f t="shared" si="57"/>
        <v>7.7193745351704726</v>
      </c>
      <c r="N73" s="176">
        <f t="shared" si="57"/>
        <v>7.7965682805221777</v>
      </c>
      <c r="O73" s="176">
        <f t="shared" si="57"/>
        <v>7.8745339633273996</v>
      </c>
      <c r="P73" s="176">
        <f t="shared" si="57"/>
        <v>7.9532793029606736</v>
      </c>
      <c r="Q73" s="176">
        <f t="shared" si="57"/>
        <v>8.0328120959902805</v>
      </c>
      <c r="R73" s="176">
        <f t="shared" si="57"/>
        <v>8.1131402169501836</v>
      </c>
      <c r="S73" s="176">
        <f t="shared" si="57"/>
        <v>8.1942716191196858</v>
      </c>
      <c r="T73" s="176">
        <f t="shared" si="57"/>
        <v>8.2762143353108826</v>
      </c>
      <c r="U73" s="176">
        <f t="shared" si="57"/>
        <v>8.3589764786639922</v>
      </c>
      <c r="V73" s="176">
        <f t="shared" si="57"/>
        <v>8.4425662434506314</v>
      </c>
      <c r="W73" s="176">
        <f t="shared" si="57"/>
        <v>8.5269919058851382</v>
      </c>
      <c r="X73" s="184"/>
      <c r="Y73" s="175"/>
      <c r="Z73" s="174"/>
    </row>
    <row r="74" spans="1:26" ht="14.5" x14ac:dyDescent="0.25">
      <c r="A74" s="292" t="s">
        <v>804</v>
      </c>
      <c r="B74" s="16">
        <v>1</v>
      </c>
      <c r="C74" s="16">
        <v>9.6</v>
      </c>
      <c r="D74" s="16"/>
      <c r="E74" s="16"/>
      <c r="F74" s="176">
        <f t="shared" si="3"/>
        <v>9.6</v>
      </c>
      <c r="G74" s="176">
        <f t="shared" ref="G74:W74" si="58">F74*(1+$C$5)</f>
        <v>9.6959999999999997</v>
      </c>
      <c r="H74" s="176">
        <f t="shared" si="58"/>
        <v>9.792959999999999</v>
      </c>
      <c r="I74" s="176">
        <f t="shared" si="58"/>
        <v>9.8908895999999995</v>
      </c>
      <c r="J74" s="176">
        <f t="shared" si="58"/>
        <v>9.9897984959999988</v>
      </c>
      <c r="K74" s="176">
        <f t="shared" si="58"/>
        <v>10.089696480959999</v>
      </c>
      <c r="L74" s="176">
        <f t="shared" si="58"/>
        <v>10.190593445769599</v>
      </c>
      <c r="M74" s="176">
        <f t="shared" si="58"/>
        <v>10.292499380227294</v>
      </c>
      <c r="N74" s="176">
        <f t="shared" si="58"/>
        <v>10.395424374029567</v>
      </c>
      <c r="O74" s="176">
        <f t="shared" si="58"/>
        <v>10.499378617769862</v>
      </c>
      <c r="P74" s="176">
        <f t="shared" si="58"/>
        <v>10.604372403947561</v>
      </c>
      <c r="Q74" s="176">
        <f t="shared" si="58"/>
        <v>10.710416127987036</v>
      </c>
      <c r="R74" s="176">
        <f t="shared" si="58"/>
        <v>10.817520289266907</v>
      </c>
      <c r="S74" s="176">
        <f t="shared" si="58"/>
        <v>10.925695492159576</v>
      </c>
      <c r="T74" s="176">
        <f t="shared" si="58"/>
        <v>11.034952447081173</v>
      </c>
      <c r="U74" s="176">
        <f t="shared" si="58"/>
        <v>11.145301971551984</v>
      </c>
      <c r="V74" s="176">
        <f t="shared" si="58"/>
        <v>11.256754991267504</v>
      </c>
      <c r="W74" s="176">
        <f t="shared" si="58"/>
        <v>11.36932254118018</v>
      </c>
      <c r="X74" s="184"/>
      <c r="Y74" s="175"/>
      <c r="Z74" s="174"/>
    </row>
    <row r="75" spans="1:26" ht="14.5" x14ac:dyDescent="0.25">
      <c r="A75" s="292" t="s">
        <v>805</v>
      </c>
      <c r="B75" s="16">
        <v>2</v>
      </c>
      <c r="C75" s="16">
        <v>5.4</v>
      </c>
      <c r="D75" s="16"/>
      <c r="E75" s="16"/>
      <c r="F75" s="176">
        <f t="shared" si="3"/>
        <v>10.8</v>
      </c>
      <c r="G75" s="176">
        <f t="shared" ref="G75:W75" si="59">F75*(1+$C$5)</f>
        <v>10.908000000000001</v>
      </c>
      <c r="H75" s="176">
        <f t="shared" si="59"/>
        <v>11.017080000000002</v>
      </c>
      <c r="I75" s="176">
        <f t="shared" si="59"/>
        <v>11.127250800000002</v>
      </c>
      <c r="J75" s="176">
        <f t="shared" si="59"/>
        <v>11.238523308000003</v>
      </c>
      <c r="K75" s="176">
        <f t="shared" si="59"/>
        <v>11.350908541080003</v>
      </c>
      <c r="L75" s="176">
        <f t="shared" si="59"/>
        <v>11.464417626490803</v>
      </c>
      <c r="M75" s="176">
        <f t="shared" si="59"/>
        <v>11.579061802755712</v>
      </c>
      <c r="N75" s="176">
        <f t="shared" si="59"/>
        <v>11.694852420783269</v>
      </c>
      <c r="O75" s="176">
        <f t="shared" si="59"/>
        <v>11.811800944991102</v>
      </c>
      <c r="P75" s="176">
        <f t="shared" si="59"/>
        <v>11.929918954441014</v>
      </c>
      <c r="Q75" s="176">
        <f t="shared" si="59"/>
        <v>12.049218143985424</v>
      </c>
      <c r="R75" s="176">
        <f t="shared" si="59"/>
        <v>12.169710325425278</v>
      </c>
      <c r="S75" s="176">
        <f t="shared" si="59"/>
        <v>12.291407428679531</v>
      </c>
      <c r="T75" s="176">
        <f t="shared" si="59"/>
        <v>12.414321502966326</v>
      </c>
      <c r="U75" s="176">
        <f t="shared" si="59"/>
        <v>12.538464717995989</v>
      </c>
      <c r="V75" s="176">
        <f t="shared" si="59"/>
        <v>12.663849365175949</v>
      </c>
      <c r="W75" s="176">
        <f t="shared" si="59"/>
        <v>12.790487858827708</v>
      </c>
      <c r="X75" s="184"/>
      <c r="Y75" s="175"/>
      <c r="Z75" s="174"/>
    </row>
    <row r="76" spans="1:26" ht="14.5" x14ac:dyDescent="0.25">
      <c r="A76" s="292" t="s">
        <v>806</v>
      </c>
      <c r="B76" s="16">
        <v>2</v>
      </c>
      <c r="C76" s="16">
        <v>5.4</v>
      </c>
      <c r="D76" s="16"/>
      <c r="E76" s="16"/>
      <c r="F76" s="176">
        <f t="shared" si="3"/>
        <v>10.8</v>
      </c>
      <c r="G76" s="176">
        <f t="shared" ref="G76:W76" si="60">F76*(1+$C$5)</f>
        <v>10.908000000000001</v>
      </c>
      <c r="H76" s="176">
        <f t="shared" si="60"/>
        <v>11.017080000000002</v>
      </c>
      <c r="I76" s="176">
        <f t="shared" si="60"/>
        <v>11.127250800000002</v>
      </c>
      <c r="J76" s="176">
        <f t="shared" si="60"/>
        <v>11.238523308000003</v>
      </c>
      <c r="K76" s="176">
        <f t="shared" si="60"/>
        <v>11.350908541080003</v>
      </c>
      <c r="L76" s="176">
        <f t="shared" si="60"/>
        <v>11.464417626490803</v>
      </c>
      <c r="M76" s="176">
        <f t="shared" si="60"/>
        <v>11.579061802755712</v>
      </c>
      <c r="N76" s="176">
        <f t="shared" si="60"/>
        <v>11.694852420783269</v>
      </c>
      <c r="O76" s="176">
        <f t="shared" si="60"/>
        <v>11.811800944991102</v>
      </c>
      <c r="P76" s="176">
        <f t="shared" si="60"/>
        <v>11.929918954441014</v>
      </c>
      <c r="Q76" s="176">
        <f t="shared" si="60"/>
        <v>12.049218143985424</v>
      </c>
      <c r="R76" s="176">
        <f t="shared" si="60"/>
        <v>12.169710325425278</v>
      </c>
      <c r="S76" s="176">
        <f t="shared" si="60"/>
        <v>12.291407428679531</v>
      </c>
      <c r="T76" s="176">
        <f t="shared" si="60"/>
        <v>12.414321502966326</v>
      </c>
      <c r="U76" s="176">
        <f t="shared" si="60"/>
        <v>12.538464717995989</v>
      </c>
      <c r="V76" s="176">
        <f t="shared" si="60"/>
        <v>12.663849365175949</v>
      </c>
      <c r="W76" s="176">
        <f t="shared" si="60"/>
        <v>12.790487858827708</v>
      </c>
      <c r="X76" s="184"/>
      <c r="Y76" s="175"/>
      <c r="Z76" s="174"/>
    </row>
    <row r="77" spans="1:26" ht="14.5" x14ac:dyDescent="0.25">
      <c r="A77" s="292" t="s">
        <v>807</v>
      </c>
      <c r="B77" s="16">
        <v>2</v>
      </c>
      <c r="C77" s="16">
        <v>5.4</v>
      </c>
      <c r="D77" s="16"/>
      <c r="E77" s="16"/>
      <c r="F77" s="176">
        <f t="shared" si="3"/>
        <v>10.8</v>
      </c>
      <c r="G77" s="176">
        <f t="shared" ref="G77:W77" si="61">F77*(1+$C$5)</f>
        <v>10.908000000000001</v>
      </c>
      <c r="H77" s="176">
        <f t="shared" si="61"/>
        <v>11.017080000000002</v>
      </c>
      <c r="I77" s="176">
        <f t="shared" si="61"/>
        <v>11.127250800000002</v>
      </c>
      <c r="J77" s="176">
        <f t="shared" si="61"/>
        <v>11.238523308000003</v>
      </c>
      <c r="K77" s="176">
        <f t="shared" si="61"/>
        <v>11.350908541080003</v>
      </c>
      <c r="L77" s="176">
        <f t="shared" si="61"/>
        <v>11.464417626490803</v>
      </c>
      <c r="M77" s="176">
        <f t="shared" si="61"/>
        <v>11.579061802755712</v>
      </c>
      <c r="N77" s="176">
        <f t="shared" si="61"/>
        <v>11.694852420783269</v>
      </c>
      <c r="O77" s="176">
        <f t="shared" si="61"/>
        <v>11.811800944991102</v>
      </c>
      <c r="P77" s="176">
        <f t="shared" si="61"/>
        <v>11.929918954441014</v>
      </c>
      <c r="Q77" s="176">
        <f t="shared" si="61"/>
        <v>12.049218143985424</v>
      </c>
      <c r="R77" s="176">
        <f t="shared" si="61"/>
        <v>12.169710325425278</v>
      </c>
      <c r="S77" s="176">
        <f t="shared" si="61"/>
        <v>12.291407428679531</v>
      </c>
      <c r="T77" s="176">
        <f t="shared" si="61"/>
        <v>12.414321502966326</v>
      </c>
      <c r="U77" s="176">
        <f t="shared" si="61"/>
        <v>12.538464717995989</v>
      </c>
      <c r="V77" s="176">
        <f t="shared" si="61"/>
        <v>12.663849365175949</v>
      </c>
      <c r="W77" s="176">
        <f t="shared" si="61"/>
        <v>12.790487858827708</v>
      </c>
      <c r="X77" s="184"/>
      <c r="Y77" s="175"/>
      <c r="Z77" s="174"/>
    </row>
    <row r="78" spans="1:26" ht="14.5" x14ac:dyDescent="0.25">
      <c r="A78" s="292" t="s">
        <v>808</v>
      </c>
      <c r="B78" s="16">
        <v>2</v>
      </c>
      <c r="C78" s="16">
        <v>5.4</v>
      </c>
      <c r="D78" s="16"/>
      <c r="E78" s="16"/>
      <c r="F78" s="176">
        <f>C78*B78</f>
        <v>10.8</v>
      </c>
      <c r="G78" s="176">
        <f t="shared" ref="G78:W78" si="62">F78*(1+$C$5)</f>
        <v>10.908000000000001</v>
      </c>
      <c r="H78" s="176">
        <f t="shared" si="62"/>
        <v>11.017080000000002</v>
      </c>
      <c r="I78" s="176">
        <f t="shared" si="62"/>
        <v>11.127250800000002</v>
      </c>
      <c r="J78" s="176">
        <f t="shared" si="62"/>
        <v>11.238523308000003</v>
      </c>
      <c r="K78" s="176">
        <f t="shared" si="62"/>
        <v>11.350908541080003</v>
      </c>
      <c r="L78" s="176">
        <f t="shared" si="62"/>
        <v>11.464417626490803</v>
      </c>
      <c r="M78" s="176">
        <f t="shared" si="62"/>
        <v>11.579061802755712</v>
      </c>
      <c r="N78" s="176">
        <f t="shared" si="62"/>
        <v>11.694852420783269</v>
      </c>
      <c r="O78" s="176">
        <f t="shared" si="62"/>
        <v>11.811800944991102</v>
      </c>
      <c r="P78" s="176">
        <f t="shared" si="62"/>
        <v>11.929918954441014</v>
      </c>
      <c r="Q78" s="176">
        <f t="shared" si="62"/>
        <v>12.049218143985424</v>
      </c>
      <c r="R78" s="176">
        <f t="shared" si="62"/>
        <v>12.169710325425278</v>
      </c>
      <c r="S78" s="176">
        <f t="shared" si="62"/>
        <v>12.291407428679531</v>
      </c>
      <c r="T78" s="176">
        <f t="shared" si="62"/>
        <v>12.414321502966326</v>
      </c>
      <c r="U78" s="176">
        <f t="shared" si="62"/>
        <v>12.538464717995989</v>
      </c>
      <c r="V78" s="176">
        <f t="shared" si="62"/>
        <v>12.663849365175949</v>
      </c>
      <c r="W78" s="176">
        <f t="shared" si="62"/>
        <v>12.790487858827708</v>
      </c>
      <c r="X78" s="184"/>
      <c r="Y78" s="175"/>
      <c r="Z78" s="174"/>
    </row>
    <row r="79" spans="1:26" ht="14.5" x14ac:dyDescent="0.25">
      <c r="A79" s="292" t="s">
        <v>809</v>
      </c>
      <c r="B79" s="16">
        <v>24</v>
      </c>
      <c r="C79" s="16">
        <v>3.6</v>
      </c>
      <c r="D79" s="16"/>
      <c r="E79" s="16"/>
      <c r="F79" s="176">
        <f t="shared" si="3"/>
        <v>86.4</v>
      </c>
      <c r="G79" s="176">
        <f t="shared" ref="G79:W79" si="63">F79*(1+$C$5)</f>
        <v>87.26400000000001</v>
      </c>
      <c r="H79" s="176">
        <f t="shared" si="63"/>
        <v>88.136640000000014</v>
      </c>
      <c r="I79" s="176">
        <f t="shared" si="63"/>
        <v>89.018006400000019</v>
      </c>
      <c r="J79" s="176">
        <f t="shared" si="63"/>
        <v>89.908186464000025</v>
      </c>
      <c r="K79" s="176">
        <f t="shared" si="63"/>
        <v>90.807268328640021</v>
      </c>
      <c r="L79" s="176">
        <f t="shared" si="63"/>
        <v>91.715341011926427</v>
      </c>
      <c r="M79" s="176">
        <f t="shared" si="63"/>
        <v>92.632494422045696</v>
      </c>
      <c r="N79" s="176">
        <f t="shared" si="63"/>
        <v>93.55881936626615</v>
      </c>
      <c r="O79" s="176">
        <f t="shared" si="63"/>
        <v>94.494407559928817</v>
      </c>
      <c r="P79" s="176">
        <f t="shared" si="63"/>
        <v>95.439351635528112</v>
      </c>
      <c r="Q79" s="176">
        <f t="shared" si="63"/>
        <v>96.393745151883394</v>
      </c>
      <c r="R79" s="176">
        <f t="shared" si="63"/>
        <v>97.357682603402225</v>
      </c>
      <c r="S79" s="176">
        <f t="shared" si="63"/>
        <v>98.331259429436244</v>
      </c>
      <c r="T79" s="176">
        <f t="shared" si="63"/>
        <v>99.314572023730605</v>
      </c>
      <c r="U79" s="176">
        <f t="shared" si="63"/>
        <v>100.30771774396791</v>
      </c>
      <c r="V79" s="176">
        <f t="shared" si="63"/>
        <v>101.31079492140759</v>
      </c>
      <c r="W79" s="176">
        <f t="shared" si="63"/>
        <v>102.32390287062167</v>
      </c>
      <c r="X79" s="184"/>
      <c r="Y79" s="175"/>
      <c r="Z79" s="174"/>
    </row>
    <row r="80" spans="1:26" ht="14.5" x14ac:dyDescent="0.25">
      <c r="A80" s="292" t="s">
        <v>810</v>
      </c>
      <c r="B80" s="16">
        <v>3</v>
      </c>
      <c r="C80" s="16">
        <v>9.6</v>
      </c>
      <c r="D80" s="16"/>
      <c r="E80" s="16"/>
      <c r="F80" s="176">
        <f t="shared" si="3"/>
        <v>28.799999999999997</v>
      </c>
      <c r="G80" s="176">
        <f t="shared" ref="G80:W80" si="64">F80*(1+$C$5)</f>
        <v>29.087999999999997</v>
      </c>
      <c r="H80" s="176">
        <f t="shared" si="64"/>
        <v>29.378879999999999</v>
      </c>
      <c r="I80" s="176">
        <f t="shared" si="64"/>
        <v>29.6726688</v>
      </c>
      <c r="J80" s="176">
        <f t="shared" si="64"/>
        <v>29.969395488</v>
      </c>
      <c r="K80" s="176">
        <f t="shared" si="64"/>
        <v>30.269089442879999</v>
      </c>
      <c r="L80" s="176">
        <f t="shared" si="64"/>
        <v>30.571780337308798</v>
      </c>
      <c r="M80" s="176">
        <f t="shared" si="64"/>
        <v>30.877498140681887</v>
      </c>
      <c r="N80" s="176">
        <f t="shared" si="64"/>
        <v>31.186273122088707</v>
      </c>
      <c r="O80" s="176">
        <f t="shared" si="64"/>
        <v>31.498135853309595</v>
      </c>
      <c r="P80" s="176">
        <f t="shared" si="64"/>
        <v>31.813117211842691</v>
      </c>
      <c r="Q80" s="176">
        <f t="shared" si="64"/>
        <v>32.131248383961115</v>
      </c>
      <c r="R80" s="176">
        <f t="shared" si="64"/>
        <v>32.452560867800727</v>
      </c>
      <c r="S80" s="176">
        <f t="shared" si="64"/>
        <v>32.777086476478736</v>
      </c>
      <c r="T80" s="176">
        <f t="shared" si="64"/>
        <v>33.104857341243523</v>
      </c>
      <c r="U80" s="176">
        <f t="shared" si="64"/>
        <v>33.435905914655962</v>
      </c>
      <c r="V80" s="176">
        <f t="shared" si="64"/>
        <v>33.770264973802519</v>
      </c>
      <c r="W80" s="176">
        <f t="shared" si="64"/>
        <v>34.107967623540546</v>
      </c>
      <c r="X80" s="184"/>
      <c r="Y80" s="175"/>
      <c r="Z80" s="174"/>
    </row>
    <row r="81" spans="1:26" ht="14.5" x14ac:dyDescent="0.25">
      <c r="A81" s="292" t="s">
        <v>811</v>
      </c>
      <c r="B81" s="16">
        <v>1</v>
      </c>
      <c r="C81" s="16">
        <v>9.6</v>
      </c>
      <c r="D81" s="16"/>
      <c r="E81" s="16"/>
      <c r="F81" s="176">
        <f t="shared" si="3"/>
        <v>9.6</v>
      </c>
      <c r="G81" s="176">
        <f t="shared" ref="G81:W81" si="65">F81*(1+$C$5)</f>
        <v>9.6959999999999997</v>
      </c>
      <c r="H81" s="176">
        <f t="shared" si="65"/>
        <v>9.792959999999999</v>
      </c>
      <c r="I81" s="176">
        <f t="shared" si="65"/>
        <v>9.8908895999999995</v>
      </c>
      <c r="J81" s="176">
        <f t="shared" si="65"/>
        <v>9.9897984959999988</v>
      </c>
      <c r="K81" s="176">
        <f t="shared" si="65"/>
        <v>10.089696480959999</v>
      </c>
      <c r="L81" s="176">
        <f t="shared" si="65"/>
        <v>10.190593445769599</v>
      </c>
      <c r="M81" s="176">
        <f t="shared" si="65"/>
        <v>10.292499380227294</v>
      </c>
      <c r="N81" s="176">
        <f t="shared" si="65"/>
        <v>10.395424374029567</v>
      </c>
      <c r="O81" s="176">
        <f t="shared" si="65"/>
        <v>10.499378617769862</v>
      </c>
      <c r="P81" s="176">
        <f t="shared" si="65"/>
        <v>10.604372403947561</v>
      </c>
      <c r="Q81" s="176">
        <f t="shared" si="65"/>
        <v>10.710416127987036</v>
      </c>
      <c r="R81" s="176">
        <f t="shared" si="65"/>
        <v>10.817520289266907</v>
      </c>
      <c r="S81" s="176">
        <f t="shared" si="65"/>
        <v>10.925695492159576</v>
      </c>
      <c r="T81" s="176">
        <f t="shared" si="65"/>
        <v>11.034952447081173</v>
      </c>
      <c r="U81" s="176">
        <f t="shared" si="65"/>
        <v>11.145301971551984</v>
      </c>
      <c r="V81" s="176">
        <f t="shared" si="65"/>
        <v>11.256754991267504</v>
      </c>
      <c r="W81" s="176">
        <f t="shared" si="65"/>
        <v>11.36932254118018</v>
      </c>
      <c r="X81" s="184"/>
      <c r="Y81" s="175"/>
      <c r="Z81" s="174"/>
    </row>
    <row r="82" spans="1:26" ht="14.5" x14ac:dyDescent="0.25">
      <c r="A82" s="292" t="s">
        <v>812</v>
      </c>
      <c r="B82" s="16">
        <v>3</v>
      </c>
      <c r="C82" s="16">
        <v>6</v>
      </c>
      <c r="D82" s="16"/>
      <c r="E82" s="16"/>
      <c r="F82" s="176">
        <f t="shared" si="3"/>
        <v>18</v>
      </c>
      <c r="G82" s="176">
        <f t="shared" ref="G82:W82" si="66">F82*(1+$C$5)</f>
        <v>18.18</v>
      </c>
      <c r="H82" s="176">
        <f t="shared" si="66"/>
        <v>18.361799999999999</v>
      </c>
      <c r="I82" s="176">
        <f t="shared" si="66"/>
        <v>18.545417999999998</v>
      </c>
      <c r="J82" s="176">
        <f t="shared" si="66"/>
        <v>18.730872179999999</v>
      </c>
      <c r="K82" s="176">
        <f t="shared" si="66"/>
        <v>18.9181809018</v>
      </c>
      <c r="L82" s="176">
        <f t="shared" si="66"/>
        <v>19.107362710817998</v>
      </c>
      <c r="M82" s="176">
        <f t="shared" si="66"/>
        <v>19.29843633792618</v>
      </c>
      <c r="N82" s="176">
        <f t="shared" si="66"/>
        <v>19.491420701305444</v>
      </c>
      <c r="O82" s="176">
        <f t="shared" si="66"/>
        <v>19.6863349083185</v>
      </c>
      <c r="P82" s="176">
        <f t="shared" si="66"/>
        <v>19.883198257401684</v>
      </c>
      <c r="Q82" s="176">
        <f t="shared" si="66"/>
        <v>20.082030239975701</v>
      </c>
      <c r="R82" s="176">
        <f t="shared" si="66"/>
        <v>20.28285054237546</v>
      </c>
      <c r="S82" s="176">
        <f t="shared" si="66"/>
        <v>20.485679047799216</v>
      </c>
      <c r="T82" s="176">
        <f t="shared" si="66"/>
        <v>20.69053583827721</v>
      </c>
      <c r="U82" s="176">
        <f t="shared" si="66"/>
        <v>20.897441196659983</v>
      </c>
      <c r="V82" s="176">
        <f t="shared" si="66"/>
        <v>21.106415608626584</v>
      </c>
      <c r="W82" s="176">
        <f t="shared" si="66"/>
        <v>21.31747976471285</v>
      </c>
      <c r="X82" s="184"/>
      <c r="Y82" s="175"/>
      <c r="Z82" s="174"/>
    </row>
    <row r="83" spans="1:26" ht="14.5" x14ac:dyDescent="0.25">
      <c r="A83" s="292" t="s">
        <v>813</v>
      </c>
      <c r="B83" s="16">
        <v>40</v>
      </c>
      <c r="C83" s="16">
        <v>3.6</v>
      </c>
      <c r="D83" s="16"/>
      <c r="E83" s="16"/>
      <c r="F83" s="176">
        <f t="shared" si="3"/>
        <v>144</v>
      </c>
      <c r="G83" s="176">
        <f t="shared" ref="G83:W83" si="67">F83*(1+$C$5)</f>
        <v>145.44</v>
      </c>
      <c r="H83" s="176">
        <f t="shared" si="67"/>
        <v>146.89439999999999</v>
      </c>
      <c r="I83" s="176">
        <f t="shared" si="67"/>
        <v>148.36334399999998</v>
      </c>
      <c r="J83" s="176">
        <f t="shared" si="67"/>
        <v>149.84697743999999</v>
      </c>
      <c r="K83" s="176">
        <f t="shared" si="67"/>
        <v>151.3454472144</v>
      </c>
      <c r="L83" s="176">
        <f t="shared" si="67"/>
        <v>152.85890168654399</v>
      </c>
      <c r="M83" s="176">
        <f t="shared" si="67"/>
        <v>154.38749070340944</v>
      </c>
      <c r="N83" s="176">
        <f t="shared" si="67"/>
        <v>155.93136561044355</v>
      </c>
      <c r="O83" s="176">
        <f t="shared" si="67"/>
        <v>157.490679266548</v>
      </c>
      <c r="P83" s="176">
        <f t="shared" si="67"/>
        <v>159.06558605921347</v>
      </c>
      <c r="Q83" s="176">
        <f t="shared" si="67"/>
        <v>160.65624191980561</v>
      </c>
      <c r="R83" s="176">
        <f t="shared" si="67"/>
        <v>162.26280433900368</v>
      </c>
      <c r="S83" s="176">
        <f t="shared" si="67"/>
        <v>163.88543238239373</v>
      </c>
      <c r="T83" s="176">
        <f t="shared" si="67"/>
        <v>165.52428670621768</v>
      </c>
      <c r="U83" s="176">
        <f t="shared" si="67"/>
        <v>167.17952957327986</v>
      </c>
      <c r="V83" s="176">
        <f t="shared" si="67"/>
        <v>168.85132486901267</v>
      </c>
      <c r="W83" s="176">
        <f t="shared" si="67"/>
        <v>170.5398381177028</v>
      </c>
      <c r="X83" s="184"/>
      <c r="Y83" s="175"/>
      <c r="Z83" s="174"/>
    </row>
    <row r="84" spans="1:26" ht="14.5" x14ac:dyDescent="0.25">
      <c r="A84" s="292" t="s">
        <v>814</v>
      </c>
      <c r="B84" s="16">
        <v>3</v>
      </c>
      <c r="C84" s="16">
        <v>9.6</v>
      </c>
      <c r="D84" s="16"/>
      <c r="E84" s="16"/>
      <c r="F84" s="176">
        <f t="shared" ref="F84:F93" si="68">C84*B84</f>
        <v>28.799999999999997</v>
      </c>
      <c r="G84" s="176">
        <f t="shared" ref="G84:W84" si="69">F84*(1+$C$5)</f>
        <v>29.087999999999997</v>
      </c>
      <c r="H84" s="176">
        <f t="shared" si="69"/>
        <v>29.378879999999999</v>
      </c>
      <c r="I84" s="176">
        <f t="shared" si="69"/>
        <v>29.6726688</v>
      </c>
      <c r="J84" s="176">
        <f t="shared" si="69"/>
        <v>29.969395488</v>
      </c>
      <c r="K84" s="176">
        <f t="shared" si="69"/>
        <v>30.269089442879999</v>
      </c>
      <c r="L84" s="176">
        <f t="shared" si="69"/>
        <v>30.571780337308798</v>
      </c>
      <c r="M84" s="176">
        <f t="shared" si="69"/>
        <v>30.877498140681887</v>
      </c>
      <c r="N84" s="176">
        <f t="shared" si="69"/>
        <v>31.186273122088707</v>
      </c>
      <c r="O84" s="176">
        <f t="shared" si="69"/>
        <v>31.498135853309595</v>
      </c>
      <c r="P84" s="176">
        <f t="shared" si="69"/>
        <v>31.813117211842691</v>
      </c>
      <c r="Q84" s="176">
        <f t="shared" si="69"/>
        <v>32.131248383961115</v>
      </c>
      <c r="R84" s="176">
        <f t="shared" si="69"/>
        <v>32.452560867800727</v>
      </c>
      <c r="S84" s="176">
        <f t="shared" si="69"/>
        <v>32.777086476478736</v>
      </c>
      <c r="T84" s="176">
        <f t="shared" si="69"/>
        <v>33.104857341243523</v>
      </c>
      <c r="U84" s="176">
        <f t="shared" si="69"/>
        <v>33.435905914655962</v>
      </c>
      <c r="V84" s="176">
        <f t="shared" si="69"/>
        <v>33.770264973802519</v>
      </c>
      <c r="W84" s="176">
        <f t="shared" si="69"/>
        <v>34.107967623540546</v>
      </c>
      <c r="X84" s="184"/>
      <c r="Y84" s="175"/>
      <c r="Z84" s="174"/>
    </row>
    <row r="85" spans="1:26" ht="14.5" x14ac:dyDescent="0.25">
      <c r="A85" s="292" t="s">
        <v>815</v>
      </c>
      <c r="B85" s="16">
        <v>3</v>
      </c>
      <c r="C85" s="16">
        <v>6</v>
      </c>
      <c r="D85" s="16"/>
      <c r="E85" s="16"/>
      <c r="F85" s="176">
        <f t="shared" si="68"/>
        <v>18</v>
      </c>
      <c r="G85" s="176">
        <f t="shared" ref="G85:W85" si="70">F85*(1+$C$5)</f>
        <v>18.18</v>
      </c>
      <c r="H85" s="176">
        <f t="shared" si="70"/>
        <v>18.361799999999999</v>
      </c>
      <c r="I85" s="176">
        <f t="shared" si="70"/>
        <v>18.545417999999998</v>
      </c>
      <c r="J85" s="176">
        <f t="shared" si="70"/>
        <v>18.730872179999999</v>
      </c>
      <c r="K85" s="176">
        <f t="shared" si="70"/>
        <v>18.9181809018</v>
      </c>
      <c r="L85" s="176">
        <f t="shared" si="70"/>
        <v>19.107362710817998</v>
      </c>
      <c r="M85" s="176">
        <f t="shared" si="70"/>
        <v>19.29843633792618</v>
      </c>
      <c r="N85" s="176">
        <f t="shared" si="70"/>
        <v>19.491420701305444</v>
      </c>
      <c r="O85" s="176">
        <f t="shared" si="70"/>
        <v>19.6863349083185</v>
      </c>
      <c r="P85" s="176">
        <f t="shared" si="70"/>
        <v>19.883198257401684</v>
      </c>
      <c r="Q85" s="176">
        <f t="shared" si="70"/>
        <v>20.082030239975701</v>
      </c>
      <c r="R85" s="176">
        <f t="shared" si="70"/>
        <v>20.28285054237546</v>
      </c>
      <c r="S85" s="176">
        <f t="shared" si="70"/>
        <v>20.485679047799216</v>
      </c>
      <c r="T85" s="176">
        <f t="shared" si="70"/>
        <v>20.69053583827721</v>
      </c>
      <c r="U85" s="176">
        <f t="shared" si="70"/>
        <v>20.897441196659983</v>
      </c>
      <c r="V85" s="176">
        <f t="shared" si="70"/>
        <v>21.106415608626584</v>
      </c>
      <c r="W85" s="176">
        <f t="shared" si="70"/>
        <v>21.31747976471285</v>
      </c>
      <c r="X85" s="184"/>
      <c r="Y85" s="175"/>
      <c r="Z85" s="174"/>
    </row>
    <row r="86" spans="1:26" ht="14.5" x14ac:dyDescent="0.25">
      <c r="A86" s="292" t="s">
        <v>816</v>
      </c>
      <c r="B86" s="16">
        <v>42</v>
      </c>
      <c r="C86" s="16">
        <v>3.6</v>
      </c>
      <c r="D86" s="16"/>
      <c r="E86" s="16"/>
      <c r="F86" s="176">
        <f t="shared" si="68"/>
        <v>151.20000000000002</v>
      </c>
      <c r="G86" s="176">
        <f t="shared" ref="G86:W86" si="71">F86*(1+$C$5)</f>
        <v>152.71200000000002</v>
      </c>
      <c r="H86" s="176">
        <f t="shared" si="71"/>
        <v>154.23912000000001</v>
      </c>
      <c r="I86" s="176">
        <f t="shared" si="71"/>
        <v>155.78151120000001</v>
      </c>
      <c r="J86" s="176">
        <f t="shared" si="71"/>
        <v>157.33932631200003</v>
      </c>
      <c r="K86" s="176">
        <f t="shared" si="71"/>
        <v>158.91271957512004</v>
      </c>
      <c r="L86" s="176">
        <f t="shared" si="71"/>
        <v>160.50184677087123</v>
      </c>
      <c r="M86" s="176">
        <f t="shared" si="71"/>
        <v>162.10686523857993</v>
      </c>
      <c r="N86" s="176">
        <f t="shared" si="71"/>
        <v>163.72793389096572</v>
      </c>
      <c r="O86" s="176">
        <f t="shared" si="71"/>
        <v>165.36521322987537</v>
      </c>
      <c r="P86" s="176">
        <f t="shared" si="71"/>
        <v>167.01886536217413</v>
      </c>
      <c r="Q86" s="176">
        <f t="shared" si="71"/>
        <v>168.68905401579588</v>
      </c>
      <c r="R86" s="176">
        <f t="shared" si="71"/>
        <v>170.37594455595382</v>
      </c>
      <c r="S86" s="176">
        <f t="shared" si="71"/>
        <v>172.07970400151336</v>
      </c>
      <c r="T86" s="176">
        <f t="shared" si="71"/>
        <v>173.80050104152849</v>
      </c>
      <c r="U86" s="176">
        <f t="shared" si="71"/>
        <v>175.53850605194378</v>
      </c>
      <c r="V86" s="176">
        <f t="shared" si="71"/>
        <v>177.29389111246323</v>
      </c>
      <c r="W86" s="176">
        <f t="shared" si="71"/>
        <v>179.06683002358787</v>
      </c>
      <c r="X86" s="184"/>
      <c r="Y86" s="175"/>
      <c r="Z86" s="174"/>
    </row>
    <row r="87" spans="1:26" ht="14.5" x14ac:dyDescent="0.25">
      <c r="A87" s="292" t="s">
        <v>817</v>
      </c>
      <c r="B87" s="16">
        <v>1</v>
      </c>
      <c r="C87" s="16">
        <v>9.6</v>
      </c>
      <c r="D87" s="16"/>
      <c r="E87" s="16"/>
      <c r="F87" s="176">
        <f t="shared" si="68"/>
        <v>9.6</v>
      </c>
      <c r="G87" s="176">
        <f t="shared" ref="G87:W87" si="72">F87*(1+$C$5)</f>
        <v>9.6959999999999997</v>
      </c>
      <c r="H87" s="176">
        <f t="shared" si="72"/>
        <v>9.792959999999999</v>
      </c>
      <c r="I87" s="176">
        <f t="shared" si="72"/>
        <v>9.8908895999999995</v>
      </c>
      <c r="J87" s="176">
        <f t="shared" si="72"/>
        <v>9.9897984959999988</v>
      </c>
      <c r="K87" s="176">
        <f t="shared" si="72"/>
        <v>10.089696480959999</v>
      </c>
      <c r="L87" s="176">
        <f t="shared" si="72"/>
        <v>10.190593445769599</v>
      </c>
      <c r="M87" s="176">
        <f t="shared" si="72"/>
        <v>10.292499380227294</v>
      </c>
      <c r="N87" s="176">
        <f t="shared" si="72"/>
        <v>10.395424374029567</v>
      </c>
      <c r="O87" s="176">
        <f t="shared" si="72"/>
        <v>10.499378617769862</v>
      </c>
      <c r="P87" s="176">
        <f t="shared" si="72"/>
        <v>10.604372403947561</v>
      </c>
      <c r="Q87" s="176">
        <f t="shared" si="72"/>
        <v>10.710416127987036</v>
      </c>
      <c r="R87" s="176">
        <f t="shared" si="72"/>
        <v>10.817520289266907</v>
      </c>
      <c r="S87" s="176">
        <f t="shared" si="72"/>
        <v>10.925695492159576</v>
      </c>
      <c r="T87" s="176">
        <f t="shared" si="72"/>
        <v>11.034952447081173</v>
      </c>
      <c r="U87" s="176">
        <f t="shared" si="72"/>
        <v>11.145301971551984</v>
      </c>
      <c r="V87" s="176">
        <f t="shared" si="72"/>
        <v>11.256754991267504</v>
      </c>
      <c r="W87" s="176">
        <f t="shared" si="72"/>
        <v>11.36932254118018</v>
      </c>
      <c r="X87" s="184"/>
      <c r="Y87" s="175"/>
      <c r="Z87" s="174"/>
    </row>
    <row r="88" spans="1:26" ht="14.5" x14ac:dyDescent="0.25">
      <c r="A88" s="292" t="s">
        <v>818</v>
      </c>
      <c r="B88" s="16">
        <v>12</v>
      </c>
      <c r="C88" s="16">
        <v>3.6</v>
      </c>
      <c r="D88" s="16"/>
      <c r="E88" s="16"/>
      <c r="F88" s="176">
        <f t="shared" si="68"/>
        <v>43.2</v>
      </c>
      <c r="G88" s="176">
        <f t="shared" ref="G88:W88" si="73">F88*(1+$C$5)</f>
        <v>43.632000000000005</v>
      </c>
      <c r="H88" s="176">
        <f t="shared" si="73"/>
        <v>44.068320000000007</v>
      </c>
      <c r="I88" s="176">
        <f t="shared" si="73"/>
        <v>44.509003200000009</v>
      </c>
      <c r="J88" s="176">
        <f t="shared" si="73"/>
        <v>44.954093232000012</v>
      </c>
      <c r="K88" s="176">
        <f t="shared" si="73"/>
        <v>45.40363416432001</v>
      </c>
      <c r="L88" s="176">
        <f t="shared" si="73"/>
        <v>45.857670505963213</v>
      </c>
      <c r="M88" s="176">
        <f t="shared" si="73"/>
        <v>46.316247211022848</v>
      </c>
      <c r="N88" s="176">
        <f t="shared" si="73"/>
        <v>46.779409683133075</v>
      </c>
      <c r="O88" s="176">
        <f t="shared" si="73"/>
        <v>47.247203779964408</v>
      </c>
      <c r="P88" s="176">
        <f t="shared" si="73"/>
        <v>47.719675817764056</v>
      </c>
      <c r="Q88" s="176">
        <f t="shared" si="73"/>
        <v>48.196872575941697</v>
      </c>
      <c r="R88" s="176">
        <f t="shared" si="73"/>
        <v>48.678841301701112</v>
      </c>
      <c r="S88" s="176">
        <f t="shared" si="73"/>
        <v>49.165629714718122</v>
      </c>
      <c r="T88" s="176">
        <f t="shared" si="73"/>
        <v>49.657286011865303</v>
      </c>
      <c r="U88" s="176">
        <f t="shared" si="73"/>
        <v>50.153858871983957</v>
      </c>
      <c r="V88" s="176">
        <f t="shared" si="73"/>
        <v>50.655397460703796</v>
      </c>
      <c r="W88" s="176">
        <f t="shared" si="73"/>
        <v>51.161951435310833</v>
      </c>
      <c r="X88" s="184"/>
      <c r="Y88" s="175"/>
      <c r="Z88" s="174"/>
    </row>
    <row r="89" spans="1:26" ht="14.5" x14ac:dyDescent="0.25">
      <c r="A89" s="292" t="s">
        <v>819</v>
      </c>
      <c r="B89" s="16">
        <v>1</v>
      </c>
      <c r="C89" s="16">
        <v>3.6</v>
      </c>
      <c r="D89" s="16"/>
      <c r="E89" s="16"/>
      <c r="F89" s="176">
        <f t="shared" si="68"/>
        <v>3.6</v>
      </c>
      <c r="G89" s="176">
        <f t="shared" ref="G89:W89" si="74">F89*(1+$C$5)</f>
        <v>3.6360000000000001</v>
      </c>
      <c r="H89" s="176">
        <f t="shared" si="74"/>
        <v>3.6723600000000003</v>
      </c>
      <c r="I89" s="176">
        <f t="shared" si="74"/>
        <v>3.7090836000000005</v>
      </c>
      <c r="J89" s="176">
        <f t="shared" si="74"/>
        <v>3.7461744360000004</v>
      </c>
      <c r="K89" s="176">
        <f t="shared" si="74"/>
        <v>3.7836361803600003</v>
      </c>
      <c r="L89" s="176">
        <f t="shared" si="74"/>
        <v>3.8214725421636002</v>
      </c>
      <c r="M89" s="176">
        <f t="shared" si="74"/>
        <v>3.8596872675852363</v>
      </c>
      <c r="N89" s="176">
        <f t="shared" si="74"/>
        <v>3.8982841402610888</v>
      </c>
      <c r="O89" s="176">
        <f t="shared" si="74"/>
        <v>3.9372669816636998</v>
      </c>
      <c r="P89" s="176">
        <f t="shared" si="74"/>
        <v>3.9766396514803368</v>
      </c>
      <c r="Q89" s="176">
        <f t="shared" si="74"/>
        <v>4.0164060479951402</v>
      </c>
      <c r="R89" s="176">
        <f t="shared" si="74"/>
        <v>4.0565701084750918</v>
      </c>
      <c r="S89" s="176">
        <f t="shared" si="74"/>
        <v>4.0971358095598429</v>
      </c>
      <c r="T89" s="176">
        <f t="shared" si="74"/>
        <v>4.1381071676554413</v>
      </c>
      <c r="U89" s="176">
        <f t="shared" si="74"/>
        <v>4.1794882393319961</v>
      </c>
      <c r="V89" s="176">
        <f t="shared" si="74"/>
        <v>4.2212831217253157</v>
      </c>
      <c r="W89" s="176">
        <f t="shared" si="74"/>
        <v>4.2634959529425691</v>
      </c>
      <c r="X89" s="184"/>
      <c r="Y89" s="175"/>
      <c r="Z89" s="174"/>
    </row>
    <row r="90" spans="1:26" ht="14.5" x14ac:dyDescent="0.25">
      <c r="A90" s="292" t="s">
        <v>820</v>
      </c>
      <c r="B90" s="16">
        <v>10</v>
      </c>
      <c r="C90" s="16">
        <v>6</v>
      </c>
      <c r="D90" s="16"/>
      <c r="E90" s="16"/>
      <c r="F90" s="176">
        <f t="shared" si="68"/>
        <v>60</v>
      </c>
      <c r="G90" s="176">
        <f t="shared" ref="G90:W90" si="75">F90*(1+$C$5)</f>
        <v>60.6</v>
      </c>
      <c r="H90" s="176">
        <f t="shared" si="75"/>
        <v>61.206000000000003</v>
      </c>
      <c r="I90" s="176">
        <f t="shared" si="75"/>
        <v>61.818060000000003</v>
      </c>
      <c r="J90" s="176">
        <f t="shared" si="75"/>
        <v>62.436240600000005</v>
      </c>
      <c r="K90" s="176">
        <f t="shared" si="75"/>
        <v>63.060603006000008</v>
      </c>
      <c r="L90" s="176">
        <f t="shared" si="75"/>
        <v>63.691209036060009</v>
      </c>
      <c r="M90" s="176">
        <f t="shared" si="75"/>
        <v>64.328121126420612</v>
      </c>
      <c r="N90" s="176">
        <f t="shared" si="75"/>
        <v>64.971402337684822</v>
      </c>
      <c r="O90" s="176">
        <f t="shared" si="75"/>
        <v>65.621116361061667</v>
      </c>
      <c r="P90" s="176">
        <f t="shared" si="75"/>
        <v>66.277327524672287</v>
      </c>
      <c r="Q90" s="176">
        <f t="shared" si="75"/>
        <v>66.940100799919009</v>
      </c>
      <c r="R90" s="176">
        <f t="shared" si="75"/>
        <v>67.609501807918193</v>
      </c>
      <c r="S90" s="176">
        <f t="shared" si="75"/>
        <v>68.285596825997374</v>
      </c>
      <c r="T90" s="176">
        <f t="shared" si="75"/>
        <v>68.968452794257345</v>
      </c>
      <c r="U90" s="176">
        <f t="shared" si="75"/>
        <v>69.65813732219992</v>
      </c>
      <c r="V90" s="176">
        <f t="shared" si="75"/>
        <v>70.354718695421923</v>
      </c>
      <c r="W90" s="176">
        <f t="shared" si="75"/>
        <v>71.058265882376148</v>
      </c>
      <c r="X90" s="184"/>
      <c r="Y90" s="175"/>
      <c r="Z90" s="174"/>
    </row>
    <row r="91" spans="1:26" ht="14.5" x14ac:dyDescent="0.25">
      <c r="A91" s="292" t="s">
        <v>821</v>
      </c>
      <c r="B91" s="16">
        <v>1</v>
      </c>
      <c r="C91" s="16">
        <v>9.6</v>
      </c>
      <c r="D91" s="16"/>
      <c r="E91" s="16"/>
      <c r="F91" s="176">
        <f t="shared" si="68"/>
        <v>9.6</v>
      </c>
      <c r="G91" s="176">
        <f t="shared" ref="G91:W91" si="76">F91*(1+$C$5)</f>
        <v>9.6959999999999997</v>
      </c>
      <c r="H91" s="176">
        <f t="shared" si="76"/>
        <v>9.792959999999999</v>
      </c>
      <c r="I91" s="176">
        <f t="shared" si="76"/>
        <v>9.8908895999999995</v>
      </c>
      <c r="J91" s="176">
        <f t="shared" si="76"/>
        <v>9.9897984959999988</v>
      </c>
      <c r="K91" s="176">
        <f t="shared" si="76"/>
        <v>10.089696480959999</v>
      </c>
      <c r="L91" s="176">
        <f t="shared" si="76"/>
        <v>10.190593445769599</v>
      </c>
      <c r="M91" s="176">
        <f t="shared" si="76"/>
        <v>10.292499380227294</v>
      </c>
      <c r="N91" s="176">
        <f t="shared" si="76"/>
        <v>10.395424374029567</v>
      </c>
      <c r="O91" s="176">
        <f t="shared" si="76"/>
        <v>10.499378617769862</v>
      </c>
      <c r="P91" s="176">
        <f t="shared" si="76"/>
        <v>10.604372403947561</v>
      </c>
      <c r="Q91" s="176">
        <f t="shared" si="76"/>
        <v>10.710416127987036</v>
      </c>
      <c r="R91" s="176">
        <f t="shared" si="76"/>
        <v>10.817520289266907</v>
      </c>
      <c r="S91" s="176">
        <f t="shared" si="76"/>
        <v>10.925695492159576</v>
      </c>
      <c r="T91" s="176">
        <f t="shared" si="76"/>
        <v>11.034952447081173</v>
      </c>
      <c r="U91" s="176">
        <f t="shared" si="76"/>
        <v>11.145301971551984</v>
      </c>
      <c r="V91" s="176">
        <f t="shared" si="76"/>
        <v>11.256754991267504</v>
      </c>
      <c r="W91" s="176">
        <f t="shared" si="76"/>
        <v>11.36932254118018</v>
      </c>
      <c r="X91" s="184"/>
      <c r="Y91" s="175"/>
      <c r="Z91" s="174"/>
    </row>
    <row r="92" spans="1:26" ht="14.5" x14ac:dyDescent="0.25">
      <c r="A92" s="292" t="s">
        <v>822</v>
      </c>
      <c r="B92" s="16">
        <v>6</v>
      </c>
      <c r="C92" s="16">
        <v>5.4</v>
      </c>
      <c r="D92" s="16"/>
      <c r="E92" s="16"/>
      <c r="F92" s="176">
        <f t="shared" si="68"/>
        <v>32.400000000000006</v>
      </c>
      <c r="G92" s="176">
        <f t="shared" ref="G92:W92" si="77">F92*(1+$C$5)</f>
        <v>32.724000000000004</v>
      </c>
      <c r="H92" s="176">
        <f t="shared" si="77"/>
        <v>33.051240000000007</v>
      </c>
      <c r="I92" s="176">
        <f t="shared" si="77"/>
        <v>33.381752400000011</v>
      </c>
      <c r="J92" s="176">
        <f t="shared" si="77"/>
        <v>33.715569924000008</v>
      </c>
      <c r="K92" s="176">
        <f t="shared" si="77"/>
        <v>34.052725623240008</v>
      </c>
      <c r="L92" s="176">
        <f t="shared" si="77"/>
        <v>34.393252879472406</v>
      </c>
      <c r="M92" s="176">
        <f t="shared" si="77"/>
        <v>34.737185408267131</v>
      </c>
      <c r="N92" s="176">
        <f t="shared" si="77"/>
        <v>35.084557262349804</v>
      </c>
      <c r="O92" s="176">
        <f t="shared" si="77"/>
        <v>35.435402834973303</v>
      </c>
      <c r="P92" s="176">
        <f t="shared" si="77"/>
        <v>35.789756863323035</v>
      </c>
      <c r="Q92" s="176">
        <f t="shared" si="77"/>
        <v>36.147654431956269</v>
      </c>
      <c r="R92" s="176">
        <f t="shared" si="77"/>
        <v>36.509130976275834</v>
      </c>
      <c r="S92" s="176">
        <f t="shared" si="77"/>
        <v>36.874222286038595</v>
      </c>
      <c r="T92" s="176">
        <f t="shared" si="77"/>
        <v>37.242964508898979</v>
      </c>
      <c r="U92" s="176">
        <f t="shared" si="77"/>
        <v>37.615394153987971</v>
      </c>
      <c r="V92" s="176">
        <f t="shared" si="77"/>
        <v>37.991548095527854</v>
      </c>
      <c r="W92" s="176">
        <f t="shared" si="77"/>
        <v>38.37146357648313</v>
      </c>
      <c r="X92" s="184"/>
      <c r="Y92" s="175"/>
      <c r="Z92" s="174"/>
    </row>
    <row r="93" spans="1:26" ht="14.5" x14ac:dyDescent="0.25">
      <c r="A93" s="293" t="s">
        <v>823</v>
      </c>
      <c r="B93" s="16">
        <v>40</v>
      </c>
      <c r="C93" s="16">
        <v>3.6</v>
      </c>
      <c r="D93" s="16"/>
      <c r="E93" s="16"/>
      <c r="F93" s="176">
        <f t="shared" si="68"/>
        <v>144</v>
      </c>
      <c r="G93" s="176">
        <f t="shared" ref="G93:W93" si="78">F93*(1+$C$5)</f>
        <v>145.44</v>
      </c>
      <c r="H93" s="176">
        <f t="shared" si="78"/>
        <v>146.89439999999999</v>
      </c>
      <c r="I93" s="176">
        <f t="shared" si="78"/>
        <v>148.36334399999998</v>
      </c>
      <c r="J93" s="176">
        <f t="shared" si="78"/>
        <v>149.84697743999999</v>
      </c>
      <c r="K93" s="176">
        <f t="shared" si="78"/>
        <v>151.3454472144</v>
      </c>
      <c r="L93" s="176">
        <f t="shared" si="78"/>
        <v>152.85890168654399</v>
      </c>
      <c r="M93" s="176">
        <f t="shared" si="78"/>
        <v>154.38749070340944</v>
      </c>
      <c r="N93" s="176">
        <f t="shared" si="78"/>
        <v>155.93136561044355</v>
      </c>
      <c r="O93" s="176">
        <f t="shared" si="78"/>
        <v>157.490679266548</v>
      </c>
      <c r="P93" s="176">
        <f t="shared" si="78"/>
        <v>159.06558605921347</v>
      </c>
      <c r="Q93" s="176">
        <f t="shared" si="78"/>
        <v>160.65624191980561</v>
      </c>
      <c r="R93" s="176">
        <f t="shared" si="78"/>
        <v>162.26280433900368</v>
      </c>
      <c r="S93" s="176">
        <f t="shared" si="78"/>
        <v>163.88543238239373</v>
      </c>
      <c r="T93" s="176">
        <f t="shared" si="78"/>
        <v>165.52428670621768</v>
      </c>
      <c r="U93" s="176">
        <f t="shared" si="78"/>
        <v>167.17952957327986</v>
      </c>
      <c r="V93" s="176">
        <f t="shared" si="78"/>
        <v>168.85132486901267</v>
      </c>
      <c r="W93" s="176">
        <f t="shared" si="78"/>
        <v>170.5398381177028</v>
      </c>
      <c r="X93" s="184"/>
      <c r="Y93" s="175"/>
      <c r="Z93" s="174"/>
    </row>
    <row r="94" spans="1:26" x14ac:dyDescent="0.25">
      <c r="A94" s="294" t="s">
        <v>268</v>
      </c>
      <c r="B94" s="16">
        <f>SUM(B19:B93)</f>
        <v>393</v>
      </c>
      <c r="C94" s="214" t="s">
        <v>727</v>
      </c>
      <c r="D94" s="16"/>
      <c r="E94" s="16"/>
      <c r="F94" s="16">
        <f t="shared" ref="F94:W94" si="79">SUM(F19:F93)</f>
        <v>1925.3999999999999</v>
      </c>
      <c r="G94" s="16">
        <f t="shared" si="79"/>
        <v>1944.6539999999998</v>
      </c>
      <c r="H94" s="16">
        <f t="shared" si="79"/>
        <v>1964.1005399999999</v>
      </c>
      <c r="I94" s="16">
        <f t="shared" si="79"/>
        <v>1983.7415454000006</v>
      </c>
      <c r="J94" s="16">
        <f t="shared" si="79"/>
        <v>2003.5789608540003</v>
      </c>
      <c r="K94" s="16">
        <f t="shared" si="79"/>
        <v>2023.6147504625401</v>
      </c>
      <c r="L94" s="16">
        <f t="shared" si="79"/>
        <v>2043.8508979671653</v>
      </c>
      <c r="M94" s="16">
        <f t="shared" si="79"/>
        <v>2064.2894069468375</v>
      </c>
      <c r="N94" s="16">
        <f t="shared" si="79"/>
        <v>2084.9323010163057</v>
      </c>
      <c r="O94" s="16">
        <f t="shared" si="79"/>
        <v>2105.7816240264683</v>
      </c>
      <c r="P94" s="16">
        <f t="shared" si="79"/>
        <v>2126.8394402667336</v>
      </c>
      <c r="Q94" s="16">
        <f t="shared" si="79"/>
        <v>2148.1078346694003</v>
      </c>
      <c r="R94" s="16">
        <f t="shared" si="79"/>
        <v>2169.5889130160949</v>
      </c>
      <c r="S94" s="16">
        <f t="shared" si="79"/>
        <v>2191.284802146256</v>
      </c>
      <c r="T94" s="16">
        <f t="shared" si="79"/>
        <v>2213.1976501677182</v>
      </c>
      <c r="U94" s="16">
        <f t="shared" si="79"/>
        <v>2235.329626669396</v>
      </c>
      <c r="V94" s="16">
        <f t="shared" si="79"/>
        <v>2257.6829229360906</v>
      </c>
      <c r="W94" s="16">
        <f t="shared" si="79"/>
        <v>2280.2597521654507</v>
      </c>
      <c r="X94" s="184"/>
      <c r="Y94"/>
    </row>
    <row r="95" spans="1:26" ht="14.5" x14ac:dyDescent="0.25">
      <c r="A95" s="276" t="s">
        <v>726</v>
      </c>
      <c r="G95" s="199"/>
    </row>
    <row r="96" spans="1:26" ht="14.5" x14ac:dyDescent="0.25">
      <c r="A96" s="276" t="s">
        <v>725</v>
      </c>
    </row>
    <row r="97" spans="1:25" ht="13" x14ac:dyDescent="0.25">
      <c r="A97" s="306" t="s">
        <v>731</v>
      </c>
      <c r="B97" s="301"/>
      <c r="C97" s="301"/>
      <c r="D97" s="301"/>
      <c r="E97" s="301"/>
      <c r="F97" s="301"/>
      <c r="G97" s="301"/>
      <c r="H97" s="301"/>
      <c r="I97" s="301"/>
      <c r="J97" s="301"/>
      <c r="K97" s="301"/>
      <c r="L97" s="301"/>
      <c r="M97" s="301"/>
      <c r="N97" s="301"/>
      <c r="O97" s="301"/>
      <c r="P97" s="301"/>
      <c r="Q97" s="301"/>
      <c r="R97" s="301"/>
      <c r="S97" s="301"/>
      <c r="T97" s="301"/>
      <c r="U97" s="301"/>
      <c r="V97" s="301"/>
      <c r="W97" s="301"/>
      <c r="X97" s="290"/>
    </row>
    <row r="98" spans="1:25" ht="13" x14ac:dyDescent="0.25">
      <c r="A98" s="44" t="s">
        <v>827</v>
      </c>
      <c r="B98" s="44" t="s">
        <v>271</v>
      </c>
      <c r="C98" s="44" t="s">
        <v>270</v>
      </c>
      <c r="D98" s="44" t="s">
        <v>732</v>
      </c>
      <c r="E98" s="44" t="s">
        <v>733</v>
      </c>
      <c r="F98" s="44" t="s">
        <v>734</v>
      </c>
      <c r="G98" s="44" t="s">
        <v>735</v>
      </c>
      <c r="H98" s="44" t="s">
        <v>736</v>
      </c>
      <c r="I98" s="44" t="s">
        <v>737</v>
      </c>
      <c r="J98" s="44" t="s">
        <v>738</v>
      </c>
      <c r="K98" s="44" t="s">
        <v>739</v>
      </c>
      <c r="L98" s="44" t="s">
        <v>740</v>
      </c>
      <c r="M98" s="44" t="s">
        <v>741</v>
      </c>
      <c r="N98" s="44" t="s">
        <v>742</v>
      </c>
      <c r="O98" s="44" t="s">
        <v>743</v>
      </c>
      <c r="P98" s="44" t="s">
        <v>744</v>
      </c>
      <c r="Q98" s="44" t="s">
        <v>745</v>
      </c>
      <c r="R98" s="44" t="s">
        <v>746</v>
      </c>
      <c r="S98" s="44" t="s">
        <v>747</v>
      </c>
      <c r="T98" s="44" t="s">
        <v>748</v>
      </c>
      <c r="U98" s="44" t="s">
        <v>749</v>
      </c>
      <c r="V98" s="44" t="s">
        <v>750</v>
      </c>
      <c r="W98" s="44" t="s">
        <v>751</v>
      </c>
      <c r="X98" s="184"/>
      <c r="Y98"/>
    </row>
    <row r="99" spans="1:25" ht="13" x14ac:dyDescent="0.25">
      <c r="A99" s="44" t="s">
        <v>828</v>
      </c>
      <c r="B99" s="16">
        <f>C6</f>
        <v>393</v>
      </c>
      <c r="C99" s="287">
        <f>C7</f>
        <v>4.8992366412213739</v>
      </c>
      <c r="D99" s="16"/>
      <c r="E99" s="16"/>
      <c r="F99" s="176">
        <f>C6*C7</f>
        <v>1925.3999999999999</v>
      </c>
      <c r="G99" s="176">
        <f>$F$99*POWER(1+$C$5,G101-$F$101)</f>
        <v>1944.6539999999998</v>
      </c>
      <c r="H99" s="176">
        <f t="shared" ref="H99:W99" si="80">$F$99*POWER(1+$C$5,H101-$F$101)</f>
        <v>1964.1005399999999</v>
      </c>
      <c r="I99" s="176">
        <f t="shared" si="80"/>
        <v>1983.7415453999997</v>
      </c>
      <c r="J99" s="176">
        <f t="shared" si="80"/>
        <v>2003.5789608539999</v>
      </c>
      <c r="K99" s="176">
        <f t="shared" si="80"/>
        <v>2023.6147504625396</v>
      </c>
      <c r="L99" s="176">
        <f t="shared" si="80"/>
        <v>2043.8508979671656</v>
      </c>
      <c r="M99" s="176">
        <f t="shared" si="80"/>
        <v>2064.2894069468366</v>
      </c>
      <c r="N99" s="176">
        <f t="shared" si="80"/>
        <v>2084.9323010163057</v>
      </c>
      <c r="O99" s="176">
        <f t="shared" si="80"/>
        <v>2105.7816240264688</v>
      </c>
      <c r="P99" s="176">
        <f t="shared" si="80"/>
        <v>2126.8394402667336</v>
      </c>
      <c r="Q99" s="176">
        <f t="shared" si="80"/>
        <v>2148.1078346694003</v>
      </c>
      <c r="R99" s="176">
        <f t="shared" si="80"/>
        <v>2169.5889130160945</v>
      </c>
      <c r="S99" s="176">
        <f t="shared" si="80"/>
        <v>2191.2848021462555</v>
      </c>
      <c r="T99" s="176">
        <f t="shared" si="80"/>
        <v>2213.1976501677182</v>
      </c>
      <c r="U99" s="176">
        <f t="shared" si="80"/>
        <v>2235.3296266693947</v>
      </c>
      <c r="V99" s="176">
        <f t="shared" si="80"/>
        <v>2257.6829229360897</v>
      </c>
      <c r="W99" s="176">
        <f t="shared" si="80"/>
        <v>2280.2597521654507</v>
      </c>
      <c r="X99" s="184"/>
      <c r="Y99"/>
    </row>
    <row r="100" spans="1:25" ht="14.5" x14ac:dyDescent="0.25">
      <c r="A100" s="276" t="s">
        <v>726</v>
      </c>
    </row>
    <row r="101" spans="1:25" ht="15" thickBot="1" x14ac:dyDescent="0.3">
      <c r="A101" s="276"/>
      <c r="D101">
        <v>1</v>
      </c>
      <c r="E101">
        <v>2</v>
      </c>
      <c r="F101">
        <v>3</v>
      </c>
      <c r="G101">
        <v>4</v>
      </c>
      <c r="H101">
        <v>5</v>
      </c>
      <c r="I101">
        <v>6</v>
      </c>
      <c r="J101">
        <v>7</v>
      </c>
      <c r="K101">
        <v>8</v>
      </c>
      <c r="L101">
        <v>9</v>
      </c>
      <c r="M101">
        <v>10</v>
      </c>
      <c r="N101">
        <v>11</v>
      </c>
      <c r="O101">
        <v>12</v>
      </c>
      <c r="P101">
        <v>13</v>
      </c>
      <c r="Q101">
        <v>14</v>
      </c>
      <c r="R101">
        <v>15</v>
      </c>
      <c r="S101">
        <v>16</v>
      </c>
      <c r="T101">
        <v>17</v>
      </c>
      <c r="U101">
        <v>18</v>
      </c>
      <c r="V101">
        <v>19</v>
      </c>
      <c r="W101">
        <v>20</v>
      </c>
    </row>
    <row r="102" spans="1:25" ht="17" thickBot="1" x14ac:dyDescent="0.3">
      <c r="A102" s="302" t="s">
        <v>710</v>
      </c>
      <c r="B102" s="303"/>
      <c r="C102" s="303"/>
      <c r="D102" s="303"/>
      <c r="E102" s="303"/>
      <c r="F102" s="304"/>
    </row>
    <row r="103" spans="1:25" ht="17" thickBot="1" x14ac:dyDescent="0.3">
      <c r="A103" s="267" t="s">
        <v>711</v>
      </c>
      <c r="B103" s="268" t="s">
        <v>712</v>
      </c>
      <c r="C103" s="268" t="s">
        <v>713</v>
      </c>
      <c r="D103" s="268" t="s">
        <v>714</v>
      </c>
      <c r="E103" s="268" t="s">
        <v>715</v>
      </c>
      <c r="F103" s="268" t="s">
        <v>716</v>
      </c>
    </row>
    <row r="104" spans="1:25" ht="17" thickBot="1" x14ac:dyDescent="0.3">
      <c r="A104" s="267" t="s">
        <v>603</v>
      </c>
      <c r="B104" s="269">
        <v>0.40379999999999999</v>
      </c>
      <c r="C104" s="269">
        <v>0.60940000000000005</v>
      </c>
      <c r="D104" s="269">
        <v>0.61960000000000004</v>
      </c>
      <c r="E104" s="269">
        <v>0.61429999999999996</v>
      </c>
      <c r="F104" s="269">
        <v>0.5857</v>
      </c>
    </row>
    <row r="105" spans="1:25" ht="17" thickBot="1" x14ac:dyDescent="0.3">
      <c r="A105" s="267" t="s">
        <v>515</v>
      </c>
      <c r="B105" s="269">
        <v>0.39090000000000003</v>
      </c>
      <c r="C105" s="269">
        <v>0.55110000000000003</v>
      </c>
      <c r="D105" s="269">
        <v>0.57399999999999995</v>
      </c>
      <c r="E105" s="269">
        <v>0.56630000000000003</v>
      </c>
      <c r="F105" s="269">
        <v>0.55620000000000003</v>
      </c>
    </row>
    <row r="106" spans="1:25" ht="17" thickBot="1" x14ac:dyDescent="0.3">
      <c r="A106" s="267" t="s">
        <v>604</v>
      </c>
      <c r="B106" s="269">
        <v>0.37990000000000002</v>
      </c>
      <c r="C106" s="269">
        <v>0.52149999999999996</v>
      </c>
      <c r="D106" s="269">
        <v>0.5252</v>
      </c>
      <c r="E106" s="269">
        <v>0.51300000000000001</v>
      </c>
      <c r="F106" s="269">
        <v>0.5252</v>
      </c>
    </row>
    <row r="107" spans="1:25" ht="17" thickBot="1" x14ac:dyDescent="0.3">
      <c r="A107" s="267" t="s">
        <v>605</v>
      </c>
      <c r="B107" s="269">
        <v>0.3861</v>
      </c>
      <c r="C107" s="269">
        <v>0.51949999999999996</v>
      </c>
      <c r="D107" s="269">
        <v>0.52349999999999997</v>
      </c>
      <c r="E107" s="269">
        <v>0.4708</v>
      </c>
      <c r="F107" s="269">
        <v>0.52370000000000005</v>
      </c>
    </row>
    <row r="108" spans="1:25" ht="17" thickBot="1" x14ac:dyDescent="0.3">
      <c r="A108" s="267" t="s">
        <v>606</v>
      </c>
      <c r="B108" s="269">
        <v>0.3574</v>
      </c>
      <c r="C108" s="269">
        <v>0.51429999999999998</v>
      </c>
      <c r="D108" s="269">
        <v>0.54200000000000004</v>
      </c>
      <c r="E108" s="269">
        <v>0.5262</v>
      </c>
      <c r="F108" s="269">
        <v>0.52180000000000004</v>
      </c>
    </row>
    <row r="109" spans="1:25" ht="13" x14ac:dyDescent="0.25">
      <c r="A109" s="270" t="s">
        <v>718</v>
      </c>
    </row>
    <row r="110" spans="1:25" ht="13" thickBot="1" x14ac:dyDescent="0.3">
      <c r="A110" s="184"/>
    </row>
    <row r="111" spans="1:25" ht="17" thickBot="1" x14ac:dyDescent="0.3">
      <c r="A111" s="302" t="s">
        <v>717</v>
      </c>
      <c r="B111" s="303"/>
      <c r="C111" s="303"/>
      <c r="D111" s="303"/>
      <c r="E111" s="303"/>
      <c r="F111" s="304"/>
    </row>
    <row r="112" spans="1:25" ht="17" thickBot="1" x14ac:dyDescent="0.3">
      <c r="A112" s="267" t="s">
        <v>711</v>
      </c>
      <c r="B112" s="268" t="s">
        <v>712</v>
      </c>
      <c r="C112" s="268" t="s">
        <v>713</v>
      </c>
      <c r="D112" s="268" t="s">
        <v>714</v>
      </c>
      <c r="E112" s="268" t="s">
        <v>715</v>
      </c>
      <c r="F112" s="268" t="s">
        <v>716</v>
      </c>
    </row>
    <row r="113" spans="1:6" ht="17" thickBot="1" x14ac:dyDescent="0.3">
      <c r="A113" s="267" t="s">
        <v>603</v>
      </c>
      <c r="B113" s="268">
        <v>518.80999999999995</v>
      </c>
      <c r="C113" s="268">
        <v>596.55999999999995</v>
      </c>
      <c r="D113" s="268">
        <v>623.6</v>
      </c>
      <c r="E113" s="268">
        <v>612.35</v>
      </c>
      <c r="F113" s="268">
        <v>626.27</v>
      </c>
    </row>
    <row r="114" spans="1:6" ht="17" thickBot="1" x14ac:dyDescent="0.3">
      <c r="A114" s="267" t="s">
        <v>515</v>
      </c>
      <c r="B114" s="268">
        <v>300.20999999999998</v>
      </c>
      <c r="C114" s="268">
        <v>331.56</v>
      </c>
      <c r="D114" s="268">
        <v>345.21</v>
      </c>
      <c r="E114" s="268">
        <v>328.06</v>
      </c>
      <c r="F114" s="268">
        <v>332.67</v>
      </c>
    </row>
    <row r="115" spans="1:6" ht="17" thickBot="1" x14ac:dyDescent="0.3">
      <c r="A115" s="267" t="s">
        <v>604</v>
      </c>
      <c r="B115" s="268">
        <v>206.21</v>
      </c>
      <c r="C115" s="268">
        <v>225.7</v>
      </c>
      <c r="D115" s="268">
        <v>230.3</v>
      </c>
      <c r="E115" s="268">
        <v>220.36</v>
      </c>
      <c r="F115" s="268">
        <v>209.65</v>
      </c>
    </row>
    <row r="116" spans="1:6" ht="17" thickBot="1" x14ac:dyDescent="0.3">
      <c r="A116" s="267" t="s">
        <v>605</v>
      </c>
      <c r="B116" s="268">
        <v>161.85</v>
      </c>
      <c r="C116" s="268">
        <v>179.38</v>
      </c>
      <c r="D116" s="268">
        <v>163.87</v>
      </c>
      <c r="E116" s="268">
        <v>171.17</v>
      </c>
      <c r="F116" s="268">
        <v>155.66999999999999</v>
      </c>
    </row>
    <row r="117" spans="1:6" ht="17" thickBot="1" x14ac:dyDescent="0.3">
      <c r="A117" s="267" t="s">
        <v>606</v>
      </c>
      <c r="B117" s="268">
        <v>117.28</v>
      </c>
      <c r="C117" s="268">
        <v>111.96</v>
      </c>
      <c r="D117" s="268">
        <v>128.33000000000001</v>
      </c>
      <c r="E117" s="268">
        <v>102.39</v>
      </c>
      <c r="F117" s="268">
        <v>100.39</v>
      </c>
    </row>
    <row r="118" spans="1:6" ht="13" x14ac:dyDescent="0.25">
      <c r="A118" s="270" t="s">
        <v>718</v>
      </c>
    </row>
  </sheetData>
  <mergeCells count="6">
    <mergeCell ref="A2:E2"/>
    <mergeCell ref="A102:F102"/>
    <mergeCell ref="A111:F111"/>
    <mergeCell ref="A10:W10"/>
    <mergeCell ref="A97:W97"/>
    <mergeCell ref="A17:W17"/>
  </mergeCells>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6684E-1B3E-46C3-AFDD-05C96A7B1CF1}">
  <dimension ref="B2:H217"/>
  <sheetViews>
    <sheetView zoomScale="70" zoomScaleNormal="70" workbookViewId="0">
      <selection activeCell="D141" sqref="D141"/>
    </sheetView>
  </sheetViews>
  <sheetFormatPr defaultRowHeight="12.5" x14ac:dyDescent="0.25"/>
  <cols>
    <col min="1" max="1" width="3.453125" customWidth="1"/>
    <col min="2" max="2" width="17.81640625" customWidth="1"/>
    <col min="3" max="3" width="23.81640625" customWidth="1"/>
    <col min="4" max="4" width="42.1796875" style="184" customWidth="1"/>
    <col min="5" max="5" width="31.7265625" style="184" customWidth="1"/>
    <col min="6" max="6" width="21.26953125" customWidth="1"/>
  </cols>
  <sheetData>
    <row r="2" spans="2:5" ht="19" x14ac:dyDescent="0.25">
      <c r="B2" s="198" t="s">
        <v>277</v>
      </c>
    </row>
    <row r="3" spans="2:5" ht="13" x14ac:dyDescent="0.25">
      <c r="B3" s="2" t="s">
        <v>349</v>
      </c>
      <c r="C3" s="2" t="s">
        <v>350</v>
      </c>
    </row>
    <row r="5" spans="2:5" ht="13" x14ac:dyDescent="0.25">
      <c r="B5" s="195" t="s">
        <v>278</v>
      </c>
    </row>
    <row r="6" spans="2:5" ht="13" x14ac:dyDescent="0.25">
      <c r="B6" s="2" t="s">
        <v>287</v>
      </c>
    </row>
    <row r="7" spans="2:5" x14ac:dyDescent="0.25">
      <c r="B7" s="183" t="s">
        <v>286</v>
      </c>
    </row>
    <row r="8" spans="2:5" x14ac:dyDescent="0.25">
      <c r="B8" s="183" t="s">
        <v>331</v>
      </c>
    </row>
    <row r="9" spans="2:5" ht="13" x14ac:dyDescent="0.25">
      <c r="B9" s="191" t="s">
        <v>307</v>
      </c>
      <c r="C9" s="191" t="s">
        <v>294</v>
      </c>
      <c r="D9" s="196" t="s">
        <v>295</v>
      </c>
      <c r="E9" s="196" t="s">
        <v>363</v>
      </c>
    </row>
    <row r="10" spans="2:5" ht="26" x14ac:dyDescent="0.25">
      <c r="B10" s="314" t="s">
        <v>279</v>
      </c>
      <c r="C10" s="3" t="s">
        <v>280</v>
      </c>
      <c r="D10" s="168" t="s">
        <v>288</v>
      </c>
      <c r="E10" s="316" t="s">
        <v>321</v>
      </c>
    </row>
    <row r="11" spans="2:5" ht="36" customHeight="1" x14ac:dyDescent="0.25">
      <c r="B11" s="314"/>
      <c r="C11" s="318" t="s">
        <v>281</v>
      </c>
      <c r="D11" s="319" t="s">
        <v>289</v>
      </c>
      <c r="E11" s="317"/>
    </row>
    <row r="12" spans="2:5" x14ac:dyDescent="0.25">
      <c r="B12" s="314"/>
      <c r="C12" s="318"/>
      <c r="D12" s="319"/>
      <c r="E12" s="316" t="s">
        <v>364</v>
      </c>
    </row>
    <row r="13" spans="2:5" ht="39" x14ac:dyDescent="0.25">
      <c r="B13" s="314"/>
      <c r="C13" s="3" t="s">
        <v>282</v>
      </c>
      <c r="D13" s="168" t="s">
        <v>290</v>
      </c>
      <c r="E13" s="317"/>
    </row>
    <row r="14" spans="2:5" ht="52" x14ac:dyDescent="0.25">
      <c r="B14" s="314"/>
      <c r="C14" s="3" t="s">
        <v>283</v>
      </c>
      <c r="D14" s="168" t="s">
        <v>291</v>
      </c>
      <c r="E14" s="316" t="s">
        <v>342</v>
      </c>
    </row>
    <row r="15" spans="2:5" ht="52" x14ac:dyDescent="0.25">
      <c r="B15" s="314"/>
      <c r="C15" s="3" t="s">
        <v>284</v>
      </c>
      <c r="D15" s="168" t="s">
        <v>292</v>
      </c>
      <c r="E15" s="317"/>
    </row>
    <row r="16" spans="2:5" ht="52" x14ac:dyDescent="0.25">
      <c r="B16" s="314"/>
      <c r="C16" s="3" t="s">
        <v>285</v>
      </c>
      <c r="D16" s="168" t="s">
        <v>293</v>
      </c>
      <c r="E16" s="317"/>
    </row>
    <row r="17" spans="2:5" ht="13" x14ac:dyDescent="0.25">
      <c r="B17" s="202"/>
      <c r="C17" s="203"/>
      <c r="D17" s="204"/>
      <c r="E17" s="201"/>
    </row>
    <row r="19" spans="2:5" ht="13" x14ac:dyDescent="0.25">
      <c r="B19" s="187" t="s">
        <v>307</v>
      </c>
      <c r="C19" s="187" t="s">
        <v>294</v>
      </c>
      <c r="D19" s="188" t="s">
        <v>295</v>
      </c>
    </row>
    <row r="20" spans="2:5" ht="39" x14ac:dyDescent="0.25">
      <c r="B20" s="320" t="s">
        <v>296</v>
      </c>
      <c r="C20" s="189" t="s">
        <v>297</v>
      </c>
      <c r="D20" s="190" t="s">
        <v>303</v>
      </c>
    </row>
    <row r="21" spans="2:5" ht="13" x14ac:dyDescent="0.25">
      <c r="B21" s="321"/>
      <c r="C21" s="189" t="s">
        <v>298</v>
      </c>
      <c r="D21" s="190" t="s">
        <v>302</v>
      </c>
    </row>
    <row r="22" spans="2:5" ht="39" x14ac:dyDescent="0.25">
      <c r="B22" s="321"/>
      <c r="C22" s="189" t="s">
        <v>299</v>
      </c>
      <c r="D22" s="190" t="s">
        <v>304</v>
      </c>
    </row>
    <row r="23" spans="2:5" ht="13" x14ac:dyDescent="0.25">
      <c r="B23" s="321"/>
      <c r="C23" s="189" t="s">
        <v>300</v>
      </c>
      <c r="D23" s="190" t="s">
        <v>305</v>
      </c>
    </row>
    <row r="24" spans="2:5" ht="26" x14ac:dyDescent="0.25">
      <c r="B24" s="322"/>
      <c r="C24" s="189" t="s">
        <v>301</v>
      </c>
      <c r="D24" s="190" t="s">
        <v>306</v>
      </c>
    </row>
    <row r="26" spans="2:5" ht="13" x14ac:dyDescent="0.25">
      <c r="B26" s="31" t="s">
        <v>307</v>
      </c>
      <c r="C26" s="31" t="s">
        <v>294</v>
      </c>
    </row>
    <row r="27" spans="2:5" ht="13" x14ac:dyDescent="0.25">
      <c r="B27" s="314" t="s">
        <v>308</v>
      </c>
      <c r="C27" s="3" t="s">
        <v>309</v>
      </c>
    </row>
    <row r="28" spans="2:5" ht="13" x14ac:dyDescent="0.25">
      <c r="B28" s="314"/>
      <c r="C28" s="12" t="s">
        <v>310</v>
      </c>
    </row>
    <row r="29" spans="2:5" ht="13" x14ac:dyDescent="0.25">
      <c r="B29" s="314"/>
      <c r="C29" s="3" t="s">
        <v>311</v>
      </c>
    </row>
    <row r="30" spans="2:5" ht="13" x14ac:dyDescent="0.25">
      <c r="B30" s="314"/>
      <c r="C30" s="3" t="s">
        <v>312</v>
      </c>
    </row>
    <row r="31" spans="2:5" ht="13" x14ac:dyDescent="0.25">
      <c r="B31" s="314"/>
      <c r="C31" s="3" t="s">
        <v>313</v>
      </c>
    </row>
    <row r="32" spans="2:5" ht="13" x14ac:dyDescent="0.25">
      <c r="B32" s="314"/>
      <c r="C32" s="3" t="s">
        <v>314</v>
      </c>
    </row>
    <row r="33" spans="2:5" ht="13" x14ac:dyDescent="0.25">
      <c r="B33" s="314"/>
      <c r="C33" s="3" t="s">
        <v>315</v>
      </c>
    </row>
    <row r="35" spans="2:5" ht="13" x14ac:dyDescent="0.25">
      <c r="B35" s="185" t="s">
        <v>307</v>
      </c>
      <c r="C35" s="185" t="s">
        <v>294</v>
      </c>
      <c r="D35" s="4" t="s">
        <v>323</v>
      </c>
      <c r="E35" s="4" t="s">
        <v>325</v>
      </c>
    </row>
    <row r="36" spans="2:5" ht="39" x14ac:dyDescent="0.25">
      <c r="B36" s="314" t="s">
        <v>316</v>
      </c>
      <c r="C36" s="185" t="s">
        <v>317</v>
      </c>
      <c r="D36" s="168" t="s">
        <v>324</v>
      </c>
      <c r="E36" s="168" t="s">
        <v>328</v>
      </c>
    </row>
    <row r="37" spans="2:5" ht="26" x14ac:dyDescent="0.25">
      <c r="B37" s="314"/>
      <c r="C37" s="185" t="s">
        <v>318</v>
      </c>
      <c r="D37" s="168" t="s">
        <v>326</v>
      </c>
      <c r="E37" s="168" t="s">
        <v>327</v>
      </c>
    </row>
    <row r="38" spans="2:5" ht="13" x14ac:dyDescent="0.25">
      <c r="B38" s="314"/>
      <c r="C38" s="185" t="s">
        <v>319</v>
      </c>
      <c r="D38" s="168" t="s">
        <v>329</v>
      </c>
      <c r="E38" s="168" t="s">
        <v>330</v>
      </c>
    </row>
    <row r="39" spans="2:5" ht="39" x14ac:dyDescent="0.25">
      <c r="B39" s="314"/>
      <c r="C39" s="185" t="s">
        <v>320</v>
      </c>
      <c r="D39" s="168" t="s">
        <v>332</v>
      </c>
      <c r="E39" s="168" t="s">
        <v>333</v>
      </c>
    </row>
    <row r="40" spans="2:5" ht="39" x14ac:dyDescent="0.25">
      <c r="B40" s="314"/>
      <c r="C40" s="185" t="s">
        <v>321</v>
      </c>
      <c r="D40" s="168" t="s">
        <v>334</v>
      </c>
      <c r="E40" s="168" t="s">
        <v>335</v>
      </c>
    </row>
    <row r="41" spans="2:5" ht="91" x14ac:dyDescent="0.25">
      <c r="B41" s="314"/>
      <c r="C41" s="185" t="s">
        <v>322</v>
      </c>
      <c r="D41" s="194" t="s">
        <v>228</v>
      </c>
      <c r="E41" s="168" t="s">
        <v>336</v>
      </c>
    </row>
    <row r="43" spans="2:5" ht="13" x14ac:dyDescent="0.25">
      <c r="B43" s="4" t="s">
        <v>338</v>
      </c>
      <c r="C43" s="316" t="s">
        <v>294</v>
      </c>
      <c r="D43" s="316"/>
      <c r="E43" s="4" t="s">
        <v>347</v>
      </c>
    </row>
    <row r="44" spans="2:5" ht="13" x14ac:dyDescent="0.25">
      <c r="B44" s="316" t="s">
        <v>337</v>
      </c>
      <c r="C44" s="314" t="s">
        <v>341</v>
      </c>
      <c r="D44" s="197" t="s">
        <v>342</v>
      </c>
      <c r="E44" s="197" t="s">
        <v>345</v>
      </c>
    </row>
    <row r="45" spans="2:5" ht="13" x14ac:dyDescent="0.25">
      <c r="B45" s="316"/>
      <c r="C45" s="314"/>
      <c r="D45" s="197" t="s">
        <v>343</v>
      </c>
      <c r="E45" s="197" t="s">
        <v>344</v>
      </c>
    </row>
    <row r="46" spans="2:5" ht="13" x14ac:dyDescent="0.25">
      <c r="B46" s="316"/>
      <c r="C46" s="314"/>
      <c r="D46" s="197" t="s">
        <v>321</v>
      </c>
      <c r="E46" s="197" t="s">
        <v>346</v>
      </c>
    </row>
    <row r="47" spans="2:5" ht="39" x14ac:dyDescent="0.25">
      <c r="B47" s="316"/>
      <c r="C47" s="185" t="s">
        <v>348</v>
      </c>
      <c r="D47" s="168" t="s">
        <v>351</v>
      </c>
      <c r="E47" s="193"/>
    </row>
    <row r="48" spans="2:5" ht="13" x14ac:dyDescent="0.25">
      <c r="B48" s="168" t="s">
        <v>339</v>
      </c>
      <c r="C48" s="185" t="s">
        <v>352</v>
      </c>
      <c r="D48" s="193"/>
      <c r="E48" s="193"/>
    </row>
    <row r="49" spans="2:5" ht="39" x14ac:dyDescent="0.25">
      <c r="B49" s="168" t="s">
        <v>340</v>
      </c>
      <c r="C49" s="1"/>
      <c r="D49" s="193"/>
      <c r="E49" s="193"/>
    </row>
    <row r="51" spans="2:5" ht="13" x14ac:dyDescent="0.25">
      <c r="B51" s="2" t="s">
        <v>353</v>
      </c>
    </row>
    <row r="52" spans="2:5" ht="13" x14ac:dyDescent="0.25">
      <c r="B52" s="195" t="s">
        <v>354</v>
      </c>
      <c r="C52" s="6" t="s">
        <v>355</v>
      </c>
    </row>
    <row r="53" spans="2:5" ht="13" x14ac:dyDescent="0.25">
      <c r="C53" s="186" t="s">
        <v>357</v>
      </c>
      <c r="D53" s="192" t="s">
        <v>358</v>
      </c>
      <c r="E53" s="192" t="s">
        <v>359</v>
      </c>
    </row>
    <row r="54" spans="2:5" ht="13" x14ac:dyDescent="0.25">
      <c r="B54" s="2" t="s">
        <v>356</v>
      </c>
      <c r="C54">
        <v>550</v>
      </c>
      <c r="D54" s="184">
        <v>393</v>
      </c>
      <c r="E54" s="184">
        <f>C54*60%*1.5</f>
        <v>495</v>
      </c>
    </row>
    <row r="55" spans="2:5" ht="13" x14ac:dyDescent="0.25">
      <c r="B55" s="2"/>
    </row>
    <row r="56" spans="2:5" ht="13" x14ac:dyDescent="0.25">
      <c r="B56" s="195" t="s">
        <v>360</v>
      </c>
      <c r="C56" s="6" t="s">
        <v>361</v>
      </c>
    </row>
    <row r="57" spans="2:5" ht="13" x14ac:dyDescent="0.25">
      <c r="C57" s="6" t="s">
        <v>362</v>
      </c>
    </row>
    <row r="60" spans="2:5" ht="19" x14ac:dyDescent="0.25">
      <c r="B60" s="198" t="s">
        <v>365</v>
      </c>
    </row>
    <row r="62" spans="2:5" ht="13" x14ac:dyDescent="0.25">
      <c r="B62" s="6" t="s">
        <v>409</v>
      </c>
    </row>
    <row r="64" spans="2:5" ht="13" x14ac:dyDescent="0.25">
      <c r="B64" s="2" t="s">
        <v>349</v>
      </c>
      <c r="C64" s="2" t="s">
        <v>366</v>
      </c>
      <c r="D64" s="210" t="s">
        <v>368</v>
      </c>
    </row>
    <row r="65" spans="2:5" ht="13" x14ac:dyDescent="0.25">
      <c r="C65" s="2" t="s">
        <v>367</v>
      </c>
      <c r="D65" s="210" t="s">
        <v>369</v>
      </c>
    </row>
    <row r="67" spans="2:5" ht="26" x14ac:dyDescent="0.25">
      <c r="B67" s="2" t="s">
        <v>370</v>
      </c>
      <c r="C67" s="2" t="s">
        <v>371</v>
      </c>
      <c r="D67" s="210" t="s">
        <v>374</v>
      </c>
    </row>
    <row r="68" spans="2:5" ht="78" x14ac:dyDescent="0.25">
      <c r="C68" s="2" t="s">
        <v>372</v>
      </c>
      <c r="D68" s="211" t="s">
        <v>375</v>
      </c>
    </row>
    <row r="69" spans="2:5" ht="26" x14ac:dyDescent="0.25">
      <c r="C69" s="2" t="s">
        <v>373</v>
      </c>
      <c r="D69" s="210" t="s">
        <v>376</v>
      </c>
    </row>
    <row r="71" spans="2:5" ht="52" x14ac:dyDescent="0.25">
      <c r="B71" s="2" t="s">
        <v>377</v>
      </c>
      <c r="C71" s="2" t="s">
        <v>378</v>
      </c>
      <c r="D71" s="210" t="s">
        <v>379</v>
      </c>
    </row>
    <row r="72" spans="2:5" ht="26" x14ac:dyDescent="0.25">
      <c r="C72" s="2" t="s">
        <v>380</v>
      </c>
      <c r="D72" s="210" t="s">
        <v>381</v>
      </c>
    </row>
    <row r="73" spans="2:5" ht="13" x14ac:dyDescent="0.25">
      <c r="C73" s="2"/>
      <c r="D73" s="210"/>
    </row>
    <row r="74" spans="2:5" ht="13" x14ac:dyDescent="0.25">
      <c r="C74" s="2"/>
      <c r="D74" s="210"/>
    </row>
    <row r="75" spans="2:5" ht="13" x14ac:dyDescent="0.25">
      <c r="E75" s="210" t="s">
        <v>419</v>
      </c>
    </row>
    <row r="76" spans="2:5" ht="29.65" customHeight="1" x14ac:dyDescent="0.25">
      <c r="B76" s="2" t="s">
        <v>382</v>
      </c>
      <c r="C76" s="2" t="s">
        <v>383</v>
      </c>
      <c r="E76" s="312" t="s">
        <v>420</v>
      </c>
    </row>
    <row r="77" spans="2:5" ht="29.65" customHeight="1" x14ac:dyDescent="0.25">
      <c r="C77" s="2" t="s">
        <v>384</v>
      </c>
      <c r="E77" s="313"/>
    </row>
    <row r="78" spans="2:5" ht="52" x14ac:dyDescent="0.25">
      <c r="C78" s="2" t="s">
        <v>385</v>
      </c>
      <c r="D78" s="211" t="s">
        <v>387</v>
      </c>
    </row>
    <row r="79" spans="2:5" ht="26" x14ac:dyDescent="0.25">
      <c r="C79" s="2" t="s">
        <v>386</v>
      </c>
      <c r="D79" s="210" t="s">
        <v>388</v>
      </c>
      <c r="E79" s="210" t="s">
        <v>421</v>
      </c>
    </row>
    <row r="80" spans="2:5" ht="78" x14ac:dyDescent="0.25">
      <c r="C80" s="2" t="s">
        <v>389</v>
      </c>
      <c r="D80" s="210" t="s">
        <v>390</v>
      </c>
    </row>
    <row r="81" spans="2:5" ht="39" x14ac:dyDescent="0.25">
      <c r="C81" s="2" t="s">
        <v>422</v>
      </c>
      <c r="D81" s="210" t="s">
        <v>423</v>
      </c>
      <c r="E81" s="210" t="s">
        <v>424</v>
      </c>
    </row>
    <row r="83" spans="2:5" ht="13" x14ac:dyDescent="0.25">
      <c r="B83" s="2" t="s">
        <v>391</v>
      </c>
      <c r="C83" s="2" t="s">
        <v>392</v>
      </c>
    </row>
    <row r="84" spans="2:5" ht="13" x14ac:dyDescent="0.25">
      <c r="C84" s="2" t="s">
        <v>393</v>
      </c>
    </row>
    <row r="86" spans="2:5" ht="13" x14ac:dyDescent="0.25">
      <c r="B86" s="195" t="s">
        <v>278</v>
      </c>
    </row>
    <row r="87" spans="2:5" ht="13" x14ac:dyDescent="0.25">
      <c r="C87" s="3" t="s">
        <v>394</v>
      </c>
      <c r="D87" s="168" t="s">
        <v>398</v>
      </c>
    </row>
    <row r="88" spans="2:5" ht="13" x14ac:dyDescent="0.25">
      <c r="C88" s="3" t="s">
        <v>297</v>
      </c>
      <c r="D88" s="37" t="s">
        <v>395</v>
      </c>
    </row>
    <row r="89" spans="2:5" ht="13" x14ac:dyDescent="0.25">
      <c r="C89" s="3" t="s">
        <v>298</v>
      </c>
      <c r="D89" s="37" t="s">
        <v>396</v>
      </c>
    </row>
    <row r="90" spans="2:5" ht="13" x14ac:dyDescent="0.25">
      <c r="C90" s="3" t="s">
        <v>300</v>
      </c>
      <c r="D90" s="37" t="s">
        <v>397</v>
      </c>
    </row>
    <row r="92" spans="2:5" ht="13" x14ac:dyDescent="0.25">
      <c r="C92" s="3" t="s">
        <v>399</v>
      </c>
      <c r="D92" s="168" t="s">
        <v>295</v>
      </c>
    </row>
    <row r="93" spans="2:5" ht="26" x14ac:dyDescent="0.25">
      <c r="C93" s="3" t="s">
        <v>400</v>
      </c>
      <c r="D93" s="168" t="s">
        <v>402</v>
      </c>
    </row>
    <row r="94" spans="2:5" ht="13" x14ac:dyDescent="0.25">
      <c r="C94" s="3" t="s">
        <v>401</v>
      </c>
      <c r="D94" s="168" t="s">
        <v>403</v>
      </c>
    </row>
    <row r="96" spans="2:5" ht="13" x14ac:dyDescent="0.25">
      <c r="C96" s="3" t="s">
        <v>404</v>
      </c>
      <c r="D96" s="205" t="s">
        <v>295</v>
      </c>
      <c r="E96" s="205" t="s">
        <v>411</v>
      </c>
    </row>
    <row r="97" spans="2:7" ht="65" x14ac:dyDescent="0.25">
      <c r="C97" s="3" t="s">
        <v>405</v>
      </c>
      <c r="D97" s="37" t="s">
        <v>410</v>
      </c>
      <c r="E97" s="37" t="s">
        <v>412</v>
      </c>
      <c r="G97" s="2"/>
    </row>
    <row r="98" spans="2:7" ht="26" x14ac:dyDescent="0.25">
      <c r="C98" s="3" t="s">
        <v>406</v>
      </c>
      <c r="D98" s="168" t="s">
        <v>413</v>
      </c>
      <c r="E98" s="193"/>
    </row>
    <row r="99" spans="2:7" ht="65" x14ac:dyDescent="0.25">
      <c r="C99" s="3" t="s">
        <v>321</v>
      </c>
      <c r="D99" s="168" t="s">
        <v>415</v>
      </c>
      <c r="E99" s="168" t="s">
        <v>414</v>
      </c>
    </row>
    <row r="100" spans="2:7" ht="26" x14ac:dyDescent="0.25">
      <c r="C100" s="3" t="s">
        <v>407</v>
      </c>
      <c r="D100" s="168" t="s">
        <v>416</v>
      </c>
      <c r="E100" s="193"/>
    </row>
    <row r="101" spans="2:7" ht="26" x14ac:dyDescent="0.25">
      <c r="C101" s="3" t="s">
        <v>408</v>
      </c>
      <c r="D101" s="168" t="s">
        <v>418</v>
      </c>
      <c r="E101" s="168" t="s">
        <v>417</v>
      </c>
    </row>
    <row r="104" spans="2:7" ht="13" x14ac:dyDescent="0.25">
      <c r="B104" s="2" t="s">
        <v>425</v>
      </c>
    </row>
    <row r="105" spans="2:7" ht="13" x14ac:dyDescent="0.25">
      <c r="B105" s="209" t="s">
        <v>179</v>
      </c>
      <c r="C105" s="206" t="s">
        <v>426</v>
      </c>
      <c r="D105" s="206" t="s">
        <v>427</v>
      </c>
    </row>
    <row r="106" spans="2:7" ht="52" x14ac:dyDescent="0.25">
      <c r="B106" s="209" t="s">
        <v>428</v>
      </c>
      <c r="C106" s="206" t="s">
        <v>432</v>
      </c>
      <c r="D106" s="37" t="s">
        <v>436</v>
      </c>
    </row>
    <row r="107" spans="2:7" ht="52" x14ac:dyDescent="0.25">
      <c r="B107" s="209" t="s">
        <v>429</v>
      </c>
      <c r="C107" s="206" t="s">
        <v>433</v>
      </c>
      <c r="D107" s="37" t="s">
        <v>437</v>
      </c>
    </row>
    <row r="108" spans="2:7" ht="65" x14ac:dyDescent="0.25">
      <c r="B108" s="209" t="s">
        <v>430</v>
      </c>
      <c r="C108" s="206" t="s">
        <v>434</v>
      </c>
      <c r="D108" s="37" t="s">
        <v>438</v>
      </c>
    </row>
    <row r="109" spans="2:7" ht="52" x14ac:dyDescent="0.25">
      <c r="B109" s="209" t="s">
        <v>431</v>
      </c>
      <c r="C109" s="206" t="s">
        <v>435</v>
      </c>
      <c r="D109" s="168" t="s">
        <v>439</v>
      </c>
    </row>
    <row r="111" spans="2:7" ht="26" x14ac:dyDescent="0.25">
      <c r="B111" s="212" t="s">
        <v>440</v>
      </c>
      <c r="C111" s="212" t="s">
        <v>441</v>
      </c>
    </row>
    <row r="113" spans="2:3" ht="13" x14ac:dyDescent="0.25">
      <c r="B113" s="195" t="s">
        <v>442</v>
      </c>
    </row>
    <row r="114" spans="2:3" ht="13" x14ac:dyDescent="0.25">
      <c r="B114" s="3" t="s">
        <v>443</v>
      </c>
      <c r="C114" s="3" t="s">
        <v>445</v>
      </c>
    </row>
    <row r="115" spans="2:3" ht="13" x14ac:dyDescent="0.25">
      <c r="B115" s="3" t="s">
        <v>446</v>
      </c>
      <c r="C115" s="214" t="s">
        <v>447</v>
      </c>
    </row>
    <row r="116" spans="2:3" ht="13" x14ac:dyDescent="0.25">
      <c r="B116" s="3" t="s">
        <v>448</v>
      </c>
      <c r="C116" s="214" t="s">
        <v>449</v>
      </c>
    </row>
    <row r="117" spans="2:3" ht="13" x14ac:dyDescent="0.25">
      <c r="B117" s="3" t="s">
        <v>450</v>
      </c>
      <c r="C117" s="214" t="s">
        <v>451</v>
      </c>
    </row>
    <row r="118" spans="2:3" ht="13" x14ac:dyDescent="0.25">
      <c r="B118" s="3" t="s">
        <v>452</v>
      </c>
      <c r="C118" s="214" t="s">
        <v>453</v>
      </c>
    </row>
    <row r="120" spans="2:3" ht="13" x14ac:dyDescent="0.25">
      <c r="B120" s="195" t="s">
        <v>454</v>
      </c>
    </row>
    <row r="121" spans="2:3" ht="13" x14ac:dyDescent="0.25">
      <c r="B121" s="1"/>
      <c r="C121" s="3" t="s">
        <v>456</v>
      </c>
    </row>
    <row r="122" spans="2:3" ht="13" x14ac:dyDescent="0.25">
      <c r="B122" s="3" t="s">
        <v>455</v>
      </c>
      <c r="C122" s="214" t="s">
        <v>457</v>
      </c>
    </row>
    <row r="123" spans="2:3" ht="13" x14ac:dyDescent="0.25">
      <c r="B123" s="3" t="s">
        <v>458</v>
      </c>
      <c r="C123" s="215" t="s">
        <v>459</v>
      </c>
    </row>
    <row r="125" spans="2:3" ht="13" x14ac:dyDescent="0.25">
      <c r="B125" s="195" t="s">
        <v>460</v>
      </c>
      <c r="C125" s="6" t="s">
        <v>461</v>
      </c>
    </row>
    <row r="126" spans="2:3" ht="13" x14ac:dyDescent="0.25">
      <c r="B126" s="1"/>
      <c r="C126" s="3" t="s">
        <v>465</v>
      </c>
    </row>
    <row r="127" spans="2:3" ht="13" x14ac:dyDescent="0.25">
      <c r="B127" s="3" t="s">
        <v>463</v>
      </c>
      <c r="C127" s="217" t="s">
        <v>464</v>
      </c>
    </row>
    <row r="128" spans="2:3" ht="13" x14ac:dyDescent="0.25">
      <c r="B128" s="3" t="s">
        <v>462</v>
      </c>
      <c r="C128" s="217" t="s">
        <v>466</v>
      </c>
    </row>
    <row r="130" spans="2:7" ht="13" x14ac:dyDescent="0.25">
      <c r="B130" s="2" t="s">
        <v>467</v>
      </c>
      <c r="C130" s="216" t="s">
        <v>468</v>
      </c>
    </row>
    <row r="132" spans="2:7" ht="13" x14ac:dyDescent="0.25">
      <c r="C132" s="2" t="s">
        <v>470</v>
      </c>
    </row>
    <row r="133" spans="2:7" ht="13" x14ac:dyDescent="0.25">
      <c r="B133" s="2" t="s">
        <v>469</v>
      </c>
      <c r="C133" s="213" t="s">
        <v>471</v>
      </c>
    </row>
    <row r="135" spans="2:7" ht="19" x14ac:dyDescent="0.25">
      <c r="B135" s="198" t="s">
        <v>488</v>
      </c>
    </row>
    <row r="136" spans="2:7" ht="13" x14ac:dyDescent="0.25">
      <c r="B136" s="2" t="s">
        <v>472</v>
      </c>
    </row>
    <row r="137" spans="2:7" ht="13" x14ac:dyDescent="0.25">
      <c r="B137" s="231" t="s">
        <v>598</v>
      </c>
    </row>
    <row r="138" spans="2:7" ht="26" x14ac:dyDescent="0.25">
      <c r="B138" s="1"/>
      <c r="C138" s="206" t="s">
        <v>473</v>
      </c>
      <c r="D138" s="218" t="s">
        <v>596</v>
      </c>
      <c r="E138" s="206" t="s">
        <v>444</v>
      </c>
      <c r="F138" s="206" t="s">
        <v>597</v>
      </c>
      <c r="G138" s="206" t="s">
        <v>444</v>
      </c>
    </row>
    <row r="139" spans="2:7" ht="13" x14ac:dyDescent="0.25">
      <c r="B139" s="3" t="s">
        <v>297</v>
      </c>
      <c r="C139" s="214" t="s">
        <v>474</v>
      </c>
      <c r="D139" s="193">
        <v>7896</v>
      </c>
      <c r="E139" s="219">
        <f>D139/SUM($D$139:$D$141)</f>
        <v>0.56003971912901629</v>
      </c>
      <c r="F139" s="1">
        <v>447470</v>
      </c>
      <c r="G139" s="219">
        <f>F139/SUM($F$139:$F$141)</f>
        <v>0.26999939660894223</v>
      </c>
    </row>
    <row r="140" spans="2:7" ht="13" x14ac:dyDescent="0.25">
      <c r="B140" s="3" t="s">
        <v>298</v>
      </c>
      <c r="C140" s="214" t="s">
        <v>475</v>
      </c>
      <c r="D140" s="193">
        <f>14099-D139-D141</f>
        <v>6062</v>
      </c>
      <c r="E140" s="219">
        <f t="shared" ref="E140:E141" si="0">D140/SUM($D$139:$D$141)</f>
        <v>0.42995957160082277</v>
      </c>
      <c r="F140" s="1">
        <f>1657300-F139-F141</f>
        <v>1115400</v>
      </c>
      <c r="G140" s="219">
        <f t="shared" ref="G140:G141" si="1">F140/SUM($F$139:$F$141)</f>
        <v>0.67302238580824236</v>
      </c>
    </row>
    <row r="141" spans="2:7" ht="13" x14ac:dyDescent="0.25">
      <c r="B141" s="3" t="s">
        <v>300</v>
      </c>
      <c r="C141" s="214" t="s">
        <v>476</v>
      </c>
      <c r="D141" s="193">
        <v>141</v>
      </c>
      <c r="E141" s="219">
        <f t="shared" si="0"/>
        <v>1.0000709270161005E-2</v>
      </c>
      <c r="F141" s="1">
        <v>94430</v>
      </c>
      <c r="G141" s="219">
        <f t="shared" si="1"/>
        <v>5.6978217582815426E-2</v>
      </c>
    </row>
    <row r="142" spans="2:7" ht="13" x14ac:dyDescent="0.25">
      <c r="B142" s="203"/>
      <c r="C142" s="227"/>
      <c r="D142" s="228"/>
      <c r="E142" s="229"/>
      <c r="F142" s="230"/>
      <c r="G142" s="229"/>
    </row>
    <row r="143" spans="2:7" ht="13" x14ac:dyDescent="0.25">
      <c r="B143" s="203"/>
      <c r="C143" s="227"/>
      <c r="D143" s="228"/>
      <c r="E143" s="229"/>
      <c r="F143" s="230"/>
      <c r="G143" s="229"/>
    </row>
    <row r="144" spans="2:7" ht="26" x14ac:dyDescent="0.25">
      <c r="B144" s="1"/>
      <c r="C144" s="206" t="s">
        <v>473</v>
      </c>
      <c r="D144" s="218" t="s">
        <v>599</v>
      </c>
      <c r="E144" s="206" t="s">
        <v>444</v>
      </c>
      <c r="F144" s="206" t="s">
        <v>600</v>
      </c>
      <c r="G144" s="206" t="s">
        <v>444</v>
      </c>
    </row>
    <row r="145" spans="2:7" ht="13" x14ac:dyDescent="0.25">
      <c r="B145" s="3" t="s">
        <v>297</v>
      </c>
      <c r="C145" s="214" t="s">
        <v>474</v>
      </c>
      <c r="D145" s="193">
        <v>7916</v>
      </c>
      <c r="E145" s="219">
        <f>D145/SUM($D$145:$D$147)</f>
        <v>0.55601601460981953</v>
      </c>
      <c r="F145" s="1">
        <v>45.58</v>
      </c>
      <c r="G145" s="219">
        <f>F145/SUM($F$145:$F$147)</f>
        <v>0.27237958647065846</v>
      </c>
    </row>
    <row r="146" spans="2:7" ht="13" x14ac:dyDescent="0.25">
      <c r="B146" s="3" t="s">
        <v>298</v>
      </c>
      <c r="C146" s="214" t="s">
        <v>475</v>
      </c>
      <c r="D146" s="193">
        <f>612+1216+4348</f>
        <v>6176</v>
      </c>
      <c r="E146" s="219">
        <f t="shared" ref="E146:E147" si="2">D146/SUM($D$145:$D$147)</f>
        <v>0.43379925546112241</v>
      </c>
      <c r="F146" s="1">
        <f>22.48+29.17+59.56</f>
        <v>111.21000000000001</v>
      </c>
      <c r="G146" s="219">
        <f t="shared" ref="G146:G147" si="3">F146/SUM($F$145:$F$147)</f>
        <v>0.66457511652922185</v>
      </c>
    </row>
    <row r="147" spans="2:7" ht="13" x14ac:dyDescent="0.25">
      <c r="B147" s="3" t="s">
        <v>300</v>
      </c>
      <c r="C147" s="214" t="s">
        <v>476</v>
      </c>
      <c r="D147" s="193">
        <v>145</v>
      </c>
      <c r="E147" s="219">
        <f t="shared" si="2"/>
        <v>1.0184729929058087E-2</v>
      </c>
      <c r="F147" s="1">
        <v>10.55</v>
      </c>
      <c r="G147" s="219">
        <f t="shared" si="3"/>
        <v>6.3045297000119516E-2</v>
      </c>
    </row>
    <row r="148" spans="2:7" ht="13" x14ac:dyDescent="0.25">
      <c r="B148" s="203"/>
      <c r="C148" s="227"/>
      <c r="D148" s="228"/>
      <c r="E148" s="229"/>
      <c r="F148" s="230"/>
      <c r="G148" s="229"/>
    </row>
    <row r="149" spans="2:7" ht="13" x14ac:dyDescent="0.25">
      <c r="B149" s="203"/>
      <c r="C149" s="227"/>
      <c r="D149" s="228"/>
      <c r="E149" s="229"/>
      <c r="F149" s="230"/>
      <c r="G149" s="229"/>
    </row>
    <row r="150" spans="2:7" ht="13" x14ac:dyDescent="0.25">
      <c r="B150" s="203"/>
      <c r="C150" s="227"/>
      <c r="D150" s="228"/>
      <c r="E150" s="229"/>
      <c r="F150" s="230"/>
      <c r="G150" s="229"/>
    </row>
    <row r="152" spans="2:7" ht="13.5" x14ac:dyDescent="0.25">
      <c r="B152" s="209" t="s">
        <v>477</v>
      </c>
      <c r="C152" s="209" t="s">
        <v>478</v>
      </c>
      <c r="D152" s="221" t="s">
        <v>486</v>
      </c>
    </row>
    <row r="153" spans="2:7" ht="13" x14ac:dyDescent="0.25">
      <c r="B153" s="314" t="s">
        <v>479</v>
      </c>
      <c r="C153" s="209" t="s">
        <v>480</v>
      </c>
      <c r="D153" s="315" t="s">
        <v>487</v>
      </c>
    </row>
    <row r="154" spans="2:7" ht="13.4" customHeight="1" x14ac:dyDescent="0.25">
      <c r="B154" s="314"/>
      <c r="C154" s="314" t="s">
        <v>481</v>
      </c>
      <c r="D154" s="315"/>
    </row>
    <row r="155" spans="2:7" ht="13.75" customHeight="1" x14ac:dyDescent="0.25">
      <c r="B155" s="314"/>
      <c r="C155" s="314"/>
      <c r="D155" s="315"/>
    </row>
    <row r="156" spans="2:7" ht="13" x14ac:dyDescent="0.25">
      <c r="B156" s="314"/>
      <c r="C156" s="209" t="s">
        <v>482</v>
      </c>
      <c r="D156" s="315"/>
    </row>
    <row r="157" spans="2:7" ht="13.5" x14ac:dyDescent="0.25">
      <c r="B157" s="314"/>
      <c r="C157" s="209" t="s">
        <v>483</v>
      </c>
      <c r="D157" s="221" t="s">
        <v>342</v>
      </c>
    </row>
    <row r="158" spans="2:7" ht="13.75" customHeight="1" x14ac:dyDescent="0.25">
      <c r="B158" s="314"/>
      <c r="C158" s="209" t="s">
        <v>484</v>
      </c>
      <c r="D158" s="315" t="s">
        <v>406</v>
      </c>
    </row>
    <row r="159" spans="2:7" ht="13.75" customHeight="1" x14ac:dyDescent="0.25">
      <c r="B159" s="314"/>
      <c r="C159" s="209" t="s">
        <v>485</v>
      </c>
      <c r="D159" s="315"/>
    </row>
    <row r="161" spans="2:6" ht="13" x14ac:dyDescent="0.25">
      <c r="B161" s="1"/>
      <c r="C161" s="3" t="s">
        <v>489</v>
      </c>
      <c r="D161" s="168" t="s">
        <v>411</v>
      </c>
    </row>
    <row r="162" spans="2:6" ht="26" x14ac:dyDescent="0.25">
      <c r="B162" s="168" t="s">
        <v>321</v>
      </c>
      <c r="C162" s="222" t="s">
        <v>490</v>
      </c>
      <c r="D162" s="168" t="s">
        <v>491</v>
      </c>
    </row>
    <row r="163" spans="2:6" ht="52" x14ac:dyDescent="0.25">
      <c r="B163" s="3" t="s">
        <v>405</v>
      </c>
      <c r="C163" s="37" t="s">
        <v>492</v>
      </c>
      <c r="D163" s="194" t="s">
        <v>228</v>
      </c>
    </row>
    <row r="164" spans="2:6" ht="13" x14ac:dyDescent="0.25">
      <c r="B164" s="3" t="s">
        <v>408</v>
      </c>
      <c r="C164" s="3" t="s">
        <v>493</v>
      </c>
      <c r="D164" s="194" t="s">
        <v>494</v>
      </c>
    </row>
    <row r="168" spans="2:6" ht="13" x14ac:dyDescent="0.25">
      <c r="B168" s="195" t="s">
        <v>495</v>
      </c>
    </row>
    <row r="169" spans="2:6" ht="13" x14ac:dyDescent="0.25">
      <c r="B169" s="1"/>
      <c r="C169" s="15" t="s">
        <v>496</v>
      </c>
      <c r="D169" s="37" t="s">
        <v>498</v>
      </c>
      <c r="E169" s="37" t="s">
        <v>500</v>
      </c>
      <c r="F169" s="168" t="s">
        <v>501</v>
      </c>
    </row>
    <row r="170" spans="2:6" ht="13" x14ac:dyDescent="0.25">
      <c r="B170" s="3" t="s">
        <v>504</v>
      </c>
      <c r="C170" s="223" t="s">
        <v>497</v>
      </c>
      <c r="D170" s="223" t="s">
        <v>499</v>
      </c>
      <c r="E170" s="223" t="s">
        <v>502</v>
      </c>
      <c r="F170" s="223" t="s">
        <v>503</v>
      </c>
    </row>
    <row r="172" spans="2:6" ht="13" x14ac:dyDescent="0.25">
      <c r="B172" s="195" t="s">
        <v>505</v>
      </c>
    </row>
    <row r="173" spans="2:6" ht="13" x14ac:dyDescent="0.25">
      <c r="B173" s="1"/>
      <c r="C173" s="3" t="s">
        <v>506</v>
      </c>
      <c r="D173" s="168" t="s">
        <v>317</v>
      </c>
      <c r="E173" s="168" t="s">
        <v>318</v>
      </c>
      <c r="F173" s="3" t="s">
        <v>321</v>
      </c>
    </row>
    <row r="174" spans="2:6" ht="26" x14ac:dyDescent="0.25">
      <c r="B174" s="37" t="s">
        <v>507</v>
      </c>
      <c r="C174" s="223" t="s">
        <v>508</v>
      </c>
      <c r="D174" s="223" t="s">
        <v>509</v>
      </c>
      <c r="E174" s="223" t="s">
        <v>509</v>
      </c>
      <c r="F174" s="223" t="s">
        <v>510</v>
      </c>
    </row>
    <row r="176" spans="2:6" ht="13" x14ac:dyDescent="0.25">
      <c r="B176" s="2" t="s">
        <v>460</v>
      </c>
    </row>
    <row r="177" spans="2:8" ht="13" x14ac:dyDescent="0.25">
      <c r="B177" s="310" t="s">
        <v>486</v>
      </c>
      <c r="C177" s="307" t="s">
        <v>513</v>
      </c>
      <c r="D177" s="308"/>
      <c r="E177" s="308"/>
      <c r="F177" s="308"/>
      <c r="G177" s="308"/>
      <c r="H177" s="309"/>
    </row>
    <row r="178" spans="2:8" x14ac:dyDescent="0.25">
      <c r="B178" s="311"/>
      <c r="C178" s="224">
        <v>100</v>
      </c>
      <c r="D178" s="207">
        <v>200</v>
      </c>
      <c r="E178" s="207">
        <v>300</v>
      </c>
      <c r="F178" s="224">
        <v>400</v>
      </c>
      <c r="G178" s="224">
        <v>500</v>
      </c>
      <c r="H178" s="224">
        <v>600</v>
      </c>
    </row>
    <row r="179" spans="2:8" ht="13" x14ac:dyDescent="0.25">
      <c r="B179" s="3" t="s">
        <v>511</v>
      </c>
      <c r="C179" s="224">
        <v>150</v>
      </c>
      <c r="D179" s="207">
        <v>260</v>
      </c>
      <c r="E179" s="207">
        <v>350</v>
      </c>
      <c r="F179" s="224">
        <v>450</v>
      </c>
      <c r="G179" s="224">
        <v>500</v>
      </c>
      <c r="H179" s="224">
        <v>650</v>
      </c>
    </row>
    <row r="180" spans="2:8" ht="13" x14ac:dyDescent="0.25">
      <c r="B180" s="3" t="s">
        <v>512</v>
      </c>
      <c r="C180" s="224">
        <v>250</v>
      </c>
      <c r="D180" s="207">
        <v>400</v>
      </c>
      <c r="E180" s="207">
        <v>500</v>
      </c>
      <c r="F180" s="224">
        <v>600</v>
      </c>
      <c r="G180" s="224">
        <v>650</v>
      </c>
      <c r="H180" s="224">
        <v>700</v>
      </c>
    </row>
    <row r="182" spans="2:8" ht="13" x14ac:dyDescent="0.25">
      <c r="B182" s="2" t="s">
        <v>514</v>
      </c>
    </row>
    <row r="183" spans="2:8" ht="13" x14ac:dyDescent="0.25">
      <c r="B183" s="1"/>
      <c r="C183" s="3" t="s">
        <v>518</v>
      </c>
      <c r="D183" s="168" t="s">
        <v>519</v>
      </c>
    </row>
    <row r="184" spans="2:8" ht="39" x14ac:dyDescent="0.25">
      <c r="B184" s="3" t="s">
        <v>516</v>
      </c>
      <c r="C184" s="37" t="s">
        <v>522</v>
      </c>
      <c r="D184" s="37" t="s">
        <v>521</v>
      </c>
    </row>
    <row r="185" spans="2:8" ht="39" x14ac:dyDescent="0.25">
      <c r="B185" s="3" t="s">
        <v>517</v>
      </c>
      <c r="C185" s="37" t="s">
        <v>523</v>
      </c>
      <c r="D185" s="37" t="s">
        <v>520</v>
      </c>
    </row>
    <row r="187" spans="2:8" ht="13" x14ac:dyDescent="0.25">
      <c r="B187" s="225" t="s">
        <v>524</v>
      </c>
    </row>
    <row r="188" spans="2:8" ht="13" x14ac:dyDescent="0.25">
      <c r="B188" s="3" t="s">
        <v>525</v>
      </c>
      <c r="C188" s="3" t="s">
        <v>527</v>
      </c>
      <c r="D188" s="168" t="s">
        <v>529</v>
      </c>
      <c r="E188" s="168" t="s">
        <v>357</v>
      </c>
      <c r="F188" s="3" t="s">
        <v>533</v>
      </c>
      <c r="G188" s="3" t="s">
        <v>535</v>
      </c>
      <c r="H188" s="3" t="s">
        <v>538</v>
      </c>
    </row>
    <row r="189" spans="2:8" ht="13" x14ac:dyDescent="0.25">
      <c r="B189" s="3" t="s">
        <v>526</v>
      </c>
      <c r="C189" s="3" t="s">
        <v>528</v>
      </c>
      <c r="D189" s="168" t="s">
        <v>530</v>
      </c>
      <c r="E189" s="37" t="s">
        <v>532</v>
      </c>
      <c r="F189" s="214" t="s">
        <v>534</v>
      </c>
      <c r="G189" s="214" t="s">
        <v>536</v>
      </c>
      <c r="H189" s="214" t="s">
        <v>539</v>
      </c>
    </row>
    <row r="190" spans="2:8" ht="13" x14ac:dyDescent="0.25">
      <c r="B190" s="3" t="s">
        <v>540</v>
      </c>
      <c r="C190" s="3" t="s">
        <v>541</v>
      </c>
      <c r="D190" s="168" t="s">
        <v>542</v>
      </c>
      <c r="E190" s="37" t="s">
        <v>543</v>
      </c>
      <c r="F190" s="214" t="s">
        <v>544</v>
      </c>
      <c r="G190" s="214" t="s">
        <v>545</v>
      </c>
      <c r="H190" s="214" t="s">
        <v>546</v>
      </c>
    </row>
    <row r="191" spans="2:8" ht="13" x14ac:dyDescent="0.25">
      <c r="B191" s="3" t="s">
        <v>547</v>
      </c>
      <c r="C191" s="3" t="s">
        <v>548</v>
      </c>
      <c r="D191" s="168" t="s">
        <v>549</v>
      </c>
      <c r="E191" s="37" t="s">
        <v>550</v>
      </c>
      <c r="F191" s="214" t="s">
        <v>544</v>
      </c>
      <c r="G191" s="214" t="s">
        <v>228</v>
      </c>
      <c r="H191" s="214" t="s">
        <v>228</v>
      </c>
    </row>
    <row r="192" spans="2:8" ht="13" x14ac:dyDescent="0.25">
      <c r="B192" s="3" t="s">
        <v>551</v>
      </c>
      <c r="C192" s="3" t="s">
        <v>552</v>
      </c>
      <c r="D192" s="168" t="s">
        <v>553</v>
      </c>
      <c r="E192" s="37" t="s">
        <v>554</v>
      </c>
      <c r="F192" s="214" t="s">
        <v>555</v>
      </c>
      <c r="G192" s="214" t="s">
        <v>556</v>
      </c>
      <c r="H192" s="214" t="s">
        <v>557</v>
      </c>
    </row>
    <row r="193" spans="2:8" ht="26" x14ac:dyDescent="0.25">
      <c r="B193" s="3" t="s">
        <v>558</v>
      </c>
      <c r="C193" s="168" t="s">
        <v>560</v>
      </c>
      <c r="D193" s="3" t="s">
        <v>559</v>
      </c>
      <c r="E193" s="194" t="s">
        <v>228</v>
      </c>
      <c r="F193" s="194" t="s">
        <v>228</v>
      </c>
      <c r="G193" s="194" t="s">
        <v>228</v>
      </c>
      <c r="H193" s="194" t="s">
        <v>228</v>
      </c>
    </row>
    <row r="195" spans="2:8" ht="13" x14ac:dyDescent="0.25">
      <c r="B195" s="2" t="s">
        <v>561</v>
      </c>
      <c r="C195" s="2" t="s">
        <v>562</v>
      </c>
    </row>
    <row r="196" spans="2:8" ht="13" x14ac:dyDescent="0.25">
      <c r="B196" s="2" t="s">
        <v>563</v>
      </c>
      <c r="C196" s="2" t="s">
        <v>564</v>
      </c>
    </row>
    <row r="198" spans="2:8" ht="13" x14ac:dyDescent="0.25">
      <c r="B198" s="209" t="s">
        <v>565</v>
      </c>
      <c r="C198" s="209" t="s">
        <v>566</v>
      </c>
      <c r="D198" s="209" t="s">
        <v>565</v>
      </c>
      <c r="E198" s="209" t="s">
        <v>566</v>
      </c>
    </row>
    <row r="199" spans="2:8" ht="13" x14ac:dyDescent="0.25">
      <c r="B199" s="3" t="s">
        <v>567</v>
      </c>
      <c r="C199" s="223" t="s">
        <v>568</v>
      </c>
      <c r="D199" s="168" t="s">
        <v>573</v>
      </c>
      <c r="E199" s="223" t="s">
        <v>575</v>
      </c>
    </row>
    <row r="200" spans="2:8" ht="13" x14ac:dyDescent="0.25">
      <c r="B200" s="3" t="s">
        <v>571</v>
      </c>
      <c r="C200" s="223" t="s">
        <v>569</v>
      </c>
      <c r="D200" s="168" t="s">
        <v>574</v>
      </c>
      <c r="E200" s="223" t="s">
        <v>576</v>
      </c>
    </row>
    <row r="201" spans="2:8" ht="13" x14ac:dyDescent="0.25">
      <c r="B201" s="3" t="s">
        <v>572</v>
      </c>
      <c r="C201" s="223" t="s">
        <v>570</v>
      </c>
      <c r="D201" s="168" t="s">
        <v>577</v>
      </c>
      <c r="E201" s="223" t="s">
        <v>578</v>
      </c>
    </row>
    <row r="204" spans="2:8" ht="19" x14ac:dyDescent="0.25">
      <c r="B204" s="198" t="s">
        <v>579</v>
      </c>
    </row>
    <row r="205" spans="2:8" ht="13" x14ac:dyDescent="0.25">
      <c r="B205" s="206" t="s">
        <v>588</v>
      </c>
      <c r="C205" s="206" t="s">
        <v>587</v>
      </c>
    </row>
    <row r="206" spans="2:8" ht="26" x14ac:dyDescent="0.25">
      <c r="B206" s="168" t="s">
        <v>580</v>
      </c>
      <c r="C206" s="37" t="s">
        <v>581</v>
      </c>
    </row>
    <row r="207" spans="2:8" ht="13" x14ac:dyDescent="0.25">
      <c r="B207" s="168" t="s">
        <v>582</v>
      </c>
      <c r="C207" s="168" t="s">
        <v>583</v>
      </c>
    </row>
    <row r="208" spans="2:8" ht="13" x14ac:dyDescent="0.25">
      <c r="B208" s="168" t="s">
        <v>342</v>
      </c>
      <c r="C208" s="168" t="s">
        <v>584</v>
      </c>
    </row>
    <row r="209" spans="2:4" ht="13" x14ac:dyDescent="0.25">
      <c r="B209" s="168" t="s">
        <v>343</v>
      </c>
      <c r="C209" s="168" t="s">
        <v>585</v>
      </c>
    </row>
    <row r="210" spans="2:4" ht="52" x14ac:dyDescent="0.25">
      <c r="B210" s="168" t="s">
        <v>321</v>
      </c>
      <c r="C210" s="168" t="s">
        <v>586</v>
      </c>
    </row>
    <row r="212" spans="2:4" ht="13" x14ac:dyDescent="0.25">
      <c r="B212" s="209" t="s">
        <v>294</v>
      </c>
      <c r="C212" s="209" t="s">
        <v>513</v>
      </c>
    </row>
    <row r="213" spans="2:4" ht="13" x14ac:dyDescent="0.25">
      <c r="B213" s="3" t="s">
        <v>301</v>
      </c>
      <c r="C213" s="226" t="s">
        <v>589</v>
      </c>
    </row>
    <row r="214" spans="2:4" ht="13" x14ac:dyDescent="0.25">
      <c r="B214" s="3" t="s">
        <v>300</v>
      </c>
      <c r="C214" s="226" t="s">
        <v>590</v>
      </c>
    </row>
    <row r="215" spans="2:4" ht="13" x14ac:dyDescent="0.25">
      <c r="B215" s="3" t="s">
        <v>299</v>
      </c>
      <c r="C215" s="226" t="s">
        <v>591</v>
      </c>
    </row>
    <row r="216" spans="2:4" ht="13" x14ac:dyDescent="0.25">
      <c r="B216" s="3" t="s">
        <v>298</v>
      </c>
      <c r="C216" s="226" t="s">
        <v>592</v>
      </c>
    </row>
    <row r="217" spans="2:4" ht="26" x14ac:dyDescent="0.25">
      <c r="B217" s="3" t="s">
        <v>593</v>
      </c>
      <c r="C217" s="226" t="s">
        <v>594</v>
      </c>
      <c r="D217" s="210" t="s">
        <v>595</v>
      </c>
    </row>
  </sheetData>
  <mergeCells count="19">
    <mergeCell ref="B10:B16"/>
    <mergeCell ref="B20:B24"/>
    <mergeCell ref="B27:B33"/>
    <mergeCell ref="B36:B41"/>
    <mergeCell ref="C44:C46"/>
    <mergeCell ref="B44:B47"/>
    <mergeCell ref="C43:D43"/>
    <mergeCell ref="E14:E16"/>
    <mergeCell ref="E10:E11"/>
    <mergeCell ref="E12:E13"/>
    <mergeCell ref="C11:C12"/>
    <mergeCell ref="D11:D12"/>
    <mergeCell ref="C177:H177"/>
    <mergeCell ref="B177:B178"/>
    <mergeCell ref="E76:E77"/>
    <mergeCell ref="B153:B159"/>
    <mergeCell ref="C154:C155"/>
    <mergeCell ref="D158:D159"/>
    <mergeCell ref="D153:D156"/>
  </mergeCells>
  <phoneticPr fontId="7" type="noConversion"/>
  <hyperlinks>
    <hyperlink ref="B7" r:id="rId1" xr:uid="{9E904B1C-C45E-4586-9A16-4C120126F9B6}"/>
    <hyperlink ref="B8" r:id="rId2" xr:uid="{09656F27-E333-4F6A-AF75-6398D971B92F}"/>
  </hyperlinks>
  <pageMargins left="0.7" right="0.7" top="0.75" bottom="0.75" header="0.3" footer="0.3"/>
  <pageSetup paperSize="9" orientation="portrait" r:id="rId3"/>
  <drawing r:id="rId4"/>
  <legacy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A5B65-E44D-4BD2-BFAE-1454BA67CA4A}">
  <dimension ref="A1:I44"/>
  <sheetViews>
    <sheetView workbookViewId="0">
      <selection activeCell="C31" sqref="C31"/>
    </sheetView>
  </sheetViews>
  <sheetFormatPr defaultColWidth="8.81640625" defaultRowHeight="12.5" x14ac:dyDescent="0.25"/>
  <cols>
    <col min="1" max="1" width="18.81640625" style="22" bestFit="1" customWidth="1"/>
    <col min="2" max="16384" width="8.81640625" style="22"/>
  </cols>
  <sheetData>
    <row r="1" spans="1:9" ht="15.5" x14ac:dyDescent="0.25">
      <c r="A1" s="247" t="s">
        <v>616</v>
      </c>
      <c r="B1" s="247"/>
      <c r="C1" s="247"/>
      <c r="D1" s="247"/>
      <c r="E1" s="247"/>
      <c r="F1" s="247"/>
      <c r="G1" s="247"/>
      <c r="H1" s="247"/>
    </row>
    <row r="2" spans="1:9" ht="21" x14ac:dyDescent="0.25">
      <c r="A2" s="248" t="s">
        <v>617</v>
      </c>
      <c r="B2" s="249"/>
      <c r="C2" s="249"/>
      <c r="D2" s="249"/>
      <c r="E2" s="249"/>
      <c r="F2" s="249"/>
      <c r="G2" s="249"/>
      <c r="H2" s="249"/>
    </row>
    <row r="3" spans="1:9" ht="13" thickBot="1" x14ac:dyDescent="0.3">
      <c r="A3" s="232" t="s">
        <v>601</v>
      </c>
      <c r="B3" s="233" t="s">
        <v>602</v>
      </c>
      <c r="C3" s="234" t="s">
        <v>603</v>
      </c>
      <c r="D3" s="234" t="s">
        <v>515</v>
      </c>
      <c r="E3" s="234" t="s">
        <v>604</v>
      </c>
      <c r="F3" s="234" t="s">
        <v>605</v>
      </c>
      <c r="G3" s="234" t="s">
        <v>606</v>
      </c>
      <c r="H3" s="234" t="s">
        <v>607</v>
      </c>
    </row>
    <row r="4" spans="1:9" x14ac:dyDescent="0.25">
      <c r="A4" s="235" t="s">
        <v>618</v>
      </c>
      <c r="B4" s="240" t="s">
        <v>619</v>
      </c>
      <c r="C4" s="237">
        <v>2490.1999999999998</v>
      </c>
      <c r="D4" s="241">
        <v>2331.88</v>
      </c>
      <c r="E4" s="237">
        <v>1035.06</v>
      </c>
      <c r="F4" s="237">
        <v>101.68</v>
      </c>
      <c r="G4" s="237">
        <v>0.91</v>
      </c>
      <c r="H4" s="237">
        <v>5959.73</v>
      </c>
    </row>
    <row r="5" spans="1:9" ht="13" thickBot="1" x14ac:dyDescent="0.3">
      <c r="A5" s="242" t="s">
        <v>620</v>
      </c>
      <c r="B5" s="243" t="s">
        <v>619</v>
      </c>
      <c r="C5" s="244">
        <v>1851.35</v>
      </c>
      <c r="D5" s="244">
        <v>1634.14</v>
      </c>
      <c r="E5" s="244">
        <v>761.18</v>
      </c>
      <c r="F5" s="244">
        <v>73.72</v>
      </c>
      <c r="G5" s="244">
        <v>0.86</v>
      </c>
      <c r="H5" s="244">
        <v>4321.25</v>
      </c>
    </row>
    <row r="6" spans="1:9" x14ac:dyDescent="0.25">
      <c r="A6" s="235" t="s">
        <v>621</v>
      </c>
      <c r="B6" s="236" t="s">
        <v>619</v>
      </c>
      <c r="C6" s="237">
        <v>474.55</v>
      </c>
      <c r="D6" s="237">
        <v>453.52</v>
      </c>
      <c r="E6" s="237">
        <v>263.22000000000003</v>
      </c>
      <c r="F6" s="237">
        <v>29.78</v>
      </c>
      <c r="G6" s="237">
        <v>0.46</v>
      </c>
      <c r="H6" s="237">
        <v>1221.53</v>
      </c>
    </row>
    <row r="7" spans="1:9" x14ac:dyDescent="0.25">
      <c r="A7" s="235" t="s">
        <v>622</v>
      </c>
      <c r="B7" s="236" t="s">
        <v>619</v>
      </c>
      <c r="C7" s="238">
        <v>192.11</v>
      </c>
      <c r="D7" s="238">
        <v>176.32</v>
      </c>
      <c r="E7" s="238">
        <v>106.27</v>
      </c>
      <c r="F7" s="238">
        <v>12.79</v>
      </c>
      <c r="G7" s="238">
        <v>0.18</v>
      </c>
      <c r="H7" s="238">
        <v>487.68</v>
      </c>
    </row>
    <row r="8" spans="1:9" x14ac:dyDescent="0.25">
      <c r="A8" s="235" t="s">
        <v>623</v>
      </c>
      <c r="B8" s="239" t="s">
        <v>613</v>
      </c>
      <c r="C8" s="238">
        <v>40.479999999999997</v>
      </c>
      <c r="D8" s="238">
        <v>38.880000000000003</v>
      </c>
      <c r="E8" s="238">
        <v>40.369999999999997</v>
      </c>
      <c r="F8" s="238">
        <v>42.96</v>
      </c>
      <c r="G8" s="238">
        <v>40.75</v>
      </c>
      <c r="H8" s="238">
        <v>39.92</v>
      </c>
      <c r="I8" s="260">
        <f>C8</f>
        <v>40.479999999999997</v>
      </c>
    </row>
    <row r="9" spans="1:9" x14ac:dyDescent="0.25">
      <c r="A9" s="235" t="s">
        <v>245</v>
      </c>
      <c r="B9" s="236" t="s">
        <v>619</v>
      </c>
      <c r="C9" s="238">
        <v>196.33</v>
      </c>
      <c r="D9" s="238">
        <v>190.77</v>
      </c>
      <c r="E9" s="238">
        <v>110.07</v>
      </c>
      <c r="F9" s="238">
        <v>11.08</v>
      </c>
      <c r="G9" s="238">
        <v>0.25</v>
      </c>
      <c r="H9" s="238">
        <v>508.5</v>
      </c>
    </row>
    <row r="10" spans="1:9" x14ac:dyDescent="0.25">
      <c r="A10" s="235" t="s">
        <v>623</v>
      </c>
      <c r="B10" s="239" t="s">
        <v>613</v>
      </c>
      <c r="C10" s="238">
        <v>41.37</v>
      </c>
      <c r="D10" s="238">
        <v>42.06</v>
      </c>
      <c r="E10" s="238">
        <v>41.82</v>
      </c>
      <c r="F10" s="238">
        <v>37.21</v>
      </c>
      <c r="G10" s="238">
        <v>56.02</v>
      </c>
      <c r="H10" s="238">
        <v>41.63</v>
      </c>
      <c r="I10" s="260">
        <f>C10</f>
        <v>41.37</v>
      </c>
    </row>
    <row r="11" spans="1:9" x14ac:dyDescent="0.25">
      <c r="A11" s="235" t="s">
        <v>624</v>
      </c>
      <c r="B11" s="236" t="s">
        <v>619</v>
      </c>
      <c r="C11" s="238">
        <v>-37.72</v>
      </c>
      <c r="D11" s="238">
        <v>-75.02</v>
      </c>
      <c r="E11" s="238">
        <v>-33.61</v>
      </c>
      <c r="F11" s="238">
        <v>-2.1800000000000002</v>
      </c>
      <c r="G11" s="238">
        <v>0.03</v>
      </c>
      <c r="H11" s="238">
        <v>-148.5</v>
      </c>
    </row>
    <row r="12" spans="1:9" x14ac:dyDescent="0.25">
      <c r="A12" s="235" t="s">
        <v>78</v>
      </c>
      <c r="B12" s="236" t="s">
        <v>619</v>
      </c>
      <c r="C12" s="238">
        <v>-31.76</v>
      </c>
      <c r="D12" s="238">
        <v>-60.08</v>
      </c>
      <c r="E12" s="238">
        <v>-22.68</v>
      </c>
      <c r="F12" s="238">
        <v>-1.2</v>
      </c>
      <c r="G12" s="238">
        <v>0.03</v>
      </c>
      <c r="H12" s="238">
        <v>-115.69</v>
      </c>
    </row>
    <row r="13" spans="1:9" ht="13" thickBot="1" x14ac:dyDescent="0.3">
      <c r="A13" s="242" t="s">
        <v>625</v>
      </c>
      <c r="B13" s="245" t="s">
        <v>619</v>
      </c>
      <c r="C13" s="244">
        <v>25.36</v>
      </c>
      <c r="D13" s="244">
        <v>20.65</v>
      </c>
      <c r="E13" s="244">
        <v>10.65</v>
      </c>
      <c r="F13" s="244">
        <v>2.89</v>
      </c>
      <c r="G13" s="244">
        <v>0.02</v>
      </c>
      <c r="H13" s="244">
        <v>59.57</v>
      </c>
    </row>
    <row r="14" spans="1:9" x14ac:dyDescent="0.25">
      <c r="A14" s="235" t="s">
        <v>614</v>
      </c>
      <c r="B14" s="236" t="s">
        <v>615</v>
      </c>
      <c r="C14" s="237">
        <v>22.44</v>
      </c>
      <c r="D14" s="237">
        <v>29.93</v>
      </c>
      <c r="E14" s="237">
        <v>20.73</v>
      </c>
      <c r="F14" s="237">
        <v>2.54</v>
      </c>
      <c r="G14" s="237">
        <v>0.04</v>
      </c>
      <c r="H14" s="237">
        <v>75.680000000000007</v>
      </c>
    </row>
    <row r="15" spans="1:9" ht="13" thickBot="1" x14ac:dyDescent="0.3">
      <c r="A15" s="242" t="s">
        <v>626</v>
      </c>
      <c r="B15" s="245" t="s">
        <v>615</v>
      </c>
      <c r="C15" s="244">
        <v>7.68</v>
      </c>
      <c r="D15" s="244">
        <v>7.57</v>
      </c>
      <c r="E15" s="244">
        <v>4.1399999999999997</v>
      </c>
      <c r="F15" s="244">
        <v>0.43</v>
      </c>
      <c r="G15" s="244">
        <v>0.01</v>
      </c>
      <c r="H15" s="244">
        <v>19.82</v>
      </c>
    </row>
    <row r="16" spans="1:9" x14ac:dyDescent="0.25">
      <c r="A16" s="235" t="s">
        <v>531</v>
      </c>
      <c r="B16" s="236" t="s">
        <v>608</v>
      </c>
      <c r="C16" s="237">
        <v>26.4</v>
      </c>
      <c r="D16" s="237">
        <v>43.75</v>
      </c>
      <c r="E16" s="237">
        <v>39.520000000000003</v>
      </c>
      <c r="F16" s="237">
        <v>6.23</v>
      </c>
      <c r="G16" s="237">
        <v>0.16</v>
      </c>
      <c r="H16" s="237">
        <v>116.06</v>
      </c>
    </row>
    <row r="17" spans="1:8" x14ac:dyDescent="0.25">
      <c r="A17" s="235" t="s">
        <v>609</v>
      </c>
      <c r="B17" s="236" t="s">
        <v>610</v>
      </c>
      <c r="C17" s="238">
        <v>39.21</v>
      </c>
      <c r="D17" s="238">
        <v>71.36</v>
      </c>
      <c r="E17" s="238">
        <v>68.73</v>
      </c>
      <c r="F17" s="238">
        <v>11.08</v>
      </c>
      <c r="G17" s="238">
        <v>0.3</v>
      </c>
      <c r="H17" s="238">
        <v>190.68</v>
      </c>
    </row>
    <row r="18" spans="1:8" x14ac:dyDescent="0.25">
      <c r="A18" s="235" t="s">
        <v>627</v>
      </c>
      <c r="B18" s="236" t="s">
        <v>628</v>
      </c>
      <c r="C18" s="238">
        <v>9170.15</v>
      </c>
      <c r="D18" s="238">
        <v>15025.19</v>
      </c>
      <c r="E18" s="238">
        <v>13566.44</v>
      </c>
      <c r="F18" s="238">
        <v>2047.29</v>
      </c>
      <c r="G18" s="238">
        <v>43.51</v>
      </c>
      <c r="H18" s="238">
        <v>39852.58</v>
      </c>
    </row>
    <row r="19" spans="1:8" ht="13" thickBot="1" x14ac:dyDescent="0.3">
      <c r="A19" s="242" t="s">
        <v>629</v>
      </c>
      <c r="B19" s="245" t="s">
        <v>628</v>
      </c>
      <c r="C19" s="244">
        <v>3702.93</v>
      </c>
      <c r="D19" s="244">
        <v>5873.37</v>
      </c>
      <c r="E19" s="244">
        <v>5153.5200000000004</v>
      </c>
      <c r="F19" s="244">
        <v>790.51</v>
      </c>
      <c r="G19" s="244">
        <v>15.55</v>
      </c>
      <c r="H19" s="244">
        <v>15535.88</v>
      </c>
    </row>
    <row r="20" spans="1:8" x14ac:dyDescent="0.25">
      <c r="A20" s="235" t="s">
        <v>537</v>
      </c>
      <c r="B20" s="236" t="s">
        <v>611</v>
      </c>
      <c r="C20" s="237">
        <v>518.80999999999995</v>
      </c>
      <c r="D20" s="237">
        <v>300.20999999999998</v>
      </c>
      <c r="E20" s="237">
        <v>206.21</v>
      </c>
      <c r="F20" s="237">
        <v>161.85</v>
      </c>
      <c r="G20" s="237">
        <v>117.28</v>
      </c>
      <c r="H20" s="237">
        <v>313.91000000000003</v>
      </c>
    </row>
    <row r="21" spans="1:8" x14ac:dyDescent="0.25">
      <c r="A21" s="235" t="s">
        <v>612</v>
      </c>
      <c r="B21" s="239" t="s">
        <v>613</v>
      </c>
      <c r="C21" s="238">
        <v>40.380000000000003</v>
      </c>
      <c r="D21" s="238">
        <v>39.090000000000003</v>
      </c>
      <c r="E21" s="238">
        <v>37.99</v>
      </c>
      <c r="F21" s="238">
        <v>38.61</v>
      </c>
      <c r="G21" s="238">
        <v>35.74</v>
      </c>
      <c r="H21" s="238">
        <v>38.979999999999997</v>
      </c>
    </row>
    <row r="22" spans="1:8" x14ac:dyDescent="0.25">
      <c r="A22" s="235" t="s">
        <v>630</v>
      </c>
      <c r="B22" s="236" t="s">
        <v>631</v>
      </c>
      <c r="C22" s="238">
        <v>209.5</v>
      </c>
      <c r="D22" s="238">
        <v>117.35</v>
      </c>
      <c r="E22" s="238">
        <v>78.33</v>
      </c>
      <c r="F22" s="238">
        <v>62.5</v>
      </c>
      <c r="G22" s="238">
        <v>41.92</v>
      </c>
      <c r="H22" s="238">
        <v>122.37</v>
      </c>
    </row>
    <row r="23" spans="1:8" x14ac:dyDescent="0.25">
      <c r="A23" s="235" t="s">
        <v>632</v>
      </c>
      <c r="B23" s="236" t="s">
        <v>633</v>
      </c>
      <c r="C23" s="238">
        <v>179.73</v>
      </c>
      <c r="D23" s="238">
        <v>103.67</v>
      </c>
      <c r="E23" s="238">
        <v>66.61</v>
      </c>
      <c r="F23" s="238">
        <v>47.78</v>
      </c>
      <c r="G23" s="238">
        <v>27.58</v>
      </c>
      <c r="H23" s="238">
        <v>105.25</v>
      </c>
    </row>
    <row r="24" spans="1:8" x14ac:dyDescent="0.25">
      <c r="A24" s="235" t="s">
        <v>634</v>
      </c>
      <c r="B24" s="236" t="s">
        <v>635</v>
      </c>
      <c r="C24" s="238">
        <v>211.44</v>
      </c>
      <c r="D24" s="238">
        <v>151.53</v>
      </c>
      <c r="E24" s="238">
        <v>126.98</v>
      </c>
      <c r="F24" s="238">
        <v>117.39</v>
      </c>
      <c r="G24" s="238">
        <v>125.38</v>
      </c>
      <c r="H24" s="238">
        <v>161.41</v>
      </c>
    </row>
    <row r="25" spans="1:8" x14ac:dyDescent="0.25">
      <c r="A25" s="235" t="s">
        <v>636</v>
      </c>
      <c r="B25" s="246" t="s">
        <v>635</v>
      </c>
      <c r="C25" s="238">
        <v>-14.15</v>
      </c>
      <c r="D25" s="238">
        <v>-20.07</v>
      </c>
      <c r="E25" s="238">
        <v>-10.94</v>
      </c>
      <c r="F25" s="238">
        <v>-4.72</v>
      </c>
      <c r="G25" s="238">
        <v>7.92</v>
      </c>
      <c r="H25" s="238">
        <v>-15.29</v>
      </c>
    </row>
    <row r="26" spans="1:8" x14ac:dyDescent="0.25">
      <c r="A26" s="235" t="s">
        <v>637</v>
      </c>
      <c r="B26" s="246" t="s">
        <v>635</v>
      </c>
      <c r="C26" s="238">
        <v>824.87</v>
      </c>
      <c r="D26" s="238">
        <v>546</v>
      </c>
      <c r="E26" s="238">
        <v>367.19</v>
      </c>
      <c r="F26" s="238">
        <v>290.55</v>
      </c>
      <c r="G26" s="238">
        <v>241.95</v>
      </c>
      <c r="H26" s="238">
        <v>571.02</v>
      </c>
    </row>
    <row r="27" spans="1:8" ht="13" thickBot="1" x14ac:dyDescent="0.3">
      <c r="A27" s="242" t="s">
        <v>638</v>
      </c>
      <c r="B27" s="243" t="s">
        <v>611</v>
      </c>
      <c r="C27" s="244">
        <v>25.63</v>
      </c>
      <c r="D27" s="244">
        <v>27.75</v>
      </c>
      <c r="E27" s="244">
        <v>34.58</v>
      </c>
      <c r="F27" s="244">
        <v>40.4</v>
      </c>
      <c r="G27" s="244">
        <v>51.82</v>
      </c>
      <c r="H27" s="244">
        <v>28.27</v>
      </c>
    </row>
    <row r="29" spans="1:8" x14ac:dyDescent="0.25">
      <c r="A29" s="250" t="s">
        <v>601</v>
      </c>
      <c r="B29" s="250" t="s">
        <v>602</v>
      </c>
      <c r="C29" s="250" t="s">
        <v>603</v>
      </c>
      <c r="D29" s="250" t="s">
        <v>515</v>
      </c>
      <c r="E29" s="250" t="s">
        <v>604</v>
      </c>
      <c r="F29" s="250" t="s">
        <v>605</v>
      </c>
      <c r="G29" s="250" t="s">
        <v>606</v>
      </c>
      <c r="H29" s="250" t="s">
        <v>607</v>
      </c>
    </row>
    <row r="30" spans="1:8" ht="13" x14ac:dyDescent="0.25">
      <c r="A30" s="209" t="s">
        <v>643</v>
      </c>
      <c r="B30" s="209" t="s">
        <v>644</v>
      </c>
      <c r="C30" s="33">
        <v>820</v>
      </c>
      <c r="D30" s="33">
        <v>2399</v>
      </c>
      <c r="E30" s="33">
        <v>4074</v>
      </c>
      <c r="F30" s="33">
        <v>1100</v>
      </c>
      <c r="G30" s="33">
        <v>30</v>
      </c>
      <c r="H30" s="33">
        <f>SUM(C30:G30)</f>
        <v>8423</v>
      </c>
    </row>
    <row r="31" spans="1:8" ht="13" x14ac:dyDescent="0.25">
      <c r="A31" s="209" t="s">
        <v>639</v>
      </c>
      <c r="B31" s="251" t="s">
        <v>641</v>
      </c>
      <c r="C31" s="27">
        <f>C16*10000/C30</f>
        <v>321.95121951219511</v>
      </c>
      <c r="D31" s="27">
        <f t="shared" ref="D31:H31" si="0">D16*10000/D30</f>
        <v>182.36765318882868</v>
      </c>
      <c r="E31" s="27">
        <f t="shared" si="0"/>
        <v>97.005400098183614</v>
      </c>
      <c r="F31" s="27">
        <f t="shared" si="0"/>
        <v>56.63636363636364</v>
      </c>
      <c r="G31" s="27">
        <f t="shared" si="0"/>
        <v>53.333333333333336</v>
      </c>
      <c r="H31" s="27">
        <f t="shared" si="0"/>
        <v>137.78938620444023</v>
      </c>
    </row>
    <row r="32" spans="1:8" ht="13" x14ac:dyDescent="0.25">
      <c r="A32" s="209" t="s">
        <v>640</v>
      </c>
      <c r="B32" s="251" t="s">
        <v>642</v>
      </c>
      <c r="C32" s="27">
        <f>C17*10000/C30</f>
        <v>478.17073170731709</v>
      </c>
      <c r="D32" s="27">
        <f t="shared" ref="D32:H32" si="1">D17*10000/D30</f>
        <v>297.45727386411005</v>
      </c>
      <c r="E32" s="27">
        <f t="shared" si="1"/>
        <v>168.7039764359352</v>
      </c>
      <c r="F32" s="27">
        <f t="shared" si="1"/>
        <v>100.72727272727273</v>
      </c>
      <c r="G32" s="27">
        <f t="shared" si="1"/>
        <v>100</v>
      </c>
      <c r="H32" s="27">
        <f t="shared" si="1"/>
        <v>226.38014959040723</v>
      </c>
    </row>
    <row r="33" spans="1:8" ht="13" x14ac:dyDescent="0.25">
      <c r="A33" s="257" t="s">
        <v>666</v>
      </c>
      <c r="B33" s="258" t="s">
        <v>667</v>
      </c>
      <c r="C33" s="7">
        <f>C5/C30</f>
        <v>2.2577439024390245</v>
      </c>
      <c r="D33" s="7">
        <f t="shared" ref="D33:H33" si="2">D5/D30</f>
        <v>0.68117548978741149</v>
      </c>
      <c r="E33" s="7">
        <f t="shared" si="2"/>
        <v>0.18683848797250857</v>
      </c>
      <c r="F33" s="7">
        <f t="shared" si="2"/>
        <v>6.7018181818181824E-2</v>
      </c>
      <c r="G33" s="7">
        <f t="shared" si="2"/>
        <v>2.8666666666666667E-2</v>
      </c>
      <c r="H33" s="7">
        <f t="shared" si="2"/>
        <v>0.51302979935889825</v>
      </c>
    </row>
    <row r="34" spans="1:8" ht="13" x14ac:dyDescent="0.25">
      <c r="A34" s="257" t="s">
        <v>666</v>
      </c>
      <c r="B34" s="258" t="s">
        <v>676</v>
      </c>
      <c r="C34" s="7">
        <f>C5/C16</f>
        <v>70.126893939393938</v>
      </c>
      <c r="D34" s="7">
        <f t="shared" ref="D34:H34" si="3">D5/D16</f>
        <v>37.351771428571432</v>
      </c>
      <c r="E34" s="7">
        <f t="shared" si="3"/>
        <v>19.260627530364371</v>
      </c>
      <c r="F34" s="7">
        <f t="shared" si="3"/>
        <v>11.833065810593899</v>
      </c>
      <c r="G34" s="7">
        <f t="shared" si="3"/>
        <v>5.375</v>
      </c>
      <c r="H34" s="7">
        <f t="shared" si="3"/>
        <v>37.232896777528865</v>
      </c>
    </row>
    <row r="35" spans="1:8" ht="13" x14ac:dyDescent="0.25">
      <c r="A35" s="209" t="s">
        <v>658</v>
      </c>
      <c r="B35" s="255" t="s">
        <v>659</v>
      </c>
      <c r="C35" s="27">
        <f>C14*10000/C30</f>
        <v>273.65853658536588</v>
      </c>
      <c r="D35" s="27">
        <f t="shared" ref="D35:H35" si="4">D14*10000/D30</f>
        <v>124.76031679866611</v>
      </c>
      <c r="E35" s="27">
        <f t="shared" si="4"/>
        <v>50.883652430044179</v>
      </c>
      <c r="F35" s="27">
        <f t="shared" si="4"/>
        <v>23.09090909090909</v>
      </c>
      <c r="G35" s="27">
        <f t="shared" si="4"/>
        <v>13.333333333333334</v>
      </c>
      <c r="H35" s="27">
        <f t="shared" si="4"/>
        <v>89.84922236732757</v>
      </c>
    </row>
    <row r="36" spans="1:8" ht="13" x14ac:dyDescent="0.25">
      <c r="A36" s="209" t="s">
        <v>658</v>
      </c>
      <c r="B36" s="255" t="s">
        <v>660</v>
      </c>
      <c r="C36" s="170">
        <f>C14/C16</f>
        <v>0.85000000000000009</v>
      </c>
      <c r="D36" s="170">
        <f t="shared" ref="D36:H36" si="5">D14/D16</f>
        <v>0.68411428571428567</v>
      </c>
      <c r="E36" s="170">
        <f t="shared" si="5"/>
        <v>0.52454453441295545</v>
      </c>
      <c r="F36" s="170">
        <f t="shared" si="5"/>
        <v>0.4077046548956661</v>
      </c>
      <c r="G36" s="170">
        <f t="shared" si="5"/>
        <v>0.25</v>
      </c>
      <c r="H36" s="170">
        <f t="shared" si="5"/>
        <v>0.65207651214888851</v>
      </c>
    </row>
    <row r="38" spans="1:8" ht="13" x14ac:dyDescent="0.25">
      <c r="A38" s="195" t="s">
        <v>495</v>
      </c>
      <c r="C38" s="259"/>
      <c r="D38" s="259"/>
    </row>
    <row r="39" spans="1:8" ht="39" x14ac:dyDescent="0.25">
      <c r="A39" s="16"/>
      <c r="B39" s="15" t="s">
        <v>496</v>
      </c>
      <c r="C39" s="37" t="s">
        <v>498</v>
      </c>
      <c r="D39" s="37" t="s">
        <v>500</v>
      </c>
      <c r="E39" s="168" t="s">
        <v>501</v>
      </c>
    </row>
    <row r="40" spans="1:8" ht="13" x14ac:dyDescent="0.25">
      <c r="A40" s="3" t="s">
        <v>504</v>
      </c>
      <c r="B40" s="223" t="s">
        <v>497</v>
      </c>
      <c r="C40" s="223" t="s">
        <v>499</v>
      </c>
      <c r="D40" s="223" t="s">
        <v>502</v>
      </c>
      <c r="E40" s="223" t="s">
        <v>503</v>
      </c>
    </row>
    <row r="42" spans="1:8" ht="13" x14ac:dyDescent="0.25">
      <c r="A42" s="195" t="s">
        <v>505</v>
      </c>
      <c r="C42" s="259"/>
      <c r="D42" s="259"/>
    </row>
    <row r="43" spans="1:8" ht="26" x14ac:dyDescent="0.25">
      <c r="A43" s="16"/>
      <c r="B43" s="3" t="s">
        <v>506</v>
      </c>
      <c r="C43" s="168" t="s">
        <v>317</v>
      </c>
      <c r="D43" s="168" t="s">
        <v>318</v>
      </c>
      <c r="E43" s="3" t="s">
        <v>321</v>
      </c>
    </row>
    <row r="44" spans="1:8" ht="26" x14ac:dyDescent="0.25">
      <c r="A44" s="37" t="s">
        <v>507</v>
      </c>
      <c r="B44" s="223" t="s">
        <v>508</v>
      </c>
      <c r="C44" s="223" t="s">
        <v>509</v>
      </c>
      <c r="D44" s="223" t="s">
        <v>509</v>
      </c>
      <c r="E44" s="223" t="s">
        <v>510</v>
      </c>
    </row>
  </sheetData>
  <phoneticPr fontId="7"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1803-07F8-4F76-BC6C-579BE2FF59BC}">
  <dimension ref="B6:L14"/>
  <sheetViews>
    <sheetView workbookViewId="0">
      <selection activeCell="E10" sqref="E10"/>
    </sheetView>
  </sheetViews>
  <sheetFormatPr defaultRowHeight="12.5" x14ac:dyDescent="0.25"/>
  <cols>
    <col min="4" max="4" width="28.1796875" customWidth="1"/>
    <col min="6" max="6" width="12.453125" bestFit="1" customWidth="1"/>
  </cols>
  <sheetData>
    <row r="6" spans="2:12" ht="14.5" x14ac:dyDescent="0.25">
      <c r="B6" s="323" t="s">
        <v>685</v>
      </c>
      <c r="C6" s="323"/>
      <c r="D6" s="323" t="s">
        <v>686</v>
      </c>
      <c r="E6" s="314" t="s">
        <v>700</v>
      </c>
      <c r="F6" s="314"/>
      <c r="G6" s="314" t="s">
        <v>701</v>
      </c>
      <c r="H6" s="314"/>
      <c r="I6" s="327" t="s">
        <v>704</v>
      </c>
      <c r="J6" s="327"/>
      <c r="K6" s="327" t="s">
        <v>118</v>
      </c>
      <c r="L6" s="327"/>
    </row>
    <row r="7" spans="2:12" ht="26" x14ac:dyDescent="0.25">
      <c r="B7" s="323"/>
      <c r="C7" s="323"/>
      <c r="D7" s="323"/>
      <c r="E7" s="262" t="s">
        <v>703</v>
      </c>
      <c r="F7" s="262" t="s">
        <v>444</v>
      </c>
      <c r="G7" s="262" t="s">
        <v>702</v>
      </c>
      <c r="H7" s="262" t="s">
        <v>444</v>
      </c>
      <c r="I7" s="262" t="s">
        <v>705</v>
      </c>
      <c r="J7" s="262" t="s">
        <v>444</v>
      </c>
      <c r="K7" s="262" t="s">
        <v>705</v>
      </c>
      <c r="L7" s="262" t="s">
        <v>444</v>
      </c>
    </row>
    <row r="8" spans="2:12" ht="26" x14ac:dyDescent="0.25">
      <c r="B8" s="323" t="s">
        <v>687</v>
      </c>
      <c r="C8" s="323"/>
      <c r="D8" s="263" t="s">
        <v>688</v>
      </c>
      <c r="E8" s="264">
        <v>30</v>
      </c>
      <c r="F8" s="266">
        <f>E8/E$14</f>
        <v>3.5616763623412084E-3</v>
      </c>
      <c r="G8" s="264">
        <v>0.04</v>
      </c>
      <c r="H8" s="266">
        <f>G8/G$14</f>
        <v>5.2854122621564473E-4</v>
      </c>
      <c r="I8" s="264">
        <v>0.91</v>
      </c>
      <c r="J8" s="266">
        <f>I8/I$14</f>
        <v>1.5269148098991063E-4</v>
      </c>
      <c r="K8" s="264">
        <v>0.46</v>
      </c>
      <c r="L8" s="266">
        <f>K8/K$14</f>
        <v>3.7657691583505931E-4</v>
      </c>
    </row>
    <row r="9" spans="2:12" ht="70.5" customHeight="1" x14ac:dyDescent="0.25">
      <c r="B9" s="323" t="s">
        <v>689</v>
      </c>
      <c r="C9" s="323"/>
      <c r="D9" s="263" t="s">
        <v>690</v>
      </c>
      <c r="E9" s="264">
        <v>1100</v>
      </c>
      <c r="F9" s="266">
        <f t="shared" ref="F9:H11" si="0">E9/E$14</f>
        <v>0.13059479995251097</v>
      </c>
      <c r="G9" s="264">
        <v>2.54</v>
      </c>
      <c r="H9" s="266">
        <f t="shared" si="0"/>
        <v>3.3562367864693445E-2</v>
      </c>
      <c r="I9" s="264">
        <v>101.68</v>
      </c>
      <c r="J9" s="266">
        <f t="shared" ref="J9" si="1">I9/I$14</f>
        <v>1.7061175590169356E-2</v>
      </c>
      <c r="K9" s="264">
        <v>29.78</v>
      </c>
      <c r="L9" s="266">
        <f t="shared" ref="L9" si="2">K9/K$14</f>
        <v>2.437926207297406E-2</v>
      </c>
    </row>
    <row r="10" spans="2:12" ht="65" x14ac:dyDescent="0.25">
      <c r="B10" s="323" t="s">
        <v>691</v>
      </c>
      <c r="C10" s="323"/>
      <c r="D10" s="263" t="s">
        <v>692</v>
      </c>
      <c r="E10" s="264">
        <v>4074</v>
      </c>
      <c r="F10" s="266">
        <f t="shared" si="0"/>
        <v>0.48367565000593615</v>
      </c>
      <c r="G10" s="264">
        <v>20.73</v>
      </c>
      <c r="H10" s="266">
        <f t="shared" si="0"/>
        <v>0.27391649048625794</v>
      </c>
      <c r="I10" s="264">
        <v>1035.06</v>
      </c>
      <c r="J10" s="266">
        <f t="shared" ref="J10" si="3">I10/I$14</f>
        <v>0.17367565309166691</v>
      </c>
      <c r="K10" s="264">
        <v>263.22000000000003</v>
      </c>
      <c r="L10" s="266">
        <f t="shared" ref="L10" si="4">K10/K$14</f>
        <v>0.21548386040457462</v>
      </c>
    </row>
    <row r="11" spans="2:12" ht="65" x14ac:dyDescent="0.25">
      <c r="B11" s="323" t="s">
        <v>693</v>
      </c>
      <c r="C11" s="323"/>
      <c r="D11" s="263" t="s">
        <v>694</v>
      </c>
      <c r="E11" s="264">
        <v>2399</v>
      </c>
      <c r="F11" s="266">
        <f t="shared" si="0"/>
        <v>0.28481538644188531</v>
      </c>
      <c r="G11" s="264">
        <v>29.93</v>
      </c>
      <c r="H11" s="266">
        <f t="shared" si="0"/>
        <v>0.39548097251585618</v>
      </c>
      <c r="I11" s="264">
        <v>2331.88</v>
      </c>
      <c r="J11" s="266">
        <f t="shared" ref="J11" si="5">I11/I$14</f>
        <v>0.39127275900082725</v>
      </c>
      <c r="K11" s="264">
        <v>453.52</v>
      </c>
      <c r="L11" s="266">
        <f t="shared" ref="L11" si="6">K11/K$14</f>
        <v>0.37127209319460019</v>
      </c>
    </row>
    <row r="12" spans="2:12" ht="78" x14ac:dyDescent="0.25">
      <c r="B12" s="323" t="s">
        <v>695</v>
      </c>
      <c r="C12" s="262" t="s">
        <v>696</v>
      </c>
      <c r="D12" s="263" t="s">
        <v>697</v>
      </c>
      <c r="E12" s="325">
        <v>820</v>
      </c>
      <c r="F12" s="326">
        <f>E12/E14</f>
        <v>9.7352487237326368E-2</v>
      </c>
      <c r="G12" s="325">
        <v>22.44</v>
      </c>
      <c r="H12" s="326">
        <f>G12/G14</f>
        <v>0.29651162790697672</v>
      </c>
      <c r="I12" s="325">
        <v>2490.1999999999998</v>
      </c>
      <c r="J12" s="326">
        <f>I12/I14</f>
        <v>0.41783772083634663</v>
      </c>
      <c r="K12" s="325">
        <v>474.55</v>
      </c>
      <c r="L12" s="326">
        <f>K12/K14</f>
        <v>0.38848820741201612</v>
      </c>
    </row>
    <row r="13" spans="2:12" ht="65" x14ac:dyDescent="0.25">
      <c r="B13" s="323"/>
      <c r="C13" s="262" t="s">
        <v>485</v>
      </c>
      <c r="D13" s="263" t="s">
        <v>698</v>
      </c>
      <c r="E13" s="325"/>
      <c r="F13" s="326"/>
      <c r="G13" s="325"/>
      <c r="H13" s="326"/>
      <c r="I13" s="325"/>
      <c r="J13" s="326"/>
      <c r="K13" s="325"/>
      <c r="L13" s="326"/>
    </row>
    <row r="14" spans="2:12" ht="13.5" x14ac:dyDescent="0.25">
      <c r="B14" s="324" t="s">
        <v>699</v>
      </c>
      <c r="C14" s="324"/>
      <c r="D14" s="324"/>
      <c r="E14" s="264">
        <f t="shared" ref="E14:L14" si="7">SUM(E8:E13)</f>
        <v>8423</v>
      </c>
      <c r="F14" s="265">
        <f t="shared" si="7"/>
        <v>1</v>
      </c>
      <c r="G14" s="264">
        <f t="shared" si="7"/>
        <v>75.680000000000007</v>
      </c>
      <c r="H14" s="265">
        <f t="shared" si="7"/>
        <v>0.99999999999999989</v>
      </c>
      <c r="I14" s="264">
        <f t="shared" si="7"/>
        <v>5959.73</v>
      </c>
      <c r="J14" s="265">
        <f t="shared" si="7"/>
        <v>1</v>
      </c>
      <c r="K14" s="264">
        <f t="shared" si="7"/>
        <v>1221.53</v>
      </c>
      <c r="L14" s="265">
        <f t="shared" si="7"/>
        <v>1</v>
      </c>
    </row>
  </sheetData>
  <mergeCells count="20">
    <mergeCell ref="D6:D7"/>
    <mergeCell ref="B6:C7"/>
    <mergeCell ref="B10:C10"/>
    <mergeCell ref="E6:F6"/>
    <mergeCell ref="G6:H6"/>
    <mergeCell ref="I6:J6"/>
    <mergeCell ref="K6:L6"/>
    <mergeCell ref="F12:F13"/>
    <mergeCell ref="H12:H13"/>
    <mergeCell ref="J12:J13"/>
    <mergeCell ref="E12:E13"/>
    <mergeCell ref="G12:G13"/>
    <mergeCell ref="I12:I13"/>
    <mergeCell ref="K12:K13"/>
    <mergeCell ref="L12:L13"/>
    <mergeCell ref="B11:C11"/>
    <mergeCell ref="B12:B13"/>
    <mergeCell ref="B8:C8"/>
    <mergeCell ref="B9:C9"/>
    <mergeCell ref="B14:D14"/>
  </mergeCells>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2C58-8B85-48E2-A189-9B01B511C69E}">
  <dimension ref="A1:G44"/>
  <sheetViews>
    <sheetView zoomScaleNormal="100" workbookViewId="0">
      <selection activeCell="F15" sqref="F15"/>
    </sheetView>
  </sheetViews>
  <sheetFormatPr defaultRowHeight="12.5" x14ac:dyDescent="0.25"/>
  <cols>
    <col min="2" max="2" width="29.7265625" customWidth="1"/>
    <col min="4" max="4" width="13.54296875" bestFit="1" customWidth="1"/>
    <col min="5" max="5" width="15.81640625" customWidth="1"/>
    <col min="6" max="6" width="18.81640625" customWidth="1"/>
    <col min="7" max="7" width="23.1796875" customWidth="1"/>
    <col min="8" max="8" width="9.453125" customWidth="1"/>
  </cols>
  <sheetData>
    <row r="1" spans="1:7" ht="21" x14ac:dyDescent="0.25">
      <c r="A1" s="335" t="s">
        <v>175</v>
      </c>
      <c r="B1" s="335"/>
      <c r="C1" s="335"/>
      <c r="D1" s="335"/>
      <c r="E1" s="335"/>
      <c r="F1" s="335"/>
      <c r="G1" s="335"/>
    </row>
    <row r="2" spans="1:7" ht="15" x14ac:dyDescent="0.25">
      <c r="A2" s="47" t="s">
        <v>0</v>
      </c>
      <c r="B2" s="47" t="s">
        <v>15</v>
      </c>
      <c r="C2" s="47" t="s">
        <v>1</v>
      </c>
      <c r="D2" s="47" t="s">
        <v>16</v>
      </c>
      <c r="E2" s="48" t="s">
        <v>17</v>
      </c>
      <c r="F2" s="49" t="s">
        <v>18</v>
      </c>
      <c r="G2" s="47" t="s">
        <v>2</v>
      </c>
    </row>
    <row r="3" spans="1:7" ht="15" x14ac:dyDescent="0.25">
      <c r="A3" s="50" t="s">
        <v>3</v>
      </c>
      <c r="B3" s="51" t="s">
        <v>19</v>
      </c>
      <c r="C3" s="52"/>
      <c r="D3" s="52"/>
      <c r="E3" s="53"/>
      <c r="F3" s="54" t="e">
        <f>F4+F8</f>
        <v>#VALUE!</v>
      </c>
      <c r="G3" s="52"/>
    </row>
    <row r="4" spans="1:7" ht="15" customHeight="1" x14ac:dyDescent="0.25">
      <c r="A4" s="55">
        <v>1</v>
      </c>
      <c r="B4" s="56" t="s">
        <v>236</v>
      </c>
      <c r="C4" s="55" t="s">
        <v>20</v>
      </c>
      <c r="D4" s="57" t="str">
        <f>输入值【1】!C8</f>
        <v>由必填项计算可得</v>
      </c>
      <c r="E4" s="57" t="e">
        <f>F4/D4*10000</f>
        <v>#VALUE!</v>
      </c>
      <c r="F4" s="57" t="e">
        <f>SUM(F5:F7)</f>
        <v>#VALUE!</v>
      </c>
      <c r="G4" s="58"/>
    </row>
    <row r="5" spans="1:7" ht="15" x14ac:dyDescent="0.25">
      <c r="A5" s="59">
        <v>1.1000000000000001</v>
      </c>
      <c r="B5" s="60" t="s">
        <v>169</v>
      </c>
      <c r="C5" s="55" t="s">
        <v>20</v>
      </c>
      <c r="D5" s="57" t="str">
        <f>输入值【1】!C9</f>
        <v>必填</v>
      </c>
      <c r="E5" s="57" t="str">
        <f>输入值【1】!C15</f>
        <v>必填</v>
      </c>
      <c r="F5" s="57" t="e">
        <f>D5*E5/10000</f>
        <v>#VALUE!</v>
      </c>
      <c r="G5" s="58"/>
    </row>
    <row r="6" spans="1:7" ht="15" x14ac:dyDescent="0.25">
      <c r="A6" s="59">
        <v>1.2</v>
      </c>
      <c r="B6" s="60" t="s">
        <v>170</v>
      </c>
      <c r="C6" s="55" t="s">
        <v>20</v>
      </c>
      <c r="D6" s="57" t="str">
        <f>输入值【1】!C9</f>
        <v>必填</v>
      </c>
      <c r="E6" s="57" t="str">
        <f>输入值【1】!C16</f>
        <v>必填</v>
      </c>
      <c r="F6" s="57" t="e">
        <f>D6*E6/10000</f>
        <v>#VALUE!</v>
      </c>
      <c r="G6" s="58"/>
    </row>
    <row r="7" spans="1:7" ht="15" customHeight="1" x14ac:dyDescent="0.25">
      <c r="A7" s="59">
        <v>1.3</v>
      </c>
      <c r="B7" s="60" t="s">
        <v>171</v>
      </c>
      <c r="C7" s="55" t="s">
        <v>20</v>
      </c>
      <c r="D7" s="57" t="str">
        <f>输入值【1】!C10</f>
        <v>必填</v>
      </c>
      <c r="E7" s="57" t="str">
        <f>输入值【1】!C17</f>
        <v>必填</v>
      </c>
      <c r="F7" s="57" t="e">
        <f>D7*E7/10000</f>
        <v>#VALUE!</v>
      </c>
      <c r="G7" s="61"/>
    </row>
    <row r="8" spans="1:7" ht="15" x14ac:dyDescent="0.25">
      <c r="A8" s="59">
        <v>1.4</v>
      </c>
      <c r="B8" s="55" t="s">
        <v>137</v>
      </c>
      <c r="C8" s="55" t="s">
        <v>20</v>
      </c>
      <c r="D8" s="57" t="str">
        <f>输入值【1】!C6</f>
        <v>必填</v>
      </c>
      <c r="E8" s="57" t="str">
        <f>输入值【1】!C18</f>
        <v>必填</v>
      </c>
      <c r="F8" s="57" t="e">
        <f>D8*E8/10000</f>
        <v>#VALUE!</v>
      </c>
      <c r="G8" s="62"/>
    </row>
    <row r="9" spans="1:7" ht="15" x14ac:dyDescent="0.25">
      <c r="A9" s="55"/>
      <c r="B9" s="55"/>
      <c r="C9" s="55"/>
      <c r="D9" s="57"/>
      <c r="E9" s="57"/>
      <c r="F9" s="57"/>
      <c r="G9" s="62"/>
    </row>
    <row r="10" spans="1:7" ht="15" x14ac:dyDescent="0.25">
      <c r="A10" s="50" t="s">
        <v>99</v>
      </c>
      <c r="B10" s="51" t="s">
        <v>21</v>
      </c>
      <c r="C10" s="336" t="s">
        <v>22</v>
      </c>
      <c r="D10" s="336"/>
      <c r="E10" s="336"/>
      <c r="F10" s="63" t="e">
        <f>SUM(F11:F17)+SUM(F21:F28)</f>
        <v>#VALUE!</v>
      </c>
      <c r="G10" s="64" t="s">
        <v>23</v>
      </c>
    </row>
    <row r="11" spans="1:7" ht="15" x14ac:dyDescent="0.25">
      <c r="A11" s="55">
        <v>1</v>
      </c>
      <c r="B11" s="55" t="s">
        <v>24</v>
      </c>
      <c r="C11" s="337" t="e">
        <f>IF(F3&lt;=1000,"1.5%*建安费",IF(AND(F3&gt;1000,F3&lt;=5000),"15+(建安费-1000)*1.2%",IF(AND(5000&lt;F3,F3&lt;=10000),"63+(建安费-5000)*1%",IF(AND(10000&lt;F3,F3&lt;=50000),"113+(建安费-10000)*0.8%",IF(AND(50000&lt;F3,F3&lt;=100000),"433+(建安费-50000)*0.5%",IF(AND(F3&gt;100000,F3&lt;=200000),"683+(建安费-100000)*0.2%","683+(建安费-200000)*0.1%"))))))</f>
        <v>#VALUE!</v>
      </c>
      <c r="D11" s="337"/>
      <c r="E11" s="337"/>
      <c r="F11" s="57" t="e">
        <f>IF(F3&lt;=1000,1.5%*F3,IF(AND(F3&gt;1000,F3&lt;=5000),15+(F3-1000)*1.2%,IF(AND(5000&lt;F3,F3&lt;=10000),63+(F3-5000)*1%,IF(AND(10000&lt;F3,F3&lt;=50000),113+(F3-10000)*0.8%,IF(AND(50000&lt;F3,F3&lt;=100000),433+(F3-50000)*0.5%,IF(AND(F3&gt;100000,F3&lt;=200000),683+(F3-100000)*0.2%,683+(F3-200000)*0.1%))))))</f>
        <v>#VALUE!</v>
      </c>
      <c r="G11" s="65" t="s">
        <v>25</v>
      </c>
    </row>
    <row r="12" spans="1:7" ht="15" x14ac:dyDescent="0.25">
      <c r="A12" s="55">
        <v>2</v>
      </c>
      <c r="B12" s="55" t="s">
        <v>26</v>
      </c>
      <c r="C12" s="338" t="s">
        <v>27</v>
      </c>
      <c r="D12" s="339"/>
      <c r="E12" s="340"/>
      <c r="F12" s="57" t="e">
        <f>F3*0.01</f>
        <v>#VALUE!</v>
      </c>
      <c r="G12" s="65" t="s">
        <v>28</v>
      </c>
    </row>
    <row r="13" spans="1:7" ht="15" x14ac:dyDescent="0.25">
      <c r="A13" s="55">
        <v>3</v>
      </c>
      <c r="B13" s="55" t="s">
        <v>29</v>
      </c>
      <c r="C13" s="328" t="e">
        <f>IF(AND(F3&gt;=5000,F3&lt;8000),"120.8+(181-120.8)/3000*(建安费-5000)",IF(AND(F3&gt;=8000,F3&lt;10000),"181+(218.6-181)/2000*(建安费-8000)",IF(AND(F3&gt;=10000,F3&lt;20000),"218.6+(393.4-218.6)/10000*(建安费-10000)",IF(AND(F3&gt;=20000,F3&lt;40000),"393.4+(708.2-393.4)/20000*(建安费-20000)",IF(AND(F3&gt;=40000,F3&lt;60000),"708.2+(991.4-708.2)/20000*(建安费-40000)",IF(AND(F3&gt;=60000,F3&lt;80000),"991.4+(1255.8-991.4)/20000*(建安费-60000)",IF(AND(F3&gt;=80000,F3&lt;100000),"1225.8+(1507-1225.8)/20000*(建安费-80000)",IF(AND(F3&gt;=100000,F3&lt;=200000),"1507+(2712.5-1507)/100000*(建安费-100000)",IF(AND(F3&gt;=200000,F3&lt;=400000),"2712.5+(4882.6-2712.5)/200000*(建安费-200000)",IF(AND(F3&gt;=400000,F3&lt;=600000),"4882.6+(6835.6-4882.6)/200000*(建安费-400000)","超过范围"))))))))))</f>
        <v>#VALUE!</v>
      </c>
      <c r="D13" s="328"/>
      <c r="E13" s="328"/>
      <c r="F13" s="57" t="e">
        <f>IF(AND(F3&gt;=500,F3&lt;1000),16.5+(30.1-16.5)/500*(F3-500),IF(AND(F3&gt;=1000,F3&lt;3000),30.1+(78.1-30.1)/2000*(F3-1000),IF(AND(F3&gt;=3000,F3&lt;5000),78.1+(120.8-78.1)/2000*(F3-3000),IF(AND(F3&gt;=5000,F3&lt;8000),120.8+(181-120.8)/3000*(F3-5000),IF(AND(F3&gt;=8000,F3&lt;10000),181+(218.6-181)/2000*(F3-8000),IF(AND(F3&gt;=10000,F3&lt;20000),218.6+(393.4-218.6)/10000*(F3-10000),IF(AND(F3&gt;=20000,F3&lt;40000),393.4+(708.2-393.4)/20000*(F3-20000),IF(AND(F3&gt;=40000,F3&lt;60000),708.2+(991.4-708.2)/20000*(F3-40000),IF(AND(F3&gt;=60000,F3&lt;80000),991.4+(1255.8-991.4)/20000*(F3-60000),IF(AND(F3&gt;=80000,F3&lt;100000),1255.8+(1507-1255.8)/20000*(F3-80000),IF(AND(F3&gt;=100000,F3&lt;200000),1507+(2712.5-1507)/100000*(F3-100000),IF(AND(F3&gt;=600000,F3&lt;800000),6835.6+(8658.4-6835.6)/200000*(F3-600000),IF(AND(F3&gt;=400000,F3&lt;600000),4882.6+(6835.6-4882.6)/200000*(F3-400000),IF(AND(F3&gt;=200000,F3&lt;400000),2712.5+(2712.5-1507)/100000*(F3-200000),IF(AND(F3&gt;=800000,F3&lt;1000000),8658.4+(10390.1-8658.4)/200000*(F3-800000),F3*1.039%)))))))))))))))</f>
        <v>#VALUE!</v>
      </c>
      <c r="G13" s="65" t="s">
        <v>30</v>
      </c>
    </row>
    <row r="14" spans="1:7" ht="15" x14ac:dyDescent="0.25">
      <c r="A14" s="55">
        <v>4</v>
      </c>
      <c r="B14" s="55" t="s">
        <v>31</v>
      </c>
      <c r="C14" s="328" t="e">
        <f>IF(AND(F3&gt;=5000,F3&lt;8000),"163.9+(249.6-163.9)/3000*(建安费-5000)",IF(AND(F3&gt;=8000,F3&lt;10000),"249.6+(304.8-249.6)/2000*(建安费-8000)",IF(AND(F3&gt;=10000,F3&lt;20000),"304.8+(566.8-304.8)/10000*(建安费-10000)",IF(AND(F3&gt;=20000,F3&lt;40000),"566.8+(1054-566.8)/20000*(建安费-20000)",IF(AND(F3&gt;=40000,F3&lt;60000),"1054+(1515.2-1054)/20000*(建安费-40000)",IF(AND(F3&gt;=60000,F3&lt;80000),"1515.2+(1960.1-1515.2)/20000*(建安费-60000)",IF(AND(F3&gt;=80000,F3&lt;100000),"1960.1+(2393.4-1960.1)/20000*(建安费-80000)",IF(AND(F3&gt;=100000,F3&lt;200000),"2393.4+(4450.8-2393.4)/100000*(建安费-100000)",IF(AND(F3&gt;=200000,F3&lt;400000),"4450.8+(8276.7-4450.8)/200000*(建安费-200000)",IF(AND(F3&gt;=400000,F3&lt;600000),"8276.7+(11897.5-8276.7)/200000*(建安费-400000)"))))))))))</f>
        <v>#VALUE!</v>
      </c>
      <c r="D14" s="328"/>
      <c r="E14" s="328"/>
      <c r="F14" s="57" t="e">
        <f>IF(AND(F3&gt;=50,F3&lt;100),2.7+(4.9-2.7)/50*(F3-50),IF(AND(F3&gt;=100,F3&lt;200),4.9+(9-4.9)/100*(F3-100),IF(AND(F3&gt;=200,F3&lt;500),9+(20.9-9)/300*(F3-200),IF(AND(F3&gt;=500,F3&lt;1000),20.9+(38.8-20.9)/500*(F3-500),IF(AND(F3&gt;=1000,F3&lt;3000),28.8+(103.8-38.8)/2000*(F3-1000),IF(AND(F3&gt;=3000,F3&lt;5000),103.8+(163.9-103.8)/2000*(F3-3000),IF(AND(F3&gt;=5000,F3&lt;8000),163.9+(249.6-163.9)/3000*(F3-5000),IF(AND(F3&gt;=8000,F3&lt;10000),249.6+(304.8-249.6)/2000*(F3-8000),IF(AND(F3&gt;=10000,F3&lt;20000),304.8+(566.8-304.8)/10000*(F3-10000),IF(AND(F3&gt;=20000,F3&lt;40000),566.8+(1054-566.8)/20000*(F3-20000),IF(AND(F3&gt;=40000,F3&lt;60000),1054+(1515.2-1054)/20000*(F3-40000),IF(AND(F3&gt;=60000,F3&lt;80000),1515.2+(1960.1-1515.2)/20000*(F3-60000),IF(AND(F3&gt;=80000,F3&lt;100000),1960.1+(2393.4-1960.1)/20000*(F3-80000),IF(AND(F3&gt;=100000,F3&lt;200000),2393.4+(4450.8-2393.4)/100000*(F3-100000),IF(AND(F3&gt;=200000,F3&lt;400000),4450.8+(8276.7-4450.8)/200000*(F3-200000),IF(AND(F3&gt;=400000,F3&lt;600000),8276.7+(11897.5-8276.7)/200000*(F3-400000),IF(AND(F3&gt;=600000,F3&lt;800000),11897.5+(15391.4-11897.5)/200000*(F3-600000),IF(AND(F3&gt;=800000,F3&lt;1000000),15391.4+(18793.8-15391.4)/200000*(F3-800000),IF(AND(F3&gt;=1000000,F3&lt;2000000),18793.8+(34948.9-18793.8)/1000000*(F3-1000000))))))))))))))))))))</f>
        <v>#VALUE!</v>
      </c>
      <c r="G14" s="65" t="s">
        <v>32</v>
      </c>
    </row>
    <row r="15" spans="1:7" ht="15" x14ac:dyDescent="0.25">
      <c r="A15" s="55">
        <v>5</v>
      </c>
      <c r="B15" s="55" t="s">
        <v>33</v>
      </c>
      <c r="C15" s="328" t="s">
        <v>34</v>
      </c>
      <c r="D15" s="328"/>
      <c r="E15" s="328"/>
      <c r="F15" s="57" t="e">
        <f>F14*0.3</f>
        <v>#VALUE!</v>
      </c>
      <c r="G15" s="65" t="s">
        <v>35</v>
      </c>
    </row>
    <row r="16" spans="1:7" ht="15" x14ac:dyDescent="0.25">
      <c r="A16" s="55">
        <v>6</v>
      </c>
      <c r="B16" s="55" t="s">
        <v>4</v>
      </c>
      <c r="C16" s="328" t="s">
        <v>36</v>
      </c>
      <c r="D16" s="328"/>
      <c r="E16" s="328"/>
      <c r="F16" s="57" t="e">
        <f>(F14+F15)*0.065</f>
        <v>#VALUE!</v>
      </c>
      <c r="G16" s="65" t="s">
        <v>37</v>
      </c>
    </row>
    <row r="17" spans="1:7" ht="15" x14ac:dyDescent="0.25">
      <c r="A17" s="55">
        <v>7</v>
      </c>
      <c r="B17" s="55" t="s">
        <v>38</v>
      </c>
      <c r="C17" s="328"/>
      <c r="D17" s="328"/>
      <c r="E17" s="328"/>
      <c r="F17" s="57" t="e">
        <f>SUM(F18:F20)</f>
        <v>#VALUE!</v>
      </c>
      <c r="G17" s="65"/>
    </row>
    <row r="18" spans="1:7" ht="15" x14ac:dyDescent="0.25">
      <c r="A18" s="59">
        <v>7.1</v>
      </c>
      <c r="B18" s="59" t="s">
        <v>39</v>
      </c>
      <c r="C18" s="332" t="e">
        <f>IF(F3&lt;=100,"0.002*建安费",IF(AND(F3&gt;100,F3&lt;=500),"0.2+0.0018*(建安费-100)",IF(AND(500&lt;F3,F3&lt;=1000),"0.92+0.0016*(建安费-500)",IF(AND(1000&lt;F3,F3&lt;=5000),"1.72+0.0013*(建安费-1000)",IF(AND(5000&lt;F3,F3&lt;=10000),"6.92+0.0012*(建安费-5000)","12.92+0.0011*(建安费-10000)")))))</f>
        <v>#VALUE!</v>
      </c>
      <c r="D18" s="333"/>
      <c r="E18" s="334"/>
      <c r="F18" s="57" t="e">
        <f>IF(F3&lt;=100,0.002*F3,IF(AND(F3&gt;100,F3&lt;=500),0.2+0.0018*(F3-100),IF(AND(500&lt;F3,F3&lt;=1000),0.92+0.0016*(F3-500),IF(AND(1000&lt;F3,F3&lt;=5000),1.72+0.0013*(F3-1000),IF(AND(5000&lt;F3,F3&lt;=10000),6.92+0.0012*(F3-5000),12.92+0.0011*(F3-10000))))))</f>
        <v>#VALUE!</v>
      </c>
      <c r="G18" s="65" t="s">
        <v>40</v>
      </c>
    </row>
    <row r="19" spans="1:7" ht="15" x14ac:dyDescent="0.25">
      <c r="A19" s="59">
        <v>7.2</v>
      </c>
      <c r="B19" s="59" t="s">
        <v>41</v>
      </c>
      <c r="C19" s="332" t="e">
        <f>IF(F3&lt;=100,"0.0048*建安费",IF(AND(F3&gt;100,F3&lt;=500),"0.48+0.0041*(建安费-100)",IF(AND(500&lt;F3,F3&lt;=1000),"2.12+0.0038*(建安费-500)",IF(AND(1000&lt;F3,F3&lt;=5000),"4.02+0.0034*(建安费-1000)",IF(AND(5000&lt;F3,F3&lt;=10000),"17.62+0.0029*(建安费-5000)","32.12+0.0026*(建安费-10000)")))))</f>
        <v>#VALUE!</v>
      </c>
      <c r="D19" s="333"/>
      <c r="E19" s="334"/>
      <c r="F19" s="57" t="e">
        <f>IF(F3&lt;=100,0.0048*F3,IF(AND(F3&gt;100,F3&lt;=500),0.48+0.0041*(F3-100),IF(AND(500&lt;F3,F3&lt;=1000),2.12+0.0038*(F3-500),IF(AND(1000&lt;F3,F3&lt;=5000),4.02+0.0034*(F3-1000),IF(AND(5000&lt;F3,F3&lt;=10000),17.62+0.0029*(F3-5000),32.12+0.0026*(F3-10000))))))</f>
        <v>#VALUE!</v>
      </c>
      <c r="G19" s="65" t="s">
        <v>40</v>
      </c>
    </row>
    <row r="20" spans="1:7" ht="15" x14ac:dyDescent="0.25">
      <c r="A20" s="59">
        <v>7.3</v>
      </c>
      <c r="B20" s="59" t="s">
        <v>42</v>
      </c>
      <c r="C20" s="332" t="e">
        <f>IF(F3&lt;=100,"0.0045*建安费",IF(AND(F3&gt;100,F3&lt;=500),"0.45+0.004*(建安费-100)",IF(AND(500&lt;F3,F3&lt;=1000),"2.05+0.0035*(建安费-500)",IF(AND(1000&lt;F3,F3&lt;=5000),"3.8+0.0033*(建安费-1000)",IF(AND(5000&lt;F3,F3&lt;=10000),"17+0.003*(建安费-5000)","32+0.0025*(建安费-10000)")))))</f>
        <v>#VALUE!</v>
      </c>
      <c r="D20" s="333"/>
      <c r="E20" s="334"/>
      <c r="F20" s="57" t="e">
        <f>IF(F3&lt;=100,0.0045*F3,IF(AND(F3&gt;100,F3&lt;=500),0.45+0.004*(F3-100),IF(AND(500&lt;F3,F3&lt;=1000),2.05+0.0035*(F3-500),IF(AND(1000&lt;F3,F3&lt;=5000),3.8+0.0033*(F3-1000),IF(AND(5000&lt;F3,F3&lt;=10000),17+0.003*(F3-5000),32+0.0025*(F3-10000))))))</f>
        <v>#VALUE!</v>
      </c>
      <c r="G20" s="65" t="s">
        <v>40</v>
      </c>
    </row>
    <row r="21" spans="1:7" ht="15" x14ac:dyDescent="0.25">
      <c r="A21" s="55">
        <v>8</v>
      </c>
      <c r="B21" s="55" t="s">
        <v>43</v>
      </c>
      <c r="C21" s="328" t="s">
        <v>44</v>
      </c>
      <c r="D21" s="328"/>
      <c r="E21" s="328"/>
      <c r="F21" s="57" t="e">
        <f>F3*0.001</f>
        <v>#VALUE!</v>
      </c>
      <c r="G21" s="65" t="s">
        <v>45</v>
      </c>
    </row>
    <row r="22" spans="1:7" ht="15" x14ac:dyDescent="0.25">
      <c r="A22" s="55">
        <v>9</v>
      </c>
      <c r="B22" s="55" t="s">
        <v>46</v>
      </c>
      <c r="C22" s="328" t="s">
        <v>44</v>
      </c>
      <c r="D22" s="328"/>
      <c r="E22" s="328"/>
      <c r="F22" s="57" t="e">
        <f>F3*0.001</f>
        <v>#VALUE!</v>
      </c>
      <c r="G22" s="65" t="s">
        <v>47</v>
      </c>
    </row>
    <row r="23" spans="1:7" ht="15" x14ac:dyDescent="0.25">
      <c r="A23" s="55">
        <v>10</v>
      </c>
      <c r="B23" s="55" t="s">
        <v>48</v>
      </c>
      <c r="C23" s="328" t="e">
        <f>IF(F3&lt;3000,"7.5+(27-7.5)/3000*建安费",IF(AND(F3&gt;=3000,F3&lt;10000),"27+(60-27)/7000*(建安费-3000)",IF(AND(10000&lt;=F3,F3&lt;50000),"60+(139-60)/40000*(建安费-10000)",IF(AND(50000&lt;=F3,F3&lt;100000),"139+(200-139)/50000*(建安费-50000)",IF(AND(100000&lt;=F3,F3&lt;500000),"200+(342-200)/400000*(建安费-100000)","342+(430-342)/500000*(建安费-500000)")))))</f>
        <v>#VALUE!</v>
      </c>
      <c r="D23" s="328"/>
      <c r="E23" s="328"/>
      <c r="F23" s="57" t="e">
        <f>IF(F3&lt;3000,7.5+(27-7.5)/3000*F3,IF(AND(F3&gt;=3000,F3&lt;10000),27+(60-27)/7000*(F3-3000),IF(AND(10000&lt;=F3,F3&lt;50000),60+(139-60)/40000*(F3-10000),IF(AND(50000&lt;=F3,F3&lt;100000),139+(200-139)/50000*(F3-50000),IF(AND(100000&lt;=F3,F3&lt;500000),200+(342-200)/400000*(F3-100000),342+(430-342)/500000*(F3-500000))))))</f>
        <v>#VALUE!</v>
      </c>
      <c r="G23" s="65" t="s">
        <v>49</v>
      </c>
    </row>
    <row r="24" spans="1:7" ht="15" x14ac:dyDescent="0.25">
      <c r="A24" s="55">
        <v>11</v>
      </c>
      <c r="B24" s="55" t="s">
        <v>50</v>
      </c>
      <c r="C24" s="328" t="e">
        <f>IF(AND(F3&gt;=1000,F3&lt;5000),"1+2.8+2.75+(建安费-1000)*0.55%",IF(AND(F3&gt;=5000,F3&lt;10000),"1+2.8+2.75+14+(建安费-5000)*0.2%",IF(AND(F3&gt;=10000,F3&lt;100000),"1+2.8+2.75+14+10+(建安费-10000)*0.05%",IF(F3&gt;=100000,"1+2.8+2.75+14+10+45+(建安费-100000)*0.01%","小于200万另计"))))</f>
        <v>#VALUE!</v>
      </c>
      <c r="D24" s="328"/>
      <c r="E24" s="328"/>
      <c r="F24" s="57" t="e">
        <f>IF(AND(F3&gt;=1000,F3&lt;5000),1+2.8+2.75+(F3-1000)*0.55%,IF(AND(F3&gt;=5000,F3&lt;10000),1+2.8+2.75+14+(F3-5000)*0.2%,IF(AND(F3&gt;=10000,F3&lt;100000),1+2.8+2.75+14+10+(F3-10000)*0.05%,IF(F3&gt;=100000,1+2.8+2.75+14+10+45+(F3-100000)*0.01%,""))))</f>
        <v>#VALUE!</v>
      </c>
      <c r="G24" s="65" t="s">
        <v>51</v>
      </c>
    </row>
    <row r="25" spans="1:7" ht="15" x14ac:dyDescent="0.25">
      <c r="A25" s="55">
        <v>12</v>
      </c>
      <c r="B25" s="55" t="s">
        <v>52</v>
      </c>
      <c r="C25" s="328" t="s">
        <v>53</v>
      </c>
      <c r="D25" s="328"/>
      <c r="E25" s="328"/>
      <c r="F25" s="57" t="e">
        <f>IF(F3&lt;3000,7.3+(10.3-7.3)/3000*F3,IF(AND(F3&gt;=3000,F3&lt;20000),10.3+(23.5-10.3)/17000*(F3-3000),IF(AND(F3&gt;=20000,F3&lt;100000),23.5+(51-23.5)/80000*(F3-20000),IF(AND(F3&gt;=100000,F3&lt;500000),51+(93-51)/400000*(F3-100000),IF(AND(F3&gt;=500000,F3&lt;1000000),93+(132-93)/500000*(F3-500000),"")))))</f>
        <v>#VALUE!</v>
      </c>
      <c r="G25" s="65" t="s">
        <v>54</v>
      </c>
    </row>
    <row r="26" spans="1:7" ht="15" x14ac:dyDescent="0.25">
      <c r="A26" s="55">
        <v>13</v>
      </c>
      <c r="B26" s="55" t="s">
        <v>55</v>
      </c>
      <c r="C26" s="328" t="s">
        <v>44</v>
      </c>
      <c r="D26" s="328"/>
      <c r="E26" s="328"/>
      <c r="F26" s="57" t="e">
        <f>F3*0.001</f>
        <v>#VALUE!</v>
      </c>
      <c r="G26" s="65" t="s">
        <v>56</v>
      </c>
    </row>
    <row r="27" spans="1:7" ht="15" x14ac:dyDescent="0.25">
      <c r="A27" s="55">
        <v>14</v>
      </c>
      <c r="B27" s="55" t="s">
        <v>57</v>
      </c>
      <c r="C27" s="328" t="s">
        <v>58</v>
      </c>
      <c r="D27" s="328"/>
      <c r="E27" s="328"/>
      <c r="F27" s="57" t="e">
        <f>F14*0.08</f>
        <v>#VALUE!</v>
      </c>
      <c r="G27" s="65" t="s">
        <v>59</v>
      </c>
    </row>
    <row r="28" spans="1:7" ht="15" x14ac:dyDescent="0.25">
      <c r="A28" s="55">
        <v>15</v>
      </c>
      <c r="B28" s="55" t="s">
        <v>60</v>
      </c>
      <c r="C28" s="332" t="s">
        <v>44</v>
      </c>
      <c r="D28" s="333"/>
      <c r="E28" s="334"/>
      <c r="F28" s="57" t="e">
        <f>F3*0.001</f>
        <v>#VALUE!</v>
      </c>
      <c r="G28" s="65" t="s">
        <v>61</v>
      </c>
    </row>
    <row r="29" spans="1:7" ht="15" x14ac:dyDescent="0.25">
      <c r="A29" s="50" t="s">
        <v>62</v>
      </c>
      <c r="B29" s="50" t="s">
        <v>5</v>
      </c>
      <c r="C29" s="329" t="s">
        <v>63</v>
      </c>
      <c r="D29" s="330"/>
      <c r="E29" s="331"/>
      <c r="F29" s="63" t="e">
        <f>(F3+F10)*5%</f>
        <v>#VALUE!</v>
      </c>
      <c r="G29" s="66" t="s">
        <v>172</v>
      </c>
    </row>
    <row r="30" spans="1:7" s="46" customFormat="1" ht="15" x14ac:dyDescent="0.25">
      <c r="A30" s="67" t="s">
        <v>100</v>
      </c>
      <c r="B30" s="67" t="s">
        <v>102</v>
      </c>
      <c r="C30" s="52" t="s">
        <v>20</v>
      </c>
      <c r="D30" s="52" t="str">
        <f>输入值【1】!C4</f>
        <v>由必填项计算可得</v>
      </c>
      <c r="E30" s="63" t="e">
        <f>F30/D30*10000</f>
        <v>#VALUE!</v>
      </c>
      <c r="F30" s="63" t="e">
        <f>SUM(F31:F33)</f>
        <v>#VALUE!</v>
      </c>
      <c r="G30" s="67"/>
    </row>
    <row r="31" spans="1:7" ht="15" x14ac:dyDescent="0.25">
      <c r="A31" s="55">
        <v>1</v>
      </c>
      <c r="B31" s="55" t="s">
        <v>276</v>
      </c>
      <c r="C31" s="55" t="s">
        <v>20</v>
      </c>
      <c r="D31" s="55" t="str">
        <f>输入值【1】!C5</f>
        <v>必填</v>
      </c>
      <c r="E31" s="55" t="str">
        <f>输入值【1】!C19</f>
        <v>必填</v>
      </c>
      <c r="F31" s="57" t="e">
        <f>D31*E31/10000</f>
        <v>#VALUE!</v>
      </c>
      <c r="G31" s="68"/>
    </row>
    <row r="32" spans="1:7" ht="15" x14ac:dyDescent="0.25">
      <c r="A32" s="164">
        <v>2</v>
      </c>
      <c r="B32" s="164" t="s">
        <v>183</v>
      </c>
      <c r="C32" s="165"/>
      <c r="D32" s="180" t="str">
        <f>输入值【1】!C64</f>
        <v>必填</v>
      </c>
      <c r="E32" s="166"/>
      <c r="F32" s="182" t="e">
        <f>F31*D32</f>
        <v>#VALUE!</v>
      </c>
      <c r="G32" s="68"/>
    </row>
    <row r="33" spans="1:7" ht="15" x14ac:dyDescent="0.25">
      <c r="A33" s="164">
        <v>3</v>
      </c>
      <c r="B33" s="164" t="s">
        <v>184</v>
      </c>
      <c r="C33" s="165"/>
      <c r="D33" s="181" t="str">
        <f>输入值【1】!C65</f>
        <v>必填</v>
      </c>
      <c r="E33" s="166"/>
      <c r="F33" s="182" t="e">
        <f>F31*D33</f>
        <v>#VALUE!</v>
      </c>
      <c r="G33" s="68"/>
    </row>
    <row r="34" spans="1:7" ht="15" x14ac:dyDescent="0.25">
      <c r="A34" s="50" t="s">
        <v>101</v>
      </c>
      <c r="B34" s="50" t="s">
        <v>120</v>
      </c>
      <c r="C34" s="329" t="s">
        <v>64</v>
      </c>
      <c r="D34" s="330"/>
      <c r="E34" s="331"/>
      <c r="F34" s="69" t="e">
        <f>F3+F10+F29+F30</f>
        <v>#VALUE!</v>
      </c>
      <c r="G34" s="70"/>
    </row>
    <row r="36" spans="1:7" ht="13" x14ac:dyDescent="0.25">
      <c r="B36" s="2" t="s">
        <v>230</v>
      </c>
      <c r="F36" s="169" t="e">
        <f>F34-F30</f>
        <v>#VALUE!</v>
      </c>
    </row>
    <row r="37" spans="1:7" ht="15" customHeight="1" x14ac:dyDescent="0.25">
      <c r="B37" s="2" t="s">
        <v>231</v>
      </c>
      <c r="F37" s="169" t="e">
        <f>F36/D4*10000</f>
        <v>#VALUE!</v>
      </c>
    </row>
    <row r="38" spans="1:7" ht="13" x14ac:dyDescent="0.25">
      <c r="B38" s="2" t="s">
        <v>239</v>
      </c>
      <c r="F38" s="169" t="e">
        <f>F36/(D4+D7)*10000</f>
        <v>#VALUE!</v>
      </c>
    </row>
    <row r="39" spans="1:7" ht="13" x14ac:dyDescent="0.25">
      <c r="B39" s="2" t="s">
        <v>240</v>
      </c>
      <c r="F39" s="169" t="e">
        <f>F36/D5*10000</f>
        <v>#VALUE!</v>
      </c>
    </row>
    <row r="40" spans="1:7" ht="13" thickBot="1" x14ac:dyDescent="0.3"/>
    <row r="41" spans="1:7" ht="50" thickBot="1" x14ac:dyDescent="0.3">
      <c r="D41" s="271" t="s">
        <v>719</v>
      </c>
      <c r="E41" s="271" t="s">
        <v>720</v>
      </c>
      <c r="F41" s="271" t="s">
        <v>721</v>
      </c>
    </row>
    <row r="42" spans="1:7" ht="17" thickBot="1" x14ac:dyDescent="0.3">
      <c r="D42" s="272" t="s">
        <v>722</v>
      </c>
      <c r="E42" s="273">
        <v>13092</v>
      </c>
      <c r="F42" s="273">
        <v>9886</v>
      </c>
    </row>
    <row r="43" spans="1:7" ht="17" thickBot="1" x14ac:dyDescent="0.3">
      <c r="D43" s="272" t="s">
        <v>723</v>
      </c>
      <c r="E43" s="273">
        <v>10746</v>
      </c>
      <c r="F43" s="273">
        <v>8955</v>
      </c>
    </row>
    <row r="44" spans="1:7" ht="17" thickBot="1" x14ac:dyDescent="0.3">
      <c r="D44" s="272" t="s">
        <v>724</v>
      </c>
      <c r="E44" s="273">
        <v>13241</v>
      </c>
      <c r="F44" s="273">
        <v>10593</v>
      </c>
    </row>
  </sheetData>
  <mergeCells count="22">
    <mergeCell ref="A1:G1"/>
    <mergeCell ref="C20:E20"/>
    <mergeCell ref="C21:E21"/>
    <mergeCell ref="C10:E10"/>
    <mergeCell ref="C11:E11"/>
    <mergeCell ref="C12:E12"/>
    <mergeCell ref="C13:E13"/>
    <mergeCell ref="C14:E14"/>
    <mergeCell ref="C22:E22"/>
    <mergeCell ref="C29:E29"/>
    <mergeCell ref="C34:E34"/>
    <mergeCell ref="C15:E15"/>
    <mergeCell ref="C16:E16"/>
    <mergeCell ref="C17:E17"/>
    <mergeCell ref="C18:E18"/>
    <mergeCell ref="C19:E19"/>
    <mergeCell ref="C28:E28"/>
    <mergeCell ref="C23:E23"/>
    <mergeCell ref="C24:E24"/>
    <mergeCell ref="C25:E25"/>
    <mergeCell ref="C26:E26"/>
    <mergeCell ref="C27:E27"/>
  </mergeCells>
  <phoneticPr fontId="7"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E76DA-1E08-400F-9E70-01F57DB09895}">
  <dimension ref="A1:W16"/>
  <sheetViews>
    <sheetView zoomScale="85" zoomScaleNormal="85" workbookViewId="0">
      <selection activeCell="D11" sqref="D11"/>
    </sheetView>
  </sheetViews>
  <sheetFormatPr defaultRowHeight="12.5" x14ac:dyDescent="0.25"/>
  <cols>
    <col min="1" max="1" width="11.26953125" customWidth="1"/>
    <col min="2" max="2" width="35.1796875" customWidth="1"/>
    <col min="3" max="3" width="14.7265625" customWidth="1"/>
    <col min="4" max="4" width="9.54296875" bestFit="1" customWidth="1"/>
    <col min="5" max="5" width="7.54296875" bestFit="1" customWidth="1"/>
    <col min="6" max="23" width="14.54296875" bestFit="1" customWidth="1"/>
  </cols>
  <sheetData>
    <row r="1" spans="1:23" ht="21" x14ac:dyDescent="0.25">
      <c r="A1" s="341" t="s">
        <v>182</v>
      </c>
      <c r="B1" s="342"/>
      <c r="C1" s="342"/>
      <c r="D1" s="342"/>
      <c r="E1" s="342"/>
      <c r="F1" s="342"/>
      <c r="G1" s="342"/>
      <c r="H1" s="342"/>
      <c r="I1" s="342"/>
      <c r="J1" s="342"/>
      <c r="K1" s="342"/>
      <c r="L1" s="342"/>
      <c r="M1" s="342"/>
      <c r="N1" s="342"/>
      <c r="O1" s="342"/>
      <c r="P1" s="342"/>
      <c r="Q1" s="342"/>
      <c r="R1" s="342"/>
      <c r="S1" s="342"/>
      <c r="T1" s="342"/>
      <c r="U1" s="342"/>
      <c r="V1" s="342"/>
      <c r="W1" s="343"/>
    </row>
    <row r="2" spans="1:23" ht="15" x14ac:dyDescent="0.25">
      <c r="A2" s="71" t="s">
        <v>0</v>
      </c>
      <c r="B2" s="71" t="s">
        <v>6</v>
      </c>
      <c r="C2" s="71" t="s">
        <v>104</v>
      </c>
      <c r="D2" s="71">
        <v>1</v>
      </c>
      <c r="E2" s="71">
        <v>2</v>
      </c>
      <c r="F2" s="71">
        <v>3</v>
      </c>
      <c r="G2" s="71">
        <v>4</v>
      </c>
      <c r="H2" s="71">
        <v>5</v>
      </c>
      <c r="I2" s="71">
        <v>6</v>
      </c>
      <c r="J2" s="71">
        <v>7</v>
      </c>
      <c r="K2" s="71">
        <v>8</v>
      </c>
      <c r="L2" s="71">
        <v>9</v>
      </c>
      <c r="M2" s="71">
        <v>10</v>
      </c>
      <c r="N2" s="71">
        <v>11</v>
      </c>
      <c r="O2" s="71">
        <v>12</v>
      </c>
      <c r="P2" s="71">
        <v>13</v>
      </c>
      <c r="Q2" s="71">
        <v>14</v>
      </c>
      <c r="R2" s="71">
        <v>15</v>
      </c>
      <c r="S2" s="71">
        <v>16</v>
      </c>
      <c r="T2" s="71">
        <v>17</v>
      </c>
      <c r="U2" s="71">
        <v>18</v>
      </c>
      <c r="V2" s="71">
        <v>19</v>
      </c>
      <c r="W2" s="71">
        <v>20</v>
      </c>
    </row>
    <row r="3" spans="1:23" ht="15" x14ac:dyDescent="0.25">
      <c r="A3" s="71"/>
      <c r="B3" s="71"/>
      <c r="C3" s="159" t="s">
        <v>105</v>
      </c>
      <c r="D3" s="159">
        <v>2021</v>
      </c>
      <c r="E3" s="159">
        <v>2022</v>
      </c>
      <c r="F3" s="159">
        <v>2023</v>
      </c>
      <c r="G3" s="159">
        <v>2024</v>
      </c>
      <c r="H3" s="159">
        <v>2025</v>
      </c>
      <c r="I3" s="159">
        <v>2026</v>
      </c>
      <c r="J3" s="159">
        <v>2027</v>
      </c>
      <c r="K3" s="159">
        <v>2028</v>
      </c>
      <c r="L3" s="159">
        <v>2029</v>
      </c>
      <c r="M3" s="159">
        <v>2030</v>
      </c>
      <c r="N3" s="159">
        <v>2031</v>
      </c>
      <c r="O3" s="159">
        <v>2032</v>
      </c>
      <c r="P3" s="159">
        <v>2033</v>
      </c>
      <c r="Q3" s="159">
        <v>2034</v>
      </c>
      <c r="R3" s="159">
        <v>2035</v>
      </c>
      <c r="S3" s="159">
        <v>2036</v>
      </c>
      <c r="T3" s="159">
        <v>2037</v>
      </c>
      <c r="U3" s="159">
        <v>2038</v>
      </c>
      <c r="V3" s="159">
        <v>2039</v>
      </c>
      <c r="W3" s="159">
        <v>2040</v>
      </c>
    </row>
    <row r="4" spans="1:23" s="46" customFormat="1" ht="15" x14ac:dyDescent="0.25">
      <c r="A4" s="80" t="s">
        <v>176</v>
      </c>
      <c r="B4" s="81" t="s">
        <v>180</v>
      </c>
      <c r="C4" s="172" t="e">
        <f>SUM(D4:W4)</f>
        <v>#VALUE!</v>
      </c>
      <c r="D4" s="172" t="e">
        <f>D5</f>
        <v>#VALUE!</v>
      </c>
      <c r="E4" s="172" t="e">
        <f t="shared" ref="E4:W4" si="0">E5</f>
        <v>#VALUE!</v>
      </c>
      <c r="F4" s="172" t="e">
        <f t="shared" si="0"/>
        <v>#VALUE!</v>
      </c>
      <c r="G4" s="172" t="e">
        <f t="shared" si="0"/>
        <v>#VALUE!</v>
      </c>
      <c r="H4" s="172" t="e">
        <f t="shared" si="0"/>
        <v>#VALUE!</v>
      </c>
      <c r="I4" s="172" t="e">
        <f t="shared" si="0"/>
        <v>#VALUE!</v>
      </c>
      <c r="J4" s="172" t="e">
        <f t="shared" si="0"/>
        <v>#VALUE!</v>
      </c>
      <c r="K4" s="172" t="e">
        <f t="shared" si="0"/>
        <v>#VALUE!</v>
      </c>
      <c r="L4" s="172" t="e">
        <f t="shared" si="0"/>
        <v>#VALUE!</v>
      </c>
      <c r="M4" s="172" t="e">
        <f t="shared" si="0"/>
        <v>#VALUE!</v>
      </c>
      <c r="N4" s="172" t="e">
        <f t="shared" si="0"/>
        <v>#VALUE!</v>
      </c>
      <c r="O4" s="172" t="e">
        <f t="shared" si="0"/>
        <v>#VALUE!</v>
      </c>
      <c r="P4" s="172" t="e">
        <f t="shared" si="0"/>
        <v>#VALUE!</v>
      </c>
      <c r="Q4" s="172" t="e">
        <f t="shared" si="0"/>
        <v>#VALUE!</v>
      </c>
      <c r="R4" s="172" t="e">
        <f t="shared" si="0"/>
        <v>#VALUE!</v>
      </c>
      <c r="S4" s="172" t="e">
        <f t="shared" si="0"/>
        <v>#VALUE!</v>
      </c>
      <c r="T4" s="172" t="e">
        <f t="shared" si="0"/>
        <v>#VALUE!</v>
      </c>
      <c r="U4" s="172" t="e">
        <f t="shared" si="0"/>
        <v>#VALUE!</v>
      </c>
      <c r="V4" s="172" t="e">
        <f t="shared" si="0"/>
        <v>#VALUE!</v>
      </c>
      <c r="W4" s="172" t="e">
        <f t="shared" si="0"/>
        <v>#VALUE!</v>
      </c>
    </row>
    <row r="5" spans="1:23" s="46" customFormat="1" ht="16.5" customHeight="1" x14ac:dyDescent="0.25">
      <c r="A5" s="71">
        <v>1</v>
      </c>
      <c r="B5" s="71" t="s">
        <v>252</v>
      </c>
      <c r="C5" s="172" t="e">
        <f>SUM(D5:W5)</f>
        <v>#VALUE!</v>
      </c>
      <c r="D5" s="172" t="e">
        <f t="shared" ref="D5:W5" si="1">D6+D8+D9+D10+D11</f>
        <v>#VALUE!</v>
      </c>
      <c r="E5" s="172" t="e">
        <f t="shared" si="1"/>
        <v>#VALUE!</v>
      </c>
      <c r="F5" s="172" t="e">
        <f t="shared" si="1"/>
        <v>#VALUE!</v>
      </c>
      <c r="G5" s="172" t="e">
        <f t="shared" si="1"/>
        <v>#VALUE!</v>
      </c>
      <c r="H5" s="172" t="e">
        <f t="shared" si="1"/>
        <v>#VALUE!</v>
      </c>
      <c r="I5" s="172" t="e">
        <f t="shared" si="1"/>
        <v>#VALUE!</v>
      </c>
      <c r="J5" s="172" t="e">
        <f t="shared" si="1"/>
        <v>#VALUE!</v>
      </c>
      <c r="K5" s="172" t="e">
        <f t="shared" si="1"/>
        <v>#VALUE!</v>
      </c>
      <c r="L5" s="172" t="e">
        <f t="shared" si="1"/>
        <v>#VALUE!</v>
      </c>
      <c r="M5" s="172" t="e">
        <f t="shared" si="1"/>
        <v>#VALUE!</v>
      </c>
      <c r="N5" s="172" t="e">
        <f t="shared" si="1"/>
        <v>#VALUE!</v>
      </c>
      <c r="O5" s="172" t="e">
        <f t="shared" si="1"/>
        <v>#VALUE!</v>
      </c>
      <c r="P5" s="172" t="e">
        <f t="shared" si="1"/>
        <v>#VALUE!</v>
      </c>
      <c r="Q5" s="172" t="e">
        <f t="shared" si="1"/>
        <v>#VALUE!</v>
      </c>
      <c r="R5" s="172" t="e">
        <f t="shared" si="1"/>
        <v>#VALUE!</v>
      </c>
      <c r="S5" s="172" t="e">
        <f t="shared" si="1"/>
        <v>#VALUE!</v>
      </c>
      <c r="T5" s="172" t="e">
        <f t="shared" si="1"/>
        <v>#VALUE!</v>
      </c>
      <c r="U5" s="172" t="e">
        <f t="shared" si="1"/>
        <v>#VALUE!</v>
      </c>
      <c r="V5" s="172" t="e">
        <f t="shared" si="1"/>
        <v>#VALUE!</v>
      </c>
      <c r="W5" s="172" t="e">
        <f t="shared" si="1"/>
        <v>#VALUE!</v>
      </c>
    </row>
    <row r="6" spans="1:23" ht="16.5" customHeight="1" x14ac:dyDescent="0.25">
      <c r="A6" s="60">
        <v>1.1000000000000001</v>
      </c>
      <c r="B6" s="60" t="s">
        <v>253</v>
      </c>
      <c r="C6" s="156" t="e">
        <f t="shared" ref="C6" si="2">SUM(D6:W6)</f>
        <v>#VALUE!</v>
      </c>
      <c r="D6" s="171" t="e">
        <f>D7*输入值【2】!B13</f>
        <v>#VALUE!</v>
      </c>
      <c r="E6" s="171" t="e">
        <f>E7*输入值【2】!C13</f>
        <v>#VALUE!</v>
      </c>
      <c r="F6" s="171" t="e">
        <f>F7*输入值【2】!D13*365/10000</f>
        <v>#VALUE!</v>
      </c>
      <c r="G6" s="171" t="e">
        <f>G7*输入值【2】!E13*365/10000</f>
        <v>#VALUE!</v>
      </c>
      <c r="H6" s="171" t="e">
        <f>H7*输入值【2】!F13*365/10000</f>
        <v>#VALUE!</v>
      </c>
      <c r="I6" s="171" t="e">
        <f>I7*输入值【2】!G13*365/10000</f>
        <v>#VALUE!</v>
      </c>
      <c r="J6" s="171" t="e">
        <f>J7*输入值【2】!H13*365/10000</f>
        <v>#VALUE!</v>
      </c>
      <c r="K6" s="171" t="e">
        <f>K7*输入值【2】!I13*365/10000</f>
        <v>#VALUE!</v>
      </c>
      <c r="L6" s="171" t="e">
        <f>L7*输入值【2】!J13*365/10000</f>
        <v>#VALUE!</v>
      </c>
      <c r="M6" s="171" t="e">
        <f>M7*输入值【2】!K13*365/10000</f>
        <v>#VALUE!</v>
      </c>
      <c r="N6" s="171" t="e">
        <f>N7*输入值【2】!L13*365/10000</f>
        <v>#VALUE!</v>
      </c>
      <c r="O6" s="171" t="e">
        <f>O7*输入值【2】!M13*365/10000</f>
        <v>#VALUE!</v>
      </c>
      <c r="P6" s="171" t="e">
        <f>P7*输入值【2】!N13*365/10000</f>
        <v>#VALUE!</v>
      </c>
      <c r="Q6" s="171" t="e">
        <f>Q7*输入值【2】!O13*365/10000</f>
        <v>#VALUE!</v>
      </c>
      <c r="R6" s="171" t="e">
        <f>R7*输入值【2】!P13*365/10000</f>
        <v>#VALUE!</v>
      </c>
      <c r="S6" s="171" t="e">
        <f>S7*输入值【2】!Q13*365/10000</f>
        <v>#VALUE!</v>
      </c>
      <c r="T6" s="171" t="e">
        <f>T7*输入值【2】!R13*365/10000</f>
        <v>#VALUE!</v>
      </c>
      <c r="U6" s="171" t="e">
        <f>U7*输入值【2】!S13*365/10000</f>
        <v>#VALUE!</v>
      </c>
      <c r="V6" s="171" t="e">
        <f>V7*输入值【2】!T13*365/10000</f>
        <v>#VALUE!</v>
      </c>
      <c r="W6" s="171" t="e">
        <f>W7*输入值【2】!U13*365/10000</f>
        <v>#VALUE!</v>
      </c>
    </row>
    <row r="7" spans="1:23" ht="16.5" customHeight="1" x14ac:dyDescent="0.25">
      <c r="A7" s="60" t="s">
        <v>149</v>
      </c>
      <c r="B7" s="60" t="s">
        <v>254</v>
      </c>
      <c r="C7" s="156" t="s">
        <v>148</v>
      </c>
      <c r="D7" s="171" t="e">
        <f>输入值【1】!$C$32*输入值【2】!B14</f>
        <v>#VALUE!</v>
      </c>
      <c r="E7" s="171" t="e">
        <f>输入值【1】!$C$32*输入值【2】!C14</f>
        <v>#VALUE!</v>
      </c>
      <c r="F7" s="171" t="e">
        <f>输入值【1】!$C$32*输入值【2】!D14</f>
        <v>#VALUE!</v>
      </c>
      <c r="G7" s="171" t="e">
        <f>输入值【1】!$C$32*输入值【2】!E14</f>
        <v>#VALUE!</v>
      </c>
      <c r="H7" s="171" t="e">
        <f>输入值【1】!$C$32*输入值【2】!F14</f>
        <v>#VALUE!</v>
      </c>
      <c r="I7" s="171" t="e">
        <f>输入值【1】!$C$32*输入值【2】!G14</f>
        <v>#VALUE!</v>
      </c>
      <c r="J7" s="171" t="e">
        <f>输入值【1】!$C$32*输入值【2】!H14</f>
        <v>#VALUE!</v>
      </c>
      <c r="K7" s="171" t="e">
        <f>输入值【1】!$C$32*输入值【2】!I14</f>
        <v>#VALUE!</v>
      </c>
      <c r="L7" s="171" t="e">
        <f>输入值【1】!$C$32*输入值【2】!J14</f>
        <v>#VALUE!</v>
      </c>
      <c r="M7" s="171" t="e">
        <f>输入值【1】!$C$32*输入值【2】!K14</f>
        <v>#VALUE!</v>
      </c>
      <c r="N7" s="171" t="e">
        <f>输入值【1】!$C$32*输入值【2】!L14</f>
        <v>#VALUE!</v>
      </c>
      <c r="O7" s="171" t="e">
        <f>输入值【1】!$C$32*输入值【2】!M14</f>
        <v>#VALUE!</v>
      </c>
      <c r="P7" s="171" t="e">
        <f>输入值【1】!$C$32*输入值【2】!N14</f>
        <v>#VALUE!</v>
      </c>
      <c r="Q7" s="171" t="e">
        <f>输入值【1】!$C$32*输入值【2】!O14</f>
        <v>#VALUE!</v>
      </c>
      <c r="R7" s="171" t="e">
        <f>输入值【1】!$C$32*输入值【2】!P14</f>
        <v>#VALUE!</v>
      </c>
      <c r="S7" s="171" t="e">
        <f>输入值【1】!$C$32*输入值【2】!Q14</f>
        <v>#VALUE!</v>
      </c>
      <c r="T7" s="171" t="e">
        <f>输入值【1】!$C$32*输入值【2】!R14</f>
        <v>#VALUE!</v>
      </c>
      <c r="U7" s="171" t="e">
        <f>输入值【1】!$C$32*输入值【2】!S14</f>
        <v>#VALUE!</v>
      </c>
      <c r="V7" s="171" t="e">
        <f>输入值【1】!$C$32*输入值【2】!T14</f>
        <v>#VALUE!</v>
      </c>
      <c r="W7" s="171" t="e">
        <f>输入值【1】!$C$32*输入值【2】!U14</f>
        <v>#VALUE!</v>
      </c>
    </row>
    <row r="8" spans="1:23" ht="16.5" customHeight="1" x14ac:dyDescent="0.25">
      <c r="A8" s="60">
        <v>1.2</v>
      </c>
      <c r="B8" s="60" t="s">
        <v>255</v>
      </c>
      <c r="C8" s="156" t="e">
        <f>SUM(D8:W8)</f>
        <v>#VALUE!</v>
      </c>
      <c r="D8" s="171" t="e">
        <f>D6*输入值【1】!$C$35</f>
        <v>#VALUE!</v>
      </c>
      <c r="E8" s="171" t="e">
        <f>E6*输入值【1】!$C$35</f>
        <v>#VALUE!</v>
      </c>
      <c r="F8" s="171" t="e">
        <f>F6*输入值【1】!$C$35</f>
        <v>#VALUE!</v>
      </c>
      <c r="G8" s="171" t="e">
        <f>G6*输入值【1】!$C$35</f>
        <v>#VALUE!</v>
      </c>
      <c r="H8" s="171" t="e">
        <f>H6*输入值【1】!$C$35</f>
        <v>#VALUE!</v>
      </c>
      <c r="I8" s="171" t="e">
        <f>I6*输入值【1】!$C$35</f>
        <v>#VALUE!</v>
      </c>
      <c r="J8" s="171" t="e">
        <f>J6*输入值【1】!$C$35</f>
        <v>#VALUE!</v>
      </c>
      <c r="K8" s="171" t="e">
        <f>K6*输入值【1】!$C$35</f>
        <v>#VALUE!</v>
      </c>
      <c r="L8" s="171" t="e">
        <f>L6*输入值【1】!$C$35</f>
        <v>#VALUE!</v>
      </c>
      <c r="M8" s="171" t="e">
        <f>M6*输入值【1】!$C$35</f>
        <v>#VALUE!</v>
      </c>
      <c r="N8" s="171" t="e">
        <f>N6*输入值【1】!$C$35</f>
        <v>#VALUE!</v>
      </c>
      <c r="O8" s="171" t="e">
        <f>O6*输入值【1】!$C$35</f>
        <v>#VALUE!</v>
      </c>
      <c r="P8" s="171" t="e">
        <f>P6*输入值【1】!$C$35</f>
        <v>#VALUE!</v>
      </c>
      <c r="Q8" s="171" t="e">
        <f>Q6*输入值【1】!$C$35</f>
        <v>#VALUE!</v>
      </c>
      <c r="R8" s="171" t="e">
        <f>R6*输入值【1】!$C$35</f>
        <v>#VALUE!</v>
      </c>
      <c r="S8" s="171" t="e">
        <f>S6*输入值【1】!$C$35</f>
        <v>#VALUE!</v>
      </c>
      <c r="T8" s="171" t="e">
        <f>T6*输入值【1】!$C$35</f>
        <v>#VALUE!</v>
      </c>
      <c r="U8" s="171" t="e">
        <f>U6*输入值【1】!$C$35</f>
        <v>#VALUE!</v>
      </c>
      <c r="V8" s="171" t="e">
        <f>V6*输入值【1】!$C$35</f>
        <v>#VALUE!</v>
      </c>
      <c r="W8" s="171" t="e">
        <f>W6*输入值【1】!$C$35</f>
        <v>#VALUE!</v>
      </c>
    </row>
    <row r="9" spans="1:23" ht="16.5" customHeight="1" x14ac:dyDescent="0.25">
      <c r="A9" s="60"/>
      <c r="B9" s="60"/>
      <c r="C9" s="156" t="e">
        <f>SUM(D9:W9)</f>
        <v>#VALUE!</v>
      </c>
      <c r="D9" s="171" t="e">
        <f>D6*输入值【1】!#REF!</f>
        <v>#VALUE!</v>
      </c>
      <c r="E9" s="171" t="e">
        <f>E6*输入值【1】!#REF!</f>
        <v>#VALUE!</v>
      </c>
      <c r="F9" s="171" t="e">
        <f>F6*输入值【1】!#REF!</f>
        <v>#VALUE!</v>
      </c>
      <c r="G9" s="171" t="e">
        <f>G6*输入值【1】!#REF!</f>
        <v>#VALUE!</v>
      </c>
      <c r="H9" s="171" t="e">
        <f>H6*输入值【1】!#REF!</f>
        <v>#VALUE!</v>
      </c>
      <c r="I9" s="171" t="e">
        <f>I6*输入值【1】!#REF!</f>
        <v>#VALUE!</v>
      </c>
      <c r="J9" s="171" t="e">
        <f>J6*输入值【1】!#REF!</f>
        <v>#VALUE!</v>
      </c>
      <c r="K9" s="171" t="e">
        <f>K6*输入值【1】!#REF!</f>
        <v>#VALUE!</v>
      </c>
      <c r="L9" s="171" t="e">
        <f>L6*输入值【1】!#REF!</f>
        <v>#VALUE!</v>
      </c>
      <c r="M9" s="171" t="e">
        <f>M6*输入值【1】!#REF!</f>
        <v>#VALUE!</v>
      </c>
      <c r="N9" s="171" t="e">
        <f>N6*输入值【1】!#REF!</f>
        <v>#VALUE!</v>
      </c>
      <c r="O9" s="171" t="e">
        <f>O6*输入值【1】!#REF!</f>
        <v>#VALUE!</v>
      </c>
      <c r="P9" s="171" t="e">
        <f>P6*输入值【1】!#REF!</f>
        <v>#VALUE!</v>
      </c>
      <c r="Q9" s="171" t="e">
        <f>Q6*输入值【1】!#REF!</f>
        <v>#VALUE!</v>
      </c>
      <c r="R9" s="171" t="e">
        <f>R6*输入值【1】!#REF!</f>
        <v>#VALUE!</v>
      </c>
      <c r="S9" s="171" t="e">
        <f>S6*输入值【1】!#REF!</f>
        <v>#VALUE!</v>
      </c>
      <c r="T9" s="171" t="e">
        <f>T6*输入值【1】!#REF!</f>
        <v>#VALUE!</v>
      </c>
      <c r="U9" s="171" t="e">
        <f>U6*输入值【1】!#REF!</f>
        <v>#VALUE!</v>
      </c>
      <c r="V9" s="171" t="e">
        <f>V6*输入值【1】!#REF!</f>
        <v>#VALUE!</v>
      </c>
      <c r="W9" s="171" t="e">
        <f>W6*输入值【1】!#REF!</f>
        <v>#VALUE!</v>
      </c>
    </row>
    <row r="10" spans="1:23" ht="16.5" customHeight="1" x14ac:dyDescent="0.25">
      <c r="A10" s="60"/>
      <c r="B10" s="60"/>
      <c r="C10" s="156" t="e">
        <f>SUM(D10:W10)</f>
        <v>#VALUE!</v>
      </c>
      <c r="D10" s="171" t="e">
        <f>D6*输入值【1】!#REF!</f>
        <v>#VALUE!</v>
      </c>
      <c r="E10" s="171" t="e">
        <f>E6*输入值【1】!#REF!</f>
        <v>#VALUE!</v>
      </c>
      <c r="F10" s="171" t="e">
        <f>F6*输入值【1】!#REF!</f>
        <v>#VALUE!</v>
      </c>
      <c r="G10" s="171" t="e">
        <f>G6*输入值【1】!#REF!</f>
        <v>#VALUE!</v>
      </c>
      <c r="H10" s="171" t="e">
        <f>H6*输入值【1】!#REF!</f>
        <v>#VALUE!</v>
      </c>
      <c r="I10" s="171" t="e">
        <f>I6*输入值【1】!#REF!</f>
        <v>#VALUE!</v>
      </c>
      <c r="J10" s="171" t="e">
        <f>J6*输入值【1】!#REF!</f>
        <v>#VALUE!</v>
      </c>
      <c r="K10" s="171" t="e">
        <f>K6*输入值【1】!#REF!</f>
        <v>#VALUE!</v>
      </c>
      <c r="L10" s="171" t="e">
        <f>L6*输入值【1】!#REF!</f>
        <v>#VALUE!</v>
      </c>
      <c r="M10" s="171" t="e">
        <f>M6*输入值【1】!#REF!</f>
        <v>#VALUE!</v>
      </c>
      <c r="N10" s="171" t="e">
        <f>N6*输入值【1】!#REF!</f>
        <v>#VALUE!</v>
      </c>
      <c r="O10" s="171" t="e">
        <f>O6*输入值【1】!#REF!</f>
        <v>#VALUE!</v>
      </c>
      <c r="P10" s="171" t="e">
        <f>P6*输入值【1】!#REF!</f>
        <v>#VALUE!</v>
      </c>
      <c r="Q10" s="171" t="e">
        <f>Q6*输入值【1】!#REF!</f>
        <v>#VALUE!</v>
      </c>
      <c r="R10" s="171" t="e">
        <f>R6*输入值【1】!#REF!</f>
        <v>#VALUE!</v>
      </c>
      <c r="S10" s="171" t="e">
        <f>S6*输入值【1】!#REF!</f>
        <v>#VALUE!</v>
      </c>
      <c r="T10" s="171" t="e">
        <f>T6*输入值【1】!#REF!</f>
        <v>#VALUE!</v>
      </c>
      <c r="U10" s="171" t="e">
        <f>U6*输入值【1】!#REF!</f>
        <v>#VALUE!</v>
      </c>
      <c r="V10" s="171" t="e">
        <f>V6*输入值【1】!#REF!</f>
        <v>#VALUE!</v>
      </c>
      <c r="W10" s="171" t="e">
        <f>W6*输入值【1】!#REF!</f>
        <v>#VALUE!</v>
      </c>
    </row>
    <row r="11" spans="1:23" s="46" customFormat="1" ht="15" x14ac:dyDescent="0.25">
      <c r="A11" s="60">
        <v>1.3</v>
      </c>
      <c r="B11" s="60" t="s">
        <v>256</v>
      </c>
      <c r="C11" s="156" t="e">
        <f>SUM(D11:W11)</f>
        <v>#VALUE!</v>
      </c>
      <c r="D11" s="171" t="e">
        <f>D6*输入值【1】!$C$37</f>
        <v>#VALUE!</v>
      </c>
      <c r="E11" s="171" t="e">
        <f>E6*输入值【1】!$C$37</f>
        <v>#VALUE!</v>
      </c>
      <c r="F11" s="171" t="e">
        <f>F6*输入值【1】!$C$37</f>
        <v>#VALUE!</v>
      </c>
      <c r="G11" s="171" t="e">
        <f>G6*输入值【1】!$C$37</f>
        <v>#VALUE!</v>
      </c>
      <c r="H11" s="171" t="e">
        <f>H6*输入值【1】!$C$37</f>
        <v>#VALUE!</v>
      </c>
      <c r="I11" s="171" t="e">
        <f>I6*输入值【1】!$C$37</f>
        <v>#VALUE!</v>
      </c>
      <c r="J11" s="171" t="e">
        <f>J6*输入值【1】!$C$37</f>
        <v>#VALUE!</v>
      </c>
      <c r="K11" s="171" t="e">
        <f>K6*输入值【1】!$C$37</f>
        <v>#VALUE!</v>
      </c>
      <c r="L11" s="171" t="e">
        <f>L6*输入值【1】!$C$37</f>
        <v>#VALUE!</v>
      </c>
      <c r="M11" s="171" t="e">
        <f>M6*输入值【1】!$C$37</f>
        <v>#VALUE!</v>
      </c>
      <c r="N11" s="171" t="e">
        <f>N6*输入值【1】!$C$37</f>
        <v>#VALUE!</v>
      </c>
      <c r="O11" s="171" t="e">
        <f>O6*输入值【1】!$C$37</f>
        <v>#VALUE!</v>
      </c>
      <c r="P11" s="171" t="e">
        <f>P6*输入值【1】!$C$37</f>
        <v>#VALUE!</v>
      </c>
      <c r="Q11" s="171" t="e">
        <f>Q6*输入值【1】!$C$37</f>
        <v>#VALUE!</v>
      </c>
      <c r="R11" s="171" t="e">
        <f>R6*输入值【1】!$C$37</f>
        <v>#VALUE!</v>
      </c>
      <c r="S11" s="171" t="e">
        <f>S6*输入值【1】!$C$37</f>
        <v>#VALUE!</v>
      </c>
      <c r="T11" s="171" t="e">
        <f>T6*输入值【1】!$C$37</f>
        <v>#VALUE!</v>
      </c>
      <c r="U11" s="171" t="e">
        <f>U6*输入值【1】!$C$37</f>
        <v>#VALUE!</v>
      </c>
      <c r="V11" s="171" t="e">
        <f>V6*输入值【1】!$C$37</f>
        <v>#VALUE!</v>
      </c>
      <c r="W11" s="171" t="e">
        <f>W6*输入值【1】!$C$37</f>
        <v>#VALUE!</v>
      </c>
    </row>
    <row r="12" spans="1:23" ht="15" x14ac:dyDescent="0.25">
      <c r="A12" s="74"/>
      <c r="B12" s="74"/>
      <c r="C12" s="75"/>
      <c r="D12" s="74"/>
      <c r="E12" s="75"/>
      <c r="F12" s="75"/>
      <c r="G12" s="75"/>
      <c r="H12" s="75"/>
      <c r="I12" s="75"/>
      <c r="J12" s="75"/>
      <c r="K12" s="75"/>
      <c r="L12" s="75"/>
      <c r="M12" s="75"/>
      <c r="N12" s="75"/>
      <c r="O12" s="75"/>
      <c r="P12" s="75"/>
      <c r="Q12" s="75"/>
      <c r="R12" s="75"/>
      <c r="S12" s="75"/>
      <c r="T12" s="75"/>
      <c r="U12" s="75"/>
      <c r="V12" s="75"/>
      <c r="W12" s="75"/>
    </row>
    <row r="13" spans="1:23" x14ac:dyDescent="0.25">
      <c r="A13" s="8"/>
      <c r="B13" s="8"/>
      <c r="C13" s="9"/>
      <c r="D13" s="10"/>
      <c r="E13" s="11"/>
      <c r="F13" s="9"/>
      <c r="G13" s="9"/>
      <c r="H13" s="9"/>
      <c r="I13" s="9"/>
      <c r="J13" s="9"/>
      <c r="K13" s="9"/>
      <c r="L13" s="9"/>
      <c r="M13" s="9"/>
      <c r="N13" s="9"/>
      <c r="O13" s="9"/>
      <c r="P13" s="9"/>
      <c r="Q13" s="9"/>
      <c r="R13" s="9"/>
      <c r="S13" s="9"/>
      <c r="T13" s="9"/>
      <c r="U13" s="9"/>
      <c r="V13" s="9"/>
      <c r="W13" s="9"/>
    </row>
    <row r="16" spans="1:23" x14ac:dyDescent="0.25">
      <c r="C16" s="200"/>
    </row>
  </sheetData>
  <mergeCells count="1">
    <mergeCell ref="A1:W1"/>
  </mergeCells>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430BF-DF47-4C69-A27B-301907A9844D}">
  <dimension ref="A1:W38"/>
  <sheetViews>
    <sheetView zoomScale="85" zoomScaleNormal="85" workbookViewId="0">
      <selection activeCell="D13" sqref="D12:D13"/>
    </sheetView>
  </sheetViews>
  <sheetFormatPr defaultRowHeight="12.5" x14ac:dyDescent="0.25"/>
  <cols>
    <col min="1" max="1" width="7.453125" bestFit="1" customWidth="1"/>
    <col min="2" max="2" width="30.453125" bestFit="1" customWidth="1"/>
    <col min="3" max="3" width="12.81640625" bestFit="1" customWidth="1"/>
    <col min="4" max="4" width="12.1796875" customWidth="1"/>
    <col min="5" max="8" width="12.81640625" bestFit="1" customWidth="1"/>
    <col min="9" max="23" width="11.54296875" bestFit="1" customWidth="1"/>
  </cols>
  <sheetData>
    <row r="1" spans="1:23" ht="21" x14ac:dyDescent="0.25">
      <c r="A1" s="341" t="s">
        <v>70</v>
      </c>
      <c r="B1" s="342"/>
      <c r="C1" s="342"/>
      <c r="D1" s="342"/>
      <c r="E1" s="342"/>
      <c r="F1" s="342"/>
      <c r="G1" s="342"/>
      <c r="H1" s="342"/>
      <c r="I1" s="342"/>
      <c r="J1" s="342"/>
      <c r="K1" s="342"/>
      <c r="L1" s="342"/>
      <c r="M1" s="342"/>
      <c r="N1" s="342"/>
      <c r="O1" s="342"/>
      <c r="P1" s="342"/>
      <c r="Q1" s="342"/>
      <c r="R1" s="342"/>
      <c r="S1" s="342"/>
      <c r="T1" s="342"/>
      <c r="U1" s="342"/>
      <c r="V1" s="342"/>
      <c r="W1" s="343"/>
    </row>
    <row r="2" spans="1:23" ht="15" x14ac:dyDescent="0.25">
      <c r="A2" s="71" t="s">
        <v>0</v>
      </c>
      <c r="B2" s="71" t="s">
        <v>6</v>
      </c>
      <c r="C2" s="71" t="s">
        <v>104</v>
      </c>
      <c r="D2" s="71">
        <v>1</v>
      </c>
      <c r="E2" s="71">
        <v>2</v>
      </c>
      <c r="F2" s="71">
        <v>3</v>
      </c>
      <c r="G2" s="71">
        <v>4</v>
      </c>
      <c r="H2" s="71">
        <v>5</v>
      </c>
      <c r="I2" s="71">
        <v>6</v>
      </c>
      <c r="J2" s="71">
        <v>7</v>
      </c>
      <c r="K2" s="71">
        <v>8</v>
      </c>
      <c r="L2" s="71">
        <v>9</v>
      </c>
      <c r="M2" s="71">
        <v>10</v>
      </c>
      <c r="N2" s="71">
        <v>11</v>
      </c>
      <c r="O2" s="71">
        <v>12</v>
      </c>
      <c r="P2" s="71">
        <v>13</v>
      </c>
      <c r="Q2" s="71">
        <v>14</v>
      </c>
      <c r="R2" s="71">
        <v>15</v>
      </c>
      <c r="S2" s="71">
        <v>16</v>
      </c>
      <c r="T2" s="71">
        <v>17</v>
      </c>
      <c r="U2" s="71">
        <v>18</v>
      </c>
      <c r="V2" s="71">
        <v>19</v>
      </c>
      <c r="W2" s="71">
        <v>20</v>
      </c>
    </row>
    <row r="3" spans="1:23" ht="15" x14ac:dyDescent="0.25">
      <c r="A3" s="71"/>
      <c r="B3" s="71"/>
      <c r="C3" s="71" t="s">
        <v>105</v>
      </c>
      <c r="D3" s="71">
        <v>2021</v>
      </c>
      <c r="E3" s="71">
        <v>2022</v>
      </c>
      <c r="F3" s="71">
        <v>2023</v>
      </c>
      <c r="G3" s="71">
        <v>2024</v>
      </c>
      <c r="H3" s="71">
        <v>2025</v>
      </c>
      <c r="I3" s="71">
        <v>2026</v>
      </c>
      <c r="J3" s="71">
        <v>2027</v>
      </c>
      <c r="K3" s="71">
        <v>2028</v>
      </c>
      <c r="L3" s="71">
        <v>2029</v>
      </c>
      <c r="M3" s="71">
        <v>2030</v>
      </c>
      <c r="N3" s="71">
        <v>2031</v>
      </c>
      <c r="O3" s="71">
        <v>2032</v>
      </c>
      <c r="P3" s="71">
        <v>2033</v>
      </c>
      <c r="Q3" s="71">
        <v>2034</v>
      </c>
      <c r="R3" s="71">
        <v>2035</v>
      </c>
      <c r="S3" s="71">
        <v>2036</v>
      </c>
      <c r="T3" s="71">
        <v>2037</v>
      </c>
      <c r="U3" s="71">
        <v>2038</v>
      </c>
      <c r="V3" s="71">
        <v>2039</v>
      </c>
      <c r="W3" s="71">
        <v>2040</v>
      </c>
    </row>
    <row r="4" spans="1:23" ht="15" x14ac:dyDescent="0.25">
      <c r="A4" s="58">
        <v>1</v>
      </c>
      <c r="B4" s="58" t="s">
        <v>65</v>
      </c>
      <c r="C4" s="82" t="e">
        <f t="shared" ref="C4:C5" si="0">SUM(D4:W4)</f>
        <v>#VALUE!</v>
      </c>
      <c r="D4" s="157" t="e">
        <f t="shared" ref="D4:W4" si="1">SUM(D5:D5)</f>
        <v>#VALUE!</v>
      </c>
      <c r="E4" s="157" t="e">
        <f t="shared" si="1"/>
        <v>#VALUE!</v>
      </c>
      <c r="F4" s="157" t="e">
        <f t="shared" si="1"/>
        <v>#VALUE!</v>
      </c>
      <c r="G4" s="157" t="e">
        <f t="shared" si="1"/>
        <v>#VALUE!</v>
      </c>
      <c r="H4" s="157" t="e">
        <f t="shared" si="1"/>
        <v>#VALUE!</v>
      </c>
      <c r="I4" s="157" t="e">
        <f t="shared" si="1"/>
        <v>#VALUE!</v>
      </c>
      <c r="J4" s="157" t="e">
        <f t="shared" si="1"/>
        <v>#VALUE!</v>
      </c>
      <c r="K4" s="157" t="e">
        <f t="shared" si="1"/>
        <v>#VALUE!</v>
      </c>
      <c r="L4" s="157" t="e">
        <f t="shared" si="1"/>
        <v>#VALUE!</v>
      </c>
      <c r="M4" s="157" t="e">
        <f t="shared" si="1"/>
        <v>#VALUE!</v>
      </c>
      <c r="N4" s="157" t="e">
        <f t="shared" si="1"/>
        <v>#VALUE!</v>
      </c>
      <c r="O4" s="157" t="e">
        <f t="shared" si="1"/>
        <v>#VALUE!</v>
      </c>
      <c r="P4" s="157" t="e">
        <f t="shared" si="1"/>
        <v>#VALUE!</v>
      </c>
      <c r="Q4" s="157" t="e">
        <f t="shared" si="1"/>
        <v>#VALUE!</v>
      </c>
      <c r="R4" s="157" t="e">
        <f t="shared" si="1"/>
        <v>#VALUE!</v>
      </c>
      <c r="S4" s="157" t="e">
        <f t="shared" si="1"/>
        <v>#VALUE!</v>
      </c>
      <c r="T4" s="157" t="e">
        <f t="shared" si="1"/>
        <v>#VALUE!</v>
      </c>
      <c r="U4" s="157" t="e">
        <f t="shared" si="1"/>
        <v>#VALUE!</v>
      </c>
      <c r="V4" s="157" t="e">
        <f t="shared" si="1"/>
        <v>#VALUE!</v>
      </c>
      <c r="W4" s="157" t="e">
        <f t="shared" si="1"/>
        <v>#VALUE!</v>
      </c>
    </row>
    <row r="5" spans="1:23" ht="15" x14ac:dyDescent="0.25">
      <c r="A5" s="65">
        <v>1.1000000000000001</v>
      </c>
      <c r="B5" s="65" t="s">
        <v>273</v>
      </c>
      <c r="C5" s="82" t="e">
        <f t="shared" si="0"/>
        <v>#VALUE!</v>
      </c>
      <c r="D5" s="157" t="e">
        <f>'输出值2-营业收入估算表'!D4/(1+输入值【1】!$C$60)*输入值【1】!$C$60</f>
        <v>#VALUE!</v>
      </c>
      <c r="E5" s="157" t="e">
        <f>'输出值2-营业收入估算表'!E4/(1+输入值【1】!$C$60)*输入值【1】!$C$60</f>
        <v>#VALUE!</v>
      </c>
      <c r="F5" s="157" t="e">
        <f>'输出值2-营业收入估算表'!F4/(1+输入值【1】!$C$60)*输入值【1】!$C$60</f>
        <v>#VALUE!</v>
      </c>
      <c r="G5" s="157" t="e">
        <f>'输出值2-营业收入估算表'!G4/(1+输入值【1】!$C$60)*输入值【1】!$C$60</f>
        <v>#VALUE!</v>
      </c>
      <c r="H5" s="157" t="e">
        <f>'输出值2-营业收入估算表'!H4/(1+输入值【1】!$C$60)*输入值【1】!$C$60</f>
        <v>#VALUE!</v>
      </c>
      <c r="I5" s="157" t="e">
        <f>'输出值2-营业收入估算表'!I4/(1+输入值【1】!$C$60)*输入值【1】!$C$60</f>
        <v>#VALUE!</v>
      </c>
      <c r="J5" s="157" t="e">
        <f>'输出值2-营业收入估算表'!J4/(1+输入值【1】!$C$60)*输入值【1】!$C$60</f>
        <v>#VALUE!</v>
      </c>
      <c r="K5" s="157" t="e">
        <f>'输出值2-营业收入估算表'!K4/(1+输入值【1】!$C$60)*输入值【1】!$C$60</f>
        <v>#VALUE!</v>
      </c>
      <c r="L5" s="157" t="e">
        <f>'输出值2-营业收入估算表'!L4/(1+输入值【1】!$C$60)*输入值【1】!$C$60</f>
        <v>#VALUE!</v>
      </c>
      <c r="M5" s="157" t="e">
        <f>'输出值2-营业收入估算表'!M4/(1+输入值【1】!$C$60)*输入值【1】!$C$60</f>
        <v>#VALUE!</v>
      </c>
      <c r="N5" s="157" t="e">
        <f>'输出值2-营业收入估算表'!N4/(1+输入值【1】!$C$60)*输入值【1】!$C$60</f>
        <v>#VALUE!</v>
      </c>
      <c r="O5" s="157" t="e">
        <f>'输出值2-营业收入估算表'!O4/(1+输入值【1】!$C$60)*输入值【1】!$C$60</f>
        <v>#VALUE!</v>
      </c>
      <c r="P5" s="157" t="e">
        <f>'输出值2-营业收入估算表'!P4/(1+输入值【1】!$C$60)*输入值【1】!$C$60</f>
        <v>#VALUE!</v>
      </c>
      <c r="Q5" s="157" t="e">
        <f>'输出值2-营业收入估算表'!Q4/(1+输入值【1】!$C$60)*输入值【1】!$C$60</f>
        <v>#VALUE!</v>
      </c>
      <c r="R5" s="157" t="e">
        <f>'输出值2-营业收入估算表'!R4/(1+输入值【1】!$C$60)*输入值【1】!$C$60</f>
        <v>#VALUE!</v>
      </c>
      <c r="S5" s="157" t="e">
        <f>'输出值2-营业收入估算表'!S4/(1+输入值【1】!$C$60)*输入值【1】!$C$60</f>
        <v>#VALUE!</v>
      </c>
      <c r="T5" s="157" t="e">
        <f>'输出值2-营业收入估算表'!T4/(1+输入值【1】!$C$60)*输入值【1】!$C$60</f>
        <v>#VALUE!</v>
      </c>
      <c r="U5" s="157" t="e">
        <f>'输出值2-营业收入估算表'!U4/(1+输入值【1】!$C$60)*输入值【1】!$C$60</f>
        <v>#VALUE!</v>
      </c>
      <c r="V5" s="157" t="e">
        <f>'输出值2-营业收入估算表'!V4/(1+输入值【1】!$C$60)*输入值【1】!$C$60</f>
        <v>#VALUE!</v>
      </c>
      <c r="W5" s="157" t="e">
        <f>'输出值2-营业收入估算表'!W4/(1+输入值【1】!$C$60)*输入值【1】!$C$60</f>
        <v>#VALUE!</v>
      </c>
    </row>
    <row r="6" spans="1:23" ht="15" x14ac:dyDescent="0.25">
      <c r="A6" s="58">
        <v>2</v>
      </c>
      <c r="B6" s="58" t="s">
        <v>66</v>
      </c>
      <c r="C6" s="82" t="e">
        <f t="shared" ref="C6:C10" si="2">SUM(D6:W6)</f>
        <v>#VALUE!</v>
      </c>
      <c r="D6" s="158" t="e">
        <f>D7</f>
        <v>#VALUE!</v>
      </c>
      <c r="E6" s="158" t="e">
        <f t="shared" ref="E6:W6" si="3">E7</f>
        <v>#VALUE!</v>
      </c>
      <c r="F6" s="158">
        <f t="shared" si="3"/>
        <v>0</v>
      </c>
      <c r="G6" s="158">
        <f t="shared" si="3"/>
        <v>0</v>
      </c>
      <c r="H6" s="158">
        <f t="shared" si="3"/>
        <v>0</v>
      </c>
      <c r="I6" s="158">
        <f t="shared" si="3"/>
        <v>0</v>
      </c>
      <c r="J6" s="158">
        <f t="shared" si="3"/>
        <v>0</v>
      </c>
      <c r="K6" s="158">
        <f t="shared" si="3"/>
        <v>0</v>
      </c>
      <c r="L6" s="158">
        <f t="shared" si="3"/>
        <v>0</v>
      </c>
      <c r="M6" s="158">
        <f t="shared" si="3"/>
        <v>0</v>
      </c>
      <c r="N6" s="158">
        <f t="shared" si="3"/>
        <v>0</v>
      </c>
      <c r="O6" s="158">
        <f t="shared" si="3"/>
        <v>0</v>
      </c>
      <c r="P6" s="158">
        <f t="shared" si="3"/>
        <v>0</v>
      </c>
      <c r="Q6" s="158">
        <f t="shared" si="3"/>
        <v>0</v>
      </c>
      <c r="R6" s="158">
        <f t="shared" si="3"/>
        <v>0</v>
      </c>
      <c r="S6" s="158">
        <f t="shared" si="3"/>
        <v>0</v>
      </c>
      <c r="T6" s="158">
        <f t="shared" si="3"/>
        <v>0</v>
      </c>
      <c r="U6" s="158">
        <f t="shared" si="3"/>
        <v>0</v>
      </c>
      <c r="V6" s="158">
        <f t="shared" si="3"/>
        <v>0</v>
      </c>
      <c r="W6" s="158">
        <f t="shared" si="3"/>
        <v>0</v>
      </c>
    </row>
    <row r="7" spans="1:23" ht="15" x14ac:dyDescent="0.25">
      <c r="A7" s="65">
        <v>2.1</v>
      </c>
      <c r="B7" s="65" t="s">
        <v>69</v>
      </c>
      <c r="C7" s="82" t="e">
        <f t="shared" si="2"/>
        <v>#VALUE!</v>
      </c>
      <c r="D7" s="157" t="e">
        <f>('输出值1-总投资估算表'!F34)*输入值【1】!C24/(1+输入值【1】!C59)*输入值【1】!C59</f>
        <v>#VALUE!</v>
      </c>
      <c r="E7" s="158" t="e">
        <f>('输出值1-总投资估算表'!F34-'输出值1-总投资估算表'!F30)*输入值【1】!C25/(1+输入值【1】!C59)*输入值【1】!C59</f>
        <v>#VALUE!</v>
      </c>
      <c r="F7" s="158"/>
      <c r="G7" s="158"/>
      <c r="H7" s="158"/>
      <c r="I7" s="158"/>
      <c r="J7" s="158"/>
      <c r="K7" s="158"/>
      <c r="L7" s="158"/>
      <c r="M7" s="158"/>
      <c r="N7" s="158"/>
      <c r="O7" s="158"/>
      <c r="P7" s="158"/>
      <c r="Q7" s="158"/>
      <c r="R7" s="158"/>
      <c r="S7" s="158"/>
      <c r="T7" s="158"/>
      <c r="U7" s="158"/>
      <c r="V7" s="158"/>
      <c r="W7" s="158"/>
    </row>
    <row r="8" spans="1:23" ht="15" x14ac:dyDescent="0.25">
      <c r="A8" s="58">
        <v>3</v>
      </c>
      <c r="B8" s="58" t="s">
        <v>67</v>
      </c>
      <c r="C8" s="82" t="e">
        <f t="shared" si="2"/>
        <v>#VALUE!</v>
      </c>
      <c r="D8" s="158">
        <v>0</v>
      </c>
      <c r="E8" s="158" t="e">
        <f t="shared" ref="E8:W8" si="4">IF((D9+E6)&gt;E4,E4,(D9+E6))</f>
        <v>#VALUE!</v>
      </c>
      <c r="F8" s="158" t="e">
        <f t="shared" si="4"/>
        <v>#VALUE!</v>
      </c>
      <c r="G8" s="158" t="e">
        <f t="shared" si="4"/>
        <v>#VALUE!</v>
      </c>
      <c r="H8" s="158" t="e">
        <f t="shared" si="4"/>
        <v>#VALUE!</v>
      </c>
      <c r="I8" s="158" t="e">
        <f t="shared" si="4"/>
        <v>#VALUE!</v>
      </c>
      <c r="J8" s="158" t="e">
        <f t="shared" si="4"/>
        <v>#VALUE!</v>
      </c>
      <c r="K8" s="158" t="e">
        <f t="shared" si="4"/>
        <v>#VALUE!</v>
      </c>
      <c r="L8" s="158" t="e">
        <f t="shared" si="4"/>
        <v>#VALUE!</v>
      </c>
      <c r="M8" s="158" t="e">
        <f t="shared" si="4"/>
        <v>#VALUE!</v>
      </c>
      <c r="N8" s="158" t="e">
        <f t="shared" si="4"/>
        <v>#VALUE!</v>
      </c>
      <c r="O8" s="158" t="e">
        <f t="shared" si="4"/>
        <v>#VALUE!</v>
      </c>
      <c r="P8" s="158" t="e">
        <f t="shared" si="4"/>
        <v>#VALUE!</v>
      </c>
      <c r="Q8" s="158" t="e">
        <f t="shared" si="4"/>
        <v>#VALUE!</v>
      </c>
      <c r="R8" s="158" t="e">
        <f t="shared" si="4"/>
        <v>#VALUE!</v>
      </c>
      <c r="S8" s="158" t="e">
        <f t="shared" si="4"/>
        <v>#VALUE!</v>
      </c>
      <c r="T8" s="158" t="e">
        <f t="shared" si="4"/>
        <v>#VALUE!</v>
      </c>
      <c r="U8" s="158" t="e">
        <f t="shared" si="4"/>
        <v>#VALUE!</v>
      </c>
      <c r="V8" s="158" t="e">
        <f t="shared" si="4"/>
        <v>#VALUE!</v>
      </c>
      <c r="W8" s="158" t="e">
        <f t="shared" si="4"/>
        <v>#VALUE!</v>
      </c>
    </row>
    <row r="9" spans="1:23" ht="15" x14ac:dyDescent="0.25">
      <c r="A9" s="58">
        <v>4</v>
      </c>
      <c r="B9" s="58" t="s">
        <v>68</v>
      </c>
      <c r="C9" s="82" t="e">
        <f t="shared" si="2"/>
        <v>#VALUE!</v>
      </c>
      <c r="D9" s="158" t="e">
        <f>D6</f>
        <v>#VALUE!</v>
      </c>
      <c r="E9" s="158" t="e">
        <f t="shared" ref="E9:W9" si="5">D9+E6-E8</f>
        <v>#VALUE!</v>
      </c>
      <c r="F9" s="158" t="e">
        <f t="shared" si="5"/>
        <v>#VALUE!</v>
      </c>
      <c r="G9" s="158" t="e">
        <f t="shared" si="5"/>
        <v>#VALUE!</v>
      </c>
      <c r="H9" s="158" t="e">
        <f t="shared" si="5"/>
        <v>#VALUE!</v>
      </c>
      <c r="I9" s="158" t="e">
        <f t="shared" si="5"/>
        <v>#VALUE!</v>
      </c>
      <c r="J9" s="158" t="e">
        <f t="shared" si="5"/>
        <v>#VALUE!</v>
      </c>
      <c r="K9" s="158" t="e">
        <f t="shared" si="5"/>
        <v>#VALUE!</v>
      </c>
      <c r="L9" s="158" t="e">
        <f t="shared" si="5"/>
        <v>#VALUE!</v>
      </c>
      <c r="M9" s="158" t="e">
        <f t="shared" si="5"/>
        <v>#VALUE!</v>
      </c>
      <c r="N9" s="158" t="e">
        <f t="shared" si="5"/>
        <v>#VALUE!</v>
      </c>
      <c r="O9" s="158" t="e">
        <f t="shared" si="5"/>
        <v>#VALUE!</v>
      </c>
      <c r="P9" s="158" t="e">
        <f t="shared" si="5"/>
        <v>#VALUE!</v>
      </c>
      <c r="Q9" s="158" t="e">
        <f t="shared" si="5"/>
        <v>#VALUE!</v>
      </c>
      <c r="R9" s="158" t="e">
        <f t="shared" si="5"/>
        <v>#VALUE!</v>
      </c>
      <c r="S9" s="158" t="e">
        <f t="shared" si="5"/>
        <v>#VALUE!</v>
      </c>
      <c r="T9" s="158" t="e">
        <f t="shared" si="5"/>
        <v>#VALUE!</v>
      </c>
      <c r="U9" s="158" t="e">
        <f t="shared" si="5"/>
        <v>#VALUE!</v>
      </c>
      <c r="V9" s="158" t="e">
        <f t="shared" si="5"/>
        <v>#VALUE!</v>
      </c>
      <c r="W9" s="158" t="e">
        <f t="shared" si="5"/>
        <v>#VALUE!</v>
      </c>
    </row>
    <row r="10" spans="1:23" ht="15" x14ac:dyDescent="0.25">
      <c r="A10" s="58">
        <v>5</v>
      </c>
      <c r="B10" s="58" t="s">
        <v>7</v>
      </c>
      <c r="C10" s="82" t="e">
        <f t="shared" si="2"/>
        <v>#VALUE!</v>
      </c>
      <c r="D10" s="158" t="e">
        <f t="shared" ref="D10:W10" si="6">D4-D8</f>
        <v>#VALUE!</v>
      </c>
      <c r="E10" s="158" t="e">
        <f t="shared" si="6"/>
        <v>#VALUE!</v>
      </c>
      <c r="F10" s="158" t="e">
        <f t="shared" si="6"/>
        <v>#VALUE!</v>
      </c>
      <c r="G10" s="158" t="e">
        <f t="shared" si="6"/>
        <v>#VALUE!</v>
      </c>
      <c r="H10" s="158" t="e">
        <f t="shared" si="6"/>
        <v>#VALUE!</v>
      </c>
      <c r="I10" s="158" t="e">
        <f t="shared" si="6"/>
        <v>#VALUE!</v>
      </c>
      <c r="J10" s="158" t="e">
        <f t="shared" si="6"/>
        <v>#VALUE!</v>
      </c>
      <c r="K10" s="158" t="e">
        <f t="shared" si="6"/>
        <v>#VALUE!</v>
      </c>
      <c r="L10" s="158" t="e">
        <f t="shared" si="6"/>
        <v>#VALUE!</v>
      </c>
      <c r="M10" s="158" t="e">
        <f t="shared" si="6"/>
        <v>#VALUE!</v>
      </c>
      <c r="N10" s="158" t="e">
        <f t="shared" si="6"/>
        <v>#VALUE!</v>
      </c>
      <c r="O10" s="158" t="e">
        <f t="shared" si="6"/>
        <v>#VALUE!</v>
      </c>
      <c r="P10" s="158" t="e">
        <f t="shared" si="6"/>
        <v>#VALUE!</v>
      </c>
      <c r="Q10" s="158" t="e">
        <f t="shared" si="6"/>
        <v>#VALUE!</v>
      </c>
      <c r="R10" s="158" t="e">
        <f t="shared" si="6"/>
        <v>#VALUE!</v>
      </c>
      <c r="S10" s="158" t="e">
        <f t="shared" si="6"/>
        <v>#VALUE!</v>
      </c>
      <c r="T10" s="158" t="e">
        <f t="shared" si="6"/>
        <v>#VALUE!</v>
      </c>
      <c r="U10" s="158" t="e">
        <f t="shared" si="6"/>
        <v>#VALUE!</v>
      </c>
      <c r="V10" s="158" t="e">
        <f t="shared" si="6"/>
        <v>#VALUE!</v>
      </c>
      <c r="W10" s="158" t="e">
        <f t="shared" si="6"/>
        <v>#VALUE!</v>
      </c>
    </row>
    <row r="11" spans="1:23" ht="15" x14ac:dyDescent="0.25">
      <c r="A11" s="84">
        <v>6</v>
      </c>
      <c r="B11" s="85" t="s">
        <v>71</v>
      </c>
      <c r="C11" s="82" t="e">
        <f t="shared" ref="C11:C20" si="7">SUM(D11:W11)</f>
        <v>#VALUE!</v>
      </c>
      <c r="D11" s="158" t="e">
        <f>SUM(D12:D14)</f>
        <v>#VALUE!</v>
      </c>
      <c r="E11" s="158" t="e">
        <f t="shared" ref="E11:W11" si="8">SUM(E12:E14)</f>
        <v>#VALUE!</v>
      </c>
      <c r="F11" s="158" t="e">
        <f t="shared" si="8"/>
        <v>#VALUE!</v>
      </c>
      <c r="G11" s="158" t="e">
        <f t="shared" si="8"/>
        <v>#VALUE!</v>
      </c>
      <c r="H11" s="158" t="e">
        <f t="shared" si="8"/>
        <v>#VALUE!</v>
      </c>
      <c r="I11" s="158" t="e">
        <f t="shared" si="8"/>
        <v>#VALUE!</v>
      </c>
      <c r="J11" s="158" t="e">
        <f t="shared" si="8"/>
        <v>#VALUE!</v>
      </c>
      <c r="K11" s="158" t="e">
        <f t="shared" si="8"/>
        <v>#VALUE!</v>
      </c>
      <c r="L11" s="158" t="e">
        <f t="shared" si="8"/>
        <v>#VALUE!</v>
      </c>
      <c r="M11" s="158" t="e">
        <f t="shared" si="8"/>
        <v>#VALUE!</v>
      </c>
      <c r="N11" s="158" t="e">
        <f t="shared" si="8"/>
        <v>#VALUE!</v>
      </c>
      <c r="O11" s="158" t="e">
        <f t="shared" si="8"/>
        <v>#VALUE!</v>
      </c>
      <c r="P11" s="158" t="e">
        <f t="shared" si="8"/>
        <v>#VALUE!</v>
      </c>
      <c r="Q11" s="158" t="e">
        <f t="shared" si="8"/>
        <v>#VALUE!</v>
      </c>
      <c r="R11" s="158" t="e">
        <f t="shared" si="8"/>
        <v>#VALUE!</v>
      </c>
      <c r="S11" s="158" t="e">
        <f t="shared" si="8"/>
        <v>#VALUE!</v>
      </c>
      <c r="T11" s="158" t="e">
        <f t="shared" si="8"/>
        <v>#VALUE!</v>
      </c>
      <c r="U11" s="158" t="e">
        <f t="shared" si="8"/>
        <v>#VALUE!</v>
      </c>
      <c r="V11" s="158" t="e">
        <f t="shared" si="8"/>
        <v>#VALUE!</v>
      </c>
      <c r="W11" s="158" t="e">
        <f t="shared" si="8"/>
        <v>#VALUE!</v>
      </c>
    </row>
    <row r="12" spans="1:23" ht="15" x14ac:dyDescent="0.25">
      <c r="A12" s="83">
        <v>6.1</v>
      </c>
      <c r="B12" s="55" t="s">
        <v>72</v>
      </c>
      <c r="C12" s="82" t="e">
        <f t="shared" si="7"/>
        <v>#VALUE!</v>
      </c>
      <c r="D12" s="158" t="e">
        <f>D10*输入值【1】!$C$61</f>
        <v>#VALUE!</v>
      </c>
      <c r="E12" s="158" t="e">
        <f>E10*输入值【1】!$C$61</f>
        <v>#VALUE!</v>
      </c>
      <c r="F12" s="158" t="e">
        <f>F10*输入值【1】!$C$61</f>
        <v>#VALUE!</v>
      </c>
      <c r="G12" s="158" t="e">
        <f>G10*输入值【1】!$C$61</f>
        <v>#VALUE!</v>
      </c>
      <c r="H12" s="158" t="e">
        <f>H10*输入值【1】!$C$61</f>
        <v>#VALUE!</v>
      </c>
      <c r="I12" s="158" t="e">
        <f>I10*输入值【1】!$C$61</f>
        <v>#VALUE!</v>
      </c>
      <c r="J12" s="158" t="e">
        <f>J10*输入值【1】!$C$61</f>
        <v>#VALUE!</v>
      </c>
      <c r="K12" s="158" t="e">
        <f>K10*输入值【1】!$C$61</f>
        <v>#VALUE!</v>
      </c>
      <c r="L12" s="158" t="e">
        <f>L10*输入值【1】!$C$61</f>
        <v>#VALUE!</v>
      </c>
      <c r="M12" s="158" t="e">
        <f>M10*输入值【1】!$C$61</f>
        <v>#VALUE!</v>
      </c>
      <c r="N12" s="158" t="e">
        <f>N10*输入值【1】!$C$61</f>
        <v>#VALUE!</v>
      </c>
      <c r="O12" s="158" t="e">
        <f>O10*输入值【1】!$C$61</f>
        <v>#VALUE!</v>
      </c>
      <c r="P12" s="158" t="e">
        <f>P10*输入值【1】!$C$61</f>
        <v>#VALUE!</v>
      </c>
      <c r="Q12" s="158" t="e">
        <f>Q10*输入值【1】!$C$61</f>
        <v>#VALUE!</v>
      </c>
      <c r="R12" s="158" t="e">
        <f>R10*输入值【1】!$C$61</f>
        <v>#VALUE!</v>
      </c>
      <c r="S12" s="158" t="e">
        <f>S10*输入值【1】!$C$61</f>
        <v>#VALUE!</v>
      </c>
      <c r="T12" s="158" t="e">
        <f>T10*输入值【1】!$C$61</f>
        <v>#VALUE!</v>
      </c>
      <c r="U12" s="158" t="e">
        <f>U10*输入值【1】!$C$61</f>
        <v>#VALUE!</v>
      </c>
      <c r="V12" s="158" t="e">
        <f>V10*输入值【1】!$C$61</f>
        <v>#VALUE!</v>
      </c>
      <c r="W12" s="158" t="e">
        <f>W10*输入值【1】!$C$61</f>
        <v>#VALUE!</v>
      </c>
    </row>
    <row r="13" spans="1:23" ht="15" x14ac:dyDescent="0.25">
      <c r="A13" s="83">
        <v>6.2</v>
      </c>
      <c r="B13" s="55" t="s">
        <v>73</v>
      </c>
      <c r="C13" s="82" t="e">
        <f t="shared" si="7"/>
        <v>#VALUE!</v>
      </c>
      <c r="D13" s="158" t="e">
        <f>D10*输入值【1】!$C$62</f>
        <v>#VALUE!</v>
      </c>
      <c r="E13" s="158" t="e">
        <f>E10*输入值【1】!$C$62</f>
        <v>#VALUE!</v>
      </c>
      <c r="F13" s="158" t="e">
        <f>F10*输入值【1】!$C$62</f>
        <v>#VALUE!</v>
      </c>
      <c r="G13" s="158" t="e">
        <f>G10*输入值【1】!$C$62</f>
        <v>#VALUE!</v>
      </c>
      <c r="H13" s="158" t="e">
        <f>H10*输入值【1】!$C$62</f>
        <v>#VALUE!</v>
      </c>
      <c r="I13" s="158" t="e">
        <f>I10*输入值【1】!$C$62</f>
        <v>#VALUE!</v>
      </c>
      <c r="J13" s="158" t="e">
        <f>J10*输入值【1】!$C$62</f>
        <v>#VALUE!</v>
      </c>
      <c r="K13" s="158" t="e">
        <f>K10*输入值【1】!$C$62</f>
        <v>#VALUE!</v>
      </c>
      <c r="L13" s="158" t="e">
        <f>L10*输入值【1】!$C$62</f>
        <v>#VALUE!</v>
      </c>
      <c r="M13" s="158" t="e">
        <f>M10*输入值【1】!$C$62</f>
        <v>#VALUE!</v>
      </c>
      <c r="N13" s="158" t="e">
        <f>N10*输入值【1】!$C$62</f>
        <v>#VALUE!</v>
      </c>
      <c r="O13" s="158" t="e">
        <f>O10*输入值【1】!$C$62</f>
        <v>#VALUE!</v>
      </c>
      <c r="P13" s="158" t="e">
        <f>P10*输入值【1】!$C$62</f>
        <v>#VALUE!</v>
      </c>
      <c r="Q13" s="158" t="e">
        <f>Q10*输入值【1】!$C$62</f>
        <v>#VALUE!</v>
      </c>
      <c r="R13" s="158" t="e">
        <f>R10*输入值【1】!$C$62</f>
        <v>#VALUE!</v>
      </c>
      <c r="S13" s="158" t="e">
        <f>S10*输入值【1】!$C$62</f>
        <v>#VALUE!</v>
      </c>
      <c r="T13" s="158" t="e">
        <f>T10*输入值【1】!$C$62</f>
        <v>#VALUE!</v>
      </c>
      <c r="U13" s="158" t="e">
        <f>U10*输入值【1】!$C$62</f>
        <v>#VALUE!</v>
      </c>
      <c r="V13" s="158" t="e">
        <f>V10*输入值【1】!$C$62</f>
        <v>#VALUE!</v>
      </c>
      <c r="W13" s="158" t="e">
        <f>W10*输入值【1】!$C$62</f>
        <v>#VALUE!</v>
      </c>
    </row>
    <row r="14" spans="1:23" ht="15" x14ac:dyDescent="0.25">
      <c r="A14" s="83">
        <v>6.3</v>
      </c>
      <c r="B14" s="55" t="s">
        <v>74</v>
      </c>
      <c r="C14" s="82" t="e">
        <f t="shared" si="7"/>
        <v>#VALUE!</v>
      </c>
      <c r="D14" s="158" t="e">
        <f>D10*输入值【1】!$C$63</f>
        <v>#VALUE!</v>
      </c>
      <c r="E14" s="158" t="e">
        <f>E10*输入值【1】!$C$63</f>
        <v>#VALUE!</v>
      </c>
      <c r="F14" s="158" t="e">
        <f>F10*输入值【1】!$C$63</f>
        <v>#VALUE!</v>
      </c>
      <c r="G14" s="158" t="e">
        <f>G10*输入值【1】!$C$63</f>
        <v>#VALUE!</v>
      </c>
      <c r="H14" s="158" t="e">
        <f>H10*输入值【1】!$C$63</f>
        <v>#VALUE!</v>
      </c>
      <c r="I14" s="158" t="e">
        <f>I10*输入值【1】!$C$63</f>
        <v>#VALUE!</v>
      </c>
      <c r="J14" s="158" t="e">
        <f>J10*输入值【1】!$C$63</f>
        <v>#VALUE!</v>
      </c>
      <c r="K14" s="158" t="e">
        <f>K10*输入值【1】!$C$63</f>
        <v>#VALUE!</v>
      </c>
      <c r="L14" s="158" t="e">
        <f>L10*输入值【1】!$C$63</f>
        <v>#VALUE!</v>
      </c>
      <c r="M14" s="158" t="e">
        <f>M10*输入值【1】!$C$63</f>
        <v>#VALUE!</v>
      </c>
      <c r="N14" s="158" t="e">
        <f>N10*输入值【1】!$C$63</f>
        <v>#VALUE!</v>
      </c>
      <c r="O14" s="158" t="e">
        <f>O10*输入值【1】!$C$63</f>
        <v>#VALUE!</v>
      </c>
      <c r="P14" s="158" t="e">
        <f>P10*输入值【1】!$C$63</f>
        <v>#VALUE!</v>
      </c>
      <c r="Q14" s="158" t="e">
        <f>Q10*输入值【1】!$C$63</f>
        <v>#VALUE!</v>
      </c>
      <c r="R14" s="158" t="e">
        <f>R10*输入值【1】!$C$63</f>
        <v>#VALUE!</v>
      </c>
      <c r="S14" s="158" t="e">
        <f>S10*输入值【1】!$C$63</f>
        <v>#VALUE!</v>
      </c>
      <c r="T14" s="158" t="e">
        <f>T10*输入值【1】!$C$63</f>
        <v>#VALUE!</v>
      </c>
      <c r="U14" s="158" t="e">
        <f>U10*输入值【1】!$C$63</f>
        <v>#VALUE!</v>
      </c>
      <c r="V14" s="158" t="e">
        <f>V10*输入值【1】!$C$63</f>
        <v>#VALUE!</v>
      </c>
      <c r="W14" s="158" t="e">
        <f>W10*输入值【1】!$C$63</f>
        <v>#VALUE!</v>
      </c>
    </row>
    <row r="15" spans="1:23" ht="15" x14ac:dyDescent="0.25">
      <c r="A15" s="84">
        <v>7</v>
      </c>
      <c r="B15" s="85" t="s">
        <v>183</v>
      </c>
      <c r="C15" s="82">
        <f t="shared" si="7"/>
        <v>0</v>
      </c>
      <c r="D15" s="158"/>
      <c r="E15" s="158"/>
      <c r="F15" s="158"/>
      <c r="G15" s="158"/>
      <c r="H15" s="158"/>
      <c r="I15" s="158"/>
      <c r="J15" s="158"/>
      <c r="K15" s="158"/>
      <c r="L15" s="158"/>
      <c r="M15" s="158"/>
      <c r="N15" s="158"/>
      <c r="O15" s="158"/>
      <c r="P15" s="158"/>
      <c r="Q15" s="158"/>
      <c r="R15" s="158"/>
      <c r="S15" s="158"/>
      <c r="T15" s="158"/>
      <c r="U15" s="158"/>
      <c r="V15" s="158"/>
      <c r="W15" s="158"/>
    </row>
    <row r="16" spans="1:23" ht="15" x14ac:dyDescent="0.25">
      <c r="A16" s="84">
        <v>8</v>
      </c>
      <c r="B16" s="85" t="s">
        <v>184</v>
      </c>
      <c r="C16" s="82">
        <f t="shared" si="7"/>
        <v>0</v>
      </c>
      <c r="D16" s="158">
        <f>SUM(D17:D18)</f>
        <v>0</v>
      </c>
      <c r="E16" s="158">
        <f t="shared" ref="E16:W16" si="9">SUM(E17:E18)</f>
        <v>0</v>
      </c>
      <c r="F16" s="158">
        <f t="shared" si="9"/>
        <v>0</v>
      </c>
      <c r="G16" s="158">
        <f t="shared" si="9"/>
        <v>0</v>
      </c>
      <c r="H16" s="158">
        <f t="shared" si="9"/>
        <v>0</v>
      </c>
      <c r="I16" s="158">
        <f t="shared" si="9"/>
        <v>0</v>
      </c>
      <c r="J16" s="158">
        <f t="shared" si="9"/>
        <v>0</v>
      </c>
      <c r="K16" s="158">
        <f t="shared" si="9"/>
        <v>0</v>
      </c>
      <c r="L16" s="158">
        <f t="shared" si="9"/>
        <v>0</v>
      </c>
      <c r="M16" s="158">
        <f t="shared" si="9"/>
        <v>0</v>
      </c>
      <c r="N16" s="158">
        <f t="shared" si="9"/>
        <v>0</v>
      </c>
      <c r="O16" s="158">
        <f t="shared" si="9"/>
        <v>0</v>
      </c>
      <c r="P16" s="158">
        <f t="shared" si="9"/>
        <v>0</v>
      </c>
      <c r="Q16" s="158">
        <f t="shared" si="9"/>
        <v>0</v>
      </c>
      <c r="R16" s="158">
        <f t="shared" si="9"/>
        <v>0</v>
      </c>
      <c r="S16" s="158">
        <f t="shared" si="9"/>
        <v>0</v>
      </c>
      <c r="T16" s="158">
        <f t="shared" si="9"/>
        <v>0</v>
      </c>
      <c r="U16" s="158">
        <f t="shared" si="9"/>
        <v>0</v>
      </c>
      <c r="V16" s="158">
        <f t="shared" si="9"/>
        <v>0</v>
      </c>
      <c r="W16" s="158">
        <f t="shared" si="9"/>
        <v>0</v>
      </c>
    </row>
    <row r="17" spans="1:23" ht="15" x14ac:dyDescent="0.25">
      <c r="A17" s="83">
        <v>8.1</v>
      </c>
      <c r="B17" s="55" t="s">
        <v>191</v>
      </c>
      <c r="C17" s="82">
        <f t="shared" si="7"/>
        <v>0</v>
      </c>
      <c r="D17" s="158"/>
      <c r="E17" s="158"/>
      <c r="F17" s="158"/>
      <c r="G17" s="158"/>
      <c r="H17" s="158"/>
      <c r="I17" s="158"/>
      <c r="J17" s="158"/>
      <c r="K17" s="158"/>
      <c r="L17" s="158"/>
      <c r="M17" s="158"/>
      <c r="N17" s="158"/>
      <c r="O17" s="158"/>
      <c r="P17" s="158"/>
      <c r="Q17" s="158"/>
      <c r="R17" s="158"/>
      <c r="S17" s="158"/>
      <c r="T17" s="158"/>
      <c r="U17" s="158"/>
      <c r="V17" s="158"/>
      <c r="W17" s="158"/>
    </row>
    <row r="18" spans="1:23" ht="15" x14ac:dyDescent="0.25">
      <c r="A18" s="83">
        <v>8.1999999999999993</v>
      </c>
      <c r="B18" s="55" t="s">
        <v>192</v>
      </c>
      <c r="C18" s="82">
        <f t="shared" si="7"/>
        <v>0</v>
      </c>
      <c r="D18" s="158"/>
      <c r="E18" s="158"/>
      <c r="F18" s="158"/>
      <c r="G18" s="158"/>
      <c r="H18" s="158"/>
      <c r="I18" s="158"/>
      <c r="J18" s="158"/>
      <c r="K18" s="158"/>
      <c r="L18" s="158"/>
      <c r="M18" s="158"/>
      <c r="N18" s="158"/>
      <c r="O18" s="158"/>
      <c r="P18" s="158"/>
      <c r="Q18" s="158"/>
      <c r="R18" s="158"/>
      <c r="S18" s="158"/>
      <c r="T18" s="158"/>
      <c r="U18" s="158"/>
      <c r="V18" s="158"/>
      <c r="W18" s="158"/>
    </row>
    <row r="19" spans="1:23" ht="15" x14ac:dyDescent="0.25">
      <c r="A19" s="84">
        <v>9</v>
      </c>
      <c r="B19" s="85" t="s">
        <v>122</v>
      </c>
      <c r="C19" s="82">
        <f t="shared" si="7"/>
        <v>0</v>
      </c>
      <c r="D19" s="158">
        <v>0</v>
      </c>
      <c r="E19" s="158">
        <v>0</v>
      </c>
      <c r="F19" s="158">
        <v>0</v>
      </c>
      <c r="G19" s="158">
        <v>0</v>
      </c>
      <c r="H19" s="158">
        <v>0</v>
      </c>
      <c r="I19" s="158">
        <v>0</v>
      </c>
      <c r="J19" s="158">
        <v>0</v>
      </c>
      <c r="K19" s="158">
        <v>0</v>
      </c>
      <c r="L19" s="158">
        <v>0</v>
      </c>
      <c r="M19" s="158">
        <v>0</v>
      </c>
      <c r="N19" s="158">
        <v>0</v>
      </c>
      <c r="O19" s="158">
        <v>0</v>
      </c>
      <c r="P19" s="158">
        <v>0</v>
      </c>
      <c r="Q19" s="158">
        <v>0</v>
      </c>
      <c r="R19" s="158">
        <v>0</v>
      </c>
      <c r="S19" s="158">
        <v>0</v>
      </c>
      <c r="T19" s="158">
        <v>0</v>
      </c>
      <c r="U19" s="158">
        <v>0</v>
      </c>
      <c r="V19" s="158">
        <v>0</v>
      </c>
      <c r="W19" s="158">
        <v>0</v>
      </c>
    </row>
    <row r="20" spans="1:23" ht="15" x14ac:dyDescent="0.25">
      <c r="A20" s="84">
        <v>10</v>
      </c>
      <c r="B20" s="85" t="s">
        <v>193</v>
      </c>
      <c r="C20" s="82" t="e">
        <f t="shared" si="7"/>
        <v>#VALUE!</v>
      </c>
      <c r="D20" s="158" t="e">
        <f>D10+D11+D15+D16+D19</f>
        <v>#VALUE!</v>
      </c>
      <c r="E20" s="158" t="e">
        <f t="shared" ref="E20:W20" si="10">E10+E11+E15+E16+E19</f>
        <v>#VALUE!</v>
      </c>
      <c r="F20" s="158" t="e">
        <f t="shared" si="10"/>
        <v>#VALUE!</v>
      </c>
      <c r="G20" s="158" t="e">
        <f t="shared" si="10"/>
        <v>#VALUE!</v>
      </c>
      <c r="H20" s="158" t="e">
        <f t="shared" si="10"/>
        <v>#VALUE!</v>
      </c>
      <c r="I20" s="158" t="e">
        <f t="shared" si="10"/>
        <v>#VALUE!</v>
      </c>
      <c r="J20" s="158" t="e">
        <f t="shared" si="10"/>
        <v>#VALUE!</v>
      </c>
      <c r="K20" s="158" t="e">
        <f t="shared" si="10"/>
        <v>#VALUE!</v>
      </c>
      <c r="L20" s="158" t="e">
        <f t="shared" si="10"/>
        <v>#VALUE!</v>
      </c>
      <c r="M20" s="158" t="e">
        <f t="shared" si="10"/>
        <v>#VALUE!</v>
      </c>
      <c r="N20" s="158" t="e">
        <f t="shared" si="10"/>
        <v>#VALUE!</v>
      </c>
      <c r="O20" s="158" t="e">
        <f t="shared" si="10"/>
        <v>#VALUE!</v>
      </c>
      <c r="P20" s="158" t="e">
        <f t="shared" si="10"/>
        <v>#VALUE!</v>
      </c>
      <c r="Q20" s="158" t="e">
        <f t="shared" si="10"/>
        <v>#VALUE!</v>
      </c>
      <c r="R20" s="158" t="e">
        <f t="shared" si="10"/>
        <v>#VALUE!</v>
      </c>
      <c r="S20" s="158" t="e">
        <f t="shared" si="10"/>
        <v>#VALUE!</v>
      </c>
      <c r="T20" s="158" t="e">
        <f t="shared" si="10"/>
        <v>#VALUE!</v>
      </c>
      <c r="U20" s="158" t="e">
        <f t="shared" si="10"/>
        <v>#VALUE!</v>
      </c>
      <c r="V20" s="158" t="e">
        <f t="shared" si="10"/>
        <v>#VALUE!</v>
      </c>
      <c r="W20" s="158" t="e">
        <f t="shared" si="10"/>
        <v>#VALUE!</v>
      </c>
    </row>
    <row r="23" spans="1:23" ht="15" x14ac:dyDescent="0.25">
      <c r="A23" s="344" t="s">
        <v>195</v>
      </c>
      <c r="B23" s="344"/>
      <c r="C23" s="344"/>
    </row>
    <row r="24" spans="1:23" ht="15.5" x14ac:dyDescent="0.25">
      <c r="A24" s="87">
        <v>1</v>
      </c>
      <c r="B24" s="88" t="s">
        <v>124</v>
      </c>
      <c r="C24" s="99" t="e">
        <f>'输出值2-营业收入估算表'!C4</f>
        <v>#VALUE!</v>
      </c>
    </row>
    <row r="25" spans="1:23" ht="15.5" x14ac:dyDescent="0.25">
      <c r="A25" s="87">
        <v>2</v>
      </c>
      <c r="B25" s="88" t="s">
        <v>123</v>
      </c>
      <c r="C25" s="99" t="e">
        <f>C24/(1+输入值【1】!C60)</f>
        <v>#VALUE!</v>
      </c>
    </row>
    <row r="26" spans="1:23" ht="15.5" x14ac:dyDescent="0.25">
      <c r="A26" s="87">
        <v>3</v>
      </c>
      <c r="B26" s="88" t="s">
        <v>125</v>
      </c>
      <c r="C26" s="99" t="e">
        <f>C27+C31+C32+C33+C34</f>
        <v>#VALUE!</v>
      </c>
    </row>
    <row r="27" spans="1:23" ht="15.5" x14ac:dyDescent="0.25">
      <c r="A27" s="89">
        <v>3.1</v>
      </c>
      <c r="B27" s="90" t="s">
        <v>127</v>
      </c>
      <c r="C27" s="99" t="e">
        <f>SUM(C28:C30)</f>
        <v>#VALUE!</v>
      </c>
    </row>
    <row r="28" spans="1:23" ht="15.5" x14ac:dyDescent="0.25">
      <c r="A28" s="92" t="s">
        <v>151</v>
      </c>
      <c r="B28" s="93" t="s">
        <v>126</v>
      </c>
      <c r="C28" s="101" t="e">
        <f>'输出值1-总投资估算表'!F30</f>
        <v>#VALUE!</v>
      </c>
    </row>
    <row r="29" spans="1:23" ht="15.5" x14ac:dyDescent="0.25">
      <c r="A29" s="92" t="s">
        <v>181</v>
      </c>
      <c r="B29" s="93" t="s">
        <v>183</v>
      </c>
      <c r="C29" s="101">
        <v>0</v>
      </c>
    </row>
    <row r="30" spans="1:23" ht="15.5" x14ac:dyDescent="0.25">
      <c r="A30" s="92"/>
      <c r="B30" s="93"/>
      <c r="C30" s="99"/>
    </row>
    <row r="31" spans="1:23" ht="15.5" x14ac:dyDescent="0.35">
      <c r="A31" s="96">
        <v>3.2</v>
      </c>
      <c r="B31" s="95" t="s">
        <v>133</v>
      </c>
      <c r="C31" s="99"/>
    </row>
    <row r="32" spans="1:23" ht="15.5" x14ac:dyDescent="0.35">
      <c r="A32" s="96">
        <v>3.3</v>
      </c>
      <c r="B32" s="95" t="s">
        <v>128</v>
      </c>
      <c r="C32" s="99"/>
    </row>
    <row r="33" spans="1:4" ht="15.5" x14ac:dyDescent="0.35">
      <c r="A33" s="96">
        <v>3.4</v>
      </c>
      <c r="B33" s="95" t="s">
        <v>129</v>
      </c>
      <c r="C33" s="99"/>
    </row>
    <row r="34" spans="1:4" ht="15.5" x14ac:dyDescent="0.35">
      <c r="A34" s="96">
        <v>3.5</v>
      </c>
      <c r="B34" s="95" t="s">
        <v>130</v>
      </c>
      <c r="C34" s="99"/>
    </row>
    <row r="35" spans="1:4" ht="15.5" x14ac:dyDescent="0.35">
      <c r="A35" s="96">
        <v>3</v>
      </c>
      <c r="B35" s="97" t="s">
        <v>131</v>
      </c>
      <c r="C35" s="99"/>
    </row>
    <row r="36" spans="1:4" ht="15.5" x14ac:dyDescent="0.35">
      <c r="A36" s="96">
        <v>4</v>
      </c>
      <c r="B36" s="97" t="s">
        <v>132</v>
      </c>
      <c r="C36" s="100"/>
    </row>
    <row r="37" spans="1:4" ht="15.5" x14ac:dyDescent="0.35">
      <c r="A37" s="96">
        <v>5</v>
      </c>
      <c r="B37" s="97" t="s">
        <v>121</v>
      </c>
      <c r="C37" s="99"/>
    </row>
    <row r="38" spans="1:4" ht="15.5" x14ac:dyDescent="0.35">
      <c r="A38" s="98">
        <v>6</v>
      </c>
      <c r="B38" s="88" t="s">
        <v>134</v>
      </c>
      <c r="C38" s="100"/>
      <c r="D38" s="6" t="s">
        <v>197</v>
      </c>
    </row>
  </sheetData>
  <mergeCells count="2">
    <mergeCell ref="A1:W1"/>
    <mergeCell ref="A23:C23"/>
  </mergeCells>
  <phoneticPr fontId="7"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F340-4E35-489B-953E-FD6C18FFB2AD}">
  <dimension ref="A1:W20"/>
  <sheetViews>
    <sheetView workbookViewId="0">
      <selection activeCell="G10" sqref="G10"/>
    </sheetView>
  </sheetViews>
  <sheetFormatPr defaultRowHeight="12.5" x14ac:dyDescent="0.25"/>
  <cols>
    <col min="1" max="1" width="8.7265625" bestFit="1" customWidth="1"/>
    <col min="2" max="2" width="30.1796875" customWidth="1"/>
    <col min="3" max="3" width="12.26953125" bestFit="1" customWidth="1"/>
    <col min="4" max="4" width="10.26953125" bestFit="1" customWidth="1"/>
    <col min="5" max="5" width="10" bestFit="1" customWidth="1"/>
    <col min="6" max="6" width="11.81640625" bestFit="1" customWidth="1"/>
    <col min="7" max="7" width="11.1796875" bestFit="1" customWidth="1"/>
    <col min="8" max="12" width="10.453125" bestFit="1" customWidth="1"/>
    <col min="13" max="13" width="11.1796875" bestFit="1" customWidth="1"/>
    <col min="14" max="14" width="12.1796875" bestFit="1" customWidth="1"/>
    <col min="15" max="16" width="13" bestFit="1" customWidth="1"/>
    <col min="17" max="17" width="13.81640625" bestFit="1" customWidth="1"/>
    <col min="18" max="18" width="14.7265625" bestFit="1" customWidth="1"/>
    <col min="19" max="20" width="15.54296875" bestFit="1" customWidth="1"/>
    <col min="21" max="21" width="16.453125" bestFit="1" customWidth="1"/>
    <col min="22" max="22" width="17.453125" bestFit="1" customWidth="1"/>
    <col min="23" max="23" width="18.26953125" bestFit="1" customWidth="1"/>
  </cols>
  <sheetData>
    <row r="1" spans="1:23" ht="21" x14ac:dyDescent="0.25">
      <c r="A1" s="341" t="s">
        <v>76</v>
      </c>
      <c r="B1" s="342"/>
      <c r="C1" s="342"/>
      <c r="D1" s="342"/>
      <c r="E1" s="342"/>
      <c r="F1" s="342"/>
      <c r="G1" s="342"/>
      <c r="H1" s="342"/>
      <c r="I1" s="342"/>
      <c r="J1" s="342"/>
      <c r="K1" s="342"/>
      <c r="L1" s="342"/>
      <c r="M1" s="342"/>
      <c r="N1" s="342"/>
      <c r="O1" s="342"/>
      <c r="P1" s="342"/>
      <c r="Q1" s="342"/>
      <c r="R1" s="342"/>
      <c r="S1" s="342"/>
      <c r="T1" s="342"/>
      <c r="U1" s="342"/>
      <c r="V1" s="342"/>
      <c r="W1" s="343"/>
    </row>
    <row r="2" spans="1:23" ht="15" x14ac:dyDescent="0.25">
      <c r="A2" s="71" t="s">
        <v>0</v>
      </c>
      <c r="B2" s="71" t="s">
        <v>6</v>
      </c>
      <c r="C2" s="71" t="s">
        <v>104</v>
      </c>
      <c r="D2" s="71">
        <v>1</v>
      </c>
      <c r="E2" s="71">
        <v>2</v>
      </c>
      <c r="F2" s="71">
        <v>3</v>
      </c>
      <c r="G2" s="71">
        <v>4</v>
      </c>
      <c r="H2" s="71">
        <v>5</v>
      </c>
      <c r="I2" s="71">
        <v>6</v>
      </c>
      <c r="J2" s="71">
        <v>7</v>
      </c>
      <c r="K2" s="71">
        <v>8</v>
      </c>
      <c r="L2" s="71">
        <v>9</v>
      </c>
      <c r="M2" s="71">
        <v>10</v>
      </c>
      <c r="N2" s="71">
        <v>11</v>
      </c>
      <c r="O2" s="71">
        <v>12</v>
      </c>
      <c r="P2" s="71">
        <v>13</v>
      </c>
      <c r="Q2" s="71">
        <v>14</v>
      </c>
      <c r="R2" s="71">
        <v>15</v>
      </c>
      <c r="S2" s="71">
        <v>16</v>
      </c>
      <c r="T2" s="71">
        <v>17</v>
      </c>
      <c r="U2" s="71">
        <v>18</v>
      </c>
      <c r="V2" s="71">
        <v>19</v>
      </c>
      <c r="W2" s="71">
        <v>20</v>
      </c>
    </row>
    <row r="3" spans="1:23" ht="15" x14ac:dyDescent="0.25">
      <c r="A3" s="71"/>
      <c r="B3" s="71"/>
      <c r="C3" s="71" t="s">
        <v>105</v>
      </c>
      <c r="D3" s="71">
        <v>2021</v>
      </c>
      <c r="E3" s="71">
        <v>2022</v>
      </c>
      <c r="F3" s="71">
        <v>2023</v>
      </c>
      <c r="G3" s="71">
        <v>2024</v>
      </c>
      <c r="H3" s="71">
        <v>2025</v>
      </c>
      <c r="I3" s="71">
        <v>2026</v>
      </c>
      <c r="J3" s="71">
        <v>2027</v>
      </c>
      <c r="K3" s="71">
        <v>2028</v>
      </c>
      <c r="L3" s="71">
        <v>2029</v>
      </c>
      <c r="M3" s="71">
        <v>2030</v>
      </c>
      <c r="N3" s="71">
        <v>2031</v>
      </c>
      <c r="O3" s="71">
        <v>2032</v>
      </c>
      <c r="P3" s="71">
        <v>2033</v>
      </c>
      <c r="Q3" s="71">
        <v>2034</v>
      </c>
      <c r="R3" s="71">
        <v>2035</v>
      </c>
      <c r="S3" s="71">
        <v>2036</v>
      </c>
      <c r="T3" s="71">
        <v>2037</v>
      </c>
      <c r="U3" s="71">
        <v>2038</v>
      </c>
      <c r="V3" s="71">
        <v>2039</v>
      </c>
      <c r="W3" s="71">
        <v>2040</v>
      </c>
    </row>
    <row r="4" spans="1:23" ht="15" x14ac:dyDescent="0.25">
      <c r="A4" s="72">
        <v>1</v>
      </c>
      <c r="B4" s="72" t="s">
        <v>260</v>
      </c>
      <c r="C4" s="79" t="e">
        <f t="shared" ref="C4:C13" si="0">SUM(D4:W4)</f>
        <v>#VALUE!</v>
      </c>
      <c r="D4" s="154" t="e">
        <f t="shared" ref="D4:W4" si="1">SUM(D5:D9)</f>
        <v>#VALUE!</v>
      </c>
      <c r="E4" s="154" t="e">
        <f t="shared" si="1"/>
        <v>#VALUE!</v>
      </c>
      <c r="F4" s="154" t="e">
        <f t="shared" si="1"/>
        <v>#VALUE!</v>
      </c>
      <c r="G4" s="154" t="e">
        <f t="shared" si="1"/>
        <v>#VALUE!</v>
      </c>
      <c r="H4" s="154" t="e">
        <f t="shared" si="1"/>
        <v>#VALUE!</v>
      </c>
      <c r="I4" s="154" t="e">
        <f t="shared" si="1"/>
        <v>#VALUE!</v>
      </c>
      <c r="J4" s="154" t="e">
        <f t="shared" si="1"/>
        <v>#VALUE!</v>
      </c>
      <c r="K4" s="154" t="e">
        <f t="shared" si="1"/>
        <v>#VALUE!</v>
      </c>
      <c r="L4" s="154" t="e">
        <f t="shared" si="1"/>
        <v>#VALUE!</v>
      </c>
      <c r="M4" s="154" t="e">
        <f t="shared" si="1"/>
        <v>#VALUE!</v>
      </c>
      <c r="N4" s="154" t="e">
        <f t="shared" si="1"/>
        <v>#VALUE!</v>
      </c>
      <c r="O4" s="154" t="e">
        <f t="shared" si="1"/>
        <v>#VALUE!</v>
      </c>
      <c r="P4" s="154" t="e">
        <f t="shared" si="1"/>
        <v>#VALUE!</v>
      </c>
      <c r="Q4" s="154" t="e">
        <f t="shared" si="1"/>
        <v>#VALUE!</v>
      </c>
      <c r="R4" s="154" t="e">
        <f t="shared" si="1"/>
        <v>#VALUE!</v>
      </c>
      <c r="S4" s="154" t="e">
        <f t="shared" si="1"/>
        <v>#VALUE!</v>
      </c>
      <c r="T4" s="154" t="e">
        <f t="shared" si="1"/>
        <v>#VALUE!</v>
      </c>
      <c r="U4" s="154" t="e">
        <f t="shared" si="1"/>
        <v>#VALUE!</v>
      </c>
      <c r="V4" s="154" t="e">
        <f t="shared" si="1"/>
        <v>#VALUE!</v>
      </c>
      <c r="W4" s="154" t="e">
        <f t="shared" si="1"/>
        <v>#VALUE!</v>
      </c>
    </row>
    <row r="5" spans="1:23" ht="15" x14ac:dyDescent="0.25">
      <c r="A5" s="56">
        <v>1.1000000000000001</v>
      </c>
      <c r="B5" s="173" t="s">
        <v>261</v>
      </c>
      <c r="C5" s="79" t="e">
        <f>SUM(D5:W5)</f>
        <v>#VALUE!</v>
      </c>
      <c r="D5" s="154" t="e">
        <f>'输出值2-营业收入估算表'!D6*输入值【1】!$C$43</f>
        <v>#VALUE!</v>
      </c>
      <c r="E5" s="154" t="e">
        <f>'输出值2-营业收入估算表'!E6*输入值【1】!$C$43</f>
        <v>#VALUE!</v>
      </c>
      <c r="F5" s="154" t="e">
        <f>'输出值2-营业收入估算表'!F6*输入值【1】!$C$43</f>
        <v>#VALUE!</v>
      </c>
      <c r="G5" s="154" t="e">
        <f>'输出值2-营业收入估算表'!G6*输入值【1】!$C$43</f>
        <v>#VALUE!</v>
      </c>
      <c r="H5" s="154" t="e">
        <f>'输出值2-营业收入估算表'!H6*输入值【1】!$C$43</f>
        <v>#VALUE!</v>
      </c>
      <c r="I5" s="154" t="e">
        <f>'输出值2-营业收入估算表'!I6*输入值【1】!$C$43</f>
        <v>#VALUE!</v>
      </c>
      <c r="J5" s="154" t="e">
        <f>'输出值2-营业收入估算表'!J6*输入值【1】!$C$43</f>
        <v>#VALUE!</v>
      </c>
      <c r="K5" s="154" t="e">
        <f>'输出值2-营业收入估算表'!K6*输入值【1】!$C$43</f>
        <v>#VALUE!</v>
      </c>
      <c r="L5" s="154" t="e">
        <f>'输出值2-营业收入估算表'!L6*输入值【1】!$C$43</f>
        <v>#VALUE!</v>
      </c>
      <c r="M5" s="154" t="e">
        <f>'输出值2-营业收入估算表'!M6*输入值【1】!$C$43</f>
        <v>#VALUE!</v>
      </c>
      <c r="N5" s="154" t="e">
        <f>'输出值2-营业收入估算表'!N6*输入值【1】!$C$43</f>
        <v>#VALUE!</v>
      </c>
      <c r="O5" s="154" t="e">
        <f>'输出值2-营业收入估算表'!O6*输入值【1】!$C$43</f>
        <v>#VALUE!</v>
      </c>
      <c r="P5" s="154" t="e">
        <f>'输出值2-营业收入估算表'!P6*输入值【1】!$C$43</f>
        <v>#VALUE!</v>
      </c>
      <c r="Q5" s="154" t="e">
        <f>'输出值2-营业收入估算表'!Q6*输入值【1】!$C$43</f>
        <v>#VALUE!</v>
      </c>
      <c r="R5" s="154" t="e">
        <f>'输出值2-营业收入估算表'!R6*输入值【1】!$C$43</f>
        <v>#VALUE!</v>
      </c>
      <c r="S5" s="154" t="e">
        <f>'输出值2-营业收入估算表'!S6*输入值【1】!$C$43</f>
        <v>#VALUE!</v>
      </c>
      <c r="T5" s="154" t="e">
        <f>'输出值2-营业收入估算表'!T6*输入值【1】!$C$43</f>
        <v>#VALUE!</v>
      </c>
      <c r="U5" s="154" t="e">
        <f>'输出值2-营业收入估算表'!U6*输入值【1】!$C$43</f>
        <v>#VALUE!</v>
      </c>
      <c r="V5" s="154" t="e">
        <f>'输出值2-营业收入估算表'!V6*输入值【1】!$C$43</f>
        <v>#VALUE!</v>
      </c>
      <c r="W5" s="154" t="e">
        <f>'输出值2-营业收入估算表'!W6*输入值【1】!$C$43</f>
        <v>#VALUE!</v>
      </c>
    </row>
    <row r="6" spans="1:23" ht="15" x14ac:dyDescent="0.25">
      <c r="A6" s="56">
        <v>1.2</v>
      </c>
      <c r="B6" s="56" t="s">
        <v>262</v>
      </c>
      <c r="C6" s="79" t="e">
        <f t="shared" si="0"/>
        <v>#VALUE!</v>
      </c>
      <c r="D6" s="154" t="e">
        <f>'输出值2-营业收入估算表'!D8*输入值【1】!$C$44</f>
        <v>#VALUE!</v>
      </c>
      <c r="E6" s="154" t="e">
        <f>'输出值2-营业收入估算表'!E8*输入值【1】!$C$44</f>
        <v>#VALUE!</v>
      </c>
      <c r="F6" s="154" t="e">
        <f>'输出值2-营业收入估算表'!F8*输入值【1】!$C$44</f>
        <v>#VALUE!</v>
      </c>
      <c r="G6" s="154" t="e">
        <f>'输出值2-营业收入估算表'!G8*输入值【1】!$C$44</f>
        <v>#VALUE!</v>
      </c>
      <c r="H6" s="154" t="e">
        <f>'输出值2-营业收入估算表'!H8*输入值【1】!$C$44</f>
        <v>#VALUE!</v>
      </c>
      <c r="I6" s="154" t="e">
        <f>'输出值2-营业收入估算表'!I8*输入值【1】!$C$44</f>
        <v>#VALUE!</v>
      </c>
      <c r="J6" s="154" t="e">
        <f>'输出值2-营业收入估算表'!J8*输入值【1】!$C$44</f>
        <v>#VALUE!</v>
      </c>
      <c r="K6" s="154" t="e">
        <f>'输出值2-营业收入估算表'!K8*输入值【1】!$C$44</f>
        <v>#VALUE!</v>
      </c>
      <c r="L6" s="154" t="e">
        <f>'输出值2-营业收入估算表'!L8*输入值【1】!$C$44</f>
        <v>#VALUE!</v>
      </c>
      <c r="M6" s="154" t="e">
        <f>'输出值2-营业收入估算表'!M8*输入值【1】!$C$44</f>
        <v>#VALUE!</v>
      </c>
      <c r="N6" s="154" t="e">
        <f>'输出值2-营业收入估算表'!N8*输入值【1】!$C$44</f>
        <v>#VALUE!</v>
      </c>
      <c r="O6" s="154" t="e">
        <f>'输出值2-营业收入估算表'!O8*输入值【1】!$C$44</f>
        <v>#VALUE!</v>
      </c>
      <c r="P6" s="154" t="e">
        <f>'输出值2-营业收入估算表'!P8*输入值【1】!$C$44</f>
        <v>#VALUE!</v>
      </c>
      <c r="Q6" s="154" t="e">
        <f>'输出值2-营业收入估算表'!Q8*输入值【1】!$C$44</f>
        <v>#VALUE!</v>
      </c>
      <c r="R6" s="154" t="e">
        <f>'输出值2-营业收入估算表'!R8*输入值【1】!$C$44</f>
        <v>#VALUE!</v>
      </c>
      <c r="S6" s="154" t="e">
        <f>'输出值2-营业收入估算表'!S8*输入值【1】!$C$44</f>
        <v>#VALUE!</v>
      </c>
      <c r="T6" s="154" t="e">
        <f>'输出值2-营业收入估算表'!T8*输入值【1】!$C$44</f>
        <v>#VALUE!</v>
      </c>
      <c r="U6" s="154" t="e">
        <f>'输出值2-营业收入估算表'!U8*输入值【1】!$C$44</f>
        <v>#VALUE!</v>
      </c>
      <c r="V6" s="154" t="e">
        <f>'输出值2-营业收入估算表'!V8*输入值【1】!$C$44</f>
        <v>#VALUE!</v>
      </c>
      <c r="W6" s="154" t="e">
        <f>'输出值2-营业收入估算表'!W8*输入值【1】!$C$44</f>
        <v>#VALUE!</v>
      </c>
    </row>
    <row r="7" spans="1:23" ht="15" x14ac:dyDescent="0.25">
      <c r="A7" s="143"/>
      <c r="B7" s="143"/>
      <c r="C7" s="148" t="e">
        <f>SUM(D7:W7)</f>
        <v>#VALUE!</v>
      </c>
      <c r="D7" s="155" t="e">
        <f>'输出值2-营业收入估算表'!D9*输入值【1】!#REF!</f>
        <v>#VALUE!</v>
      </c>
      <c r="E7" s="155" t="e">
        <f>'输出值2-营业收入估算表'!E9*输入值【1】!#REF!</f>
        <v>#VALUE!</v>
      </c>
      <c r="F7" s="155" t="e">
        <f>'输出值2-营业收入估算表'!F9*输入值【1】!#REF!</f>
        <v>#VALUE!</v>
      </c>
      <c r="G7" s="155" t="e">
        <f>'输出值2-营业收入估算表'!G9*输入值【1】!#REF!</f>
        <v>#VALUE!</v>
      </c>
      <c r="H7" s="155" t="e">
        <f>'输出值2-营业收入估算表'!H9*输入值【1】!#REF!</f>
        <v>#VALUE!</v>
      </c>
      <c r="I7" s="155" t="e">
        <f>'输出值2-营业收入估算表'!I9*输入值【1】!#REF!</f>
        <v>#VALUE!</v>
      </c>
      <c r="J7" s="155" t="e">
        <f>'输出值2-营业收入估算表'!J9*输入值【1】!#REF!</f>
        <v>#VALUE!</v>
      </c>
      <c r="K7" s="155" t="e">
        <f>'输出值2-营业收入估算表'!K9*输入值【1】!#REF!</f>
        <v>#VALUE!</v>
      </c>
      <c r="L7" s="155" t="e">
        <f>'输出值2-营业收入估算表'!L9*输入值【1】!#REF!</f>
        <v>#VALUE!</v>
      </c>
      <c r="M7" s="155" t="e">
        <f>'输出值2-营业收入估算表'!M9*输入值【1】!#REF!</f>
        <v>#VALUE!</v>
      </c>
      <c r="N7" s="155" t="e">
        <f>'输出值2-营业收入估算表'!N9*输入值【1】!#REF!</f>
        <v>#VALUE!</v>
      </c>
      <c r="O7" s="155" t="e">
        <f>'输出值2-营业收入估算表'!O9*输入值【1】!#REF!</f>
        <v>#VALUE!</v>
      </c>
      <c r="P7" s="155" t="e">
        <f>'输出值2-营业收入估算表'!P9*输入值【1】!#REF!</f>
        <v>#VALUE!</v>
      </c>
      <c r="Q7" s="155" t="e">
        <f>'输出值2-营业收入估算表'!Q9*输入值【1】!#REF!</f>
        <v>#VALUE!</v>
      </c>
      <c r="R7" s="155" t="e">
        <f>'输出值2-营业收入估算表'!R9*输入值【1】!#REF!</f>
        <v>#VALUE!</v>
      </c>
      <c r="S7" s="155" t="e">
        <f>'输出值2-营业收入估算表'!S9*输入值【1】!#REF!</f>
        <v>#VALUE!</v>
      </c>
      <c r="T7" s="155" t="e">
        <f>'输出值2-营业收入估算表'!T9*输入值【1】!#REF!</f>
        <v>#VALUE!</v>
      </c>
      <c r="U7" s="155" t="e">
        <f>'输出值2-营业收入估算表'!U9*输入值【1】!#REF!</f>
        <v>#VALUE!</v>
      </c>
      <c r="V7" s="155" t="e">
        <f>'输出值2-营业收入估算表'!V9*输入值【1】!#REF!</f>
        <v>#VALUE!</v>
      </c>
      <c r="W7" s="155" t="e">
        <f>'输出值2-营业收入估算表'!W9*输入值【1】!#REF!</f>
        <v>#VALUE!</v>
      </c>
    </row>
    <row r="8" spans="1:23" ht="15" x14ac:dyDescent="0.25">
      <c r="A8" s="56"/>
      <c r="B8" s="56"/>
      <c r="C8" s="148" t="e">
        <f t="shared" ref="C8:C10" si="2">SUM(D8:W8)</f>
        <v>#VALUE!</v>
      </c>
      <c r="D8" s="154" t="e">
        <f>'输出值2-营业收入估算表'!D10*输入值【1】!#REF!</f>
        <v>#VALUE!</v>
      </c>
      <c r="E8" s="154" t="e">
        <f>'输出值2-营业收入估算表'!E10*输入值【1】!#REF!</f>
        <v>#VALUE!</v>
      </c>
      <c r="F8" s="154" t="e">
        <f>'输出值2-营业收入估算表'!F10*输入值【1】!#REF!</f>
        <v>#VALUE!</v>
      </c>
      <c r="G8" s="154" t="e">
        <f>'输出值2-营业收入估算表'!G10*输入值【1】!#REF!</f>
        <v>#VALUE!</v>
      </c>
      <c r="H8" s="154" t="e">
        <f>'输出值2-营业收入估算表'!H10*输入值【1】!#REF!</f>
        <v>#VALUE!</v>
      </c>
      <c r="I8" s="154" t="e">
        <f>'输出值2-营业收入估算表'!I10*输入值【1】!#REF!</f>
        <v>#VALUE!</v>
      </c>
      <c r="J8" s="154" t="e">
        <f>'输出值2-营业收入估算表'!J10*输入值【1】!#REF!</f>
        <v>#VALUE!</v>
      </c>
      <c r="K8" s="154" t="e">
        <f>'输出值2-营业收入估算表'!K10*输入值【1】!#REF!</f>
        <v>#VALUE!</v>
      </c>
      <c r="L8" s="154" t="e">
        <f>'输出值2-营业收入估算表'!L10*输入值【1】!#REF!</f>
        <v>#VALUE!</v>
      </c>
      <c r="M8" s="154" t="e">
        <f>'输出值2-营业收入估算表'!M10*输入值【1】!#REF!</f>
        <v>#VALUE!</v>
      </c>
      <c r="N8" s="154" t="e">
        <f>'输出值2-营业收入估算表'!N10*输入值【1】!#REF!</f>
        <v>#VALUE!</v>
      </c>
      <c r="O8" s="154" t="e">
        <f>'输出值2-营业收入估算表'!O10*输入值【1】!#REF!</f>
        <v>#VALUE!</v>
      </c>
      <c r="P8" s="154" t="e">
        <f>'输出值2-营业收入估算表'!P10*输入值【1】!#REF!</f>
        <v>#VALUE!</v>
      </c>
      <c r="Q8" s="154" t="e">
        <f>'输出值2-营业收入估算表'!Q10*输入值【1】!#REF!</f>
        <v>#VALUE!</v>
      </c>
      <c r="R8" s="154" t="e">
        <f>'输出值2-营业收入估算表'!R10*输入值【1】!#REF!</f>
        <v>#VALUE!</v>
      </c>
      <c r="S8" s="154" t="e">
        <f>'输出值2-营业收入估算表'!S10*输入值【1】!#REF!</f>
        <v>#VALUE!</v>
      </c>
      <c r="T8" s="154" t="e">
        <f>'输出值2-营业收入估算表'!T10*输入值【1】!#REF!</f>
        <v>#VALUE!</v>
      </c>
      <c r="U8" s="154" t="e">
        <f>'输出值2-营业收入估算表'!U10*输入值【1】!#REF!</f>
        <v>#VALUE!</v>
      </c>
      <c r="V8" s="154" t="e">
        <f>'输出值2-营业收入估算表'!V10*输入值【1】!#REF!</f>
        <v>#VALUE!</v>
      </c>
      <c r="W8" s="154" t="e">
        <f>'输出值2-营业收入估算表'!W10*输入值【1】!#REF!</f>
        <v>#VALUE!</v>
      </c>
    </row>
    <row r="9" spans="1:23" ht="15" x14ac:dyDescent="0.25">
      <c r="A9" s="56">
        <v>1.3</v>
      </c>
      <c r="B9" s="56" t="s">
        <v>263</v>
      </c>
      <c r="C9" s="148" t="e">
        <f t="shared" si="2"/>
        <v>#VALUE!</v>
      </c>
      <c r="D9" s="154" t="e">
        <f>'输出值2-营业收入估算表'!D11*输入值【1】!$C$45</f>
        <v>#VALUE!</v>
      </c>
      <c r="E9" s="154" t="e">
        <f>'输出值2-营业收入估算表'!E11*输入值【1】!$C$45</f>
        <v>#VALUE!</v>
      </c>
      <c r="F9" s="154" t="e">
        <f>'输出值2-营业收入估算表'!F11*输入值【1】!$C$45</f>
        <v>#VALUE!</v>
      </c>
      <c r="G9" s="154" t="e">
        <f>'输出值2-营业收入估算表'!G11*输入值【1】!$C$45</f>
        <v>#VALUE!</v>
      </c>
      <c r="H9" s="154" t="e">
        <f>'输出值2-营业收入估算表'!H11*输入值【1】!$C$45</f>
        <v>#VALUE!</v>
      </c>
      <c r="I9" s="154" t="e">
        <f>'输出值2-营业收入估算表'!I11*输入值【1】!$C$45</f>
        <v>#VALUE!</v>
      </c>
      <c r="J9" s="154" t="e">
        <f>'输出值2-营业收入估算表'!J11*输入值【1】!$C$45</f>
        <v>#VALUE!</v>
      </c>
      <c r="K9" s="154" t="e">
        <f>'输出值2-营业收入估算表'!K11*输入值【1】!$C$45</f>
        <v>#VALUE!</v>
      </c>
      <c r="L9" s="154" t="e">
        <f>'输出值2-营业收入估算表'!L11*输入值【1】!$C$45</f>
        <v>#VALUE!</v>
      </c>
      <c r="M9" s="154" t="e">
        <f>'输出值2-营业收入估算表'!M11*输入值【1】!$C$45</f>
        <v>#VALUE!</v>
      </c>
      <c r="N9" s="154" t="e">
        <f>'输出值2-营业收入估算表'!N11*输入值【1】!$C$45</f>
        <v>#VALUE!</v>
      </c>
      <c r="O9" s="154" t="e">
        <f>'输出值2-营业收入估算表'!O11*输入值【1】!$C$45</f>
        <v>#VALUE!</v>
      </c>
      <c r="P9" s="154" t="e">
        <f>'输出值2-营业收入估算表'!P11*输入值【1】!$C$45</f>
        <v>#VALUE!</v>
      </c>
      <c r="Q9" s="154" t="e">
        <f>'输出值2-营业收入估算表'!Q11*输入值【1】!$C$45</f>
        <v>#VALUE!</v>
      </c>
      <c r="R9" s="154" t="e">
        <f>'输出值2-营业收入估算表'!R11*输入值【1】!$C$45</f>
        <v>#VALUE!</v>
      </c>
      <c r="S9" s="154" t="e">
        <f>'输出值2-营业收入估算表'!S11*输入值【1】!$C$45</f>
        <v>#VALUE!</v>
      </c>
      <c r="T9" s="154" t="e">
        <f>'输出值2-营业收入估算表'!T11*输入值【1】!$C$45</f>
        <v>#VALUE!</v>
      </c>
      <c r="U9" s="154" t="e">
        <f>'输出值2-营业收入估算表'!U11*输入值【1】!$C$45</f>
        <v>#VALUE!</v>
      </c>
      <c r="V9" s="154" t="e">
        <f>'输出值2-营业收入估算表'!V11*输入值【1】!$C$45</f>
        <v>#VALUE!</v>
      </c>
      <c r="W9" s="154" t="e">
        <f>'输出值2-营业收入估算表'!W11*输入值【1】!$C$45</f>
        <v>#VALUE!</v>
      </c>
    </row>
    <row r="10" spans="1:23" ht="15" x14ac:dyDescent="0.25">
      <c r="A10" s="72">
        <v>2</v>
      </c>
      <c r="B10" s="56" t="s">
        <v>264</v>
      </c>
      <c r="C10" s="148">
        <f t="shared" si="2"/>
        <v>37766.234968710458</v>
      </c>
      <c r="D10" s="154">
        <f>输入值【2】!D99</f>
        <v>0</v>
      </c>
      <c r="E10" s="154">
        <f>输入值【2】!E99</f>
        <v>0</v>
      </c>
      <c r="F10" s="154">
        <f>输入值【2】!F99</f>
        <v>1925.3999999999999</v>
      </c>
      <c r="G10" s="154">
        <f>输入值【2】!G99</f>
        <v>1944.6539999999998</v>
      </c>
      <c r="H10" s="154">
        <f>输入值【2】!H99</f>
        <v>1964.1005399999999</v>
      </c>
      <c r="I10" s="154">
        <f>输入值【2】!I99</f>
        <v>1983.7415453999997</v>
      </c>
      <c r="J10" s="154">
        <f>输入值【2】!J99</f>
        <v>2003.5789608539999</v>
      </c>
      <c r="K10" s="154">
        <f>输入值【2】!K99</f>
        <v>2023.6147504625396</v>
      </c>
      <c r="L10" s="154">
        <f>输入值【2】!L99</f>
        <v>2043.8508979671656</v>
      </c>
      <c r="M10" s="154">
        <f>输入值【2】!M99</f>
        <v>2064.2894069468366</v>
      </c>
      <c r="N10" s="154">
        <f>输入值【2】!N99</f>
        <v>2084.9323010163057</v>
      </c>
      <c r="O10" s="154">
        <f>输入值【2】!O99</f>
        <v>2105.7816240264688</v>
      </c>
      <c r="P10" s="154">
        <f>输入值【2】!P99</f>
        <v>2126.8394402667336</v>
      </c>
      <c r="Q10" s="154">
        <f>输入值【2】!Q99</f>
        <v>2148.1078346694003</v>
      </c>
      <c r="R10" s="154">
        <f>输入值【2】!R99</f>
        <v>2169.5889130160945</v>
      </c>
      <c r="S10" s="154">
        <f>输入值【2】!S99</f>
        <v>2191.2848021462555</v>
      </c>
      <c r="T10" s="154">
        <f>输入值【2】!T99</f>
        <v>2213.1976501677182</v>
      </c>
      <c r="U10" s="154">
        <f>输入值【2】!U99</f>
        <v>2235.3296266693947</v>
      </c>
      <c r="V10" s="154">
        <f>输入值【2】!V99</f>
        <v>2257.6829229360897</v>
      </c>
      <c r="W10" s="154">
        <f>输入值【2】!W99</f>
        <v>2280.2597521654507</v>
      </c>
    </row>
    <row r="11" spans="1:23" ht="15" x14ac:dyDescent="0.25">
      <c r="A11" s="72">
        <v>3</v>
      </c>
      <c r="B11" s="72" t="s">
        <v>198</v>
      </c>
      <c r="C11" s="79" t="e">
        <f t="shared" si="0"/>
        <v>#VALUE!</v>
      </c>
      <c r="D11" s="154" t="e">
        <f>'输出值8-还本付息表'!D9</f>
        <v>#VALUE!</v>
      </c>
      <c r="E11" s="154" t="e">
        <f>'输出值8-还本付息表'!E9</f>
        <v>#VALUE!</v>
      </c>
      <c r="F11" s="154" t="e">
        <f>'输出值8-还本付息表'!F9</f>
        <v>#VALUE!</v>
      </c>
      <c r="G11" s="154" t="e">
        <f>'输出值8-还本付息表'!G9</f>
        <v>#VALUE!</v>
      </c>
      <c r="H11" s="154" t="e">
        <f>'输出值8-还本付息表'!H9</f>
        <v>#VALUE!</v>
      </c>
      <c r="I11" s="154" t="e">
        <f>'输出值8-还本付息表'!I9</f>
        <v>#VALUE!</v>
      </c>
      <c r="J11" s="154" t="e">
        <f>'输出值8-还本付息表'!J9</f>
        <v>#VALUE!</v>
      </c>
      <c r="K11" s="154" t="e">
        <f>'输出值8-还本付息表'!K9</f>
        <v>#VALUE!</v>
      </c>
      <c r="L11" s="154" t="e">
        <f>'输出值8-还本付息表'!L9</f>
        <v>#VALUE!</v>
      </c>
      <c r="M11" s="154" t="e">
        <f>'输出值8-还本付息表'!M9</f>
        <v>#VALUE!</v>
      </c>
      <c r="N11" s="154" t="e">
        <f>'输出值8-还本付息表'!N9</f>
        <v>#VALUE!</v>
      </c>
      <c r="O11" s="154" t="e">
        <f>'输出值8-还本付息表'!O9</f>
        <v>#VALUE!</v>
      </c>
      <c r="P11" s="154" t="e">
        <f>'输出值8-还本付息表'!P9</f>
        <v>#VALUE!</v>
      </c>
      <c r="Q11" s="154">
        <f>'输出值8-还本付息表'!Q9</f>
        <v>0</v>
      </c>
      <c r="R11" s="154">
        <f>'输出值8-还本付息表'!R9</f>
        <v>0</v>
      </c>
      <c r="S11" s="154">
        <f>'输出值8-还本付息表'!S9</f>
        <v>0</v>
      </c>
      <c r="T11" s="154">
        <f>'输出值8-还本付息表'!T9</f>
        <v>0</v>
      </c>
      <c r="U11" s="154">
        <f>'输出值8-还本付息表'!U9</f>
        <v>0</v>
      </c>
      <c r="V11" s="154">
        <f>'输出值8-还本付息表'!V9</f>
        <v>0</v>
      </c>
      <c r="W11" s="154">
        <f>'输出值8-还本付息表'!W9</f>
        <v>0</v>
      </c>
    </row>
    <row r="12" spans="1:23" ht="15" x14ac:dyDescent="0.25">
      <c r="A12" s="72">
        <v>4</v>
      </c>
      <c r="B12" s="72" t="s">
        <v>199</v>
      </c>
      <c r="C12" s="79" t="e">
        <f t="shared" ref="C12" si="3">SUM(D12:W12)</f>
        <v>#VALUE!</v>
      </c>
      <c r="D12" s="156" t="e">
        <f t="shared" ref="D12:W12" si="4">D4+D10+D11</f>
        <v>#VALUE!</v>
      </c>
      <c r="E12" s="156" t="e">
        <f t="shared" si="4"/>
        <v>#VALUE!</v>
      </c>
      <c r="F12" s="156" t="e">
        <f t="shared" si="4"/>
        <v>#VALUE!</v>
      </c>
      <c r="G12" s="156" t="e">
        <f t="shared" si="4"/>
        <v>#VALUE!</v>
      </c>
      <c r="H12" s="156" t="e">
        <f t="shared" si="4"/>
        <v>#VALUE!</v>
      </c>
      <c r="I12" s="156" t="e">
        <f t="shared" si="4"/>
        <v>#VALUE!</v>
      </c>
      <c r="J12" s="156" t="e">
        <f t="shared" si="4"/>
        <v>#VALUE!</v>
      </c>
      <c r="K12" s="156" t="e">
        <f t="shared" si="4"/>
        <v>#VALUE!</v>
      </c>
      <c r="L12" s="156" t="e">
        <f t="shared" si="4"/>
        <v>#VALUE!</v>
      </c>
      <c r="M12" s="156" t="e">
        <f t="shared" si="4"/>
        <v>#VALUE!</v>
      </c>
      <c r="N12" s="156" t="e">
        <f t="shared" si="4"/>
        <v>#VALUE!</v>
      </c>
      <c r="O12" s="156" t="e">
        <f t="shared" si="4"/>
        <v>#VALUE!</v>
      </c>
      <c r="P12" s="156" t="e">
        <f t="shared" si="4"/>
        <v>#VALUE!</v>
      </c>
      <c r="Q12" s="156" t="e">
        <f t="shared" si="4"/>
        <v>#VALUE!</v>
      </c>
      <c r="R12" s="156" t="e">
        <f t="shared" si="4"/>
        <v>#VALUE!</v>
      </c>
      <c r="S12" s="156" t="e">
        <f t="shared" si="4"/>
        <v>#VALUE!</v>
      </c>
      <c r="T12" s="156" t="e">
        <f t="shared" si="4"/>
        <v>#VALUE!</v>
      </c>
      <c r="U12" s="156" t="e">
        <f t="shared" si="4"/>
        <v>#VALUE!</v>
      </c>
      <c r="V12" s="156" t="e">
        <f t="shared" si="4"/>
        <v>#VALUE!</v>
      </c>
      <c r="W12" s="156" t="e">
        <f t="shared" si="4"/>
        <v>#VALUE!</v>
      </c>
    </row>
    <row r="13" spans="1:23" ht="15" x14ac:dyDescent="0.25">
      <c r="A13" s="72">
        <v>5</v>
      </c>
      <c r="B13" s="72" t="s">
        <v>8</v>
      </c>
      <c r="C13" s="79" t="e">
        <f t="shared" si="0"/>
        <v>#VALUE!</v>
      </c>
      <c r="D13" s="156">
        <f>'输出值5-折旧摊销费用估算表'!D6</f>
        <v>0</v>
      </c>
      <c r="E13" s="156">
        <f>'输出值5-折旧摊销费用估算表'!E6</f>
        <v>0</v>
      </c>
      <c r="F13" s="156" t="e">
        <f>'输出值5-折旧摊销费用估算表'!F6</f>
        <v>#VALUE!</v>
      </c>
      <c r="G13" s="156" t="e">
        <f>'输出值5-折旧摊销费用估算表'!G6</f>
        <v>#VALUE!</v>
      </c>
      <c r="H13" s="156" t="e">
        <f>'输出值5-折旧摊销费用估算表'!H6</f>
        <v>#VALUE!</v>
      </c>
      <c r="I13" s="156" t="e">
        <f>'输出值5-折旧摊销费用估算表'!I6</f>
        <v>#VALUE!</v>
      </c>
      <c r="J13" s="156" t="e">
        <f>'输出值5-折旧摊销费用估算表'!J6</f>
        <v>#VALUE!</v>
      </c>
      <c r="K13" s="156" t="e">
        <f>'输出值5-折旧摊销费用估算表'!K6</f>
        <v>#VALUE!</v>
      </c>
      <c r="L13" s="156" t="e">
        <f>'输出值5-折旧摊销费用估算表'!L6</f>
        <v>#VALUE!</v>
      </c>
      <c r="M13" s="156" t="e">
        <f>'输出值5-折旧摊销费用估算表'!M6</f>
        <v>#VALUE!</v>
      </c>
      <c r="N13" s="156" t="e">
        <f>'输出值5-折旧摊销费用估算表'!N6</f>
        <v>#VALUE!</v>
      </c>
      <c r="O13" s="156" t="e">
        <f>'输出值5-折旧摊销费用估算表'!O6</f>
        <v>#VALUE!</v>
      </c>
      <c r="P13" s="156" t="e">
        <f>'输出值5-折旧摊销费用估算表'!P6</f>
        <v>#VALUE!</v>
      </c>
      <c r="Q13" s="156" t="e">
        <f>'输出值5-折旧摊销费用估算表'!Q6</f>
        <v>#VALUE!</v>
      </c>
      <c r="R13" s="156" t="e">
        <f>'输出值5-折旧摊销费用估算表'!R6</f>
        <v>#VALUE!</v>
      </c>
      <c r="S13" s="156" t="e">
        <f>'输出值5-折旧摊销费用估算表'!S6</f>
        <v>#VALUE!</v>
      </c>
      <c r="T13" s="156" t="e">
        <f>'输出值5-折旧摊销费用估算表'!T6</f>
        <v>#VALUE!</v>
      </c>
      <c r="U13" s="156" t="e">
        <f>'输出值5-折旧摊销费用估算表'!U6</f>
        <v>#VALUE!</v>
      </c>
      <c r="V13" s="156" t="e">
        <f>'输出值5-折旧摊销费用估算表'!V6</f>
        <v>#VALUE!</v>
      </c>
      <c r="W13" s="156" t="e">
        <f>'输出值5-折旧摊销费用估算表'!W6</f>
        <v>#VALUE!</v>
      </c>
    </row>
    <row r="14" spans="1:23" ht="15" x14ac:dyDescent="0.25">
      <c r="A14" s="72">
        <v>6</v>
      </c>
      <c r="B14" s="72" t="s">
        <v>9</v>
      </c>
      <c r="C14" s="79"/>
      <c r="D14" s="79"/>
      <c r="E14" s="79"/>
      <c r="F14" s="79"/>
      <c r="G14" s="79"/>
      <c r="H14" s="79"/>
      <c r="I14" s="79"/>
      <c r="J14" s="79"/>
      <c r="K14" s="79"/>
      <c r="L14" s="79"/>
      <c r="M14" s="79"/>
      <c r="N14" s="79"/>
      <c r="O14" s="79"/>
      <c r="P14" s="79"/>
      <c r="Q14" s="79"/>
      <c r="R14" s="79"/>
      <c r="S14" s="79"/>
      <c r="T14" s="79"/>
      <c r="U14" s="79"/>
      <c r="V14" s="79"/>
      <c r="W14" s="79"/>
    </row>
    <row r="15" spans="1:23" ht="16" x14ac:dyDescent="0.25">
      <c r="A15" s="72">
        <v>7</v>
      </c>
      <c r="B15" s="72" t="s">
        <v>200</v>
      </c>
      <c r="C15" s="79" t="e">
        <f>SUM(D15:W15)</f>
        <v>#VALUE!</v>
      </c>
      <c r="D15" s="79" t="e">
        <f>SUM(D12:D14)</f>
        <v>#VALUE!</v>
      </c>
      <c r="E15" s="79" t="e">
        <f t="shared" ref="E15:W15" si="5">SUM(E12:E14)</f>
        <v>#VALUE!</v>
      </c>
      <c r="F15" s="79" t="e">
        <f t="shared" si="5"/>
        <v>#VALUE!</v>
      </c>
      <c r="G15" s="79" t="e">
        <f t="shared" si="5"/>
        <v>#VALUE!</v>
      </c>
      <c r="H15" s="79" t="e">
        <f t="shared" si="5"/>
        <v>#VALUE!</v>
      </c>
      <c r="I15" s="79" t="e">
        <f t="shared" si="5"/>
        <v>#VALUE!</v>
      </c>
      <c r="J15" s="79" t="e">
        <f t="shared" si="5"/>
        <v>#VALUE!</v>
      </c>
      <c r="K15" s="79" t="e">
        <f t="shared" si="5"/>
        <v>#VALUE!</v>
      </c>
      <c r="L15" s="79" t="e">
        <f t="shared" si="5"/>
        <v>#VALUE!</v>
      </c>
      <c r="M15" s="73" t="e">
        <f t="shared" si="5"/>
        <v>#VALUE!</v>
      </c>
      <c r="N15" s="73" t="e">
        <f t="shared" si="5"/>
        <v>#VALUE!</v>
      </c>
      <c r="O15" s="73" t="e">
        <f t="shared" si="5"/>
        <v>#VALUE!</v>
      </c>
      <c r="P15" s="73" t="e">
        <f t="shared" si="5"/>
        <v>#VALUE!</v>
      </c>
      <c r="Q15" s="73" t="e">
        <f t="shared" si="5"/>
        <v>#VALUE!</v>
      </c>
      <c r="R15" s="73" t="e">
        <f t="shared" si="5"/>
        <v>#VALUE!</v>
      </c>
      <c r="S15" s="73" t="e">
        <f t="shared" si="5"/>
        <v>#VALUE!</v>
      </c>
      <c r="T15" s="73" t="e">
        <f t="shared" si="5"/>
        <v>#VALUE!</v>
      </c>
      <c r="U15" s="73" t="e">
        <f t="shared" si="5"/>
        <v>#VALUE!</v>
      </c>
      <c r="V15" s="73" t="e">
        <f t="shared" si="5"/>
        <v>#VALUE!</v>
      </c>
      <c r="W15" s="73" t="e">
        <f t="shared" si="5"/>
        <v>#VALUE!</v>
      </c>
    </row>
    <row r="16" spans="1:23" ht="13" x14ac:dyDescent="0.25">
      <c r="E16" s="2"/>
      <c r="F16">
        <v>10596.203036012936</v>
      </c>
      <c r="G16">
        <v>11536.899536012936</v>
      </c>
      <c r="H16">
        <v>11904.009620401719</v>
      </c>
      <c r="I16">
        <v>12053.126847676718</v>
      </c>
      <c r="J16">
        <v>12208.914296099469</v>
      </c>
      <c r="K16">
        <v>12371.697620325194</v>
      </c>
      <c r="L16">
        <v>12541.818679177868</v>
      </c>
      <c r="M16">
        <v>12719.636345072988</v>
      </c>
      <c r="N16">
        <v>12905.527353903679</v>
      </c>
      <c r="O16">
        <v>13099.887197413125</v>
      </c>
      <c r="P16">
        <v>13303.131060177637</v>
      </c>
      <c r="Q16">
        <v>13515.694803430764</v>
      </c>
      <c r="R16">
        <v>13738.03599807044</v>
      </c>
      <c r="S16">
        <v>13970.635009308233</v>
      </c>
      <c r="T16">
        <v>14213.996135542708</v>
      </c>
      <c r="U16">
        <v>14468.648804168046</v>
      </c>
      <c r="V16">
        <v>14735.14882716459</v>
      </c>
      <c r="W16">
        <v>15014.079719460289</v>
      </c>
    </row>
    <row r="17" spans="2:23" x14ac:dyDescent="0.25">
      <c r="F17" s="147" t="e">
        <f>F16-F15</f>
        <v>#VALUE!</v>
      </c>
      <c r="G17" s="147" t="e">
        <f t="shared" ref="G17:W17" si="6">G16-G15</f>
        <v>#VALUE!</v>
      </c>
      <c r="H17" s="147" t="e">
        <f>H16-H15</f>
        <v>#VALUE!</v>
      </c>
      <c r="I17" s="147" t="e">
        <f t="shared" si="6"/>
        <v>#VALUE!</v>
      </c>
      <c r="J17" s="147" t="e">
        <f t="shared" si="6"/>
        <v>#VALUE!</v>
      </c>
      <c r="K17" s="147" t="e">
        <f t="shared" si="6"/>
        <v>#VALUE!</v>
      </c>
      <c r="L17" s="147" t="e">
        <f t="shared" si="6"/>
        <v>#VALUE!</v>
      </c>
      <c r="M17" s="147" t="e">
        <f t="shared" si="6"/>
        <v>#VALUE!</v>
      </c>
      <c r="N17" s="147" t="e">
        <f t="shared" si="6"/>
        <v>#VALUE!</v>
      </c>
      <c r="O17" s="147" t="e">
        <f t="shared" si="6"/>
        <v>#VALUE!</v>
      </c>
      <c r="P17" s="147" t="e">
        <f t="shared" si="6"/>
        <v>#VALUE!</v>
      </c>
      <c r="Q17" s="147" t="e">
        <f t="shared" si="6"/>
        <v>#VALUE!</v>
      </c>
      <c r="R17" s="147" t="e">
        <f t="shared" si="6"/>
        <v>#VALUE!</v>
      </c>
      <c r="S17" s="147" t="e">
        <f t="shared" si="6"/>
        <v>#VALUE!</v>
      </c>
      <c r="T17" s="147" t="e">
        <f t="shared" si="6"/>
        <v>#VALUE!</v>
      </c>
      <c r="U17" s="147" t="e">
        <f t="shared" si="6"/>
        <v>#VALUE!</v>
      </c>
      <c r="V17" s="147" t="e">
        <f t="shared" si="6"/>
        <v>#VALUE!</v>
      </c>
      <c r="W17" s="147" t="e">
        <f t="shared" si="6"/>
        <v>#VALUE!</v>
      </c>
    </row>
    <row r="20" spans="2:23" ht="13" x14ac:dyDescent="0.25">
      <c r="B20" s="2"/>
    </row>
  </sheetData>
  <mergeCells count="1">
    <mergeCell ref="A1:W1"/>
  </mergeCells>
  <phoneticPr fontId="7"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输入值【1】</vt:lpstr>
      <vt:lpstr>输入值【2】</vt:lpstr>
      <vt:lpstr>酒店类别及相关数据</vt:lpstr>
      <vt:lpstr>2020年度全国各星级饭店经营情况表</vt:lpstr>
      <vt:lpstr>Sheet1</vt:lpstr>
      <vt:lpstr>输出值1-总投资估算表</vt:lpstr>
      <vt:lpstr>输出值2-营业收入估算表</vt:lpstr>
      <vt:lpstr>输出值3-增值税及其他税金估算表</vt:lpstr>
      <vt:lpstr>输出值4-总成本费用估算表</vt:lpstr>
      <vt:lpstr>输出值5-折旧摊销费用估算表</vt:lpstr>
      <vt:lpstr>输出值6-利润表</vt:lpstr>
      <vt:lpstr>输出值7-现金流量表</vt:lpstr>
      <vt:lpstr>输出值8-还本付息表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第一章</dc:title>
  <dc:creator>微软用户</dc:creator>
  <cp:lastModifiedBy>Kevin Wang</cp:lastModifiedBy>
  <dcterms:created xsi:type="dcterms:W3CDTF">2020-11-13T15:57:23Z</dcterms:created>
  <dcterms:modified xsi:type="dcterms:W3CDTF">2022-06-30T01:51:35Z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2052-2.6.1.4274</vt:lpwstr>
  </property>
</Properties>
</file>