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jasmin\jasminblog\content\downloads\notebooks\data\1Q19\"/>
    </mc:Choice>
  </mc:AlternateContent>
  <bookViews>
    <workbookView xWindow="0" yWindow="0" windowWidth="20490" windowHeight="7095" activeTab="2"/>
  </bookViews>
  <sheets>
    <sheet name="Ultimate-Table" sheetId="7" r:id="rId1"/>
    <sheet name="Ultimate-Report" sheetId="1" r:id="rId2"/>
    <sheet name="Paid" sheetId="2" r:id="rId3"/>
    <sheet name="ITD Paid" sheetId="6" r:id="rId4"/>
    <sheet name="Case" sheetId="3" r:id="rId5"/>
    <sheet name="IBNR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E2" i="7"/>
  <c r="G70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7" i="6"/>
  <c r="G51" i="6"/>
  <c r="G51" i="5" s="1"/>
  <c r="G52" i="6"/>
  <c r="G52" i="5" s="1"/>
  <c r="G53" i="6"/>
  <c r="G53" i="5" s="1"/>
  <c r="G54" i="6"/>
  <c r="G54" i="5" s="1"/>
  <c r="G56" i="6"/>
  <c r="G56" i="5" s="1"/>
  <c r="G57" i="6"/>
  <c r="G57" i="5" s="1"/>
  <c r="G58" i="6"/>
  <c r="G58" i="5" s="1"/>
  <c r="G59" i="6"/>
  <c r="G59" i="5" s="1"/>
  <c r="G60" i="6"/>
  <c r="G60" i="5" s="1"/>
  <c r="G61" i="6"/>
  <c r="G61" i="5" s="1"/>
  <c r="G65" i="6"/>
  <c r="G65" i="5" s="1"/>
  <c r="G67" i="6"/>
  <c r="G67" i="5" s="1"/>
  <c r="G68" i="6"/>
  <c r="G68" i="5" s="1"/>
  <c r="G69" i="6"/>
  <c r="G69" i="5" s="1"/>
  <c r="G70" i="6"/>
  <c r="G71" i="6"/>
  <c r="G71" i="5" s="1"/>
  <c r="G72" i="6"/>
  <c r="G7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7" i="6"/>
  <c r="F51" i="6"/>
  <c r="F51" i="5" s="1"/>
  <c r="F52" i="6"/>
  <c r="F52" i="5" s="1"/>
  <c r="F53" i="6"/>
  <c r="F53" i="5" s="1"/>
  <c r="F54" i="6"/>
  <c r="F54" i="5" s="1"/>
  <c r="F56" i="6"/>
  <c r="F56" i="5" s="1"/>
  <c r="F57" i="6"/>
  <c r="F57" i="5" s="1"/>
  <c r="F58" i="6"/>
  <c r="F58" i="5" s="1"/>
  <c r="F59" i="6"/>
  <c r="F59" i="5" s="1"/>
  <c r="F60" i="6"/>
  <c r="F60" i="5" s="1"/>
  <c r="F61" i="6"/>
  <c r="F61" i="5" s="1"/>
  <c r="F63" i="6"/>
  <c r="F64" i="6"/>
  <c r="F65" i="6"/>
  <c r="F65" i="5" s="1"/>
  <c r="F66" i="6"/>
  <c r="F66" i="5" s="1"/>
  <c r="F67" i="6"/>
  <c r="F67" i="5" s="1"/>
  <c r="F68" i="6"/>
  <c r="F68" i="5" s="1"/>
  <c r="F69" i="6"/>
  <c r="F69" i="5" s="1"/>
  <c r="F70" i="6"/>
  <c r="F70" i="5" s="1"/>
  <c r="F71" i="6"/>
  <c r="F71" i="5" s="1"/>
  <c r="F72" i="6"/>
  <c r="F73" i="6"/>
  <c r="E50" i="6"/>
  <c r="G50" i="6" s="1"/>
  <c r="G50" i="5" s="1"/>
  <c r="D50" i="6"/>
  <c r="F50" i="6" s="1"/>
  <c r="F50" i="5" s="1"/>
  <c r="E49" i="6"/>
  <c r="G49" i="6" s="1"/>
  <c r="G49" i="5" s="1"/>
  <c r="D49" i="6"/>
  <c r="F49" i="6" s="1"/>
  <c r="F49" i="5" s="1"/>
  <c r="E48" i="6"/>
  <c r="G48" i="6" s="1"/>
  <c r="G48" i="5" s="1"/>
  <c r="D48" i="6"/>
  <c r="F48" i="6" s="1"/>
  <c r="F48" i="5" s="1"/>
  <c r="E46" i="6"/>
  <c r="G46" i="6" s="1"/>
  <c r="G46" i="5" s="1"/>
  <c r="D46" i="6"/>
  <c r="F46" i="6" s="1"/>
  <c r="F46" i="5" s="1"/>
  <c r="E45" i="6"/>
  <c r="G45" i="6" s="1"/>
  <c r="D45" i="6"/>
  <c r="F45" i="6" s="1"/>
  <c r="E2" i="6"/>
  <c r="G2" i="6" s="1"/>
  <c r="D2" i="6"/>
  <c r="F2" i="6" s="1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7" i="5"/>
  <c r="E47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E75" i="3"/>
  <c r="D75" i="3"/>
  <c r="G75" i="3"/>
  <c r="E74" i="3"/>
  <c r="D74" i="3"/>
  <c r="G74" i="3"/>
  <c r="F64" i="3"/>
  <c r="F63" i="3"/>
  <c r="F63" i="5" s="1"/>
  <c r="E75" i="2"/>
  <c r="D75" i="2"/>
  <c r="G66" i="2"/>
  <c r="G66" i="6" s="1"/>
  <c r="G66" i="5" s="1"/>
  <c r="G65" i="2"/>
  <c r="G64" i="2"/>
  <c r="G64" i="6" s="1"/>
  <c r="G64" i="5" s="1"/>
  <c r="G63" i="2"/>
  <c r="G63" i="6" s="1"/>
  <c r="G63" i="5" s="1"/>
  <c r="G62" i="2"/>
  <c r="G62" i="6" s="1"/>
  <c r="G62" i="5" s="1"/>
  <c r="F62" i="2"/>
  <c r="F62" i="6" s="1"/>
  <c r="F62" i="5" s="1"/>
  <c r="G57" i="2"/>
  <c r="F57" i="2"/>
  <c r="G55" i="2"/>
  <c r="G55" i="6" s="1"/>
  <c r="G55" i="5" s="1"/>
  <c r="F55" i="2"/>
  <c r="F55" i="6" s="1"/>
  <c r="F55" i="5" s="1"/>
  <c r="E50" i="2"/>
  <c r="E50" i="5" s="1"/>
  <c r="D50" i="2"/>
  <c r="D50" i="5" s="1"/>
  <c r="E49" i="2"/>
  <c r="E49" i="5" s="1"/>
  <c r="D49" i="2"/>
  <c r="D49" i="5" s="1"/>
  <c r="E48" i="2"/>
  <c r="E48" i="5" s="1"/>
  <c r="D48" i="2"/>
  <c r="D48" i="5" s="1"/>
  <c r="E46" i="2"/>
  <c r="E46" i="5" s="1"/>
  <c r="D46" i="2"/>
  <c r="D46" i="5" s="1"/>
  <c r="E45" i="2"/>
  <c r="E45" i="5" s="1"/>
  <c r="D45" i="2"/>
  <c r="D45" i="5" s="1"/>
  <c r="E2" i="2"/>
  <c r="D2" i="2"/>
  <c r="G76" i="1"/>
  <c r="F76" i="1"/>
  <c r="E76" i="1"/>
  <c r="D76" i="1"/>
  <c r="G48" i="1"/>
  <c r="F48" i="1"/>
  <c r="G46" i="1"/>
  <c r="F46" i="1"/>
  <c r="F45" i="5" s="1"/>
  <c r="G45" i="1"/>
  <c r="F45" i="1"/>
  <c r="F44" i="5" s="1"/>
  <c r="G44" i="1"/>
  <c r="G43" i="5" s="1"/>
  <c r="F44" i="1"/>
  <c r="F43" i="5" s="1"/>
  <c r="G43" i="1"/>
  <c r="F43" i="1"/>
  <c r="G42" i="1"/>
  <c r="G41" i="5" s="1"/>
  <c r="F42" i="1"/>
  <c r="G41" i="1"/>
  <c r="F41" i="1"/>
  <c r="F40" i="5" s="1"/>
  <c r="G40" i="1"/>
  <c r="G39" i="5" s="1"/>
  <c r="F40" i="1"/>
  <c r="F39" i="5" s="1"/>
  <c r="G39" i="1"/>
  <c r="F39" i="1"/>
  <c r="G38" i="1"/>
  <c r="G37" i="5" s="1"/>
  <c r="F38" i="1"/>
  <c r="G37" i="1"/>
  <c r="F37" i="1"/>
  <c r="F36" i="5" s="1"/>
  <c r="G36" i="1"/>
  <c r="G35" i="5" s="1"/>
  <c r="F36" i="1"/>
  <c r="F35" i="5" s="1"/>
  <c r="G35" i="1"/>
  <c r="F35" i="1"/>
  <c r="G34" i="1"/>
  <c r="G33" i="5" s="1"/>
  <c r="F34" i="1"/>
  <c r="G33" i="1"/>
  <c r="F33" i="1"/>
  <c r="G32" i="1"/>
  <c r="G31" i="5" s="1"/>
  <c r="F32" i="1"/>
  <c r="F31" i="5" s="1"/>
  <c r="G31" i="1"/>
  <c r="F31" i="1"/>
  <c r="G30" i="1"/>
  <c r="G29" i="5" s="1"/>
  <c r="F30" i="1"/>
  <c r="G29" i="1"/>
  <c r="F29" i="1"/>
  <c r="F28" i="5" s="1"/>
  <c r="G28" i="1"/>
  <c r="F28" i="1"/>
  <c r="F27" i="5" s="1"/>
  <c r="G27" i="1"/>
  <c r="F27" i="1"/>
  <c r="G26" i="1"/>
  <c r="G25" i="5" s="1"/>
  <c r="F26" i="1"/>
  <c r="G25" i="1"/>
  <c r="F25" i="1"/>
  <c r="F24" i="5" s="1"/>
  <c r="G24" i="1"/>
  <c r="G23" i="5" s="1"/>
  <c r="F24" i="1"/>
  <c r="F23" i="5" s="1"/>
  <c r="G23" i="1"/>
  <c r="F23" i="1"/>
  <c r="G22" i="1"/>
  <c r="G21" i="5" s="1"/>
  <c r="F22" i="1"/>
  <c r="G21" i="1"/>
  <c r="F21" i="1"/>
  <c r="F20" i="5" s="1"/>
  <c r="G20" i="1"/>
  <c r="F20" i="1"/>
  <c r="F19" i="5" s="1"/>
  <c r="G19" i="1"/>
  <c r="F19" i="1"/>
  <c r="G18" i="1"/>
  <c r="G17" i="5" s="1"/>
  <c r="F18" i="1"/>
  <c r="G17" i="1"/>
  <c r="F17" i="1"/>
  <c r="F16" i="5" s="1"/>
  <c r="G16" i="1"/>
  <c r="G15" i="5" s="1"/>
  <c r="F16" i="1"/>
  <c r="F15" i="5" s="1"/>
  <c r="G15" i="1"/>
  <c r="F15" i="1"/>
  <c r="G14" i="1"/>
  <c r="F14" i="1"/>
  <c r="G13" i="1"/>
  <c r="F13" i="1"/>
  <c r="G12" i="1"/>
  <c r="G11" i="5" s="1"/>
  <c r="F12" i="1"/>
  <c r="F11" i="5" s="1"/>
  <c r="G11" i="1"/>
  <c r="F11" i="1"/>
  <c r="G10" i="1"/>
  <c r="F10" i="1"/>
  <c r="G9" i="1"/>
  <c r="F9" i="1"/>
  <c r="F8" i="5" s="1"/>
  <c r="G8" i="1"/>
  <c r="F8" i="1"/>
  <c r="G7" i="1"/>
  <c r="F7" i="1"/>
  <c r="G6" i="1"/>
  <c r="F6" i="1"/>
  <c r="G5" i="1"/>
  <c r="F5" i="1"/>
  <c r="G4" i="1"/>
  <c r="F4" i="1"/>
  <c r="F3" i="5" s="1"/>
  <c r="E3" i="1"/>
  <c r="D3" i="1"/>
  <c r="D75" i="1" s="1"/>
  <c r="D83" i="1" s="1"/>
  <c r="F41" i="5" l="1"/>
  <c r="F25" i="5"/>
  <c r="F64" i="5"/>
  <c r="F75" i="3"/>
  <c r="G4" i="5"/>
  <c r="G16" i="5"/>
  <c r="G20" i="5"/>
  <c r="G24" i="5"/>
  <c r="G28" i="5"/>
  <c r="G36" i="5"/>
  <c r="G44" i="5"/>
  <c r="F5" i="5"/>
  <c r="F9" i="5"/>
  <c r="F13" i="5"/>
  <c r="F17" i="5"/>
  <c r="F21" i="5"/>
  <c r="F29" i="5"/>
  <c r="F33" i="5"/>
  <c r="F37" i="5"/>
  <c r="G45" i="5"/>
  <c r="F10" i="5"/>
  <c r="F14" i="5"/>
  <c r="F22" i="5"/>
  <c r="F26" i="5"/>
  <c r="F30" i="5"/>
  <c r="F34" i="5"/>
  <c r="F38" i="5"/>
  <c r="F42" i="5"/>
  <c r="G14" i="5"/>
  <c r="G18" i="5"/>
  <c r="G22" i="5"/>
  <c r="G26" i="5"/>
  <c r="G30" i="5"/>
  <c r="G34" i="5"/>
  <c r="G38" i="5"/>
  <c r="G42" i="5"/>
  <c r="D74" i="5"/>
  <c r="F32" i="5"/>
  <c r="F12" i="5"/>
  <c r="F4" i="5"/>
  <c r="G13" i="5"/>
  <c r="G9" i="5"/>
  <c r="G5" i="5"/>
  <c r="D2" i="5"/>
  <c r="G10" i="5"/>
  <c r="G6" i="5"/>
  <c r="F74" i="5"/>
  <c r="F47" i="5"/>
  <c r="F7" i="5"/>
  <c r="G40" i="5"/>
  <c r="G32" i="5"/>
  <c r="G12" i="5"/>
  <c r="G8" i="5"/>
  <c r="F18" i="5"/>
  <c r="F6" i="5"/>
  <c r="G47" i="5"/>
  <c r="G27" i="5"/>
  <c r="G19" i="5"/>
  <c r="G7" i="5"/>
  <c r="G3" i="5"/>
  <c r="E74" i="2"/>
  <c r="E2" i="5"/>
  <c r="G74" i="6"/>
  <c r="D74" i="6"/>
  <c r="E74" i="6"/>
  <c r="F74" i="6"/>
  <c r="G74" i="5"/>
  <c r="E74" i="5"/>
  <c r="F74" i="3"/>
  <c r="G75" i="2"/>
  <c r="D74" i="2"/>
  <c r="F75" i="2"/>
  <c r="F74" i="2"/>
  <c r="G74" i="2"/>
  <c r="F3" i="1"/>
  <c r="E75" i="1"/>
  <c r="E83" i="1" s="1"/>
  <c r="G3" i="1"/>
  <c r="G2" i="5" s="1"/>
  <c r="F2" i="5" l="1"/>
  <c r="F73" i="1"/>
  <c r="F72" i="5" s="1"/>
  <c r="F73" i="5" s="1"/>
  <c r="F81" i="5" s="1"/>
  <c r="G73" i="1"/>
  <c r="G72" i="5" s="1"/>
  <c r="G73" i="5" s="1"/>
  <c r="G81" i="5" s="1"/>
  <c r="F79" i="1" l="1"/>
  <c r="F80" i="1" s="1"/>
  <c r="F75" i="1"/>
  <c r="G79" i="1"/>
  <c r="G80" i="1" s="1"/>
  <c r="G75" i="1"/>
  <c r="D73" i="5" l="1"/>
  <c r="E73" i="5"/>
  <c r="G82" i="1" l="1"/>
  <c r="G83" i="1" s="1"/>
  <c r="F82" i="1"/>
  <c r="F83" i="1" s="1"/>
</calcChain>
</file>

<file path=xl/comments1.xml><?xml version="1.0" encoding="utf-8"?>
<comments xmlns="http://schemas.openxmlformats.org/spreadsheetml/2006/main">
  <authors>
    <author>Johnson Jasmin</author>
  </authors>
  <commentList>
    <comment ref="F79" authorId="0" shapeId="0">
      <text>
        <r>
          <rPr>
            <b/>
            <sz val="9"/>
            <color indexed="81"/>
            <rFont val="Tahoma"/>
            <family val="2"/>
          </rPr>
          <t>Johnson Jasmin:</t>
        </r>
        <r>
          <rPr>
            <sz val="9"/>
            <color indexed="81"/>
            <rFont val="Tahoma"/>
            <family val="2"/>
          </rPr>
          <t xml:space="preserve">
reconciled with 2018 Ultimate Ceded v2.xlsx
Column +P23 $48,293,4431
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Johnson Jasmin:</t>
        </r>
        <r>
          <rPr>
            <sz val="9"/>
            <color indexed="81"/>
            <rFont val="Tahoma"/>
            <family val="2"/>
          </rPr>
          <t xml:space="preserve">
reconciled with 2018 Ultimate Ceded v2.xlsx
Column +Q23 $4,089,739
</t>
        </r>
      </text>
    </comment>
  </commentList>
</comments>
</file>

<file path=xl/comments2.xml><?xml version="1.0" encoding="utf-8"?>
<comments xmlns="http://schemas.openxmlformats.org/spreadsheetml/2006/main">
  <authors>
    <author>Johnson Jasmin</author>
  </authors>
  <commentList>
    <comment ref="F64" authorId="0" shapeId="0">
      <text>
        <r>
          <rPr>
            <b/>
            <sz val="9"/>
            <color indexed="81"/>
            <rFont val="Tahoma"/>
            <family val="2"/>
          </rPr>
          <t>Johnson Jasmin:</t>
        </r>
        <r>
          <rPr>
            <sz val="9"/>
            <color indexed="81"/>
            <rFont val="Tahoma"/>
            <family val="2"/>
          </rPr>
          <t xml:space="preserve">
case recoverable increased by $10,001
case # 795450, claim #161519</t>
        </r>
      </text>
    </comment>
  </commentList>
</comments>
</file>

<file path=xl/sharedStrings.xml><?xml version="1.0" encoding="utf-8"?>
<sst xmlns="http://schemas.openxmlformats.org/spreadsheetml/2006/main" count="703" uniqueCount="62">
  <si>
    <t>Indemnity</t>
  </si>
  <si>
    <t>ALAE</t>
  </si>
  <si>
    <t>First Excess</t>
  </si>
  <si>
    <t>Second Excess</t>
  </si>
  <si>
    <t>Clash</t>
  </si>
  <si>
    <t>Excess Pool</t>
  </si>
  <si>
    <t>Codogno Facultative- Carbrini</t>
  </si>
  <si>
    <t>Fac. Hos / Reg Hos</t>
  </si>
  <si>
    <t>Podiatrists</t>
  </si>
  <si>
    <t>Codogno Facultative</t>
  </si>
  <si>
    <t>First Excess - phy</t>
  </si>
  <si>
    <t>First Excess - hos</t>
  </si>
  <si>
    <t>First Excess - Pod</t>
  </si>
  <si>
    <t>PMA clash</t>
  </si>
  <si>
    <t>DDR</t>
  </si>
  <si>
    <t>Fund witheld</t>
  </si>
  <si>
    <t>Hospital Facultative</t>
  </si>
  <si>
    <t>Ceded Bulk vs Sch F 2017 dif</t>
  </si>
  <si>
    <t>NAPA - open ended</t>
  </si>
  <si>
    <t>Hospital Facultative - Brookhaven</t>
  </si>
  <si>
    <t>Hospital Facultative - Public Health Solutions</t>
  </si>
  <si>
    <t>PaPRI retrocession</t>
  </si>
  <si>
    <t>Hospital Facultative-Medical Health and Research</t>
  </si>
  <si>
    <t>7,000 xs 3,000</t>
  </si>
  <si>
    <t>6,700 xs 3,300</t>
  </si>
  <si>
    <t>4,700 xs 3,300</t>
  </si>
  <si>
    <t>HCF XOL</t>
  </si>
  <si>
    <t>1,000 xs 1,000</t>
  </si>
  <si>
    <t>NSPC</t>
  </si>
  <si>
    <t>1st 500,000</t>
  </si>
  <si>
    <t>Temp</t>
  </si>
  <si>
    <t>Per Risk Excess</t>
  </si>
  <si>
    <t>1,500/800 xs 500</t>
  </si>
  <si>
    <t>Commutation Adjustment - Excess</t>
  </si>
  <si>
    <t>TOTAL</t>
  </si>
  <si>
    <t>reconciliation: hyderlink wp</t>
  </si>
  <si>
    <t>dif s/b 0</t>
  </si>
  <si>
    <t>s/b cededbulk 2018 - for sch P</t>
  </si>
  <si>
    <t>TR</t>
  </si>
  <si>
    <t>Contract</t>
  </si>
  <si>
    <t>Coverage</t>
  </si>
  <si>
    <t>Ultimate_2017_Indemnity</t>
  </si>
  <si>
    <t>Ultimate_2017_ALAE</t>
  </si>
  <si>
    <t>Ultimate_2018_Indemnity</t>
  </si>
  <si>
    <t>Ultimate_2018_ALAE</t>
  </si>
  <si>
    <t>Paid_2017_Indemnity</t>
  </si>
  <si>
    <t>Paid_2017_ALAE</t>
  </si>
  <si>
    <t>Paid_2018_Indemnity</t>
  </si>
  <si>
    <t>Paid_2018_ALAE</t>
  </si>
  <si>
    <t>Paid_ITD_2017_Indemnity</t>
  </si>
  <si>
    <t>Paid_ITD_2017_ALAE</t>
  </si>
  <si>
    <t>Paid_ITD_2018_Indemnity</t>
  </si>
  <si>
    <t>Paid_ITD_2018_ALAE</t>
  </si>
  <si>
    <t>Case_2017_Indemnity</t>
  </si>
  <si>
    <t>Case_2017_ALAE</t>
  </si>
  <si>
    <t>Case_2018_Indemnity</t>
  </si>
  <si>
    <t>Case_2018_ALAE</t>
  </si>
  <si>
    <t>Ceded_IBNR_2017_Indemnity</t>
  </si>
  <si>
    <t>Ceded_IBNR_2017_ALAE</t>
  </si>
  <si>
    <t>Ceded_IBNR_2018_ALAE</t>
  </si>
  <si>
    <t>Ceded_IBNR_2018_Indemnity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</si>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</sst>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ont="1"/>
    <xf numFmtId="0" fontId="0" fillId="0" borderId="0" xfId="0" applyFont="1" applyFill="1"/>
    <xf numFmtId="164" fontId="1" fillId="0" borderId="0" xfId="1" applyNumberFormat="1" applyFont="1"/>
    <xf numFmtId="164" fontId="1" fillId="0" borderId="0" xfId="1" applyNumberFormat="1" applyFont="1" applyFill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 wrapText="1"/>
    </xf>
    <xf numFmtId="164" fontId="1" fillId="0" borderId="0" xfId="1" applyNumberFormat="1" applyFont="1" applyFill="1" applyAlignment="1">
      <alignment horizontal="center"/>
    </xf>
    <xf numFmtId="0" fontId="0" fillId="0" borderId="0" xfId="0" applyFont="1" applyAlignment="1">
      <alignment horizontal="center" wrapText="1"/>
    </xf>
    <xf numFmtId="164" fontId="1" fillId="0" borderId="0" xfId="1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/>
    <xf numFmtId="164" fontId="1" fillId="0" borderId="0" xfId="1" applyNumberFormat="1" applyFont="1" applyFill="1" applyBorder="1"/>
    <xf numFmtId="164" fontId="1" fillId="0" borderId="0" xfId="1" applyNumberFormat="1" applyFont="1" applyBorder="1"/>
    <xf numFmtId="164" fontId="0" fillId="0" borderId="0" xfId="0" applyNumberFormat="1" applyFont="1" applyFill="1"/>
    <xf numFmtId="164" fontId="1" fillId="0" borderId="1" xfId="1" applyNumberFormat="1" applyFont="1" applyBorder="1"/>
    <xf numFmtId="0" fontId="0" fillId="0" borderId="1" xfId="0" applyFont="1" applyBorder="1"/>
    <xf numFmtId="164" fontId="1" fillId="0" borderId="1" xfId="1" applyNumberFormat="1" applyFont="1" applyFill="1" applyBorder="1"/>
    <xf numFmtId="0" fontId="0" fillId="0" borderId="1" xfId="0" applyFont="1" applyFill="1" applyBorder="1"/>
    <xf numFmtId="164" fontId="0" fillId="0" borderId="1" xfId="0" applyNumberFormat="1" applyFont="1" applyBorder="1"/>
    <xf numFmtId="164" fontId="1" fillId="0" borderId="2" xfId="1" applyNumberFormat="1" applyFont="1" applyBorder="1"/>
    <xf numFmtId="164" fontId="0" fillId="0" borderId="2" xfId="0" applyNumberFormat="1" applyFont="1" applyFill="1" applyBorder="1"/>
    <xf numFmtId="164" fontId="0" fillId="0" borderId="3" xfId="0" applyNumberFormat="1" applyFont="1" applyFill="1" applyBorder="1"/>
    <xf numFmtId="164" fontId="0" fillId="0" borderId="0" xfId="0" applyNumberFormat="1" applyFont="1" applyFill="1" applyBorder="1"/>
    <xf numFmtId="0" fontId="2" fillId="0" borderId="0" xfId="0" applyFont="1"/>
    <xf numFmtId="164" fontId="2" fillId="0" borderId="0" xfId="2" applyNumberFormat="1" applyFont="1" applyAlignment="1">
      <alignment horizontal="right"/>
    </xf>
    <xf numFmtId="164" fontId="2" fillId="0" borderId="0" xfId="1" applyNumberFormat="1" applyFont="1"/>
    <xf numFmtId="164" fontId="2" fillId="0" borderId="0" xfId="2" applyNumberFormat="1" applyFont="1" applyFill="1" applyAlignment="1">
      <alignment horizontal="right"/>
    </xf>
    <xf numFmtId="164" fontId="2" fillId="0" borderId="0" xfId="1" applyNumberFormat="1" applyFont="1" applyFill="1" applyAlignment="1">
      <alignment horizontal="right"/>
    </xf>
    <xf numFmtId="0" fontId="2" fillId="0" borderId="0" xfId="2" applyFont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0" xfId="0" applyFont="1" applyFill="1"/>
    <xf numFmtId="164" fontId="4" fillId="0" borderId="0" xfId="2" applyNumberFormat="1" applyFont="1" applyAlignment="1">
      <alignment horizontal="right"/>
    </xf>
    <xf numFmtId="164" fontId="4" fillId="0" borderId="0" xfId="2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0" fontId="2" fillId="0" borderId="0" xfId="0" applyFont="1" applyBorder="1"/>
    <xf numFmtId="164" fontId="2" fillId="0" borderId="0" xfId="0" applyNumberFormat="1" applyFont="1" applyFill="1" applyBorder="1"/>
    <xf numFmtId="164" fontId="2" fillId="0" borderId="0" xfId="2" applyNumberFormat="1" applyFont="1" applyFill="1" applyBorder="1"/>
    <xf numFmtId="0" fontId="2" fillId="0" borderId="0" xfId="0" applyFont="1" applyFill="1" applyBorder="1"/>
    <xf numFmtId="164" fontId="2" fillId="0" borderId="0" xfId="1" applyNumberFormat="1" applyFont="1" applyBorder="1"/>
    <xf numFmtId="164" fontId="2" fillId="0" borderId="0" xfId="0" applyNumberFormat="1" applyFont="1" applyBorder="1"/>
    <xf numFmtId="0" fontId="2" fillId="0" borderId="0" xfId="0" applyFont="1" applyBorder="1" applyAlignment="1"/>
    <xf numFmtId="164" fontId="2" fillId="0" borderId="0" xfId="2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/>
    <xf numFmtId="0" fontId="2" fillId="3" borderId="0" xfId="0" applyFont="1" applyFill="1" applyBorder="1"/>
    <xf numFmtId="0" fontId="0" fillId="3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PRI%20-%20Financial%20Reporting/2017/PRI/Ceded%20Case%20&amp;%20IBNR%20by%20Carrier%202017vfinal.xls" TargetMode="External"/><Relationship Id="rId2" Type="http://schemas.openxmlformats.org/officeDocument/2006/relationships/hyperlink" Target="2018%20Ultimate%20Ceded%20v2.xlsx" TargetMode="External"/><Relationship Id="rId1" Type="http://schemas.openxmlformats.org/officeDocument/2006/relationships/hyperlink" Target="2018%20Ultimate%20Ceded%20v2.xlsx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../../../../../PRI%20-%20Financial%20Reporting/2017/PRI/Ceded%20Case%20&amp;%20IBNR%20by%20Carrier%202017vfinal.xl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3"/>
  <sheetViews>
    <sheetView workbookViewId="0">
      <selection activeCell="A7" sqref="A7"/>
    </sheetView>
  </sheetViews>
  <sheetFormatPr defaultRowHeight="15" x14ac:dyDescent="0.25"/>
  <cols>
    <col min="1" max="1" width="9.140625" style="1"/>
    <col min="2" max="2" width="5" style="1" bestFit="1" customWidth="1"/>
    <col min="3" max="3" width="23.85546875" style="1" customWidth="1"/>
    <col min="4" max="4" width="36.7109375" style="1" customWidth="1"/>
    <col min="5" max="5" width="14" style="1" customWidth="1"/>
    <col min="6" max="6" width="15.85546875" style="1" customWidth="1"/>
    <col min="7" max="7" width="13.140625" style="1" customWidth="1"/>
    <col min="8" max="8" width="13.42578125" style="1" customWidth="1"/>
    <col min="9" max="16384" width="9.140625" style="1"/>
  </cols>
  <sheetData>
    <row r="1" spans="1:8" x14ac:dyDescent="0.25">
      <c r="A1" s="1" t="s">
        <v>61</v>
      </c>
      <c r="B1" s="1" t="s">
        <v>38</v>
      </c>
      <c r="C1" s="1" t="s">
        <v>39</v>
      </c>
      <c r="D1" s="1" t="s">
        <v>40</v>
      </c>
      <c r="E1" s="8" t="s">
        <v>0</v>
      </c>
      <c r="F1" s="8" t="s">
        <v>1</v>
      </c>
      <c r="G1" s="8"/>
      <c r="H1" s="8"/>
    </row>
    <row r="2" spans="1:8" x14ac:dyDescent="0.25">
      <c r="A2" s="1">
        <v>2017</v>
      </c>
      <c r="B2" s="1">
        <v>1982</v>
      </c>
      <c r="C2" s="1" t="s">
        <v>2</v>
      </c>
      <c r="E2" s="9">
        <f>196000*0</f>
        <v>0</v>
      </c>
      <c r="F2" s="9">
        <f>5065*0</f>
        <v>0</v>
      </c>
      <c r="G2" s="10"/>
      <c r="H2" s="10"/>
    </row>
    <row r="3" spans="1:8" x14ac:dyDescent="0.25">
      <c r="A3" s="1">
        <v>2017</v>
      </c>
      <c r="B3" s="1">
        <v>1983</v>
      </c>
      <c r="C3" s="1" t="s">
        <v>2</v>
      </c>
      <c r="E3" s="9">
        <v>1862238</v>
      </c>
      <c r="F3" s="9">
        <v>372757</v>
      </c>
      <c r="G3" s="10"/>
      <c r="H3" s="10"/>
    </row>
    <row r="4" spans="1:8" x14ac:dyDescent="0.25">
      <c r="A4" s="1">
        <v>2017</v>
      </c>
      <c r="B4" s="1">
        <v>1984</v>
      </c>
      <c r="C4" s="1" t="s">
        <v>3</v>
      </c>
      <c r="E4" s="9">
        <v>3632908</v>
      </c>
      <c r="F4" s="9">
        <v>113256</v>
      </c>
      <c r="G4" s="10"/>
      <c r="H4" s="10"/>
    </row>
    <row r="5" spans="1:8" x14ac:dyDescent="0.25">
      <c r="A5" s="1">
        <v>2017</v>
      </c>
      <c r="B5" s="1">
        <v>1985</v>
      </c>
      <c r="C5" s="1" t="s">
        <v>4</v>
      </c>
      <c r="E5" s="9">
        <v>3841498</v>
      </c>
      <c r="F5" s="9">
        <v>62341</v>
      </c>
      <c r="G5" s="10"/>
      <c r="H5" s="10"/>
    </row>
    <row r="6" spans="1:8" x14ac:dyDescent="0.25">
      <c r="A6" s="1">
        <v>2017</v>
      </c>
      <c r="B6" s="1">
        <v>1986</v>
      </c>
      <c r="C6" s="1" t="s">
        <v>4</v>
      </c>
      <c r="E6" s="9">
        <v>1869000</v>
      </c>
      <c r="F6" s="9">
        <v>0</v>
      </c>
      <c r="G6" s="10"/>
      <c r="H6" s="10"/>
    </row>
    <row r="7" spans="1:8" x14ac:dyDescent="0.25">
      <c r="A7" s="1">
        <v>2017</v>
      </c>
      <c r="B7" s="1">
        <v>1987</v>
      </c>
      <c r="C7" s="1" t="s">
        <v>4</v>
      </c>
      <c r="E7" s="9">
        <v>0</v>
      </c>
      <c r="F7" s="9">
        <v>0</v>
      </c>
      <c r="G7" s="10"/>
      <c r="H7" s="10"/>
    </row>
    <row r="8" spans="1:8" x14ac:dyDescent="0.25">
      <c r="A8" s="1">
        <v>2017</v>
      </c>
      <c r="B8" s="1">
        <v>1988</v>
      </c>
      <c r="C8" s="1" t="s">
        <v>2</v>
      </c>
      <c r="E8" s="9">
        <v>2400000</v>
      </c>
      <c r="F8" s="9">
        <v>348398</v>
      </c>
      <c r="G8" s="10"/>
      <c r="H8" s="10"/>
    </row>
    <row r="9" spans="1:8" x14ac:dyDescent="0.25">
      <c r="A9" s="1">
        <v>2017</v>
      </c>
      <c r="B9" s="1">
        <v>1988</v>
      </c>
      <c r="C9" s="1" t="s">
        <v>3</v>
      </c>
      <c r="E9" s="9">
        <v>0</v>
      </c>
      <c r="F9" s="9">
        <v>0</v>
      </c>
      <c r="G9" s="10"/>
      <c r="H9" s="10"/>
    </row>
    <row r="10" spans="1:8" x14ac:dyDescent="0.25">
      <c r="A10" s="1">
        <v>2017</v>
      </c>
      <c r="B10" s="1">
        <v>1989</v>
      </c>
      <c r="C10" s="1" t="s">
        <v>2</v>
      </c>
      <c r="E10" s="9">
        <v>2062178</v>
      </c>
      <c r="F10" s="9">
        <v>245010</v>
      </c>
      <c r="G10" s="10"/>
      <c r="H10" s="10"/>
    </row>
    <row r="11" spans="1:8" x14ac:dyDescent="0.25">
      <c r="A11" s="1">
        <v>2017</v>
      </c>
      <c r="B11" s="1">
        <v>1989</v>
      </c>
      <c r="C11" s="1" t="s">
        <v>3</v>
      </c>
      <c r="E11" s="9">
        <v>0</v>
      </c>
      <c r="F11" s="9">
        <v>0</v>
      </c>
      <c r="G11" s="10"/>
      <c r="H11" s="10"/>
    </row>
    <row r="12" spans="1:8" x14ac:dyDescent="0.25">
      <c r="A12" s="1">
        <v>2017</v>
      </c>
      <c r="B12" s="1">
        <v>1990</v>
      </c>
      <c r="C12" s="1" t="s">
        <v>2</v>
      </c>
      <c r="E12" s="9">
        <v>4942490</v>
      </c>
      <c r="F12" s="9">
        <v>371329</v>
      </c>
      <c r="G12" s="10"/>
      <c r="H12" s="10"/>
    </row>
    <row r="13" spans="1:8" x14ac:dyDescent="0.25">
      <c r="A13" s="1">
        <v>2017</v>
      </c>
      <c r="B13" s="1">
        <v>1994</v>
      </c>
      <c r="C13" s="1" t="s">
        <v>5</v>
      </c>
      <c r="E13" s="9">
        <v>900000</v>
      </c>
      <c r="F13" s="9"/>
      <c r="G13" s="10"/>
      <c r="H13" s="10"/>
    </row>
    <row r="14" spans="1:8" x14ac:dyDescent="0.25">
      <c r="A14" s="1">
        <v>2017</v>
      </c>
      <c r="B14" s="1">
        <v>1994</v>
      </c>
      <c r="C14" s="1" t="s">
        <v>6</v>
      </c>
      <c r="E14" s="9">
        <v>10537043</v>
      </c>
      <c r="F14" s="9">
        <v>3908929</v>
      </c>
      <c r="G14" s="10"/>
      <c r="H14" s="10"/>
    </row>
    <row r="15" spans="1:8" x14ac:dyDescent="0.25">
      <c r="A15" s="1">
        <v>2017</v>
      </c>
      <c r="B15" s="1">
        <v>1995</v>
      </c>
      <c r="C15" s="1" t="s">
        <v>5</v>
      </c>
      <c r="E15" s="9">
        <v>1632450</v>
      </c>
      <c r="F15" s="9">
        <v>0</v>
      </c>
      <c r="G15" s="10"/>
      <c r="H15" s="10"/>
    </row>
    <row r="16" spans="1:8" x14ac:dyDescent="0.25">
      <c r="A16" s="1">
        <v>2017</v>
      </c>
      <c r="B16" s="1">
        <v>1995</v>
      </c>
      <c r="C16" s="1" t="s">
        <v>7</v>
      </c>
      <c r="E16" s="9">
        <v>0</v>
      </c>
      <c r="F16" s="9">
        <v>0</v>
      </c>
      <c r="G16" s="10"/>
      <c r="H16" s="10"/>
    </row>
    <row r="17" spans="1:8" x14ac:dyDescent="0.25">
      <c r="A17" s="1">
        <v>2017</v>
      </c>
      <c r="B17" s="1">
        <v>1995</v>
      </c>
      <c r="C17" s="1" t="s">
        <v>8</v>
      </c>
      <c r="E17" s="9">
        <v>139999</v>
      </c>
      <c r="F17" s="9">
        <v>40543</v>
      </c>
      <c r="G17" s="10"/>
      <c r="H17" s="10"/>
    </row>
    <row r="18" spans="1:8" x14ac:dyDescent="0.25">
      <c r="A18" s="1">
        <v>2017</v>
      </c>
      <c r="B18" s="1">
        <v>1996</v>
      </c>
      <c r="C18" s="1" t="s">
        <v>8</v>
      </c>
      <c r="E18" s="9"/>
      <c r="F18" s="9"/>
      <c r="G18" s="10"/>
      <c r="H18" s="10"/>
    </row>
    <row r="19" spans="1:8" x14ac:dyDescent="0.25">
      <c r="A19" s="1">
        <v>2017</v>
      </c>
      <c r="B19" s="1">
        <v>1996</v>
      </c>
      <c r="C19" s="1" t="s">
        <v>5</v>
      </c>
      <c r="E19" s="9">
        <v>6048410</v>
      </c>
      <c r="F19" s="9">
        <v>0</v>
      </c>
      <c r="G19" s="10"/>
      <c r="H19" s="10"/>
    </row>
    <row r="20" spans="1:8" x14ac:dyDescent="0.25">
      <c r="A20" s="1">
        <v>2017</v>
      </c>
      <c r="B20" s="1">
        <v>1996</v>
      </c>
      <c r="C20" s="1" t="s">
        <v>9</v>
      </c>
      <c r="E20" s="9">
        <v>0</v>
      </c>
      <c r="F20" s="9">
        <v>0</v>
      </c>
      <c r="G20" s="10"/>
      <c r="H20" s="10"/>
    </row>
    <row r="21" spans="1:8" x14ac:dyDescent="0.25">
      <c r="A21" s="1">
        <v>2017</v>
      </c>
      <c r="B21" s="1">
        <v>1997</v>
      </c>
      <c r="C21" s="1" t="s">
        <v>5</v>
      </c>
      <c r="E21" s="9">
        <v>4100000</v>
      </c>
      <c r="F21" s="9">
        <v>0</v>
      </c>
      <c r="G21" s="10"/>
      <c r="H21" s="10"/>
    </row>
    <row r="22" spans="1:8" x14ac:dyDescent="0.25">
      <c r="A22" s="1">
        <v>2017</v>
      </c>
      <c r="B22" s="1">
        <v>1997</v>
      </c>
      <c r="C22" s="1" t="s">
        <v>9</v>
      </c>
      <c r="E22" s="9">
        <v>0</v>
      </c>
      <c r="F22" s="9">
        <v>0</v>
      </c>
      <c r="G22" s="10"/>
      <c r="H22" s="10"/>
    </row>
    <row r="23" spans="1:8" x14ac:dyDescent="0.25">
      <c r="A23" s="1">
        <v>2017</v>
      </c>
      <c r="B23" s="1">
        <v>1998</v>
      </c>
      <c r="C23" s="1" t="s">
        <v>9</v>
      </c>
      <c r="E23" s="9">
        <v>0</v>
      </c>
      <c r="F23" s="9">
        <v>0</v>
      </c>
      <c r="G23" s="10"/>
      <c r="H23" s="10"/>
    </row>
    <row r="24" spans="1:8" x14ac:dyDescent="0.25">
      <c r="A24" s="1">
        <v>2017</v>
      </c>
      <c r="B24" s="1">
        <v>1998</v>
      </c>
      <c r="C24" s="1" t="s">
        <v>5</v>
      </c>
      <c r="E24" s="9">
        <v>6775000</v>
      </c>
      <c r="F24" s="9">
        <v>0</v>
      </c>
      <c r="G24" s="10"/>
      <c r="H24" s="10"/>
    </row>
    <row r="25" spans="1:8" x14ac:dyDescent="0.25">
      <c r="A25" s="1">
        <v>2017</v>
      </c>
      <c r="B25" s="1">
        <v>1998</v>
      </c>
      <c r="C25" s="1" t="s">
        <v>10</v>
      </c>
      <c r="E25" s="9">
        <v>43818497</v>
      </c>
      <c r="F25" s="9">
        <v>2958925</v>
      </c>
      <c r="G25" s="10"/>
      <c r="H25" s="10"/>
    </row>
    <row r="26" spans="1:8" x14ac:dyDescent="0.25">
      <c r="A26" s="1">
        <v>2017</v>
      </c>
      <c r="B26" s="1">
        <v>1998</v>
      </c>
      <c r="C26" s="1" t="s">
        <v>11</v>
      </c>
      <c r="E26" s="9">
        <v>10381250</v>
      </c>
      <c r="F26" s="9">
        <v>572760</v>
      </c>
      <c r="G26" s="10"/>
      <c r="H26" s="10"/>
    </row>
    <row r="27" spans="1:8" x14ac:dyDescent="0.25">
      <c r="A27" s="1">
        <v>2017</v>
      </c>
      <c r="B27" s="1">
        <v>1998</v>
      </c>
      <c r="C27" s="1" t="s">
        <v>12</v>
      </c>
      <c r="E27" s="9">
        <v>625000</v>
      </c>
      <c r="F27" s="9">
        <v>65214</v>
      </c>
      <c r="G27" s="10"/>
      <c r="H27" s="10"/>
    </row>
    <row r="28" spans="1:8" ht="16.5" customHeight="1" x14ac:dyDescent="0.25">
      <c r="A28" s="1">
        <v>2017</v>
      </c>
      <c r="B28" s="1">
        <v>1999</v>
      </c>
      <c r="C28" s="1" t="s">
        <v>9</v>
      </c>
      <c r="E28" s="9">
        <v>0</v>
      </c>
      <c r="F28" s="9">
        <v>0</v>
      </c>
      <c r="G28" s="10"/>
      <c r="H28" s="10"/>
    </row>
    <row r="29" spans="1:8" x14ac:dyDescent="0.25">
      <c r="A29" s="1">
        <v>2017</v>
      </c>
      <c r="B29" s="1">
        <v>1999</v>
      </c>
      <c r="C29" s="1" t="s">
        <v>5</v>
      </c>
      <c r="E29" s="9">
        <v>2831250</v>
      </c>
      <c r="F29" s="9"/>
      <c r="G29" s="10"/>
      <c r="H29" s="10"/>
    </row>
    <row r="30" spans="1:8" x14ac:dyDescent="0.25">
      <c r="A30" s="1">
        <v>2017</v>
      </c>
      <c r="B30" s="1">
        <v>2000</v>
      </c>
      <c r="C30" s="1" t="s">
        <v>5</v>
      </c>
      <c r="E30" s="9">
        <v>4550000</v>
      </c>
      <c r="F30" s="9">
        <v>0</v>
      </c>
      <c r="G30" s="10"/>
      <c r="H30" s="10"/>
    </row>
    <row r="31" spans="1:8" x14ac:dyDescent="0.25">
      <c r="A31" s="1">
        <v>2017</v>
      </c>
      <c r="B31" s="1">
        <v>2001</v>
      </c>
      <c r="C31" s="1" t="s">
        <v>9</v>
      </c>
      <c r="E31" s="9"/>
      <c r="F31" s="9"/>
      <c r="G31" s="10"/>
      <c r="H31" s="10"/>
    </row>
    <row r="32" spans="1:8" x14ac:dyDescent="0.25">
      <c r="A32" s="1">
        <v>2017</v>
      </c>
      <c r="B32" s="1">
        <v>2001</v>
      </c>
      <c r="C32" s="1" t="s">
        <v>5</v>
      </c>
      <c r="E32" s="9">
        <v>4310000</v>
      </c>
      <c r="F32" s="9"/>
      <c r="G32" s="10"/>
      <c r="H32" s="10"/>
    </row>
    <row r="33" spans="1:8" ht="15.75" customHeight="1" x14ac:dyDescent="0.25">
      <c r="A33" s="1">
        <v>2017</v>
      </c>
      <c r="B33" s="1">
        <v>2002</v>
      </c>
      <c r="C33" s="1" t="s">
        <v>5</v>
      </c>
      <c r="E33" s="9">
        <v>1600000</v>
      </c>
      <c r="F33" s="9">
        <v>0</v>
      </c>
      <c r="G33" s="10"/>
      <c r="H33" s="10"/>
    </row>
    <row r="34" spans="1:8" x14ac:dyDescent="0.25">
      <c r="A34" s="1">
        <v>2017</v>
      </c>
      <c r="B34" s="1">
        <v>2003</v>
      </c>
      <c r="C34" s="1" t="s">
        <v>13</v>
      </c>
      <c r="E34" s="9">
        <v>333332</v>
      </c>
      <c r="F34" s="9">
        <v>46168</v>
      </c>
      <c r="G34" s="10"/>
      <c r="H34" s="10"/>
    </row>
    <row r="35" spans="1:8" x14ac:dyDescent="0.25">
      <c r="A35" s="1">
        <v>2017</v>
      </c>
      <c r="B35" s="1">
        <v>2004</v>
      </c>
      <c r="C35" s="1" t="s">
        <v>14</v>
      </c>
      <c r="E35" s="9">
        <v>640000</v>
      </c>
      <c r="F35" s="9">
        <v>224364</v>
      </c>
      <c r="G35" s="10"/>
      <c r="H35" s="10"/>
    </row>
    <row r="36" spans="1:8" x14ac:dyDescent="0.25">
      <c r="A36" s="1">
        <v>2017</v>
      </c>
      <c r="B36" s="1">
        <v>2004</v>
      </c>
      <c r="C36" s="1" t="s">
        <v>13</v>
      </c>
      <c r="E36" s="9">
        <v>333333</v>
      </c>
      <c r="F36" s="9">
        <v>44950</v>
      </c>
      <c r="G36" s="10"/>
      <c r="H36" s="10"/>
    </row>
    <row r="37" spans="1:8" x14ac:dyDescent="0.25">
      <c r="A37" s="1">
        <v>2017</v>
      </c>
      <c r="B37" s="1">
        <v>2004</v>
      </c>
      <c r="C37" s="1" t="s">
        <v>15</v>
      </c>
      <c r="E37" s="9">
        <v>1030200</v>
      </c>
      <c r="F37" s="9">
        <v>40016</v>
      </c>
      <c r="G37" s="10"/>
      <c r="H37" s="10"/>
    </row>
    <row r="38" spans="1:8" x14ac:dyDescent="0.25">
      <c r="A38" s="1">
        <v>2017</v>
      </c>
      <c r="B38" s="1">
        <v>2004</v>
      </c>
      <c r="C38" s="1" t="s">
        <v>15</v>
      </c>
      <c r="E38" s="9">
        <v>61625</v>
      </c>
      <c r="F38" s="9">
        <v>5935</v>
      </c>
      <c r="G38" s="10"/>
      <c r="H38" s="10"/>
    </row>
    <row r="39" spans="1:8" x14ac:dyDescent="0.25">
      <c r="A39" s="1">
        <v>2017</v>
      </c>
      <c r="B39" s="1">
        <v>2004</v>
      </c>
      <c r="C39" s="1" t="s">
        <v>16</v>
      </c>
      <c r="E39" s="9"/>
      <c r="F39" s="9"/>
      <c r="G39" s="10"/>
      <c r="H39" s="10"/>
    </row>
    <row r="40" spans="1:8" x14ac:dyDescent="0.25">
      <c r="A40" s="1">
        <v>2017</v>
      </c>
      <c r="B40" s="1">
        <v>2005</v>
      </c>
      <c r="C40" s="1" t="s">
        <v>16</v>
      </c>
      <c r="E40" s="9"/>
      <c r="F40" s="9"/>
      <c r="G40" s="10"/>
      <c r="H40" s="10"/>
    </row>
    <row r="41" spans="1:8" x14ac:dyDescent="0.25">
      <c r="A41" s="1">
        <v>2017</v>
      </c>
      <c r="B41" s="1">
        <v>2005</v>
      </c>
      <c r="C41" s="1" t="s">
        <v>13</v>
      </c>
      <c r="E41" s="9">
        <v>111111</v>
      </c>
      <c r="F41" s="9"/>
      <c r="G41" s="10"/>
      <c r="H41" s="10"/>
    </row>
    <row r="42" spans="1:8" x14ac:dyDescent="0.25">
      <c r="A42" s="1">
        <v>2017</v>
      </c>
      <c r="B42" s="1">
        <v>2006</v>
      </c>
      <c r="C42" s="1" t="s">
        <v>13</v>
      </c>
      <c r="E42" s="9"/>
      <c r="F42" s="9"/>
      <c r="G42" s="10"/>
      <c r="H42" s="10"/>
    </row>
    <row r="43" spans="1:8" x14ac:dyDescent="0.25">
      <c r="A43" s="1">
        <v>2017</v>
      </c>
      <c r="B43" s="1">
        <v>2006</v>
      </c>
      <c r="C43" s="1" t="s">
        <v>16</v>
      </c>
      <c r="E43" s="9"/>
      <c r="F43" s="9"/>
      <c r="G43" s="10"/>
      <c r="H43" s="10"/>
    </row>
    <row r="44" spans="1:8" ht="15.75" customHeight="1" x14ac:dyDescent="0.25">
      <c r="A44" s="1">
        <v>2017</v>
      </c>
      <c r="B44" s="1">
        <v>2007</v>
      </c>
      <c r="C44" s="1" t="s">
        <v>18</v>
      </c>
      <c r="E44" s="3">
        <v>4779332</v>
      </c>
      <c r="F44" s="3">
        <v>1076973</v>
      </c>
      <c r="G44" s="10"/>
      <c r="H44" s="10"/>
    </row>
    <row r="45" spans="1:8" x14ac:dyDescent="0.25">
      <c r="A45" s="1">
        <v>2017</v>
      </c>
      <c r="B45" s="1">
        <v>2007</v>
      </c>
      <c r="C45" s="1" t="s">
        <v>19</v>
      </c>
      <c r="E45" s="9"/>
      <c r="F45" s="9"/>
      <c r="G45" s="10"/>
      <c r="H45" s="10"/>
    </row>
    <row r="46" spans="1:8" x14ac:dyDescent="0.25">
      <c r="A46" s="1">
        <v>2017</v>
      </c>
      <c r="B46" s="1">
        <v>2007</v>
      </c>
      <c r="C46" s="1" t="s">
        <v>20</v>
      </c>
      <c r="E46" s="9"/>
      <c r="F46" s="9"/>
      <c r="G46" s="10"/>
      <c r="H46" s="10"/>
    </row>
    <row r="47" spans="1:8" x14ac:dyDescent="0.25">
      <c r="A47" s="1">
        <v>2017</v>
      </c>
      <c r="B47" s="1">
        <v>2007</v>
      </c>
      <c r="C47" s="1" t="s">
        <v>21</v>
      </c>
      <c r="E47" s="9">
        <v>816440</v>
      </c>
      <c r="F47" s="9">
        <v>531422</v>
      </c>
      <c r="G47" s="10"/>
      <c r="H47" s="10"/>
    </row>
    <row r="48" spans="1:8" x14ac:dyDescent="0.25">
      <c r="A48" s="1">
        <v>2017</v>
      </c>
      <c r="B48" s="1">
        <v>2008</v>
      </c>
      <c r="C48" s="1" t="s">
        <v>19</v>
      </c>
      <c r="E48" s="9"/>
      <c r="F48" s="9"/>
      <c r="G48" s="5"/>
      <c r="H48" s="5"/>
    </row>
    <row r="49" spans="1:8" x14ac:dyDescent="0.25">
      <c r="A49" s="1">
        <v>2017</v>
      </c>
      <c r="B49" s="1">
        <v>2008</v>
      </c>
      <c r="C49" s="1" t="s">
        <v>22</v>
      </c>
      <c r="E49" s="9"/>
      <c r="F49" s="9"/>
      <c r="G49" s="5"/>
      <c r="H49" s="5"/>
    </row>
    <row r="50" spans="1:8" x14ac:dyDescent="0.25">
      <c r="A50" s="1">
        <v>2017</v>
      </c>
      <c r="B50" s="1">
        <v>2009</v>
      </c>
      <c r="C50" s="1" t="s">
        <v>20</v>
      </c>
      <c r="E50" s="9"/>
      <c r="F50" s="9"/>
      <c r="G50" s="5"/>
      <c r="H50" s="5"/>
    </row>
    <row r="51" spans="1:8" x14ac:dyDescent="0.25">
      <c r="A51" s="1">
        <v>2017</v>
      </c>
      <c r="B51" s="1">
        <v>2009</v>
      </c>
      <c r="C51" s="1" t="s">
        <v>4</v>
      </c>
      <c r="D51" s="1" t="s">
        <v>23</v>
      </c>
      <c r="E51" s="4">
        <v>5050920</v>
      </c>
      <c r="F51" s="4">
        <v>265838</v>
      </c>
      <c r="G51" s="4"/>
      <c r="H51" s="4"/>
    </row>
    <row r="52" spans="1:8" x14ac:dyDescent="0.25">
      <c r="A52" s="1">
        <v>2017</v>
      </c>
      <c r="B52" s="1">
        <v>2010</v>
      </c>
      <c r="C52" s="1" t="s">
        <v>4</v>
      </c>
      <c r="D52" s="1" t="s">
        <v>23</v>
      </c>
      <c r="E52" s="7">
        <v>2923823</v>
      </c>
      <c r="F52" s="7">
        <v>153885</v>
      </c>
      <c r="G52" s="4"/>
      <c r="H52" s="4"/>
    </row>
    <row r="53" spans="1:8" x14ac:dyDescent="0.25">
      <c r="A53" s="1">
        <v>2017</v>
      </c>
      <c r="B53" s="1">
        <v>2011</v>
      </c>
      <c r="C53" s="1" t="s">
        <v>4</v>
      </c>
      <c r="D53" s="1" t="s">
        <v>23</v>
      </c>
      <c r="E53" s="7">
        <v>8000099</v>
      </c>
      <c r="F53" s="7">
        <v>421058</v>
      </c>
      <c r="G53" s="4"/>
      <c r="H53" s="4"/>
    </row>
    <row r="54" spans="1:8" x14ac:dyDescent="0.25">
      <c r="A54" s="1">
        <v>2017</v>
      </c>
      <c r="B54" s="1">
        <v>2012</v>
      </c>
      <c r="C54" s="1" t="s">
        <v>4</v>
      </c>
      <c r="D54" s="1" t="s">
        <v>24</v>
      </c>
      <c r="E54" s="7">
        <v>2781680</v>
      </c>
      <c r="F54" s="7">
        <v>146404</v>
      </c>
      <c r="G54" s="4"/>
      <c r="H54" s="4"/>
    </row>
    <row r="55" spans="1:8" x14ac:dyDescent="0.25">
      <c r="A55" s="1">
        <v>2017</v>
      </c>
      <c r="B55" s="1">
        <v>2013</v>
      </c>
      <c r="C55" s="1" t="s">
        <v>4</v>
      </c>
      <c r="D55" s="1" t="s">
        <v>24</v>
      </c>
      <c r="E55" s="7">
        <v>5187528</v>
      </c>
      <c r="F55" s="7">
        <v>273028</v>
      </c>
      <c r="G55" s="4"/>
      <c r="H55" s="4"/>
    </row>
    <row r="56" spans="1:8" x14ac:dyDescent="0.25">
      <c r="A56" s="1">
        <v>2017</v>
      </c>
      <c r="B56" s="1">
        <v>2014</v>
      </c>
      <c r="C56" s="1" t="s">
        <v>4</v>
      </c>
      <c r="D56" s="1" t="s">
        <v>24</v>
      </c>
      <c r="E56" s="7">
        <v>3276841</v>
      </c>
      <c r="F56" s="7">
        <v>145800</v>
      </c>
      <c r="G56" s="4"/>
      <c r="H56" s="4"/>
    </row>
    <row r="57" spans="1:8" x14ac:dyDescent="0.25">
      <c r="A57" s="1">
        <v>2017</v>
      </c>
      <c r="B57" s="1">
        <v>2015</v>
      </c>
      <c r="C57" s="1" t="s">
        <v>4</v>
      </c>
      <c r="D57" s="1" t="s">
        <v>25</v>
      </c>
      <c r="E57" s="7">
        <v>7274309</v>
      </c>
      <c r="F57" s="7">
        <v>345262</v>
      </c>
      <c r="G57" s="4"/>
      <c r="H57" s="4"/>
    </row>
    <row r="58" spans="1:8" x14ac:dyDescent="0.25">
      <c r="A58" s="1">
        <v>2017</v>
      </c>
      <c r="B58" s="1">
        <v>2016</v>
      </c>
      <c r="C58" s="1" t="s">
        <v>4</v>
      </c>
      <c r="D58" s="1" t="s">
        <v>25</v>
      </c>
      <c r="E58" s="7">
        <v>2141317</v>
      </c>
      <c r="F58" s="7">
        <v>96250</v>
      </c>
      <c r="G58" s="4"/>
      <c r="H58" s="4"/>
    </row>
    <row r="59" spans="1:8" x14ac:dyDescent="0.25">
      <c r="A59" s="1">
        <v>2017</v>
      </c>
      <c r="B59" s="1">
        <v>2017</v>
      </c>
      <c r="C59" s="1" t="s">
        <v>4</v>
      </c>
      <c r="D59" s="1" t="s">
        <v>25</v>
      </c>
      <c r="E59" s="7">
        <v>1884528</v>
      </c>
      <c r="F59" s="7">
        <v>91195</v>
      </c>
      <c r="G59" s="4"/>
      <c r="H59" s="12"/>
    </row>
    <row r="60" spans="1:8" x14ac:dyDescent="0.25">
      <c r="A60" s="1">
        <v>2017</v>
      </c>
      <c r="B60" s="1">
        <v>2018</v>
      </c>
      <c r="C60" s="1" t="s">
        <v>4</v>
      </c>
      <c r="D60" s="1" t="s">
        <v>25</v>
      </c>
      <c r="E60" s="4"/>
      <c r="F60" s="4"/>
      <c r="G60" s="4"/>
      <c r="H60" s="12"/>
    </row>
    <row r="61" spans="1:8" x14ac:dyDescent="0.25">
      <c r="A61" s="1">
        <v>2017</v>
      </c>
      <c r="B61" s="1">
        <v>2011</v>
      </c>
      <c r="C61" s="1" t="s">
        <v>26</v>
      </c>
      <c r="D61" s="1" t="s">
        <v>27</v>
      </c>
      <c r="E61" s="4">
        <v>1190000</v>
      </c>
      <c r="F61" s="4">
        <v>49371</v>
      </c>
      <c r="G61" s="4"/>
      <c r="H61" s="4"/>
    </row>
    <row r="62" spans="1:8" x14ac:dyDescent="0.25">
      <c r="A62" s="1">
        <v>2017</v>
      </c>
      <c r="B62" s="1">
        <v>2014</v>
      </c>
      <c r="C62" s="1" t="s">
        <v>28</v>
      </c>
      <c r="D62" s="1" t="s">
        <v>29</v>
      </c>
      <c r="E62" s="4">
        <v>1519893</v>
      </c>
      <c r="F62" s="4">
        <v>379973</v>
      </c>
      <c r="G62" s="4"/>
      <c r="H62" s="4"/>
    </row>
    <row r="63" spans="1:8" x14ac:dyDescent="0.25">
      <c r="A63" s="1">
        <v>2017</v>
      </c>
      <c r="B63" s="1">
        <v>2015</v>
      </c>
      <c r="C63" s="1" t="s">
        <v>28</v>
      </c>
      <c r="D63" s="1" t="s">
        <v>29</v>
      </c>
      <c r="E63" s="4">
        <v>2315792</v>
      </c>
      <c r="F63" s="4">
        <v>578948</v>
      </c>
      <c r="G63" s="4"/>
      <c r="H63" s="4"/>
    </row>
    <row r="64" spans="1:8" x14ac:dyDescent="0.25">
      <c r="A64" s="1">
        <v>2017</v>
      </c>
      <c r="B64" s="1">
        <v>2016</v>
      </c>
      <c r="C64" s="1" t="s">
        <v>28</v>
      </c>
      <c r="D64" s="1" t="s">
        <v>29</v>
      </c>
      <c r="E64" s="4">
        <v>2559946</v>
      </c>
      <c r="F64" s="4">
        <v>639986</v>
      </c>
      <c r="G64" s="4"/>
      <c r="H64" s="4"/>
    </row>
    <row r="65" spans="1:8" x14ac:dyDescent="0.25">
      <c r="A65" s="1">
        <v>2017</v>
      </c>
      <c r="B65" s="1">
        <v>2017</v>
      </c>
      <c r="C65" s="1" t="s">
        <v>28</v>
      </c>
      <c r="D65" s="1" t="s">
        <v>29</v>
      </c>
      <c r="E65" s="4">
        <v>1057277</v>
      </c>
      <c r="F65" s="4">
        <v>264319</v>
      </c>
      <c r="G65" s="4"/>
      <c r="H65" s="12"/>
    </row>
    <row r="66" spans="1:8" x14ac:dyDescent="0.25">
      <c r="A66" s="1">
        <v>2017</v>
      </c>
      <c r="B66" s="1">
        <v>2018</v>
      </c>
      <c r="C66" s="1" t="s">
        <v>28</v>
      </c>
      <c r="D66" s="1" t="s">
        <v>29</v>
      </c>
      <c r="E66" s="4"/>
      <c r="F66" s="4"/>
      <c r="G66" s="4"/>
      <c r="H66" s="12"/>
    </row>
    <row r="67" spans="1:8" x14ac:dyDescent="0.25">
      <c r="A67" s="1">
        <v>2017</v>
      </c>
      <c r="B67" s="1">
        <v>2007</v>
      </c>
      <c r="C67" s="1" t="s">
        <v>21</v>
      </c>
      <c r="D67" s="1" t="s">
        <v>30</v>
      </c>
      <c r="E67" s="4"/>
      <c r="F67" s="4"/>
      <c r="G67" s="4"/>
      <c r="H67" s="4"/>
    </row>
    <row r="68" spans="1:8" x14ac:dyDescent="0.25">
      <c r="A68" s="1">
        <v>2017</v>
      </c>
      <c r="B68" s="1">
        <v>2015</v>
      </c>
      <c r="C68" s="1" t="s">
        <v>31</v>
      </c>
      <c r="D68" s="1" t="s">
        <v>32</v>
      </c>
      <c r="E68" s="4">
        <v>1483628</v>
      </c>
      <c r="F68" s="4"/>
      <c r="G68" s="4"/>
      <c r="H68" s="4"/>
    </row>
    <row r="69" spans="1:8" x14ac:dyDescent="0.25">
      <c r="A69" s="1">
        <v>2017</v>
      </c>
      <c r="B69" s="1">
        <v>2016</v>
      </c>
      <c r="C69" s="1" t="s">
        <v>31</v>
      </c>
      <c r="D69" s="1" t="s">
        <v>32</v>
      </c>
      <c r="E69" s="4">
        <v>874874</v>
      </c>
      <c r="F69" s="4"/>
      <c r="G69" s="4"/>
      <c r="H69" s="12"/>
    </row>
    <row r="70" spans="1:8" x14ac:dyDescent="0.25">
      <c r="A70" s="1">
        <v>2017</v>
      </c>
      <c r="B70" s="1">
        <v>2017</v>
      </c>
      <c r="C70" s="1" t="s">
        <v>31</v>
      </c>
      <c r="D70" s="1" t="s">
        <v>32</v>
      </c>
      <c r="E70" s="4">
        <v>987711</v>
      </c>
      <c r="F70" s="4"/>
      <c r="G70" s="4"/>
      <c r="H70" s="12"/>
    </row>
    <row r="71" spans="1:8" x14ac:dyDescent="0.25">
      <c r="A71" s="1">
        <v>2017</v>
      </c>
      <c r="B71" s="1">
        <v>2018</v>
      </c>
      <c r="C71" s="1" t="s">
        <v>31</v>
      </c>
      <c r="D71" s="1" t="s">
        <v>32</v>
      </c>
      <c r="E71" s="4"/>
      <c r="F71" s="4"/>
      <c r="G71" s="4"/>
      <c r="H71" s="4"/>
    </row>
    <row r="72" spans="1:8" x14ac:dyDescent="0.25">
      <c r="A72" s="1">
        <v>2017</v>
      </c>
      <c r="B72" s="1">
        <v>2018</v>
      </c>
      <c r="C72" s="1" t="s">
        <v>33</v>
      </c>
      <c r="E72" s="15">
        <v>21000000</v>
      </c>
      <c r="F72" s="15"/>
      <c r="G72" s="15"/>
      <c r="H72" s="15"/>
    </row>
    <row r="73" spans="1:8" x14ac:dyDescent="0.25">
      <c r="A73" s="1">
        <v>2018</v>
      </c>
      <c r="B73" s="1">
        <v>1982</v>
      </c>
      <c r="C73" s="1" t="s">
        <v>2</v>
      </c>
      <c r="E73" s="9">
        <v>0</v>
      </c>
      <c r="F73" s="9">
        <v>0</v>
      </c>
      <c r="G73" s="10"/>
      <c r="H73" s="10"/>
    </row>
    <row r="74" spans="1:8" x14ac:dyDescent="0.25">
      <c r="A74" s="1">
        <v>2018</v>
      </c>
      <c r="B74" s="1">
        <v>1983</v>
      </c>
      <c r="C74" s="1" t="s">
        <v>2</v>
      </c>
      <c r="E74" s="9">
        <v>1862238</v>
      </c>
      <c r="F74" s="9">
        <v>372757</v>
      </c>
      <c r="G74" s="10"/>
      <c r="H74" s="10"/>
    </row>
    <row r="75" spans="1:8" ht="15" customHeight="1" x14ac:dyDescent="0.25">
      <c r="A75" s="1">
        <v>2018</v>
      </c>
      <c r="B75" s="1">
        <v>1984</v>
      </c>
      <c r="C75" s="1" t="s">
        <v>3</v>
      </c>
      <c r="E75" s="9">
        <v>3632908</v>
      </c>
      <c r="F75" s="9">
        <v>113256</v>
      </c>
      <c r="G75" s="10"/>
      <c r="H75" s="10"/>
    </row>
    <row r="76" spans="1:8" x14ac:dyDescent="0.25">
      <c r="A76" s="1">
        <v>2018</v>
      </c>
      <c r="B76" s="1">
        <v>1985</v>
      </c>
      <c r="C76" s="1" t="s">
        <v>4</v>
      </c>
      <c r="E76" s="9">
        <v>3841498</v>
      </c>
      <c r="F76" s="9">
        <v>62341</v>
      </c>
      <c r="G76" s="10"/>
      <c r="H76" s="10"/>
    </row>
    <row r="77" spans="1:8" x14ac:dyDescent="0.25">
      <c r="A77" s="1">
        <v>2018</v>
      </c>
      <c r="B77" s="1">
        <v>1986</v>
      </c>
      <c r="C77" s="1" t="s">
        <v>4</v>
      </c>
      <c r="E77" s="9">
        <v>1869000</v>
      </c>
      <c r="F77" s="9">
        <v>0</v>
      </c>
      <c r="G77" s="10"/>
      <c r="H77" s="10"/>
    </row>
    <row r="78" spans="1:8" x14ac:dyDescent="0.25">
      <c r="A78" s="1">
        <v>2018</v>
      </c>
      <c r="B78" s="1">
        <v>1987</v>
      </c>
      <c r="C78" s="1" t="s">
        <v>4</v>
      </c>
      <c r="E78" s="9">
        <v>0</v>
      </c>
      <c r="F78" s="9">
        <v>0</v>
      </c>
      <c r="G78" s="10"/>
      <c r="H78" s="10"/>
    </row>
    <row r="79" spans="1:8" x14ac:dyDescent="0.25">
      <c r="A79" s="1">
        <v>2018</v>
      </c>
      <c r="B79" s="1">
        <v>1988</v>
      </c>
      <c r="C79" s="1" t="s">
        <v>2</v>
      </c>
      <c r="E79" s="9">
        <v>2400000</v>
      </c>
      <c r="F79" s="9">
        <v>348398</v>
      </c>
      <c r="G79" s="10"/>
      <c r="H79" s="10"/>
    </row>
    <row r="80" spans="1:8" x14ac:dyDescent="0.25">
      <c r="A80" s="1">
        <v>2018</v>
      </c>
      <c r="B80" s="1">
        <v>1988</v>
      </c>
      <c r="C80" s="1" t="s">
        <v>3</v>
      </c>
      <c r="E80" s="9">
        <v>0</v>
      </c>
      <c r="F80" s="9">
        <v>0</v>
      </c>
      <c r="G80" s="10"/>
      <c r="H80" s="10"/>
    </row>
    <row r="81" spans="1:8" x14ac:dyDescent="0.25">
      <c r="A81" s="1">
        <v>2018</v>
      </c>
      <c r="B81" s="1">
        <v>1989</v>
      </c>
      <c r="C81" s="1" t="s">
        <v>2</v>
      </c>
      <c r="E81" s="9">
        <v>2062178</v>
      </c>
      <c r="F81" s="9">
        <v>245010</v>
      </c>
      <c r="G81" s="10"/>
      <c r="H81" s="10"/>
    </row>
    <row r="82" spans="1:8" x14ac:dyDescent="0.25">
      <c r="A82" s="1">
        <v>2018</v>
      </c>
      <c r="B82" s="1">
        <v>1989</v>
      </c>
      <c r="C82" s="1" t="s">
        <v>3</v>
      </c>
      <c r="E82" s="9">
        <v>0</v>
      </c>
      <c r="F82" s="9">
        <v>0</v>
      </c>
      <c r="G82" s="10"/>
      <c r="H82" s="10"/>
    </row>
    <row r="83" spans="1:8" x14ac:dyDescent="0.25">
      <c r="A83" s="1">
        <v>2018</v>
      </c>
      <c r="B83" s="1">
        <v>1990</v>
      </c>
      <c r="C83" s="1" t="s">
        <v>2</v>
      </c>
      <c r="E83" s="9">
        <v>4942490</v>
      </c>
      <c r="F83" s="9">
        <v>371329</v>
      </c>
      <c r="G83" s="10"/>
      <c r="H83" s="10"/>
    </row>
    <row r="84" spans="1:8" x14ac:dyDescent="0.25">
      <c r="A84" s="1">
        <v>2018</v>
      </c>
      <c r="B84" s="1">
        <v>1994</v>
      </c>
      <c r="C84" s="1" t="s">
        <v>5</v>
      </c>
      <c r="E84" s="9">
        <v>900000</v>
      </c>
      <c r="F84" s="9">
        <v>0</v>
      </c>
      <c r="G84" s="10"/>
      <c r="H84" s="10"/>
    </row>
    <row r="85" spans="1:8" x14ac:dyDescent="0.25">
      <c r="A85" s="1">
        <v>2018</v>
      </c>
      <c r="B85" s="1">
        <v>1994</v>
      </c>
      <c r="C85" s="1" t="s">
        <v>6</v>
      </c>
      <c r="E85" s="9">
        <v>10537043</v>
      </c>
      <c r="F85" s="9">
        <v>3908929</v>
      </c>
      <c r="G85" s="10"/>
      <c r="H85" s="10"/>
    </row>
    <row r="86" spans="1:8" x14ac:dyDescent="0.25">
      <c r="A86" s="1">
        <v>2018</v>
      </c>
      <c r="B86" s="1">
        <v>1995</v>
      </c>
      <c r="C86" s="1" t="s">
        <v>5</v>
      </c>
      <c r="E86" s="9">
        <v>1632450</v>
      </c>
      <c r="F86" s="9">
        <v>0</v>
      </c>
      <c r="G86" s="10"/>
      <c r="H86" s="10"/>
    </row>
    <row r="87" spans="1:8" x14ac:dyDescent="0.25">
      <c r="A87" s="1">
        <v>2018</v>
      </c>
      <c r="B87" s="1">
        <v>1995</v>
      </c>
      <c r="C87" s="1" t="s">
        <v>7</v>
      </c>
      <c r="E87" s="9">
        <v>0</v>
      </c>
      <c r="F87" s="9">
        <v>0</v>
      </c>
      <c r="G87" s="10"/>
      <c r="H87" s="10"/>
    </row>
    <row r="88" spans="1:8" x14ac:dyDescent="0.25">
      <c r="A88" s="1">
        <v>2018</v>
      </c>
      <c r="B88" s="1">
        <v>1995</v>
      </c>
      <c r="C88" s="1" t="s">
        <v>8</v>
      </c>
      <c r="E88" s="9">
        <v>139999</v>
      </c>
      <c r="F88" s="9">
        <v>40543</v>
      </c>
      <c r="G88" s="10"/>
      <c r="H88" s="10"/>
    </row>
    <row r="89" spans="1:8" x14ac:dyDescent="0.25">
      <c r="A89" s="1">
        <v>2018</v>
      </c>
      <c r="B89" s="1">
        <v>1996</v>
      </c>
      <c r="C89" s="1" t="s">
        <v>8</v>
      </c>
      <c r="E89" s="9">
        <v>0</v>
      </c>
      <c r="F89" s="9">
        <v>0</v>
      </c>
      <c r="G89" s="10"/>
      <c r="H89" s="10"/>
    </row>
    <row r="90" spans="1:8" x14ac:dyDescent="0.25">
      <c r="A90" s="1">
        <v>2018</v>
      </c>
      <c r="B90" s="1">
        <v>1996</v>
      </c>
      <c r="C90" s="1" t="s">
        <v>5</v>
      </c>
      <c r="E90" s="9">
        <v>6048410</v>
      </c>
      <c r="F90" s="9">
        <v>0</v>
      </c>
      <c r="G90" s="10"/>
      <c r="H90" s="10"/>
    </row>
    <row r="91" spans="1:8" x14ac:dyDescent="0.25">
      <c r="A91" s="1">
        <v>2018</v>
      </c>
      <c r="B91" s="1">
        <v>1996</v>
      </c>
      <c r="C91" s="1" t="s">
        <v>9</v>
      </c>
      <c r="E91" s="9">
        <v>0</v>
      </c>
      <c r="F91" s="9">
        <v>0</v>
      </c>
      <c r="G91" s="10"/>
      <c r="H91" s="10"/>
    </row>
    <row r="92" spans="1:8" x14ac:dyDescent="0.25">
      <c r="A92" s="1">
        <v>2018</v>
      </c>
      <c r="B92" s="1">
        <v>1997</v>
      </c>
      <c r="C92" s="1" t="s">
        <v>5</v>
      </c>
      <c r="E92" s="9">
        <v>4100000</v>
      </c>
      <c r="F92" s="9">
        <v>0</v>
      </c>
      <c r="G92" s="10"/>
      <c r="H92" s="10"/>
    </row>
    <row r="93" spans="1:8" x14ac:dyDescent="0.25">
      <c r="A93" s="1">
        <v>2018</v>
      </c>
      <c r="B93" s="1">
        <v>1997</v>
      </c>
      <c r="C93" s="1" t="s">
        <v>9</v>
      </c>
      <c r="E93" s="9">
        <v>0</v>
      </c>
      <c r="F93" s="9">
        <v>0</v>
      </c>
      <c r="G93" s="10"/>
      <c r="H93" s="10"/>
    </row>
    <row r="94" spans="1:8" x14ac:dyDescent="0.25">
      <c r="A94" s="1">
        <v>2018</v>
      </c>
      <c r="B94" s="1">
        <v>1998</v>
      </c>
      <c r="C94" s="1" t="s">
        <v>9</v>
      </c>
      <c r="E94" s="9">
        <v>0</v>
      </c>
      <c r="F94" s="9">
        <v>0</v>
      </c>
      <c r="G94" s="10"/>
      <c r="H94" s="10"/>
    </row>
    <row r="95" spans="1:8" x14ac:dyDescent="0.25">
      <c r="A95" s="1">
        <v>2018</v>
      </c>
      <c r="B95" s="1">
        <v>1998</v>
      </c>
      <c r="C95" s="1" t="s">
        <v>5</v>
      </c>
      <c r="E95" s="9">
        <v>6775000</v>
      </c>
      <c r="F95" s="9">
        <v>0</v>
      </c>
      <c r="G95" s="10"/>
      <c r="H95" s="10"/>
    </row>
    <row r="96" spans="1:8" x14ac:dyDescent="0.25">
      <c r="A96" s="1">
        <v>2018</v>
      </c>
      <c r="B96" s="1">
        <v>1998</v>
      </c>
      <c r="C96" s="1" t="s">
        <v>10</v>
      </c>
      <c r="E96" s="9">
        <v>43818497</v>
      </c>
      <c r="F96" s="9">
        <v>2958925</v>
      </c>
      <c r="G96" s="10"/>
      <c r="H96" s="10"/>
    </row>
    <row r="97" spans="1:8" x14ac:dyDescent="0.25">
      <c r="A97" s="1">
        <v>2018</v>
      </c>
      <c r="B97" s="1">
        <v>1998</v>
      </c>
      <c r="C97" s="1" t="s">
        <v>11</v>
      </c>
      <c r="E97" s="9">
        <v>10381250</v>
      </c>
      <c r="F97" s="9">
        <v>572760</v>
      </c>
      <c r="G97" s="10"/>
      <c r="H97" s="10"/>
    </row>
    <row r="98" spans="1:8" x14ac:dyDescent="0.25">
      <c r="A98" s="1">
        <v>2018</v>
      </c>
      <c r="B98" s="1">
        <v>1998</v>
      </c>
      <c r="C98" s="1" t="s">
        <v>12</v>
      </c>
      <c r="E98" s="9">
        <v>625000</v>
      </c>
      <c r="F98" s="9">
        <v>65214</v>
      </c>
      <c r="G98" s="10"/>
      <c r="H98" s="10"/>
    </row>
    <row r="99" spans="1:8" x14ac:dyDescent="0.25">
      <c r="A99" s="1">
        <v>2018</v>
      </c>
      <c r="B99" s="1">
        <v>1999</v>
      </c>
      <c r="C99" s="1" t="s">
        <v>9</v>
      </c>
      <c r="E99" s="9">
        <v>0</v>
      </c>
      <c r="F99" s="9">
        <v>0</v>
      </c>
      <c r="G99" s="10"/>
      <c r="H99" s="10"/>
    </row>
    <row r="100" spans="1:8" x14ac:dyDescent="0.25">
      <c r="A100" s="1">
        <v>2018</v>
      </c>
      <c r="B100" s="1">
        <v>1999</v>
      </c>
      <c r="C100" s="1" t="s">
        <v>5</v>
      </c>
      <c r="E100" s="9">
        <v>2831250</v>
      </c>
      <c r="F100" s="9">
        <v>0</v>
      </c>
      <c r="G100" s="10"/>
      <c r="H100" s="10"/>
    </row>
    <row r="101" spans="1:8" x14ac:dyDescent="0.25">
      <c r="A101" s="1">
        <v>2018</v>
      </c>
      <c r="B101" s="1">
        <v>2000</v>
      </c>
      <c r="C101" s="1" t="s">
        <v>5</v>
      </c>
      <c r="E101" s="9">
        <v>4550000</v>
      </c>
      <c r="F101" s="9">
        <v>0</v>
      </c>
      <c r="G101" s="10"/>
      <c r="H101" s="10"/>
    </row>
    <row r="102" spans="1:8" x14ac:dyDescent="0.25">
      <c r="A102" s="1">
        <v>2018</v>
      </c>
      <c r="B102" s="1">
        <v>2001</v>
      </c>
      <c r="C102" s="1" t="s">
        <v>9</v>
      </c>
      <c r="E102" s="9">
        <v>0</v>
      </c>
      <c r="F102" s="9">
        <v>0</v>
      </c>
      <c r="G102" s="10"/>
      <c r="H102" s="10"/>
    </row>
    <row r="103" spans="1:8" x14ac:dyDescent="0.25">
      <c r="A103" s="1">
        <v>2018</v>
      </c>
      <c r="B103" s="1">
        <v>2001</v>
      </c>
      <c r="C103" s="1" t="s">
        <v>5</v>
      </c>
      <c r="E103" s="9">
        <v>4310000</v>
      </c>
      <c r="F103" s="9">
        <v>0</v>
      </c>
      <c r="G103" s="10"/>
      <c r="H103" s="10"/>
    </row>
    <row r="104" spans="1:8" x14ac:dyDescent="0.25">
      <c r="A104" s="1">
        <v>2018</v>
      </c>
      <c r="B104" s="1">
        <v>2002</v>
      </c>
      <c r="C104" s="1" t="s">
        <v>5</v>
      </c>
      <c r="E104" s="9">
        <v>1600000</v>
      </c>
      <c r="F104" s="9">
        <v>0</v>
      </c>
      <c r="G104" s="10"/>
      <c r="H104" s="10"/>
    </row>
    <row r="105" spans="1:8" x14ac:dyDescent="0.25">
      <c r="A105" s="1">
        <v>2018</v>
      </c>
      <c r="B105" s="1">
        <v>2003</v>
      </c>
      <c r="C105" s="1" t="s">
        <v>13</v>
      </c>
      <c r="E105" s="9">
        <v>333332</v>
      </c>
      <c r="F105" s="9">
        <v>46168</v>
      </c>
      <c r="G105" s="10"/>
      <c r="H105" s="10"/>
    </row>
    <row r="106" spans="1:8" x14ac:dyDescent="0.25">
      <c r="A106" s="1">
        <v>2018</v>
      </c>
      <c r="B106" s="1">
        <v>2004</v>
      </c>
      <c r="C106" s="1" t="s">
        <v>14</v>
      </c>
      <c r="E106" s="9">
        <v>640000</v>
      </c>
      <c r="F106" s="9">
        <v>224364</v>
      </c>
      <c r="G106" s="10"/>
      <c r="H106" s="10"/>
    </row>
    <row r="107" spans="1:8" x14ac:dyDescent="0.25">
      <c r="A107" s="1">
        <v>2018</v>
      </c>
      <c r="B107" s="1">
        <v>2004</v>
      </c>
      <c r="C107" s="1" t="s">
        <v>13</v>
      </c>
      <c r="E107" s="9">
        <v>333333</v>
      </c>
      <c r="F107" s="9">
        <v>44950</v>
      </c>
      <c r="G107" s="10"/>
      <c r="H107" s="10"/>
    </row>
    <row r="108" spans="1:8" x14ac:dyDescent="0.25">
      <c r="A108" s="1">
        <v>2018</v>
      </c>
      <c r="B108" s="1">
        <v>2004</v>
      </c>
      <c r="C108" s="1" t="s">
        <v>15</v>
      </c>
      <c r="E108" s="9">
        <v>1030200</v>
      </c>
      <c r="F108" s="9">
        <v>40016</v>
      </c>
      <c r="G108" s="10"/>
      <c r="H108" s="10"/>
    </row>
    <row r="109" spans="1:8" x14ac:dyDescent="0.25">
      <c r="A109" s="1">
        <v>2018</v>
      </c>
      <c r="B109" s="1">
        <v>2004</v>
      </c>
      <c r="C109" s="1" t="s">
        <v>15</v>
      </c>
      <c r="E109" s="9">
        <v>61625</v>
      </c>
      <c r="F109" s="9">
        <v>5935</v>
      </c>
      <c r="G109" s="10"/>
      <c r="H109" s="10"/>
    </row>
    <row r="110" spans="1:8" x14ac:dyDescent="0.25">
      <c r="A110" s="1">
        <v>2018</v>
      </c>
      <c r="B110" s="1">
        <v>2004</v>
      </c>
      <c r="C110" s="1" t="s">
        <v>16</v>
      </c>
      <c r="E110" s="9">
        <v>0</v>
      </c>
      <c r="F110" s="9">
        <v>0</v>
      </c>
      <c r="G110" s="10"/>
      <c r="H110" s="10"/>
    </row>
    <row r="111" spans="1:8" x14ac:dyDescent="0.25">
      <c r="A111" s="1">
        <v>2018</v>
      </c>
      <c r="B111" s="1">
        <v>2005</v>
      </c>
      <c r="C111" s="1" t="s">
        <v>16</v>
      </c>
      <c r="E111" s="9">
        <v>0</v>
      </c>
      <c r="F111" s="9">
        <v>0</v>
      </c>
      <c r="G111" s="10"/>
      <c r="H111" s="10"/>
    </row>
    <row r="112" spans="1:8" x14ac:dyDescent="0.25">
      <c r="A112" s="1">
        <v>2018</v>
      </c>
      <c r="B112" s="1">
        <v>2005</v>
      </c>
      <c r="C112" s="1" t="s">
        <v>13</v>
      </c>
      <c r="E112" s="9">
        <v>111111</v>
      </c>
      <c r="F112" s="9">
        <v>0</v>
      </c>
      <c r="G112" s="10"/>
      <c r="H112" s="10"/>
    </row>
    <row r="113" spans="1:8" x14ac:dyDescent="0.25">
      <c r="A113" s="1">
        <v>2018</v>
      </c>
      <c r="B113" s="1">
        <v>2006</v>
      </c>
      <c r="C113" s="1" t="s">
        <v>13</v>
      </c>
      <c r="E113" s="9">
        <v>0</v>
      </c>
      <c r="F113" s="9">
        <v>0</v>
      </c>
      <c r="G113" s="10"/>
      <c r="H113" s="10"/>
    </row>
    <row r="114" spans="1:8" x14ac:dyDescent="0.25">
      <c r="A114" s="1">
        <v>2018</v>
      </c>
      <c r="B114" s="1">
        <v>2006</v>
      </c>
      <c r="C114" s="1" t="s">
        <v>16</v>
      </c>
      <c r="E114" s="9">
        <v>0</v>
      </c>
      <c r="F114" s="9">
        <v>0</v>
      </c>
      <c r="G114" s="10"/>
      <c r="H114" s="10"/>
    </row>
    <row r="115" spans="1:8" x14ac:dyDescent="0.25">
      <c r="A115" s="1">
        <v>2018</v>
      </c>
      <c r="B115" s="1">
        <v>2007</v>
      </c>
      <c r="C115" s="1" t="s">
        <v>18</v>
      </c>
      <c r="E115" s="3">
        <v>4779332</v>
      </c>
      <c r="F115" s="3">
        <v>1076973</v>
      </c>
      <c r="G115" s="10"/>
      <c r="H115" s="10"/>
    </row>
    <row r="116" spans="1:8" x14ac:dyDescent="0.25">
      <c r="A116" s="1">
        <v>2018</v>
      </c>
      <c r="B116" s="1">
        <v>2007</v>
      </c>
      <c r="C116" s="1" t="s">
        <v>19</v>
      </c>
      <c r="E116" s="9">
        <v>0</v>
      </c>
      <c r="F116" s="9">
        <v>0</v>
      </c>
      <c r="G116" s="10"/>
      <c r="H116" s="10"/>
    </row>
    <row r="117" spans="1:8" x14ac:dyDescent="0.25">
      <c r="A117" s="1">
        <v>2018</v>
      </c>
      <c r="B117" s="1">
        <v>2007</v>
      </c>
      <c r="C117" s="1" t="s">
        <v>20</v>
      </c>
      <c r="E117" s="9"/>
      <c r="F117" s="9"/>
      <c r="G117" s="10"/>
      <c r="H117" s="10"/>
    </row>
    <row r="118" spans="1:8" x14ac:dyDescent="0.25">
      <c r="A118" s="1">
        <v>2018</v>
      </c>
      <c r="B118" s="1">
        <v>2007</v>
      </c>
      <c r="C118" s="1" t="s">
        <v>21</v>
      </c>
      <c r="E118" s="9">
        <v>816440</v>
      </c>
      <c r="F118" s="9">
        <v>531422</v>
      </c>
      <c r="G118" s="10"/>
      <c r="H118" s="10"/>
    </row>
    <row r="119" spans="1:8" x14ac:dyDescent="0.25">
      <c r="A119" s="1">
        <v>2018</v>
      </c>
      <c r="B119" s="1">
        <v>2008</v>
      </c>
      <c r="C119" s="1" t="s">
        <v>19</v>
      </c>
      <c r="E119" s="9"/>
      <c r="F119" s="9"/>
      <c r="G119" s="5"/>
      <c r="H119" s="5"/>
    </row>
    <row r="120" spans="1:8" x14ac:dyDescent="0.25">
      <c r="A120" s="1">
        <v>2018</v>
      </c>
      <c r="B120" s="1">
        <v>2008</v>
      </c>
      <c r="C120" s="1" t="s">
        <v>22</v>
      </c>
      <c r="E120" s="9"/>
      <c r="F120" s="9"/>
      <c r="G120" s="5"/>
      <c r="H120" s="5"/>
    </row>
    <row r="121" spans="1:8" x14ac:dyDescent="0.25">
      <c r="A121" s="1">
        <v>2018</v>
      </c>
      <c r="B121" s="1">
        <v>2009</v>
      </c>
      <c r="C121" s="1" t="s">
        <v>20</v>
      </c>
      <c r="E121" s="9"/>
      <c r="F121" s="9"/>
      <c r="G121" s="5"/>
      <c r="H121" s="5"/>
    </row>
    <row r="122" spans="1:8" x14ac:dyDescent="0.25">
      <c r="A122" s="1">
        <v>2018</v>
      </c>
      <c r="B122" s="1">
        <v>2009</v>
      </c>
      <c r="C122" s="1" t="s">
        <v>4</v>
      </c>
      <c r="D122" s="1" t="s">
        <v>23</v>
      </c>
      <c r="E122" s="4">
        <v>5050048.2374999998</v>
      </c>
      <c r="F122" s="4">
        <v>265792.01250000001</v>
      </c>
      <c r="G122" s="4"/>
      <c r="H122" s="4"/>
    </row>
    <row r="123" spans="1:8" x14ac:dyDescent="0.25">
      <c r="A123" s="1">
        <v>2018</v>
      </c>
      <c r="B123" s="1">
        <v>2010</v>
      </c>
      <c r="C123" s="1" t="s">
        <v>4</v>
      </c>
      <c r="D123" s="1" t="s">
        <v>23</v>
      </c>
      <c r="E123" s="7">
        <v>2957112.69</v>
      </c>
      <c r="F123" s="7">
        <v>155637.51</v>
      </c>
      <c r="G123" s="4"/>
      <c r="H123" s="4"/>
    </row>
    <row r="124" spans="1:8" x14ac:dyDescent="0.25">
      <c r="A124" s="1">
        <v>2018</v>
      </c>
      <c r="B124" s="1">
        <v>2011</v>
      </c>
      <c r="C124" s="1" t="s">
        <v>4</v>
      </c>
      <c r="D124" s="1" t="s">
        <v>23</v>
      </c>
      <c r="E124" s="7">
        <v>9478126.9791606925</v>
      </c>
      <c r="F124" s="7">
        <v>498848.7883768786</v>
      </c>
      <c r="G124" s="4"/>
      <c r="H124" s="4"/>
    </row>
    <row r="125" spans="1:8" x14ac:dyDescent="0.25">
      <c r="A125" s="1">
        <v>2018</v>
      </c>
      <c r="B125" s="1">
        <v>2012</v>
      </c>
      <c r="C125" s="1" t="s">
        <v>4</v>
      </c>
      <c r="D125" s="1" t="s">
        <v>24</v>
      </c>
      <c r="E125" s="7">
        <v>2239596.9924602546</v>
      </c>
      <c r="F125" s="7">
        <v>117873.52591896079</v>
      </c>
      <c r="G125" s="4"/>
      <c r="H125" s="4"/>
    </row>
    <row r="126" spans="1:8" x14ac:dyDescent="0.25">
      <c r="A126" s="1">
        <v>2018</v>
      </c>
      <c r="B126" s="1">
        <v>2013</v>
      </c>
      <c r="C126" s="1" t="s">
        <v>4</v>
      </c>
      <c r="D126" s="1" t="s">
        <v>24</v>
      </c>
      <c r="E126" s="7">
        <v>2479754.3107716842</v>
      </c>
      <c r="F126" s="7">
        <v>130513.38477745706</v>
      </c>
      <c r="G126" s="4"/>
      <c r="H126" s="4"/>
    </row>
    <row r="127" spans="1:8" x14ac:dyDescent="0.25">
      <c r="A127" s="1">
        <v>2018</v>
      </c>
      <c r="B127" s="1">
        <v>2014</v>
      </c>
      <c r="C127" s="1" t="s">
        <v>4</v>
      </c>
      <c r="D127" s="1" t="s">
        <v>24</v>
      </c>
      <c r="E127" s="7">
        <v>2787680.0919631738</v>
      </c>
      <c r="F127" s="7">
        <v>120057.2679980618</v>
      </c>
      <c r="G127" s="4"/>
      <c r="H127" s="4"/>
    </row>
    <row r="128" spans="1:8" x14ac:dyDescent="0.25">
      <c r="A128" s="1">
        <v>2018</v>
      </c>
      <c r="B128" s="1">
        <v>2015</v>
      </c>
      <c r="C128" s="1" t="s">
        <v>4</v>
      </c>
      <c r="D128" s="1" t="s">
        <v>25</v>
      </c>
      <c r="E128" s="7">
        <v>3546112.6513747247</v>
      </c>
      <c r="F128" s="7">
        <v>149041.08691445921</v>
      </c>
      <c r="G128" s="4"/>
      <c r="H128" s="4"/>
    </row>
    <row r="129" spans="1:8" x14ac:dyDescent="0.25">
      <c r="A129" s="1">
        <v>2018</v>
      </c>
      <c r="B129" s="1">
        <v>2016</v>
      </c>
      <c r="C129" s="1" t="s">
        <v>4</v>
      </c>
      <c r="D129" s="1" t="s">
        <v>25</v>
      </c>
      <c r="E129" s="7">
        <v>2141316.958333333</v>
      </c>
      <c r="F129" s="7">
        <v>96250.208333333328</v>
      </c>
      <c r="G129" s="4"/>
      <c r="H129" s="4"/>
    </row>
    <row r="130" spans="1:8" x14ac:dyDescent="0.25">
      <c r="A130" s="1">
        <v>2018</v>
      </c>
      <c r="B130" s="1">
        <v>2017</v>
      </c>
      <c r="C130" s="1" t="s">
        <v>4</v>
      </c>
      <c r="D130" s="1" t="s">
        <v>25</v>
      </c>
      <c r="E130" s="7">
        <v>1884528.0449999997</v>
      </c>
      <c r="F130" s="7">
        <v>91195.054999999993</v>
      </c>
      <c r="G130" s="4"/>
      <c r="H130" s="12"/>
    </row>
    <row r="131" spans="1:8" x14ac:dyDescent="0.25">
      <c r="A131" s="1">
        <v>2018</v>
      </c>
      <c r="B131" s="1">
        <v>2018</v>
      </c>
      <c r="C131" s="1" t="s">
        <v>4</v>
      </c>
      <c r="D131" s="1" t="s">
        <v>25</v>
      </c>
      <c r="E131" s="4">
        <v>1051753.844</v>
      </c>
      <c r="F131" s="4">
        <v>262938.46100000001</v>
      </c>
      <c r="G131" s="4"/>
      <c r="H131" s="12"/>
    </row>
    <row r="132" spans="1:8" x14ac:dyDescent="0.25">
      <c r="A132" s="1">
        <v>2018</v>
      </c>
      <c r="B132" s="1">
        <v>2011</v>
      </c>
      <c r="C132" s="1" t="s">
        <v>26</v>
      </c>
      <c r="D132" s="1" t="s">
        <v>27</v>
      </c>
      <c r="E132" s="4">
        <v>490000</v>
      </c>
      <c r="F132" s="4">
        <v>23121</v>
      </c>
      <c r="G132" s="4"/>
      <c r="H132" s="4"/>
    </row>
    <row r="133" spans="1:8" x14ac:dyDescent="0.25">
      <c r="A133" s="1">
        <v>2018</v>
      </c>
      <c r="B133" s="1">
        <v>2014</v>
      </c>
      <c r="C133" s="1" t="s">
        <v>28</v>
      </c>
      <c r="D133" s="1" t="s">
        <v>29</v>
      </c>
      <c r="E133" s="4">
        <v>1467872.8</v>
      </c>
      <c r="F133" s="4">
        <v>366968.2</v>
      </c>
      <c r="G133" s="4"/>
      <c r="H133" s="4"/>
    </row>
    <row r="134" spans="1:8" x14ac:dyDescent="0.25">
      <c r="A134" s="1">
        <v>2018</v>
      </c>
      <c r="B134" s="1">
        <v>2015</v>
      </c>
      <c r="C134" s="1" t="s">
        <v>28</v>
      </c>
      <c r="D134" s="1" t="s">
        <v>29</v>
      </c>
      <c r="E134" s="4">
        <v>1915539.2000000002</v>
      </c>
      <c r="F134" s="4">
        <v>478884.80000000005</v>
      </c>
      <c r="G134" s="4"/>
      <c r="H134" s="4"/>
    </row>
    <row r="135" spans="1:8" x14ac:dyDescent="0.25">
      <c r="A135" s="1">
        <v>2018</v>
      </c>
      <c r="B135" s="1">
        <v>2016</v>
      </c>
      <c r="C135" s="1" t="s">
        <v>28</v>
      </c>
      <c r="D135" s="1" t="s">
        <v>29</v>
      </c>
      <c r="E135" s="4">
        <v>2316828.8000000003</v>
      </c>
      <c r="F135" s="4">
        <v>579207.20000000007</v>
      </c>
      <c r="G135" s="4"/>
      <c r="H135" s="4"/>
    </row>
    <row r="136" spans="1:8" x14ac:dyDescent="0.25">
      <c r="A136" s="1">
        <v>2018</v>
      </c>
      <c r="B136" s="1">
        <v>2017</v>
      </c>
      <c r="C136" s="1" t="s">
        <v>28</v>
      </c>
      <c r="D136" s="1" t="s">
        <v>29</v>
      </c>
      <c r="E136" s="4">
        <v>1813640</v>
      </c>
      <c r="F136" s="4">
        <v>453410</v>
      </c>
      <c r="G136" s="4"/>
      <c r="H136" s="12"/>
    </row>
    <row r="137" spans="1:8" x14ac:dyDescent="0.25">
      <c r="A137" s="1">
        <v>2018</v>
      </c>
      <c r="B137" s="1">
        <v>2018</v>
      </c>
      <c r="C137" s="1" t="s">
        <v>28</v>
      </c>
      <c r="D137" s="1" t="s">
        <v>29</v>
      </c>
      <c r="E137" s="4">
        <v>1200000</v>
      </c>
      <c r="F137" s="4">
        <v>300000</v>
      </c>
      <c r="G137" s="4"/>
      <c r="H137" s="12"/>
    </row>
    <row r="138" spans="1:8" x14ac:dyDescent="0.25">
      <c r="A138" s="1">
        <v>2018</v>
      </c>
      <c r="B138" s="1">
        <v>2007</v>
      </c>
      <c r="C138" s="1" t="s">
        <v>21</v>
      </c>
      <c r="D138" s="1" t="s">
        <v>30</v>
      </c>
      <c r="E138" s="4"/>
      <c r="F138" s="4"/>
      <c r="G138" s="4"/>
      <c r="H138" s="4"/>
    </row>
    <row r="139" spans="1:8" x14ac:dyDescent="0.25">
      <c r="A139" s="1">
        <v>2018</v>
      </c>
      <c r="B139" s="1">
        <v>2015</v>
      </c>
      <c r="C139" s="1" t="s">
        <v>31</v>
      </c>
      <c r="D139" s="1" t="s">
        <v>32</v>
      </c>
      <c r="E139" s="4">
        <v>1483627.889500004</v>
      </c>
      <c r="F139" s="4">
        <v>0</v>
      </c>
      <c r="G139" s="4"/>
      <c r="H139" s="4"/>
    </row>
    <row r="140" spans="1:8" x14ac:dyDescent="0.25">
      <c r="A140" s="1">
        <v>2018</v>
      </c>
      <c r="B140" s="1">
        <v>2016</v>
      </c>
      <c r="C140" s="1" t="s">
        <v>31</v>
      </c>
      <c r="D140" s="1" t="s">
        <v>32</v>
      </c>
      <c r="E140" s="4">
        <v>874874</v>
      </c>
      <c r="F140" s="4">
        <v>0</v>
      </c>
      <c r="G140" s="4"/>
      <c r="H140" s="12"/>
    </row>
    <row r="141" spans="1:8" x14ac:dyDescent="0.25">
      <c r="A141" s="1">
        <v>2018</v>
      </c>
      <c r="B141" s="1">
        <v>2017</v>
      </c>
      <c r="C141" s="1" t="s">
        <v>31</v>
      </c>
      <c r="D141" s="1" t="s">
        <v>32</v>
      </c>
      <c r="E141" s="4">
        <v>1730957.1066300014</v>
      </c>
      <c r="F141" s="4">
        <v>0</v>
      </c>
      <c r="G141" s="4"/>
      <c r="H141" s="12"/>
    </row>
    <row r="142" spans="1:8" x14ac:dyDescent="0.25">
      <c r="A142" s="1">
        <v>2018</v>
      </c>
      <c r="B142" s="1">
        <v>2018</v>
      </c>
      <c r="C142" s="1" t="s">
        <v>31</v>
      </c>
      <c r="D142" s="1" t="s">
        <v>32</v>
      </c>
      <c r="E142" s="4">
        <v>1384070.7317073171</v>
      </c>
      <c r="F142" s="4">
        <v>0</v>
      </c>
      <c r="G142" s="4"/>
      <c r="H142" s="4"/>
    </row>
    <row r="143" spans="1:8" x14ac:dyDescent="0.25">
      <c r="A143" s="1">
        <v>2018</v>
      </c>
      <c r="B143" s="1">
        <v>2018</v>
      </c>
      <c r="C143" s="1" t="s">
        <v>33</v>
      </c>
      <c r="E143" s="15">
        <v>21000000</v>
      </c>
      <c r="F143" s="15"/>
      <c r="G143" s="15"/>
      <c r="H14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V95"/>
  <sheetViews>
    <sheetView workbookViewId="0">
      <selection sqref="A1:A1048576"/>
    </sheetView>
  </sheetViews>
  <sheetFormatPr defaultRowHeight="15" x14ac:dyDescent="0.25"/>
  <cols>
    <col min="1" max="1" width="5" style="1" bestFit="1" customWidth="1"/>
    <col min="2" max="2" width="23.85546875" style="1" customWidth="1"/>
    <col min="3" max="3" width="36.7109375" style="1" customWidth="1"/>
    <col min="4" max="4" width="14" style="1" customWidth="1"/>
    <col min="5" max="5" width="15.85546875" style="1" customWidth="1"/>
    <col min="6" max="6" width="13.140625" style="1" customWidth="1"/>
    <col min="7" max="7" width="13.42578125" style="1" customWidth="1"/>
    <col min="8" max="16384" width="9.140625" style="1"/>
  </cols>
  <sheetData>
    <row r="2" spans="1:7" ht="30" x14ac:dyDescent="0.25">
      <c r="A2" s="1" t="s">
        <v>38</v>
      </c>
      <c r="B2" s="1" t="s">
        <v>39</v>
      </c>
      <c r="C2" s="1" t="s">
        <v>40</v>
      </c>
      <c r="D2" s="8" t="s">
        <v>41</v>
      </c>
      <c r="E2" s="8" t="s">
        <v>42</v>
      </c>
      <c r="F2" s="8" t="s">
        <v>43</v>
      </c>
      <c r="G2" s="8" t="s">
        <v>44</v>
      </c>
    </row>
    <row r="3" spans="1:7" x14ac:dyDescent="0.25">
      <c r="A3" s="1">
        <v>1982</v>
      </c>
      <c r="B3" s="1" t="s">
        <v>2</v>
      </c>
      <c r="D3" s="9">
        <f>196000*0</f>
        <v>0</v>
      </c>
      <c r="E3" s="9">
        <f>5065*0</f>
        <v>0</v>
      </c>
      <c r="F3" s="10">
        <f>+D3</f>
        <v>0</v>
      </c>
      <c r="G3" s="10">
        <f>+E3</f>
        <v>0</v>
      </c>
    </row>
    <row r="4" spans="1:7" x14ac:dyDescent="0.25">
      <c r="A4" s="1">
        <v>1983</v>
      </c>
      <c r="B4" s="1" t="s">
        <v>2</v>
      </c>
      <c r="D4" s="9">
        <v>1862238</v>
      </c>
      <c r="E4" s="9">
        <v>372757</v>
      </c>
      <c r="F4" s="10">
        <f t="shared" ref="F4:G48" si="0">+D4</f>
        <v>1862238</v>
      </c>
      <c r="G4" s="10">
        <f t="shared" si="0"/>
        <v>372757</v>
      </c>
    </row>
    <row r="5" spans="1:7" x14ac:dyDescent="0.25">
      <c r="A5" s="1">
        <v>1984</v>
      </c>
      <c r="B5" s="1" t="s">
        <v>3</v>
      </c>
      <c r="D5" s="9">
        <v>3632908</v>
      </c>
      <c r="E5" s="9">
        <v>113256</v>
      </c>
      <c r="F5" s="10">
        <f t="shared" si="0"/>
        <v>3632908</v>
      </c>
      <c r="G5" s="10">
        <f t="shared" si="0"/>
        <v>113256</v>
      </c>
    </row>
    <row r="6" spans="1:7" x14ac:dyDescent="0.25">
      <c r="A6" s="1">
        <v>1985</v>
      </c>
      <c r="B6" s="1" t="s">
        <v>4</v>
      </c>
      <c r="D6" s="9">
        <v>3841498</v>
      </c>
      <c r="E6" s="9">
        <v>62341</v>
      </c>
      <c r="F6" s="10">
        <f t="shared" si="0"/>
        <v>3841498</v>
      </c>
      <c r="G6" s="10">
        <f t="shared" si="0"/>
        <v>62341</v>
      </c>
    </row>
    <row r="7" spans="1:7" x14ac:dyDescent="0.25">
      <c r="A7" s="1">
        <v>1986</v>
      </c>
      <c r="B7" s="1" t="s">
        <v>4</v>
      </c>
      <c r="D7" s="9">
        <v>1869000</v>
      </c>
      <c r="E7" s="9">
        <v>0</v>
      </c>
      <c r="F7" s="10">
        <f t="shared" si="0"/>
        <v>1869000</v>
      </c>
      <c r="G7" s="10">
        <f t="shared" si="0"/>
        <v>0</v>
      </c>
    </row>
    <row r="8" spans="1:7" x14ac:dyDescent="0.25">
      <c r="A8" s="1">
        <v>1987</v>
      </c>
      <c r="B8" s="1" t="s">
        <v>4</v>
      </c>
      <c r="D8" s="9">
        <v>0</v>
      </c>
      <c r="E8" s="9">
        <v>0</v>
      </c>
      <c r="F8" s="10">
        <f t="shared" si="0"/>
        <v>0</v>
      </c>
      <c r="G8" s="10">
        <f t="shared" si="0"/>
        <v>0</v>
      </c>
    </row>
    <row r="9" spans="1:7" x14ac:dyDescent="0.25">
      <c r="A9" s="1">
        <v>1988</v>
      </c>
      <c r="B9" s="1" t="s">
        <v>2</v>
      </c>
      <c r="D9" s="9">
        <v>2400000</v>
      </c>
      <c r="E9" s="9">
        <v>348398</v>
      </c>
      <c r="F9" s="10">
        <f t="shared" si="0"/>
        <v>2400000</v>
      </c>
      <c r="G9" s="10">
        <f t="shared" si="0"/>
        <v>348398</v>
      </c>
    </row>
    <row r="10" spans="1:7" x14ac:dyDescent="0.25">
      <c r="A10" s="1">
        <v>1988</v>
      </c>
      <c r="B10" s="1" t="s">
        <v>3</v>
      </c>
      <c r="D10" s="9">
        <v>0</v>
      </c>
      <c r="E10" s="9">
        <v>0</v>
      </c>
      <c r="F10" s="10">
        <f t="shared" si="0"/>
        <v>0</v>
      </c>
      <c r="G10" s="10">
        <f t="shared" si="0"/>
        <v>0</v>
      </c>
    </row>
    <row r="11" spans="1:7" x14ac:dyDescent="0.25">
      <c r="A11" s="1">
        <v>1989</v>
      </c>
      <c r="B11" s="1" t="s">
        <v>2</v>
      </c>
      <c r="D11" s="9">
        <v>2062178</v>
      </c>
      <c r="E11" s="9">
        <v>245010</v>
      </c>
      <c r="F11" s="10">
        <f t="shared" si="0"/>
        <v>2062178</v>
      </c>
      <c r="G11" s="10">
        <f t="shared" si="0"/>
        <v>245010</v>
      </c>
    </row>
    <row r="12" spans="1:7" x14ac:dyDescent="0.25">
      <c r="A12" s="1">
        <v>1989</v>
      </c>
      <c r="B12" s="1" t="s">
        <v>3</v>
      </c>
      <c r="D12" s="9">
        <v>0</v>
      </c>
      <c r="E12" s="9">
        <v>0</v>
      </c>
      <c r="F12" s="10">
        <f t="shared" si="0"/>
        <v>0</v>
      </c>
      <c r="G12" s="10">
        <f t="shared" si="0"/>
        <v>0</v>
      </c>
    </row>
    <row r="13" spans="1:7" x14ac:dyDescent="0.25">
      <c r="A13" s="1">
        <v>1990</v>
      </c>
      <c r="B13" s="1" t="s">
        <v>2</v>
      </c>
      <c r="D13" s="9">
        <v>4942490</v>
      </c>
      <c r="E13" s="9">
        <v>371329</v>
      </c>
      <c r="F13" s="10">
        <f t="shared" si="0"/>
        <v>4942490</v>
      </c>
      <c r="G13" s="10">
        <f t="shared" si="0"/>
        <v>371329</v>
      </c>
    </row>
    <row r="14" spans="1:7" x14ac:dyDescent="0.25">
      <c r="A14" s="1">
        <v>1994</v>
      </c>
      <c r="B14" s="1" t="s">
        <v>5</v>
      </c>
      <c r="D14" s="9">
        <v>900000</v>
      </c>
      <c r="E14" s="9"/>
      <c r="F14" s="10">
        <f t="shared" si="0"/>
        <v>900000</v>
      </c>
      <c r="G14" s="10">
        <f t="shared" si="0"/>
        <v>0</v>
      </c>
    </row>
    <row r="15" spans="1:7" x14ac:dyDescent="0.25">
      <c r="A15" s="1">
        <v>1994</v>
      </c>
      <c r="B15" s="1" t="s">
        <v>6</v>
      </c>
      <c r="D15" s="9">
        <v>10537043</v>
      </c>
      <c r="E15" s="9">
        <v>3908929</v>
      </c>
      <c r="F15" s="10">
        <f t="shared" si="0"/>
        <v>10537043</v>
      </c>
      <c r="G15" s="10">
        <f t="shared" si="0"/>
        <v>3908929</v>
      </c>
    </row>
    <row r="16" spans="1:7" x14ac:dyDescent="0.25">
      <c r="A16" s="1">
        <v>1995</v>
      </c>
      <c r="B16" s="1" t="s">
        <v>5</v>
      </c>
      <c r="D16" s="9">
        <v>1632450</v>
      </c>
      <c r="E16" s="9">
        <v>0</v>
      </c>
      <c r="F16" s="10">
        <f t="shared" si="0"/>
        <v>1632450</v>
      </c>
      <c r="G16" s="10">
        <f t="shared" si="0"/>
        <v>0</v>
      </c>
    </row>
    <row r="17" spans="1:7" x14ac:dyDescent="0.25">
      <c r="A17" s="1">
        <v>1995</v>
      </c>
      <c r="B17" s="1" t="s">
        <v>7</v>
      </c>
      <c r="D17" s="9">
        <v>0</v>
      </c>
      <c r="E17" s="9">
        <v>0</v>
      </c>
      <c r="F17" s="10">
        <f t="shared" si="0"/>
        <v>0</v>
      </c>
      <c r="G17" s="10">
        <f t="shared" si="0"/>
        <v>0</v>
      </c>
    </row>
    <row r="18" spans="1:7" x14ac:dyDescent="0.25">
      <c r="A18" s="1">
        <v>1995</v>
      </c>
      <c r="B18" s="1" t="s">
        <v>8</v>
      </c>
      <c r="D18" s="9">
        <v>139999</v>
      </c>
      <c r="E18" s="9">
        <v>40543</v>
      </c>
      <c r="F18" s="10">
        <f t="shared" si="0"/>
        <v>139999</v>
      </c>
      <c r="G18" s="10">
        <f t="shared" si="0"/>
        <v>40543</v>
      </c>
    </row>
    <row r="19" spans="1:7" x14ac:dyDescent="0.25">
      <c r="A19" s="1">
        <v>1996</v>
      </c>
      <c r="B19" s="1" t="s">
        <v>8</v>
      </c>
      <c r="D19" s="9"/>
      <c r="E19" s="9"/>
      <c r="F19" s="10">
        <f t="shared" si="0"/>
        <v>0</v>
      </c>
      <c r="G19" s="10">
        <f t="shared" si="0"/>
        <v>0</v>
      </c>
    </row>
    <row r="20" spans="1:7" x14ac:dyDescent="0.25">
      <c r="A20" s="1">
        <v>1996</v>
      </c>
      <c r="B20" s="1" t="s">
        <v>5</v>
      </c>
      <c r="D20" s="9">
        <v>6048410</v>
      </c>
      <c r="E20" s="9">
        <v>0</v>
      </c>
      <c r="F20" s="10">
        <f t="shared" si="0"/>
        <v>6048410</v>
      </c>
      <c r="G20" s="10">
        <f t="shared" si="0"/>
        <v>0</v>
      </c>
    </row>
    <row r="21" spans="1:7" x14ac:dyDescent="0.25">
      <c r="A21" s="1">
        <v>1996</v>
      </c>
      <c r="B21" s="1" t="s">
        <v>9</v>
      </c>
      <c r="D21" s="9">
        <v>0</v>
      </c>
      <c r="E21" s="9">
        <v>0</v>
      </c>
      <c r="F21" s="10">
        <f t="shared" si="0"/>
        <v>0</v>
      </c>
      <c r="G21" s="10">
        <f t="shared" si="0"/>
        <v>0</v>
      </c>
    </row>
    <row r="22" spans="1:7" x14ac:dyDescent="0.25">
      <c r="A22" s="1">
        <v>1997</v>
      </c>
      <c r="B22" s="1" t="s">
        <v>5</v>
      </c>
      <c r="D22" s="9">
        <v>4100000</v>
      </c>
      <c r="E22" s="9">
        <v>0</v>
      </c>
      <c r="F22" s="10">
        <f t="shared" si="0"/>
        <v>4100000</v>
      </c>
      <c r="G22" s="10">
        <f t="shared" si="0"/>
        <v>0</v>
      </c>
    </row>
    <row r="23" spans="1:7" x14ac:dyDescent="0.25">
      <c r="A23" s="1">
        <v>1997</v>
      </c>
      <c r="B23" s="1" t="s">
        <v>9</v>
      </c>
      <c r="D23" s="9">
        <v>0</v>
      </c>
      <c r="E23" s="9">
        <v>0</v>
      </c>
      <c r="F23" s="10">
        <f t="shared" si="0"/>
        <v>0</v>
      </c>
      <c r="G23" s="10">
        <f t="shared" si="0"/>
        <v>0</v>
      </c>
    </row>
    <row r="24" spans="1:7" x14ac:dyDescent="0.25">
      <c r="A24" s="1">
        <v>1998</v>
      </c>
      <c r="B24" s="1" t="s">
        <v>9</v>
      </c>
      <c r="D24" s="9">
        <v>0</v>
      </c>
      <c r="E24" s="9">
        <v>0</v>
      </c>
      <c r="F24" s="10">
        <f t="shared" si="0"/>
        <v>0</v>
      </c>
      <c r="G24" s="10">
        <f t="shared" si="0"/>
        <v>0</v>
      </c>
    </row>
    <row r="25" spans="1:7" x14ac:dyDescent="0.25">
      <c r="A25" s="1">
        <v>1998</v>
      </c>
      <c r="B25" s="1" t="s">
        <v>5</v>
      </c>
      <c r="D25" s="9">
        <v>6775000</v>
      </c>
      <c r="E25" s="9">
        <v>0</v>
      </c>
      <c r="F25" s="10">
        <f t="shared" si="0"/>
        <v>6775000</v>
      </c>
      <c r="G25" s="10">
        <f t="shared" si="0"/>
        <v>0</v>
      </c>
    </row>
    <row r="26" spans="1:7" x14ac:dyDescent="0.25">
      <c r="A26" s="1">
        <v>1998</v>
      </c>
      <c r="B26" s="1" t="s">
        <v>10</v>
      </c>
      <c r="D26" s="9">
        <v>43818497</v>
      </c>
      <c r="E26" s="9">
        <v>2958925</v>
      </c>
      <c r="F26" s="10">
        <f t="shared" si="0"/>
        <v>43818497</v>
      </c>
      <c r="G26" s="10">
        <f t="shared" si="0"/>
        <v>2958925</v>
      </c>
    </row>
    <row r="27" spans="1:7" x14ac:dyDescent="0.25">
      <c r="A27" s="1">
        <v>1998</v>
      </c>
      <c r="B27" s="1" t="s">
        <v>11</v>
      </c>
      <c r="D27" s="9">
        <v>10381250</v>
      </c>
      <c r="E27" s="9">
        <v>572760</v>
      </c>
      <c r="F27" s="10">
        <f t="shared" si="0"/>
        <v>10381250</v>
      </c>
      <c r="G27" s="10">
        <f t="shared" si="0"/>
        <v>572760</v>
      </c>
    </row>
    <row r="28" spans="1:7" x14ac:dyDescent="0.25">
      <c r="A28" s="1">
        <v>1998</v>
      </c>
      <c r="B28" s="1" t="s">
        <v>12</v>
      </c>
      <c r="D28" s="9">
        <v>625000</v>
      </c>
      <c r="E28" s="9">
        <v>65214</v>
      </c>
      <c r="F28" s="10">
        <f t="shared" si="0"/>
        <v>625000</v>
      </c>
      <c r="G28" s="10">
        <f t="shared" si="0"/>
        <v>65214</v>
      </c>
    </row>
    <row r="29" spans="1:7" ht="16.5" customHeight="1" x14ac:dyDescent="0.25">
      <c r="A29" s="1">
        <v>1999</v>
      </c>
      <c r="B29" s="1" t="s">
        <v>9</v>
      </c>
      <c r="D29" s="9">
        <v>0</v>
      </c>
      <c r="E29" s="9">
        <v>0</v>
      </c>
      <c r="F29" s="10">
        <f t="shared" si="0"/>
        <v>0</v>
      </c>
      <c r="G29" s="10">
        <f t="shared" si="0"/>
        <v>0</v>
      </c>
    </row>
    <row r="30" spans="1:7" x14ac:dyDescent="0.25">
      <c r="A30" s="1">
        <v>1999</v>
      </c>
      <c r="B30" s="1" t="s">
        <v>5</v>
      </c>
      <c r="D30" s="9">
        <v>2831250</v>
      </c>
      <c r="E30" s="9"/>
      <c r="F30" s="10">
        <f t="shared" si="0"/>
        <v>2831250</v>
      </c>
      <c r="G30" s="10">
        <f t="shared" si="0"/>
        <v>0</v>
      </c>
    </row>
    <row r="31" spans="1:7" x14ac:dyDescent="0.25">
      <c r="A31" s="1">
        <v>2000</v>
      </c>
      <c r="B31" s="1" t="s">
        <v>5</v>
      </c>
      <c r="D31" s="9">
        <v>4550000</v>
      </c>
      <c r="E31" s="9">
        <v>0</v>
      </c>
      <c r="F31" s="10">
        <f t="shared" si="0"/>
        <v>4550000</v>
      </c>
      <c r="G31" s="10">
        <f t="shared" si="0"/>
        <v>0</v>
      </c>
    </row>
    <row r="32" spans="1:7" x14ac:dyDescent="0.25">
      <c r="A32" s="1">
        <v>2001</v>
      </c>
      <c r="B32" s="1" t="s">
        <v>9</v>
      </c>
      <c r="D32" s="9"/>
      <c r="E32" s="9"/>
      <c r="F32" s="10">
        <f t="shared" si="0"/>
        <v>0</v>
      </c>
      <c r="G32" s="10">
        <f t="shared" si="0"/>
        <v>0</v>
      </c>
    </row>
    <row r="33" spans="1:7" x14ac:dyDescent="0.25">
      <c r="A33" s="1">
        <v>2001</v>
      </c>
      <c r="B33" s="1" t="s">
        <v>5</v>
      </c>
      <c r="D33" s="9">
        <v>4310000</v>
      </c>
      <c r="E33" s="9"/>
      <c r="F33" s="10">
        <f t="shared" si="0"/>
        <v>4310000</v>
      </c>
      <c r="G33" s="10">
        <f t="shared" si="0"/>
        <v>0</v>
      </c>
    </row>
    <row r="34" spans="1:7" ht="15.75" customHeight="1" x14ac:dyDescent="0.25">
      <c r="A34" s="1">
        <v>2002</v>
      </c>
      <c r="B34" s="1" t="s">
        <v>5</v>
      </c>
      <c r="D34" s="9">
        <v>1600000</v>
      </c>
      <c r="E34" s="9">
        <v>0</v>
      </c>
      <c r="F34" s="10">
        <f t="shared" si="0"/>
        <v>1600000</v>
      </c>
      <c r="G34" s="10">
        <f t="shared" si="0"/>
        <v>0</v>
      </c>
    </row>
    <row r="35" spans="1:7" x14ac:dyDescent="0.25">
      <c r="A35" s="1">
        <v>2003</v>
      </c>
      <c r="B35" s="1" t="s">
        <v>13</v>
      </c>
      <c r="D35" s="9">
        <v>333332</v>
      </c>
      <c r="E35" s="9">
        <v>46168</v>
      </c>
      <c r="F35" s="10">
        <f t="shared" si="0"/>
        <v>333332</v>
      </c>
      <c r="G35" s="10">
        <f t="shared" si="0"/>
        <v>46168</v>
      </c>
    </row>
    <row r="36" spans="1:7" x14ac:dyDescent="0.25">
      <c r="A36" s="1">
        <v>2004</v>
      </c>
      <c r="B36" s="1" t="s">
        <v>14</v>
      </c>
      <c r="D36" s="9">
        <v>640000</v>
      </c>
      <c r="E36" s="9">
        <v>224364</v>
      </c>
      <c r="F36" s="10">
        <f t="shared" si="0"/>
        <v>640000</v>
      </c>
      <c r="G36" s="10">
        <f t="shared" si="0"/>
        <v>224364</v>
      </c>
    </row>
    <row r="37" spans="1:7" x14ac:dyDescent="0.25">
      <c r="A37" s="1">
        <v>2004</v>
      </c>
      <c r="B37" s="1" t="s">
        <v>13</v>
      </c>
      <c r="D37" s="9">
        <v>333333</v>
      </c>
      <c r="E37" s="9">
        <v>44950</v>
      </c>
      <c r="F37" s="10">
        <f t="shared" si="0"/>
        <v>333333</v>
      </c>
      <c r="G37" s="10">
        <f t="shared" si="0"/>
        <v>44950</v>
      </c>
    </row>
    <row r="38" spans="1:7" x14ac:dyDescent="0.25">
      <c r="A38" s="1">
        <v>2004</v>
      </c>
      <c r="B38" s="1" t="s">
        <v>15</v>
      </c>
      <c r="D38" s="9">
        <v>1030200</v>
      </c>
      <c r="E38" s="9">
        <v>40016</v>
      </c>
      <c r="F38" s="10">
        <f t="shared" si="0"/>
        <v>1030200</v>
      </c>
      <c r="G38" s="10">
        <f t="shared" si="0"/>
        <v>40016</v>
      </c>
    </row>
    <row r="39" spans="1:7" x14ac:dyDescent="0.25">
      <c r="A39" s="1">
        <v>2004</v>
      </c>
      <c r="B39" s="1" t="s">
        <v>15</v>
      </c>
      <c r="D39" s="9">
        <v>61625</v>
      </c>
      <c r="E39" s="9">
        <v>5935</v>
      </c>
      <c r="F39" s="10">
        <f t="shared" si="0"/>
        <v>61625</v>
      </c>
      <c r="G39" s="10">
        <f t="shared" si="0"/>
        <v>5935</v>
      </c>
    </row>
    <row r="40" spans="1:7" x14ac:dyDescent="0.25">
      <c r="A40" s="1">
        <v>2004</v>
      </c>
      <c r="B40" s="1" t="s">
        <v>16</v>
      </c>
      <c r="D40" s="9"/>
      <c r="E40" s="9"/>
      <c r="F40" s="10">
        <f t="shared" si="0"/>
        <v>0</v>
      </c>
      <c r="G40" s="10">
        <f t="shared" si="0"/>
        <v>0</v>
      </c>
    </row>
    <row r="41" spans="1:7" x14ac:dyDescent="0.25">
      <c r="A41" s="1">
        <v>2005</v>
      </c>
      <c r="B41" s="1" t="s">
        <v>16</v>
      </c>
      <c r="D41" s="9"/>
      <c r="E41" s="9"/>
      <c r="F41" s="10">
        <f t="shared" si="0"/>
        <v>0</v>
      </c>
      <c r="G41" s="10">
        <f t="shared" si="0"/>
        <v>0</v>
      </c>
    </row>
    <row r="42" spans="1:7" x14ac:dyDescent="0.25">
      <c r="A42" s="1">
        <v>2005</v>
      </c>
      <c r="B42" s="1" t="s">
        <v>13</v>
      </c>
      <c r="D42" s="9">
        <v>111111</v>
      </c>
      <c r="E42" s="9"/>
      <c r="F42" s="10">
        <f t="shared" si="0"/>
        <v>111111</v>
      </c>
      <c r="G42" s="10">
        <f t="shared" si="0"/>
        <v>0</v>
      </c>
    </row>
    <row r="43" spans="1:7" x14ac:dyDescent="0.25">
      <c r="A43" s="1">
        <v>2006</v>
      </c>
      <c r="B43" s="1" t="s">
        <v>13</v>
      </c>
      <c r="D43" s="9"/>
      <c r="E43" s="9"/>
      <c r="F43" s="10">
        <f t="shared" si="0"/>
        <v>0</v>
      </c>
      <c r="G43" s="10">
        <f t="shared" si="0"/>
        <v>0</v>
      </c>
    </row>
    <row r="44" spans="1:7" x14ac:dyDescent="0.25">
      <c r="A44" s="1">
        <v>2006</v>
      </c>
      <c r="B44" s="1" t="s">
        <v>16</v>
      </c>
      <c r="D44" s="9"/>
      <c r="E44" s="9"/>
      <c r="F44" s="10">
        <f t="shared" si="0"/>
        <v>0</v>
      </c>
      <c r="G44" s="10">
        <f t="shared" si="0"/>
        <v>0</v>
      </c>
    </row>
    <row r="45" spans="1:7" ht="15.75" customHeight="1" x14ac:dyDescent="0.25">
      <c r="A45" s="1">
        <v>2007</v>
      </c>
      <c r="B45" s="1" t="s">
        <v>18</v>
      </c>
      <c r="D45" s="3">
        <v>4779332</v>
      </c>
      <c r="E45" s="3">
        <v>1076973</v>
      </c>
      <c r="F45" s="10">
        <f t="shared" si="0"/>
        <v>4779332</v>
      </c>
      <c r="G45" s="10">
        <f t="shared" si="0"/>
        <v>1076973</v>
      </c>
    </row>
    <row r="46" spans="1:7" x14ac:dyDescent="0.25">
      <c r="A46" s="1">
        <v>2007</v>
      </c>
      <c r="B46" s="1" t="s">
        <v>19</v>
      </c>
      <c r="D46" s="9"/>
      <c r="E46" s="9"/>
      <c r="F46" s="10">
        <f t="shared" si="0"/>
        <v>0</v>
      </c>
      <c r="G46" s="10">
        <f t="shared" si="0"/>
        <v>0</v>
      </c>
    </row>
    <row r="47" spans="1:7" x14ac:dyDescent="0.25">
      <c r="A47" s="1">
        <v>2007</v>
      </c>
      <c r="B47" s="1" t="s">
        <v>20</v>
      </c>
      <c r="D47" s="9"/>
      <c r="E47" s="9"/>
      <c r="F47" s="10"/>
      <c r="G47" s="10"/>
    </row>
    <row r="48" spans="1:7" x14ac:dyDescent="0.25">
      <c r="A48" s="1">
        <v>2007</v>
      </c>
      <c r="B48" s="1" t="s">
        <v>21</v>
      </c>
      <c r="D48" s="9">
        <v>816440</v>
      </c>
      <c r="E48" s="9">
        <v>531422</v>
      </c>
      <c r="F48" s="10">
        <f t="shared" si="0"/>
        <v>816440</v>
      </c>
      <c r="G48" s="10">
        <f t="shared" si="0"/>
        <v>531422</v>
      </c>
    </row>
    <row r="49" spans="1:7" x14ac:dyDescent="0.25">
      <c r="A49" s="1">
        <v>2008</v>
      </c>
      <c r="B49" s="1" t="s">
        <v>19</v>
      </c>
      <c r="D49" s="9"/>
      <c r="E49" s="9"/>
      <c r="F49" s="5"/>
      <c r="G49" s="5"/>
    </row>
    <row r="50" spans="1:7" x14ac:dyDescent="0.25">
      <c r="A50" s="1">
        <v>2008</v>
      </c>
      <c r="B50" s="1" t="s">
        <v>22</v>
      </c>
      <c r="D50" s="9"/>
      <c r="E50" s="9"/>
      <c r="F50" s="5"/>
      <c r="G50" s="5"/>
    </row>
    <row r="51" spans="1:7" x14ac:dyDescent="0.25">
      <c r="A51" s="1">
        <v>2009</v>
      </c>
      <c r="B51" s="1" t="s">
        <v>20</v>
      </c>
      <c r="D51" s="9"/>
      <c r="E51" s="9"/>
      <c r="F51" s="5"/>
      <c r="G51" s="5"/>
    </row>
    <row r="52" spans="1:7" x14ac:dyDescent="0.25">
      <c r="A52" s="1">
        <v>2009</v>
      </c>
      <c r="B52" s="1" t="s">
        <v>4</v>
      </c>
      <c r="C52" s="1" t="s">
        <v>23</v>
      </c>
      <c r="D52" s="4">
        <v>5050920</v>
      </c>
      <c r="E52" s="4">
        <v>265838</v>
      </c>
      <c r="F52" s="4">
        <v>5050048.2374999998</v>
      </c>
      <c r="G52" s="4">
        <v>265792.01250000001</v>
      </c>
    </row>
    <row r="53" spans="1:7" x14ac:dyDescent="0.25">
      <c r="A53" s="1">
        <v>2010</v>
      </c>
      <c r="B53" s="1" t="s">
        <v>4</v>
      </c>
      <c r="C53" s="1" t="s">
        <v>23</v>
      </c>
      <c r="D53" s="7">
        <v>2923823</v>
      </c>
      <c r="E53" s="7">
        <v>153885</v>
      </c>
      <c r="F53" s="4">
        <v>2957112.69</v>
      </c>
      <c r="G53" s="4">
        <v>155637.51</v>
      </c>
    </row>
    <row r="54" spans="1:7" x14ac:dyDescent="0.25">
      <c r="A54" s="1">
        <v>2011</v>
      </c>
      <c r="B54" s="1" t="s">
        <v>4</v>
      </c>
      <c r="C54" s="1" t="s">
        <v>23</v>
      </c>
      <c r="D54" s="7">
        <v>8000099</v>
      </c>
      <c r="E54" s="7">
        <v>421058</v>
      </c>
      <c r="F54" s="4">
        <v>9478126.9791606925</v>
      </c>
      <c r="G54" s="4">
        <v>498848.7883768786</v>
      </c>
    </row>
    <row r="55" spans="1:7" x14ac:dyDescent="0.25">
      <c r="A55" s="1">
        <v>2012</v>
      </c>
      <c r="B55" s="1" t="s">
        <v>4</v>
      </c>
      <c r="C55" s="1" t="s">
        <v>24</v>
      </c>
      <c r="D55" s="7">
        <v>2781680</v>
      </c>
      <c r="E55" s="7">
        <v>146404</v>
      </c>
      <c r="F55" s="4">
        <v>2239596.9924602546</v>
      </c>
      <c r="G55" s="4">
        <v>117873.52591896079</v>
      </c>
    </row>
    <row r="56" spans="1:7" x14ac:dyDescent="0.25">
      <c r="A56" s="1">
        <v>2013</v>
      </c>
      <c r="B56" s="1" t="s">
        <v>4</v>
      </c>
      <c r="C56" s="1" t="s">
        <v>24</v>
      </c>
      <c r="D56" s="7">
        <v>5187528</v>
      </c>
      <c r="E56" s="7">
        <v>273028</v>
      </c>
      <c r="F56" s="4">
        <v>2479754.3107716842</v>
      </c>
      <c r="G56" s="4">
        <v>130513.38477745706</v>
      </c>
    </row>
    <row r="57" spans="1:7" x14ac:dyDescent="0.25">
      <c r="A57" s="1">
        <v>2014</v>
      </c>
      <c r="B57" s="1" t="s">
        <v>4</v>
      </c>
      <c r="C57" s="1" t="s">
        <v>24</v>
      </c>
      <c r="D57" s="7">
        <v>3276841</v>
      </c>
      <c r="E57" s="7">
        <v>145800</v>
      </c>
      <c r="F57" s="4">
        <v>2787680.0919631738</v>
      </c>
      <c r="G57" s="4">
        <v>120057.2679980618</v>
      </c>
    </row>
    <row r="58" spans="1:7" x14ac:dyDescent="0.25">
      <c r="A58" s="1">
        <v>2015</v>
      </c>
      <c r="B58" s="1" t="s">
        <v>4</v>
      </c>
      <c r="C58" s="1" t="s">
        <v>25</v>
      </c>
      <c r="D58" s="7">
        <v>7274309</v>
      </c>
      <c r="E58" s="7">
        <v>345262</v>
      </c>
      <c r="F58" s="4">
        <v>3546112.6513747247</v>
      </c>
      <c r="G58" s="4">
        <v>149041.08691445921</v>
      </c>
    </row>
    <row r="59" spans="1:7" x14ac:dyDescent="0.25">
      <c r="A59" s="1">
        <v>2016</v>
      </c>
      <c r="B59" s="1" t="s">
        <v>4</v>
      </c>
      <c r="C59" s="1" t="s">
        <v>25</v>
      </c>
      <c r="D59" s="7">
        <v>2141317</v>
      </c>
      <c r="E59" s="7">
        <v>96250</v>
      </c>
      <c r="F59" s="4">
        <v>2141316.958333333</v>
      </c>
      <c r="G59" s="4">
        <v>96250.208333333328</v>
      </c>
    </row>
    <row r="60" spans="1:7" x14ac:dyDescent="0.25">
      <c r="A60" s="1">
        <v>2017</v>
      </c>
      <c r="B60" s="1" t="s">
        <v>4</v>
      </c>
      <c r="C60" s="1" t="s">
        <v>25</v>
      </c>
      <c r="D60" s="7">
        <v>1884528</v>
      </c>
      <c r="E60" s="7">
        <v>91195</v>
      </c>
      <c r="F60" s="4">
        <v>1884528.0449999997</v>
      </c>
      <c r="G60" s="12">
        <v>91195.054999999993</v>
      </c>
    </row>
    <row r="61" spans="1:7" x14ac:dyDescent="0.25">
      <c r="A61" s="1">
        <v>2018</v>
      </c>
      <c r="B61" s="1" t="s">
        <v>4</v>
      </c>
      <c r="C61" s="1" t="s">
        <v>25</v>
      </c>
      <c r="D61" s="4"/>
      <c r="E61" s="4"/>
      <c r="F61" s="4">
        <v>1051753.844</v>
      </c>
      <c r="G61" s="12">
        <v>262938.46100000001</v>
      </c>
    </row>
    <row r="62" spans="1:7" x14ac:dyDescent="0.25">
      <c r="A62" s="1">
        <v>2011</v>
      </c>
      <c r="B62" s="1" t="s">
        <v>26</v>
      </c>
      <c r="C62" s="1" t="s">
        <v>27</v>
      </c>
      <c r="D62" s="4">
        <v>1190000</v>
      </c>
      <c r="E62" s="4">
        <v>49371</v>
      </c>
      <c r="F62" s="4">
        <v>490000</v>
      </c>
      <c r="G62" s="4">
        <v>23121</v>
      </c>
    </row>
    <row r="63" spans="1:7" x14ac:dyDescent="0.25">
      <c r="A63" s="1">
        <v>2014</v>
      </c>
      <c r="B63" s="1" t="s">
        <v>28</v>
      </c>
      <c r="C63" s="1" t="s">
        <v>29</v>
      </c>
      <c r="D63" s="4">
        <v>1519893</v>
      </c>
      <c r="E63" s="4">
        <v>379973</v>
      </c>
      <c r="F63" s="4">
        <v>1467872.8</v>
      </c>
      <c r="G63" s="4">
        <v>366968.2</v>
      </c>
    </row>
    <row r="64" spans="1:7" x14ac:dyDescent="0.25">
      <c r="A64" s="1">
        <v>2015</v>
      </c>
      <c r="B64" s="1" t="s">
        <v>28</v>
      </c>
      <c r="C64" s="1" t="s">
        <v>29</v>
      </c>
      <c r="D64" s="4">
        <v>2315792</v>
      </c>
      <c r="E64" s="4">
        <v>578948</v>
      </c>
      <c r="F64" s="4">
        <v>1915539.2000000002</v>
      </c>
      <c r="G64" s="4">
        <v>478884.80000000005</v>
      </c>
    </row>
    <row r="65" spans="1:7" x14ac:dyDescent="0.25">
      <c r="A65" s="1">
        <v>2016</v>
      </c>
      <c r="B65" s="1" t="s">
        <v>28</v>
      </c>
      <c r="C65" s="1" t="s">
        <v>29</v>
      </c>
      <c r="D65" s="4">
        <v>2559946</v>
      </c>
      <c r="E65" s="4">
        <v>639986</v>
      </c>
      <c r="F65" s="4">
        <v>2316828.8000000003</v>
      </c>
      <c r="G65" s="4">
        <v>579207.20000000007</v>
      </c>
    </row>
    <row r="66" spans="1:7" x14ac:dyDescent="0.25">
      <c r="A66" s="1">
        <v>2017</v>
      </c>
      <c r="B66" s="1" t="s">
        <v>28</v>
      </c>
      <c r="C66" s="1" t="s">
        <v>29</v>
      </c>
      <c r="D66" s="4">
        <v>1057277</v>
      </c>
      <c r="E66" s="4">
        <v>264319</v>
      </c>
      <c r="F66" s="4">
        <v>1813640</v>
      </c>
      <c r="G66" s="12">
        <v>453410</v>
      </c>
    </row>
    <row r="67" spans="1:7" x14ac:dyDescent="0.25">
      <c r="A67" s="1">
        <v>2018</v>
      </c>
      <c r="B67" s="1" t="s">
        <v>28</v>
      </c>
      <c r="C67" s="1" t="s">
        <v>29</v>
      </c>
      <c r="D67" s="4"/>
      <c r="E67" s="4"/>
      <c r="F67" s="4">
        <v>1200000</v>
      </c>
      <c r="G67" s="12">
        <v>300000</v>
      </c>
    </row>
    <row r="68" spans="1:7" x14ac:dyDescent="0.25">
      <c r="A68" s="1">
        <v>2007</v>
      </c>
      <c r="B68" s="1" t="s">
        <v>21</v>
      </c>
      <c r="C68" s="1" t="s">
        <v>30</v>
      </c>
      <c r="D68" s="4"/>
      <c r="E68" s="4"/>
      <c r="F68" s="4"/>
      <c r="G68" s="4"/>
    </row>
    <row r="69" spans="1:7" x14ac:dyDescent="0.25">
      <c r="A69" s="1">
        <v>2015</v>
      </c>
      <c r="B69" s="1" t="s">
        <v>31</v>
      </c>
      <c r="C69" s="1" t="s">
        <v>32</v>
      </c>
      <c r="D69" s="4">
        <v>1483628</v>
      </c>
      <c r="E69" s="4"/>
      <c r="F69" s="4">
        <v>1483627.889500004</v>
      </c>
      <c r="G69" s="4">
        <v>0</v>
      </c>
    </row>
    <row r="70" spans="1:7" x14ac:dyDescent="0.25">
      <c r="A70" s="1">
        <v>2016</v>
      </c>
      <c r="B70" s="1" t="s">
        <v>31</v>
      </c>
      <c r="C70" s="1" t="s">
        <v>32</v>
      </c>
      <c r="D70" s="4">
        <v>874874</v>
      </c>
      <c r="E70" s="4"/>
      <c r="F70" s="4">
        <v>874874</v>
      </c>
      <c r="G70" s="12">
        <v>0</v>
      </c>
    </row>
    <row r="71" spans="1:7" x14ac:dyDescent="0.25">
      <c r="A71" s="1">
        <v>2017</v>
      </c>
      <c r="B71" s="1" t="s">
        <v>31</v>
      </c>
      <c r="C71" s="1" t="s">
        <v>32</v>
      </c>
      <c r="D71" s="4">
        <v>987711</v>
      </c>
      <c r="E71" s="4"/>
      <c r="F71" s="4">
        <v>1730957.1066300014</v>
      </c>
      <c r="G71" s="12">
        <v>0</v>
      </c>
    </row>
    <row r="72" spans="1:7" x14ac:dyDescent="0.25">
      <c r="A72" s="1">
        <v>2018</v>
      </c>
      <c r="B72" s="1" t="s">
        <v>31</v>
      </c>
      <c r="C72" s="1" t="s">
        <v>32</v>
      </c>
      <c r="D72" s="4"/>
      <c r="E72" s="4"/>
      <c r="F72" s="4">
        <v>1384070.7317073171</v>
      </c>
      <c r="G72" s="4">
        <v>0</v>
      </c>
    </row>
    <row r="73" spans="1:7" x14ac:dyDescent="0.25">
      <c r="B73" s="1" t="s">
        <v>17</v>
      </c>
      <c r="D73" s="4"/>
      <c r="E73" s="4"/>
      <c r="F73" s="14" t="e">
        <f>-(SUM(#REF!)+#REF!)*0</f>
        <v>#REF!</v>
      </c>
      <c r="G73" s="14" t="e">
        <f>-SUM(#REF!)*0</f>
        <v>#REF!</v>
      </c>
    </row>
    <row r="74" spans="1:7" x14ac:dyDescent="0.25">
      <c r="B74" s="1" t="s">
        <v>33</v>
      </c>
      <c r="D74" s="15">
        <v>21000000</v>
      </c>
      <c r="E74" s="15"/>
      <c r="F74" s="15">
        <v>21000000</v>
      </c>
      <c r="G74" s="15"/>
    </row>
    <row r="75" spans="1:7" x14ac:dyDescent="0.25">
      <c r="B75" s="1" t="s">
        <v>34</v>
      </c>
      <c r="D75" s="20">
        <f t="shared" ref="D75:G75" si="1">SUM(D3:D74)</f>
        <v>198474750</v>
      </c>
      <c r="E75" s="20">
        <f t="shared" si="1"/>
        <v>14880607</v>
      </c>
      <c r="F75" s="21" t="e">
        <f t="shared" si="1"/>
        <v>#REF!</v>
      </c>
      <c r="G75" s="21" t="e">
        <f t="shared" si="1"/>
        <v>#REF!</v>
      </c>
    </row>
    <row r="76" spans="1:7" x14ac:dyDescent="0.25">
      <c r="D76" s="13">
        <f>SUM(D52:D72)</f>
        <v>50510166</v>
      </c>
      <c r="E76" s="13">
        <f t="shared" ref="E76:G76" si="2">SUM(E52:E72)</f>
        <v>3851317</v>
      </c>
      <c r="F76" s="13">
        <f t="shared" si="2"/>
        <v>48293441.328401186</v>
      </c>
      <c r="G76" s="13">
        <f t="shared" si="2"/>
        <v>4089738.5008191513</v>
      </c>
    </row>
    <row r="77" spans="1:7" s="24" customFormat="1" x14ac:dyDescent="0.25">
      <c r="D77" s="25"/>
      <c r="E77" s="26"/>
      <c r="F77" s="27"/>
      <c r="G77" s="28"/>
    </row>
    <row r="78" spans="1:7" x14ac:dyDescent="0.25">
      <c r="D78" s="32"/>
      <c r="E78" s="3"/>
      <c r="F78" s="33"/>
      <c r="G78" s="34"/>
    </row>
    <row r="79" spans="1:7" s="35" customFormat="1" x14ac:dyDescent="0.25">
      <c r="B79" s="35" t="s">
        <v>35</v>
      </c>
      <c r="D79" s="36"/>
      <c r="E79" s="36"/>
      <c r="F79" s="37" t="e">
        <f>SUM(F52:F73)</f>
        <v>#REF!</v>
      </c>
      <c r="G79" s="37" t="e">
        <f>SUM(G52:G73)</f>
        <v>#REF!</v>
      </c>
    </row>
    <row r="80" spans="1:7" s="35" customFormat="1" x14ac:dyDescent="0.25">
      <c r="B80" s="38" t="s">
        <v>36</v>
      </c>
      <c r="C80" s="38"/>
      <c r="F80" s="40" t="e">
        <f>SUM(F52:F72)-F79</f>
        <v>#REF!</v>
      </c>
      <c r="G80" s="40" t="e">
        <f>SUM(G52:G72)-G79</f>
        <v>#REF!</v>
      </c>
    </row>
    <row r="81" spans="2:7" s="35" customFormat="1" x14ac:dyDescent="0.25">
      <c r="B81" s="38"/>
      <c r="C81" s="38"/>
      <c r="F81" s="40"/>
      <c r="G81" s="40"/>
    </row>
    <row r="82" spans="2:7" s="35" customFormat="1" x14ac:dyDescent="0.25">
      <c r="B82" s="35" t="s">
        <v>35</v>
      </c>
      <c r="D82" s="42">
        <v>198474750</v>
      </c>
      <c r="E82" s="42">
        <v>14880607</v>
      </c>
      <c r="F82" s="43" t="e">
        <f>+#REF!</f>
        <v>#REF!</v>
      </c>
      <c r="G82" s="43" t="e">
        <f>+#REF!</f>
        <v>#REF!</v>
      </c>
    </row>
    <row r="83" spans="2:7" s="35" customFormat="1" x14ac:dyDescent="0.25">
      <c r="B83" s="38" t="s">
        <v>36</v>
      </c>
      <c r="C83" s="38"/>
      <c r="D83" s="45">
        <f>+D75-D82</f>
        <v>0</v>
      </c>
      <c r="E83" s="45">
        <f>+E75-E82</f>
        <v>0</v>
      </c>
      <c r="F83" s="46" t="e">
        <f>+F75-F82</f>
        <v>#REF!</v>
      </c>
      <c r="G83" s="46" t="e">
        <f>+G75-G82</f>
        <v>#REF!</v>
      </c>
    </row>
    <row r="84" spans="2:7" s="35" customFormat="1" x14ac:dyDescent="0.25">
      <c r="F84" s="47" t="s">
        <v>37</v>
      </c>
      <c r="G84" s="46"/>
    </row>
    <row r="88" spans="2:7" ht="15" customHeight="1" x14ac:dyDescent="0.25"/>
    <row r="89" spans="2:7" x14ac:dyDescent="0.25">
      <c r="F89" s="11"/>
    </row>
    <row r="90" spans="2:7" x14ac:dyDescent="0.25">
      <c r="D90" s="11"/>
    </row>
    <row r="95" spans="2:7" ht="15" customHeight="1" x14ac:dyDescent="0.25"/>
  </sheetData>
  <hyperlinks>
    <hyperlink ref="F79" r:id="rId1" display="..\Reconciliation\Reinsurance\2018 Ultimate Ceded v2.xlsx"/>
    <hyperlink ref="G79" r:id="rId2" display="..\Reconciliation\Reinsurance\2018 Ultimate Ceded v2.xlsx"/>
    <hyperlink ref="D82" r:id="rId3" display="..\..\..\..\PRI - Financial Reporting\2017\PRI\Ceded Case &amp; IBNR by Carrier 2017vfinal.xls"/>
    <hyperlink ref="E82" r:id="rId4" display="..\..\..\..\PRI - Financial Reporting\2017\PRI\Ceded Case &amp; IBNR by Carrier 2017vfinal.xls"/>
  </hyperlinks>
  <pageMargins left="0.7" right="0.7" top="0.75" bottom="0.75" header="0.3" footer="0.3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6"/>
  <sheetViews>
    <sheetView tabSelected="1" workbookViewId="0">
      <selection activeCell="E11" sqref="E11"/>
    </sheetView>
  </sheetViews>
  <sheetFormatPr defaultRowHeight="15" x14ac:dyDescent="0.25"/>
  <cols>
    <col min="1" max="1" width="5" style="1" bestFit="1" customWidth="1"/>
    <col min="2" max="2" width="23.85546875" style="1" customWidth="1"/>
    <col min="3" max="3" width="36.7109375" style="1" customWidth="1"/>
    <col min="4" max="4" width="12.5703125" style="2" customWidth="1"/>
    <col min="5" max="5" width="11.5703125" style="2" customWidth="1"/>
    <col min="6" max="6" width="10.5703125" style="1" customWidth="1"/>
    <col min="7" max="7" width="9" style="1" customWidth="1"/>
    <col min="8" max="16384" width="9.140625" style="1"/>
  </cols>
  <sheetData>
    <row r="1" spans="1:7" ht="45" x14ac:dyDescent="0.25">
      <c r="A1" s="1" t="s">
        <v>38</v>
      </c>
      <c r="B1" s="1" t="s">
        <v>39</v>
      </c>
      <c r="C1" s="1" t="s">
        <v>40</v>
      </c>
      <c r="D1" s="48" t="s">
        <v>45</v>
      </c>
      <c r="E1" s="48" t="s">
        <v>46</v>
      </c>
      <c r="F1" s="6" t="s">
        <v>47</v>
      </c>
      <c r="G1" s="6" t="s">
        <v>48</v>
      </c>
    </row>
    <row r="2" spans="1:7" x14ac:dyDescent="0.25">
      <c r="A2" s="1">
        <v>1982</v>
      </c>
      <c r="B2" s="1" t="s">
        <v>2</v>
      </c>
      <c r="D2" s="7">
        <f>196000*0</f>
        <v>0</v>
      </c>
      <c r="E2" s="7">
        <f>5065*0</f>
        <v>0</v>
      </c>
      <c r="F2" s="5"/>
      <c r="G2" s="5"/>
    </row>
    <row r="3" spans="1:7" x14ac:dyDescent="0.25">
      <c r="A3" s="1">
        <v>1983</v>
      </c>
      <c r="B3" s="1" t="s">
        <v>2</v>
      </c>
      <c r="D3" s="7">
        <v>1862238</v>
      </c>
      <c r="E3" s="7">
        <v>372757</v>
      </c>
      <c r="F3" s="5"/>
      <c r="G3" s="5"/>
    </row>
    <row r="4" spans="1:7" x14ac:dyDescent="0.25">
      <c r="A4" s="1">
        <v>1984</v>
      </c>
      <c r="B4" s="1" t="s">
        <v>3</v>
      </c>
      <c r="D4" s="7">
        <v>3632908</v>
      </c>
      <c r="E4" s="7">
        <v>113256</v>
      </c>
      <c r="F4" s="5"/>
      <c r="G4" s="5"/>
    </row>
    <row r="5" spans="1:7" x14ac:dyDescent="0.25">
      <c r="A5" s="1">
        <v>1985</v>
      </c>
      <c r="B5" s="1" t="s">
        <v>4</v>
      </c>
      <c r="D5" s="7">
        <v>3841498</v>
      </c>
      <c r="E5" s="7">
        <v>62341</v>
      </c>
      <c r="F5" s="5"/>
      <c r="G5" s="5"/>
    </row>
    <row r="6" spans="1:7" x14ac:dyDescent="0.25">
      <c r="A6" s="1">
        <v>1986</v>
      </c>
      <c r="B6" s="1" t="s">
        <v>4</v>
      </c>
      <c r="D6" s="7">
        <v>1869000</v>
      </c>
      <c r="E6" s="7">
        <v>0</v>
      </c>
      <c r="F6" s="5"/>
      <c r="G6" s="5"/>
    </row>
    <row r="7" spans="1:7" x14ac:dyDescent="0.25">
      <c r="A7" s="1">
        <v>1987</v>
      </c>
      <c r="B7" s="1" t="s">
        <v>4</v>
      </c>
      <c r="D7" s="7"/>
      <c r="E7" s="7"/>
      <c r="F7" s="5"/>
      <c r="G7" s="5"/>
    </row>
    <row r="8" spans="1:7" x14ac:dyDescent="0.25">
      <c r="A8" s="1">
        <v>1988</v>
      </c>
      <c r="B8" s="1" t="s">
        <v>2</v>
      </c>
      <c r="D8" s="7">
        <v>2400000</v>
      </c>
      <c r="E8" s="7">
        <v>348398</v>
      </c>
      <c r="F8" s="5"/>
      <c r="G8" s="5"/>
    </row>
    <row r="9" spans="1:7" x14ac:dyDescent="0.25">
      <c r="A9" s="1">
        <v>1988</v>
      </c>
      <c r="B9" s="1" t="s">
        <v>3</v>
      </c>
      <c r="D9" s="7"/>
      <c r="E9" s="7"/>
      <c r="F9" s="5"/>
      <c r="G9" s="5"/>
    </row>
    <row r="10" spans="1:7" x14ac:dyDescent="0.25">
      <c r="A10" s="1">
        <v>1989</v>
      </c>
      <c r="B10" s="1" t="s">
        <v>2</v>
      </c>
      <c r="D10" s="7">
        <v>2062178</v>
      </c>
      <c r="E10" s="7">
        <v>245010</v>
      </c>
      <c r="F10" s="5"/>
      <c r="G10" s="5"/>
    </row>
    <row r="11" spans="1:7" x14ac:dyDescent="0.25">
      <c r="A11" s="1">
        <v>1989</v>
      </c>
      <c r="B11" s="1" t="s">
        <v>3</v>
      </c>
      <c r="D11" s="7"/>
      <c r="E11" s="7"/>
      <c r="F11" s="5"/>
      <c r="G11" s="5"/>
    </row>
    <row r="12" spans="1:7" x14ac:dyDescent="0.25">
      <c r="A12" s="1">
        <v>1990</v>
      </c>
      <c r="B12" s="1" t="s">
        <v>2</v>
      </c>
      <c r="D12" s="7">
        <v>4942490</v>
      </c>
      <c r="E12" s="7">
        <v>371329</v>
      </c>
      <c r="F12" s="5"/>
      <c r="G12" s="5"/>
    </row>
    <row r="13" spans="1:7" x14ac:dyDescent="0.25">
      <c r="A13" s="1">
        <v>1994</v>
      </c>
      <c r="B13" s="1" t="s">
        <v>5</v>
      </c>
      <c r="D13" s="7">
        <v>900000</v>
      </c>
      <c r="E13" s="7"/>
      <c r="F13" s="5"/>
      <c r="G13" s="5"/>
    </row>
    <row r="14" spans="1:7" x14ac:dyDescent="0.25">
      <c r="A14" s="1">
        <v>1994</v>
      </c>
      <c r="B14" s="1" t="s">
        <v>6</v>
      </c>
      <c r="D14" s="7">
        <v>10537043</v>
      </c>
      <c r="E14" s="7">
        <v>3908929</v>
      </c>
      <c r="F14" s="5"/>
      <c r="G14" s="5"/>
    </row>
    <row r="15" spans="1:7" x14ac:dyDescent="0.25">
      <c r="A15" s="1">
        <v>1995</v>
      </c>
      <c r="B15" s="1" t="s">
        <v>5</v>
      </c>
      <c r="D15" s="7">
        <v>1632450</v>
      </c>
      <c r="E15" s="7"/>
      <c r="F15" s="5"/>
      <c r="G15" s="5"/>
    </row>
    <row r="16" spans="1:7" x14ac:dyDescent="0.25">
      <c r="A16" s="1">
        <v>1995</v>
      </c>
      <c r="B16" s="1" t="s">
        <v>7</v>
      </c>
      <c r="D16" s="7"/>
      <c r="E16" s="7"/>
      <c r="F16" s="5"/>
      <c r="G16" s="5"/>
    </row>
    <row r="17" spans="1:7" x14ac:dyDescent="0.25">
      <c r="A17" s="1">
        <v>1995</v>
      </c>
      <c r="B17" s="1" t="s">
        <v>8</v>
      </c>
      <c r="D17" s="7">
        <v>139999</v>
      </c>
      <c r="E17" s="7">
        <v>40543</v>
      </c>
      <c r="F17" s="5"/>
      <c r="G17" s="5"/>
    </row>
    <row r="18" spans="1:7" x14ac:dyDescent="0.25">
      <c r="A18" s="1">
        <v>1996</v>
      </c>
      <c r="B18" s="1" t="s">
        <v>8</v>
      </c>
      <c r="D18" s="7"/>
      <c r="E18" s="7"/>
      <c r="F18" s="5"/>
      <c r="G18" s="5"/>
    </row>
    <row r="19" spans="1:7" x14ac:dyDescent="0.25">
      <c r="A19" s="1">
        <v>1996</v>
      </c>
      <c r="B19" s="1" t="s">
        <v>5</v>
      </c>
      <c r="D19" s="7">
        <v>6048410</v>
      </c>
      <c r="E19" s="7"/>
      <c r="F19" s="5"/>
      <c r="G19" s="5"/>
    </row>
    <row r="20" spans="1:7" x14ac:dyDescent="0.25">
      <c r="A20" s="1">
        <v>1996</v>
      </c>
      <c r="B20" s="1" t="s">
        <v>9</v>
      </c>
      <c r="D20" s="7"/>
      <c r="E20" s="7"/>
      <c r="F20" s="5"/>
      <c r="G20" s="5"/>
    </row>
    <row r="21" spans="1:7" x14ac:dyDescent="0.25">
      <c r="A21" s="1">
        <v>1997</v>
      </c>
      <c r="B21" s="1" t="s">
        <v>5</v>
      </c>
      <c r="D21" s="7">
        <v>4100000</v>
      </c>
      <c r="E21" s="7"/>
      <c r="F21" s="5"/>
      <c r="G21" s="5"/>
    </row>
    <row r="22" spans="1:7" x14ac:dyDescent="0.25">
      <c r="A22" s="1">
        <v>1997</v>
      </c>
      <c r="B22" s="1" t="s">
        <v>9</v>
      </c>
      <c r="D22" s="7"/>
      <c r="E22" s="7"/>
      <c r="F22" s="5"/>
      <c r="G22" s="5"/>
    </row>
    <row r="23" spans="1:7" x14ac:dyDescent="0.25">
      <c r="A23" s="1">
        <v>1998</v>
      </c>
      <c r="B23" s="1" t="s">
        <v>9</v>
      </c>
      <c r="D23" s="7"/>
      <c r="E23" s="7"/>
      <c r="F23" s="5"/>
      <c r="G23" s="5"/>
    </row>
    <row r="24" spans="1:7" x14ac:dyDescent="0.25">
      <c r="A24" s="1">
        <v>1998</v>
      </c>
      <c r="B24" s="1" t="s">
        <v>5</v>
      </c>
      <c r="D24" s="7">
        <v>6775000</v>
      </c>
      <c r="E24" s="7"/>
      <c r="F24" s="5"/>
      <c r="G24" s="5"/>
    </row>
    <row r="25" spans="1:7" x14ac:dyDescent="0.25">
      <c r="A25" s="1">
        <v>1998</v>
      </c>
      <c r="B25" s="1" t="s">
        <v>10</v>
      </c>
      <c r="D25" s="7">
        <v>43818497</v>
      </c>
      <c r="E25" s="7">
        <v>2958925</v>
      </c>
      <c r="F25" s="5"/>
      <c r="G25" s="5"/>
    </row>
    <row r="26" spans="1:7" x14ac:dyDescent="0.25">
      <c r="A26" s="1">
        <v>1998</v>
      </c>
      <c r="B26" s="1" t="s">
        <v>11</v>
      </c>
      <c r="D26" s="7">
        <v>10381250</v>
      </c>
      <c r="E26" s="7">
        <v>572760</v>
      </c>
      <c r="F26" s="5"/>
      <c r="G26" s="5"/>
    </row>
    <row r="27" spans="1:7" x14ac:dyDescent="0.25">
      <c r="A27" s="1">
        <v>1998</v>
      </c>
      <c r="B27" s="1" t="s">
        <v>12</v>
      </c>
      <c r="D27" s="7">
        <v>625000</v>
      </c>
      <c r="E27" s="7">
        <v>65214</v>
      </c>
      <c r="F27" s="5"/>
      <c r="G27" s="5"/>
    </row>
    <row r="28" spans="1:7" ht="16.5" customHeight="1" x14ac:dyDescent="0.25">
      <c r="A28" s="1">
        <v>1999</v>
      </c>
      <c r="B28" s="1" t="s">
        <v>9</v>
      </c>
      <c r="D28" s="7"/>
      <c r="E28" s="7"/>
      <c r="F28" s="5"/>
      <c r="G28" s="5"/>
    </row>
    <row r="29" spans="1:7" x14ac:dyDescent="0.25">
      <c r="A29" s="1">
        <v>1999</v>
      </c>
      <c r="B29" s="1" t="s">
        <v>5</v>
      </c>
      <c r="D29" s="7">
        <v>2831250</v>
      </c>
      <c r="E29" s="7"/>
      <c r="F29" s="5"/>
      <c r="G29" s="5"/>
    </row>
    <row r="30" spans="1:7" x14ac:dyDescent="0.25">
      <c r="A30" s="1">
        <v>2000</v>
      </c>
      <c r="B30" s="1" t="s">
        <v>5</v>
      </c>
      <c r="D30" s="7">
        <v>4550000</v>
      </c>
      <c r="E30" s="7"/>
      <c r="F30" s="5"/>
      <c r="G30" s="5"/>
    </row>
    <row r="31" spans="1:7" x14ac:dyDescent="0.25">
      <c r="A31" s="1">
        <v>2001</v>
      </c>
      <c r="B31" s="1" t="s">
        <v>9</v>
      </c>
      <c r="D31" s="7"/>
      <c r="E31" s="7"/>
      <c r="F31" s="5"/>
      <c r="G31" s="5"/>
    </row>
    <row r="32" spans="1:7" x14ac:dyDescent="0.25">
      <c r="A32" s="1">
        <v>2001</v>
      </c>
      <c r="B32" s="1" t="s">
        <v>5</v>
      </c>
      <c r="D32" s="7">
        <v>4310000</v>
      </c>
      <c r="E32" s="7"/>
      <c r="F32" s="5"/>
      <c r="G32" s="5"/>
    </row>
    <row r="33" spans="1:7" ht="15.75" customHeight="1" x14ac:dyDescent="0.25">
      <c r="A33" s="1">
        <v>2002</v>
      </c>
      <c r="B33" s="1" t="s">
        <v>5</v>
      </c>
      <c r="D33" s="7">
        <v>1600000</v>
      </c>
      <c r="E33" s="7"/>
      <c r="F33" s="5"/>
      <c r="G33" s="5"/>
    </row>
    <row r="34" spans="1:7" x14ac:dyDescent="0.25">
      <c r="A34" s="1">
        <v>2003</v>
      </c>
      <c r="B34" s="1" t="s">
        <v>13</v>
      </c>
      <c r="D34" s="7">
        <v>333332</v>
      </c>
      <c r="E34" s="7">
        <v>46168</v>
      </c>
      <c r="F34" s="5"/>
      <c r="G34" s="5"/>
    </row>
    <row r="35" spans="1:7" x14ac:dyDescent="0.25">
      <c r="A35" s="1">
        <v>2004</v>
      </c>
      <c r="B35" s="1" t="s">
        <v>14</v>
      </c>
      <c r="D35" s="7">
        <v>640000</v>
      </c>
      <c r="E35" s="7">
        <v>224364</v>
      </c>
      <c r="F35" s="5"/>
      <c r="G35" s="5"/>
    </row>
    <row r="36" spans="1:7" x14ac:dyDescent="0.25">
      <c r="A36" s="1">
        <v>2004</v>
      </c>
      <c r="B36" s="1" t="s">
        <v>13</v>
      </c>
      <c r="D36" s="7">
        <v>333333</v>
      </c>
      <c r="E36" s="7">
        <v>44950</v>
      </c>
      <c r="F36" s="5"/>
      <c r="G36" s="5"/>
    </row>
    <row r="37" spans="1:7" x14ac:dyDescent="0.25">
      <c r="A37" s="1">
        <v>2004</v>
      </c>
      <c r="B37" s="1" t="s">
        <v>15</v>
      </c>
      <c r="D37" s="7">
        <v>1030200</v>
      </c>
      <c r="E37" s="7">
        <v>40016</v>
      </c>
      <c r="F37" s="5"/>
      <c r="G37" s="5"/>
    </row>
    <row r="38" spans="1:7" x14ac:dyDescent="0.25">
      <c r="A38" s="1">
        <v>2004</v>
      </c>
      <c r="B38" s="1" t="s">
        <v>15</v>
      </c>
      <c r="D38" s="7">
        <v>61625</v>
      </c>
      <c r="E38" s="7">
        <v>5935</v>
      </c>
      <c r="F38" s="5"/>
      <c r="G38" s="5"/>
    </row>
    <row r="39" spans="1:7" x14ac:dyDescent="0.25">
      <c r="A39" s="1">
        <v>2004</v>
      </c>
      <c r="B39" s="1" t="s">
        <v>16</v>
      </c>
      <c r="D39" s="7"/>
      <c r="E39" s="7"/>
      <c r="F39" s="5"/>
      <c r="G39" s="5"/>
    </row>
    <row r="40" spans="1:7" x14ac:dyDescent="0.25">
      <c r="A40" s="1">
        <v>2005</v>
      </c>
      <c r="B40" s="1" t="s">
        <v>16</v>
      </c>
      <c r="D40" s="7"/>
      <c r="E40" s="7"/>
      <c r="F40" s="5"/>
      <c r="G40" s="5"/>
    </row>
    <row r="41" spans="1:7" x14ac:dyDescent="0.25">
      <c r="A41" s="1">
        <v>2005</v>
      </c>
      <c r="B41" s="1" t="s">
        <v>13</v>
      </c>
      <c r="D41" s="7">
        <v>111111</v>
      </c>
      <c r="E41" s="7"/>
      <c r="F41" s="5"/>
      <c r="G41" s="5"/>
    </row>
    <row r="42" spans="1:7" x14ac:dyDescent="0.25">
      <c r="A42" s="1">
        <v>2006</v>
      </c>
      <c r="B42" s="1" t="s">
        <v>13</v>
      </c>
      <c r="D42" s="7"/>
      <c r="E42" s="7"/>
      <c r="F42" s="5"/>
      <c r="G42" s="5"/>
    </row>
    <row r="43" spans="1:7" x14ac:dyDescent="0.25">
      <c r="A43" s="1">
        <v>2006</v>
      </c>
      <c r="B43" s="1" t="s">
        <v>16</v>
      </c>
      <c r="D43" s="7"/>
      <c r="E43" s="7"/>
      <c r="F43" s="5"/>
      <c r="G43" s="5"/>
    </row>
    <row r="44" spans="1:7" ht="15.75" customHeight="1" x14ac:dyDescent="0.25">
      <c r="A44" s="1">
        <v>2007</v>
      </c>
      <c r="B44" s="1" t="s">
        <v>18</v>
      </c>
      <c r="D44" s="4">
        <v>4779332</v>
      </c>
      <c r="E44" s="4">
        <v>1076973</v>
      </c>
      <c r="F44" s="3"/>
      <c r="G44" s="3"/>
    </row>
    <row r="45" spans="1:7" x14ac:dyDescent="0.25">
      <c r="A45" s="1">
        <v>2007</v>
      </c>
      <c r="B45" s="1" t="s">
        <v>19</v>
      </c>
      <c r="D45" s="7">
        <f>816440*0</f>
        <v>0</v>
      </c>
      <c r="E45" s="7">
        <f>531422*0</f>
        <v>0</v>
      </c>
      <c r="F45" s="5"/>
      <c r="G45" s="5"/>
    </row>
    <row r="46" spans="1:7" x14ac:dyDescent="0.25">
      <c r="A46" s="1">
        <v>2007</v>
      </c>
      <c r="B46" s="1" t="s">
        <v>20</v>
      </c>
      <c r="D46" s="7">
        <f>2790000*0</f>
        <v>0</v>
      </c>
      <c r="E46" s="7">
        <f>121667*0</f>
        <v>0</v>
      </c>
      <c r="F46" s="5"/>
      <c r="G46" s="5"/>
    </row>
    <row r="47" spans="1:7" x14ac:dyDescent="0.25">
      <c r="A47" s="1">
        <v>2007</v>
      </c>
      <c r="B47" s="1" t="s">
        <v>21</v>
      </c>
      <c r="D47" s="7">
        <v>816440</v>
      </c>
      <c r="E47" s="7">
        <v>531422</v>
      </c>
      <c r="F47" s="5"/>
      <c r="G47" s="5"/>
    </row>
    <row r="48" spans="1:7" x14ac:dyDescent="0.25">
      <c r="A48" s="1">
        <v>2008</v>
      </c>
      <c r="B48" s="1" t="s">
        <v>19</v>
      </c>
      <c r="D48" s="7">
        <f>2175000*0</f>
        <v>0</v>
      </c>
      <c r="E48" s="7">
        <f>87720*0</f>
        <v>0</v>
      </c>
      <c r="F48" s="5"/>
      <c r="G48" s="5"/>
    </row>
    <row r="49" spans="1:7" x14ac:dyDescent="0.25">
      <c r="A49" s="1">
        <v>2008</v>
      </c>
      <c r="B49" s="1" t="s">
        <v>22</v>
      </c>
      <c r="D49" s="7">
        <f>490000*0</f>
        <v>0</v>
      </c>
      <c r="E49" s="7">
        <f>23121*0</f>
        <v>0</v>
      </c>
      <c r="F49" s="5"/>
      <c r="G49" s="5"/>
    </row>
    <row r="50" spans="1:7" x14ac:dyDescent="0.25">
      <c r="A50" s="1">
        <v>2009</v>
      </c>
      <c r="B50" s="1" t="s">
        <v>20</v>
      </c>
      <c r="D50" s="7">
        <f>2155000*0</f>
        <v>0</v>
      </c>
      <c r="E50" s="7">
        <f>37082*0</f>
        <v>0</v>
      </c>
      <c r="F50" s="5"/>
      <c r="G50" s="5"/>
    </row>
    <row r="51" spans="1:7" x14ac:dyDescent="0.25">
      <c r="A51" s="1">
        <v>2009</v>
      </c>
      <c r="B51" s="1" t="s">
        <v>4</v>
      </c>
      <c r="C51" s="1" t="s">
        <v>23</v>
      </c>
      <c r="D51" s="4">
        <v>2970000</v>
      </c>
      <c r="E51" s="4">
        <v>125014</v>
      </c>
      <c r="F51" s="3"/>
      <c r="G51" s="3"/>
    </row>
    <row r="52" spans="1:7" x14ac:dyDescent="0.25">
      <c r="A52" s="1">
        <v>2010</v>
      </c>
      <c r="B52" s="1" t="s">
        <v>4</v>
      </c>
      <c r="C52" s="1" t="s">
        <v>23</v>
      </c>
      <c r="D52" s="4">
        <v>2200000</v>
      </c>
      <c r="E52" s="4">
        <v>88255</v>
      </c>
      <c r="F52" s="3"/>
      <c r="G52" s="3"/>
    </row>
    <row r="53" spans="1:7" x14ac:dyDescent="0.25">
      <c r="A53" s="1">
        <v>2011</v>
      </c>
      <c r="B53" s="1" t="s">
        <v>4</v>
      </c>
      <c r="C53" s="1" t="s">
        <v>23</v>
      </c>
      <c r="D53" s="4">
        <v>2175000</v>
      </c>
      <c r="E53" s="4">
        <v>87720</v>
      </c>
      <c r="F53" s="3">
        <v>2300000</v>
      </c>
      <c r="G53" s="3">
        <v>204846.78</v>
      </c>
    </row>
    <row r="54" spans="1:7" x14ac:dyDescent="0.25">
      <c r="A54" s="1">
        <v>2012</v>
      </c>
      <c r="B54" s="1" t="s">
        <v>4</v>
      </c>
      <c r="C54" s="1" t="s">
        <v>24</v>
      </c>
      <c r="D54" s="4">
        <v>2630000</v>
      </c>
      <c r="E54" s="4">
        <v>67990</v>
      </c>
      <c r="F54" s="3"/>
      <c r="G54" s="3"/>
    </row>
    <row r="55" spans="1:7" x14ac:dyDescent="0.25">
      <c r="A55" s="1">
        <v>2013</v>
      </c>
      <c r="B55" s="1" t="s">
        <v>4</v>
      </c>
      <c r="C55" s="1" t="s">
        <v>24</v>
      </c>
      <c r="D55" s="4">
        <v>1200000</v>
      </c>
      <c r="E55" s="4">
        <v>32457</v>
      </c>
      <c r="F55" s="3">
        <f>412500+525000</f>
        <v>937500</v>
      </c>
      <c r="G55" s="3">
        <f>38351.62+15946.72</f>
        <v>54298.340000000004</v>
      </c>
    </row>
    <row r="56" spans="1:7" x14ac:dyDescent="0.25">
      <c r="A56" s="1">
        <v>2014</v>
      </c>
      <c r="B56" s="1" t="s">
        <v>4</v>
      </c>
      <c r="C56" s="1" t="s">
        <v>24</v>
      </c>
      <c r="D56" s="4">
        <v>2264208</v>
      </c>
      <c r="E56" s="4">
        <v>33968</v>
      </c>
      <c r="F56" s="3"/>
      <c r="G56" s="3"/>
    </row>
    <row r="57" spans="1:7" x14ac:dyDescent="0.25">
      <c r="A57" s="1">
        <v>2015</v>
      </c>
      <c r="B57" s="1" t="s">
        <v>4</v>
      </c>
      <c r="C57" s="1" t="s">
        <v>25</v>
      </c>
      <c r="D57" s="4">
        <v>1957386</v>
      </c>
      <c r="E57" s="4">
        <v>13595</v>
      </c>
      <c r="F57" s="3">
        <f>1537500+225000</f>
        <v>1762500</v>
      </c>
      <c r="G57" s="3">
        <f>57124.45+5784.02</f>
        <v>62908.47</v>
      </c>
    </row>
    <row r="58" spans="1:7" x14ac:dyDescent="0.25">
      <c r="A58" s="1">
        <v>2016</v>
      </c>
      <c r="B58" s="1" t="s">
        <v>4</v>
      </c>
      <c r="C58" s="1" t="s">
        <v>25</v>
      </c>
      <c r="D58" s="4">
        <v>312563</v>
      </c>
      <c r="E58" s="4">
        <v>0</v>
      </c>
      <c r="F58" s="3"/>
      <c r="G58" s="3"/>
    </row>
    <row r="59" spans="1:7" x14ac:dyDescent="0.25">
      <c r="A59" s="1">
        <v>2017</v>
      </c>
      <c r="B59" s="1" t="s">
        <v>4</v>
      </c>
      <c r="C59" s="1" t="s">
        <v>25</v>
      </c>
      <c r="D59" s="4">
        <v>151822</v>
      </c>
      <c r="E59" s="4"/>
      <c r="F59" s="3"/>
      <c r="G59" s="3"/>
    </row>
    <row r="60" spans="1:7" x14ac:dyDescent="0.25">
      <c r="A60" s="1">
        <v>2018</v>
      </c>
      <c r="B60" s="1" t="s">
        <v>4</v>
      </c>
      <c r="C60" s="1" t="s">
        <v>25</v>
      </c>
      <c r="D60" s="4"/>
      <c r="E60" s="4"/>
      <c r="F60" s="3"/>
      <c r="G60" s="3"/>
    </row>
    <row r="61" spans="1:7" x14ac:dyDescent="0.25">
      <c r="A61" s="1">
        <v>2011</v>
      </c>
      <c r="B61" s="1" t="s">
        <v>26</v>
      </c>
      <c r="C61" s="1" t="s">
        <v>27</v>
      </c>
      <c r="D61" s="4">
        <v>490000</v>
      </c>
      <c r="E61" s="4">
        <v>23121</v>
      </c>
      <c r="F61" s="3"/>
      <c r="G61" s="3"/>
    </row>
    <row r="62" spans="1:7" x14ac:dyDescent="0.25">
      <c r="A62" s="1">
        <v>2014</v>
      </c>
      <c r="B62" s="1" t="s">
        <v>28</v>
      </c>
      <c r="C62" s="1" t="s">
        <v>29</v>
      </c>
      <c r="D62" s="4">
        <v>0</v>
      </c>
      <c r="E62" s="12">
        <v>276823</v>
      </c>
      <c r="F62" s="3">
        <f>200000</f>
        <v>200000</v>
      </c>
      <c r="G62" s="13">
        <f>19858.46</f>
        <v>19858.46</v>
      </c>
    </row>
    <row r="63" spans="1:7" x14ac:dyDescent="0.25">
      <c r="A63" s="1">
        <v>2015</v>
      </c>
      <c r="B63" s="1" t="s">
        <v>28</v>
      </c>
      <c r="C63" s="1" t="s">
        <v>29</v>
      </c>
      <c r="D63" s="4">
        <v>0</v>
      </c>
      <c r="E63" s="12">
        <v>206629</v>
      </c>
      <c r="F63" s="3"/>
      <c r="G63" s="13">
        <f>201677.88</f>
        <v>201677.88</v>
      </c>
    </row>
    <row r="64" spans="1:7" x14ac:dyDescent="0.25">
      <c r="A64" s="1">
        <v>2016</v>
      </c>
      <c r="B64" s="1" t="s">
        <v>28</v>
      </c>
      <c r="C64" s="1" t="s">
        <v>29</v>
      </c>
      <c r="D64" s="4">
        <v>0</v>
      </c>
      <c r="E64" s="12">
        <v>173167</v>
      </c>
      <c r="F64" s="3"/>
      <c r="G64" s="13">
        <f>380441.18</f>
        <v>380441.18</v>
      </c>
    </row>
    <row r="65" spans="1:7" x14ac:dyDescent="0.25">
      <c r="A65" s="1">
        <v>2017</v>
      </c>
      <c r="B65" s="1" t="s">
        <v>28</v>
      </c>
      <c r="C65" s="1" t="s">
        <v>29</v>
      </c>
      <c r="D65" s="4">
        <v>0</v>
      </c>
      <c r="E65" s="12"/>
      <c r="F65" s="3"/>
      <c r="G65" s="13">
        <f>40920.46</f>
        <v>40920.46</v>
      </c>
    </row>
    <row r="66" spans="1:7" x14ac:dyDescent="0.25">
      <c r="A66" s="1">
        <v>2018</v>
      </c>
      <c r="B66" s="1" t="s">
        <v>28</v>
      </c>
      <c r="C66" s="1" t="s">
        <v>29</v>
      </c>
      <c r="D66" s="4"/>
      <c r="E66" s="12"/>
      <c r="F66" s="3"/>
      <c r="G66" s="13">
        <f>18220.8</f>
        <v>18220.8</v>
      </c>
    </row>
    <row r="67" spans="1:7" x14ac:dyDescent="0.25">
      <c r="A67" s="1">
        <v>2007</v>
      </c>
      <c r="B67" s="1" t="s">
        <v>21</v>
      </c>
      <c r="C67" s="1" t="s">
        <v>30</v>
      </c>
      <c r="D67" s="4"/>
      <c r="E67" s="4"/>
      <c r="F67" s="3"/>
      <c r="G67" s="3"/>
    </row>
    <row r="68" spans="1:7" x14ac:dyDescent="0.25">
      <c r="A68" s="1">
        <v>2015</v>
      </c>
      <c r="B68" s="1" t="s">
        <v>31</v>
      </c>
      <c r="C68" s="1" t="s">
        <v>32</v>
      </c>
      <c r="D68" s="4">
        <v>936908</v>
      </c>
      <c r="E68" s="4">
        <v>0</v>
      </c>
      <c r="F68" s="3"/>
      <c r="G68" s="3"/>
    </row>
    <row r="69" spans="1:7" x14ac:dyDescent="0.25">
      <c r="A69" s="1">
        <v>2016</v>
      </c>
      <c r="B69" s="1" t="s">
        <v>31</v>
      </c>
      <c r="C69" s="1" t="s">
        <v>32</v>
      </c>
      <c r="D69" s="4">
        <v>874874</v>
      </c>
      <c r="E69" s="4"/>
      <c r="F69" s="3"/>
      <c r="G69" s="3"/>
    </row>
    <row r="70" spans="1:7" x14ac:dyDescent="0.25">
      <c r="A70" s="1">
        <v>2017</v>
      </c>
      <c r="B70" s="1" t="s">
        <v>31</v>
      </c>
      <c r="C70" s="1" t="s">
        <v>32</v>
      </c>
      <c r="D70" s="4">
        <v>77430</v>
      </c>
      <c r="E70" s="4"/>
      <c r="F70" s="3"/>
      <c r="G70" s="3"/>
    </row>
    <row r="71" spans="1:7" x14ac:dyDescent="0.25">
      <c r="A71" s="1">
        <v>2018</v>
      </c>
      <c r="B71" s="1" t="s">
        <v>31</v>
      </c>
      <c r="C71" s="1" t="s">
        <v>32</v>
      </c>
      <c r="D71" s="12"/>
      <c r="E71" s="4"/>
      <c r="F71" s="13"/>
      <c r="G71" s="3"/>
    </row>
    <row r="72" spans="1:7" x14ac:dyDescent="0.25">
      <c r="B72" s="1" t="s">
        <v>17</v>
      </c>
      <c r="D72" s="12"/>
      <c r="E72" s="4"/>
      <c r="F72" s="13"/>
      <c r="G72" s="3"/>
    </row>
    <row r="73" spans="1:7" x14ac:dyDescent="0.25">
      <c r="B73" s="1" t="s">
        <v>33</v>
      </c>
      <c r="D73" s="17">
        <v>21000000</v>
      </c>
      <c r="E73" s="18"/>
      <c r="F73" s="16"/>
      <c r="G73" s="16"/>
    </row>
    <row r="74" spans="1:7" x14ac:dyDescent="0.25">
      <c r="B74" s="1" t="s">
        <v>34</v>
      </c>
      <c r="D74" s="21">
        <f t="shared" ref="D74:E74" si="0">SUM(D2:D73)</f>
        <v>166204775</v>
      </c>
      <c r="E74" s="21">
        <f t="shared" si="0"/>
        <v>12158029</v>
      </c>
      <c r="F74" s="21">
        <f>SUM(F51:F73)</f>
        <v>5200000</v>
      </c>
      <c r="G74" s="21">
        <f>SUM(G51:G73)</f>
        <v>983172.36999999988</v>
      </c>
    </row>
    <row r="75" spans="1:7" x14ac:dyDescent="0.25">
      <c r="D75" s="13">
        <f t="shared" ref="D75:G75" si="1">SUM(D51:D71)</f>
        <v>18240191</v>
      </c>
      <c r="E75" s="13">
        <f t="shared" si="1"/>
        <v>1128739</v>
      </c>
      <c r="F75" s="13">
        <f t="shared" si="1"/>
        <v>5200000</v>
      </c>
      <c r="G75" s="13">
        <f t="shared" si="1"/>
        <v>983172.36999999988</v>
      </c>
    </row>
    <row r="76" spans="1:7" s="24" customFormat="1" x14ac:dyDescent="0.25">
      <c r="D76" s="27"/>
      <c r="E76" s="28"/>
      <c r="F76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6"/>
  <sheetViews>
    <sheetView workbookViewId="0">
      <selection activeCell="E11" sqref="E11"/>
    </sheetView>
  </sheetViews>
  <sheetFormatPr defaultRowHeight="15" x14ac:dyDescent="0.25"/>
  <cols>
    <col min="1" max="1" width="5" style="1" bestFit="1" customWidth="1"/>
    <col min="2" max="2" width="23.85546875" style="1" customWidth="1"/>
    <col min="3" max="3" width="36.7109375" style="1" customWidth="1"/>
    <col min="4" max="4" width="12.5703125" style="2" customWidth="1"/>
    <col min="5" max="5" width="11.5703125" style="2" customWidth="1"/>
    <col min="6" max="6" width="13.140625" style="1" customWidth="1"/>
    <col min="7" max="7" width="12.140625" style="1" customWidth="1"/>
    <col min="8" max="16384" width="9.140625" style="1"/>
  </cols>
  <sheetData>
    <row r="1" spans="1:8" ht="45" x14ac:dyDescent="0.25">
      <c r="A1" s="1" t="s">
        <v>38</v>
      </c>
      <c r="B1" s="1" t="s">
        <v>39</v>
      </c>
      <c r="C1" s="1" t="s">
        <v>40</v>
      </c>
      <c r="D1" s="49" t="s">
        <v>49</v>
      </c>
      <c r="E1" s="49" t="s">
        <v>50</v>
      </c>
      <c r="F1" s="49" t="s">
        <v>51</v>
      </c>
      <c r="G1" s="49" t="s">
        <v>52</v>
      </c>
      <c r="H1" s="50"/>
    </row>
    <row r="2" spans="1:8" x14ac:dyDescent="0.25">
      <c r="A2" s="1">
        <v>1982</v>
      </c>
      <c r="B2" s="1" t="s">
        <v>2</v>
      </c>
      <c r="D2" s="7">
        <f>196000*0</f>
        <v>0</v>
      </c>
      <c r="E2" s="7">
        <f>5065*0</f>
        <v>0</v>
      </c>
      <c r="F2" s="10">
        <f>+D2+Paid!F2</f>
        <v>0</v>
      </c>
      <c r="G2" s="10">
        <f>+E2+Paid!G2</f>
        <v>0</v>
      </c>
    </row>
    <row r="3" spans="1:8" x14ac:dyDescent="0.25">
      <c r="A3" s="1">
        <v>1983</v>
      </c>
      <c r="B3" s="1" t="s">
        <v>2</v>
      </c>
      <c r="D3" s="7">
        <v>1862238</v>
      </c>
      <c r="E3" s="7">
        <v>372757</v>
      </c>
      <c r="F3" s="10">
        <f>+D3+Paid!F3</f>
        <v>1862238</v>
      </c>
      <c r="G3" s="10">
        <f>+E3+Paid!G3</f>
        <v>372757</v>
      </c>
    </row>
    <row r="4" spans="1:8" x14ac:dyDescent="0.25">
      <c r="A4" s="1">
        <v>1984</v>
      </c>
      <c r="B4" s="1" t="s">
        <v>3</v>
      </c>
      <c r="D4" s="7">
        <v>3632908</v>
      </c>
      <c r="E4" s="7">
        <v>113256</v>
      </c>
      <c r="F4" s="10">
        <f>+D4+Paid!F4</f>
        <v>3632908</v>
      </c>
      <c r="G4" s="10">
        <f>+E4+Paid!G4</f>
        <v>113256</v>
      </c>
    </row>
    <row r="5" spans="1:8" x14ac:dyDescent="0.25">
      <c r="A5" s="1">
        <v>1985</v>
      </c>
      <c r="B5" s="1" t="s">
        <v>4</v>
      </c>
      <c r="D5" s="7">
        <v>3841498</v>
      </c>
      <c r="E5" s="7">
        <v>62341</v>
      </c>
      <c r="F5" s="10">
        <f>+D5+Paid!F5</f>
        <v>3841498</v>
      </c>
      <c r="G5" s="10">
        <f>+E5+Paid!G5</f>
        <v>62341</v>
      </c>
    </row>
    <row r="6" spans="1:8" x14ac:dyDescent="0.25">
      <c r="A6" s="1">
        <v>1986</v>
      </c>
      <c r="B6" s="1" t="s">
        <v>4</v>
      </c>
      <c r="D6" s="7">
        <v>1869000</v>
      </c>
      <c r="E6" s="7">
        <v>0</v>
      </c>
      <c r="F6" s="10">
        <f>+D6+Paid!F6</f>
        <v>1869000</v>
      </c>
      <c r="G6" s="10">
        <f>+E6+Paid!G6</f>
        <v>0</v>
      </c>
    </row>
    <row r="7" spans="1:8" x14ac:dyDescent="0.25">
      <c r="A7" s="1">
        <v>1987</v>
      </c>
      <c r="B7" s="1" t="s">
        <v>4</v>
      </c>
      <c r="D7" s="7"/>
      <c r="E7" s="7"/>
      <c r="F7" s="10">
        <f>+D7+Paid!F7</f>
        <v>0</v>
      </c>
      <c r="G7" s="10">
        <f>+E7+Paid!G7</f>
        <v>0</v>
      </c>
    </row>
    <row r="8" spans="1:8" x14ac:dyDescent="0.25">
      <c r="A8" s="1">
        <v>1988</v>
      </c>
      <c r="B8" s="1" t="s">
        <v>2</v>
      </c>
      <c r="D8" s="7">
        <v>2400000</v>
      </c>
      <c r="E8" s="7">
        <v>348398</v>
      </c>
      <c r="F8" s="10">
        <f>+D8+Paid!F8</f>
        <v>2400000</v>
      </c>
      <c r="G8" s="10">
        <f>+E8+Paid!G8</f>
        <v>348398</v>
      </c>
    </row>
    <row r="9" spans="1:8" x14ac:dyDescent="0.25">
      <c r="A9" s="1">
        <v>1988</v>
      </c>
      <c r="B9" s="1" t="s">
        <v>3</v>
      </c>
      <c r="D9" s="7"/>
      <c r="E9" s="7"/>
      <c r="F9" s="10">
        <f>+D9+Paid!F9</f>
        <v>0</v>
      </c>
      <c r="G9" s="10">
        <f>+E9+Paid!G9</f>
        <v>0</v>
      </c>
    </row>
    <row r="10" spans="1:8" x14ac:dyDescent="0.25">
      <c r="A10" s="1">
        <v>1989</v>
      </c>
      <c r="B10" s="1" t="s">
        <v>2</v>
      </c>
      <c r="D10" s="7">
        <v>2062178</v>
      </c>
      <c r="E10" s="7">
        <v>245010</v>
      </c>
      <c r="F10" s="10">
        <f>+D10+Paid!F10</f>
        <v>2062178</v>
      </c>
      <c r="G10" s="10">
        <f>+E10+Paid!G10</f>
        <v>245010</v>
      </c>
    </row>
    <row r="11" spans="1:8" x14ac:dyDescent="0.25">
      <c r="A11" s="1">
        <v>1989</v>
      </c>
      <c r="B11" s="1" t="s">
        <v>3</v>
      </c>
      <c r="D11" s="7"/>
      <c r="E11" s="7"/>
      <c r="F11" s="10">
        <f>+D11+Paid!F11</f>
        <v>0</v>
      </c>
      <c r="G11" s="10">
        <f>+E11+Paid!G11</f>
        <v>0</v>
      </c>
    </row>
    <row r="12" spans="1:8" x14ac:dyDescent="0.25">
      <c r="A12" s="1">
        <v>1990</v>
      </c>
      <c r="B12" s="1" t="s">
        <v>2</v>
      </c>
      <c r="D12" s="7">
        <v>4942490</v>
      </c>
      <c r="E12" s="7">
        <v>371329</v>
      </c>
      <c r="F12" s="10">
        <f>+D12+Paid!F12</f>
        <v>4942490</v>
      </c>
      <c r="G12" s="10">
        <f>+E12+Paid!G12</f>
        <v>371329</v>
      </c>
    </row>
    <row r="13" spans="1:8" x14ac:dyDescent="0.25">
      <c r="A13" s="1">
        <v>1994</v>
      </c>
      <c r="B13" s="1" t="s">
        <v>5</v>
      </c>
      <c r="D13" s="7">
        <v>900000</v>
      </c>
      <c r="E13" s="7"/>
      <c r="F13" s="10">
        <f>+D13+Paid!F13</f>
        <v>900000</v>
      </c>
      <c r="G13" s="10">
        <f>+E13+Paid!G13</f>
        <v>0</v>
      </c>
    </row>
    <row r="14" spans="1:8" x14ac:dyDescent="0.25">
      <c r="A14" s="1">
        <v>1994</v>
      </c>
      <c r="B14" s="1" t="s">
        <v>6</v>
      </c>
      <c r="D14" s="7">
        <v>10537043</v>
      </c>
      <c r="E14" s="7">
        <v>3908929</v>
      </c>
      <c r="F14" s="10">
        <f>+D14+Paid!F14</f>
        <v>10537043</v>
      </c>
      <c r="G14" s="10">
        <f>+E14+Paid!G14</f>
        <v>3908929</v>
      </c>
    </row>
    <row r="15" spans="1:8" x14ac:dyDescent="0.25">
      <c r="A15" s="1">
        <v>1995</v>
      </c>
      <c r="B15" s="1" t="s">
        <v>5</v>
      </c>
      <c r="D15" s="7">
        <v>1632450</v>
      </c>
      <c r="E15" s="7"/>
      <c r="F15" s="10">
        <f>+D15+Paid!F15</f>
        <v>1632450</v>
      </c>
      <c r="G15" s="10">
        <f>+E15+Paid!G15</f>
        <v>0</v>
      </c>
    </row>
    <row r="16" spans="1:8" x14ac:dyDescent="0.25">
      <c r="A16" s="1">
        <v>1995</v>
      </c>
      <c r="B16" s="1" t="s">
        <v>7</v>
      </c>
      <c r="D16" s="7"/>
      <c r="E16" s="7"/>
      <c r="F16" s="10">
        <f>+D16+Paid!F16</f>
        <v>0</v>
      </c>
      <c r="G16" s="10">
        <f>+E16+Paid!G16</f>
        <v>0</v>
      </c>
    </row>
    <row r="17" spans="1:7" x14ac:dyDescent="0.25">
      <c r="A17" s="1">
        <v>1995</v>
      </c>
      <c r="B17" s="1" t="s">
        <v>8</v>
      </c>
      <c r="D17" s="7">
        <v>139999</v>
      </c>
      <c r="E17" s="7">
        <v>40543</v>
      </c>
      <c r="F17" s="10">
        <f>+D17+Paid!F17</f>
        <v>139999</v>
      </c>
      <c r="G17" s="10">
        <f>+E17+Paid!G17</f>
        <v>40543</v>
      </c>
    </row>
    <row r="18" spans="1:7" x14ac:dyDescent="0.25">
      <c r="A18" s="1">
        <v>1996</v>
      </c>
      <c r="B18" s="1" t="s">
        <v>8</v>
      </c>
      <c r="D18" s="7"/>
      <c r="E18" s="7"/>
      <c r="F18" s="10">
        <f>+D18+Paid!F18</f>
        <v>0</v>
      </c>
      <c r="G18" s="10">
        <f>+E18+Paid!G18</f>
        <v>0</v>
      </c>
    </row>
    <row r="19" spans="1:7" x14ac:dyDescent="0.25">
      <c r="A19" s="1">
        <v>1996</v>
      </c>
      <c r="B19" s="1" t="s">
        <v>5</v>
      </c>
      <c r="D19" s="7">
        <v>6048410</v>
      </c>
      <c r="E19" s="7"/>
      <c r="F19" s="10">
        <f>+D19+Paid!F19</f>
        <v>6048410</v>
      </c>
      <c r="G19" s="10">
        <f>+E19+Paid!G19</f>
        <v>0</v>
      </c>
    </row>
    <row r="20" spans="1:7" x14ac:dyDescent="0.25">
      <c r="A20" s="1">
        <v>1996</v>
      </c>
      <c r="B20" s="1" t="s">
        <v>9</v>
      </c>
      <c r="D20" s="7"/>
      <c r="E20" s="7"/>
      <c r="F20" s="10">
        <f>+D20+Paid!F20</f>
        <v>0</v>
      </c>
      <c r="G20" s="10">
        <f>+E20+Paid!G20</f>
        <v>0</v>
      </c>
    </row>
    <row r="21" spans="1:7" x14ac:dyDescent="0.25">
      <c r="A21" s="1">
        <v>1997</v>
      </c>
      <c r="B21" s="1" t="s">
        <v>5</v>
      </c>
      <c r="D21" s="7">
        <v>4100000</v>
      </c>
      <c r="E21" s="7"/>
      <c r="F21" s="10">
        <f>+D21+Paid!F21</f>
        <v>4100000</v>
      </c>
      <c r="G21" s="10">
        <f>+E21+Paid!G21</f>
        <v>0</v>
      </c>
    </row>
    <row r="22" spans="1:7" x14ac:dyDescent="0.25">
      <c r="A22" s="1">
        <v>1997</v>
      </c>
      <c r="B22" s="1" t="s">
        <v>9</v>
      </c>
      <c r="D22" s="7"/>
      <c r="E22" s="7"/>
      <c r="F22" s="10">
        <f>+D22+Paid!F22</f>
        <v>0</v>
      </c>
      <c r="G22" s="10">
        <f>+E22+Paid!G22</f>
        <v>0</v>
      </c>
    </row>
    <row r="23" spans="1:7" x14ac:dyDescent="0.25">
      <c r="A23" s="1">
        <v>1998</v>
      </c>
      <c r="B23" s="1" t="s">
        <v>9</v>
      </c>
      <c r="D23" s="7"/>
      <c r="E23" s="7"/>
      <c r="F23" s="10">
        <f>+D23+Paid!F23</f>
        <v>0</v>
      </c>
      <c r="G23" s="10">
        <f>+E23+Paid!G23</f>
        <v>0</v>
      </c>
    </row>
    <row r="24" spans="1:7" x14ac:dyDescent="0.25">
      <c r="A24" s="1">
        <v>1998</v>
      </c>
      <c r="B24" s="1" t="s">
        <v>5</v>
      </c>
      <c r="D24" s="7">
        <v>6775000</v>
      </c>
      <c r="E24" s="7"/>
      <c r="F24" s="10">
        <f>+D24+Paid!F24</f>
        <v>6775000</v>
      </c>
      <c r="G24" s="10">
        <f>+E24+Paid!G24</f>
        <v>0</v>
      </c>
    </row>
    <row r="25" spans="1:7" x14ac:dyDescent="0.25">
      <c r="A25" s="1">
        <v>1998</v>
      </c>
      <c r="B25" s="1" t="s">
        <v>10</v>
      </c>
      <c r="D25" s="7">
        <v>43818497</v>
      </c>
      <c r="E25" s="7">
        <v>2958925</v>
      </c>
      <c r="F25" s="10">
        <f>+D25+Paid!F25</f>
        <v>43818497</v>
      </c>
      <c r="G25" s="10">
        <f>+E25+Paid!G25</f>
        <v>2958925</v>
      </c>
    </row>
    <row r="26" spans="1:7" x14ac:dyDescent="0.25">
      <c r="A26" s="1">
        <v>1998</v>
      </c>
      <c r="B26" s="1" t="s">
        <v>11</v>
      </c>
      <c r="D26" s="7">
        <v>10381250</v>
      </c>
      <c r="E26" s="7">
        <v>572760</v>
      </c>
      <c r="F26" s="10">
        <f>+D26+Paid!F26</f>
        <v>10381250</v>
      </c>
      <c r="G26" s="10">
        <f>+E26+Paid!G26</f>
        <v>572760</v>
      </c>
    </row>
    <row r="27" spans="1:7" x14ac:dyDescent="0.25">
      <c r="A27" s="1">
        <v>1998</v>
      </c>
      <c r="B27" s="1" t="s">
        <v>12</v>
      </c>
      <c r="D27" s="7">
        <v>625000</v>
      </c>
      <c r="E27" s="7">
        <v>65214</v>
      </c>
      <c r="F27" s="10">
        <f>+D27+Paid!F27</f>
        <v>625000</v>
      </c>
      <c r="G27" s="10">
        <f>+E27+Paid!G27</f>
        <v>65214</v>
      </c>
    </row>
    <row r="28" spans="1:7" ht="16.5" customHeight="1" x14ac:dyDescent="0.25">
      <c r="A28" s="1">
        <v>1999</v>
      </c>
      <c r="B28" s="1" t="s">
        <v>9</v>
      </c>
      <c r="D28" s="7"/>
      <c r="E28" s="7"/>
      <c r="F28" s="10">
        <f>+D28+Paid!F28</f>
        <v>0</v>
      </c>
      <c r="G28" s="10">
        <f>+E28+Paid!G28</f>
        <v>0</v>
      </c>
    </row>
    <row r="29" spans="1:7" x14ac:dyDescent="0.25">
      <c r="A29" s="1">
        <v>1999</v>
      </c>
      <c r="B29" s="1" t="s">
        <v>5</v>
      </c>
      <c r="D29" s="7">
        <v>2831250</v>
      </c>
      <c r="E29" s="7"/>
      <c r="F29" s="10">
        <f>+D29+Paid!F29</f>
        <v>2831250</v>
      </c>
      <c r="G29" s="10">
        <f>+E29+Paid!G29</f>
        <v>0</v>
      </c>
    </row>
    <row r="30" spans="1:7" x14ac:dyDescent="0.25">
      <c r="A30" s="1">
        <v>2000</v>
      </c>
      <c r="B30" s="1" t="s">
        <v>5</v>
      </c>
      <c r="D30" s="7">
        <v>4550000</v>
      </c>
      <c r="E30" s="7"/>
      <c r="F30" s="10">
        <f>+D30+Paid!F30</f>
        <v>4550000</v>
      </c>
      <c r="G30" s="10">
        <f>+E30+Paid!G30</f>
        <v>0</v>
      </c>
    </row>
    <row r="31" spans="1:7" x14ac:dyDescent="0.25">
      <c r="A31" s="1">
        <v>2001</v>
      </c>
      <c r="B31" s="1" t="s">
        <v>9</v>
      </c>
      <c r="D31" s="7"/>
      <c r="E31" s="7"/>
      <c r="F31" s="10">
        <f>+D31+Paid!F31</f>
        <v>0</v>
      </c>
      <c r="G31" s="10">
        <f>+E31+Paid!G31</f>
        <v>0</v>
      </c>
    </row>
    <row r="32" spans="1:7" x14ac:dyDescent="0.25">
      <c r="A32" s="1">
        <v>2001</v>
      </c>
      <c r="B32" s="1" t="s">
        <v>5</v>
      </c>
      <c r="D32" s="7">
        <v>4310000</v>
      </c>
      <c r="E32" s="7"/>
      <c r="F32" s="10">
        <f>+D32+Paid!F32</f>
        <v>4310000</v>
      </c>
      <c r="G32" s="10">
        <f>+E32+Paid!G32</f>
        <v>0</v>
      </c>
    </row>
    <row r="33" spans="1:7" ht="15.75" customHeight="1" x14ac:dyDescent="0.25">
      <c r="A33" s="1">
        <v>2002</v>
      </c>
      <c r="B33" s="1" t="s">
        <v>5</v>
      </c>
      <c r="D33" s="7">
        <v>1600000</v>
      </c>
      <c r="E33" s="7"/>
      <c r="F33" s="10">
        <f>+D33+Paid!F33</f>
        <v>1600000</v>
      </c>
      <c r="G33" s="10">
        <f>+E33+Paid!G33</f>
        <v>0</v>
      </c>
    </row>
    <row r="34" spans="1:7" x14ac:dyDescent="0.25">
      <c r="A34" s="1">
        <v>2003</v>
      </c>
      <c r="B34" s="1" t="s">
        <v>13</v>
      </c>
      <c r="D34" s="7">
        <v>333332</v>
      </c>
      <c r="E34" s="7">
        <v>46168</v>
      </c>
      <c r="F34" s="10">
        <f>+D34+Paid!F34</f>
        <v>333332</v>
      </c>
      <c r="G34" s="10">
        <f>+E34+Paid!G34</f>
        <v>46168</v>
      </c>
    </row>
    <row r="35" spans="1:7" x14ac:dyDescent="0.25">
      <c r="A35" s="1">
        <v>2004</v>
      </c>
      <c r="B35" s="1" t="s">
        <v>14</v>
      </c>
      <c r="D35" s="7">
        <v>640000</v>
      </c>
      <c r="E35" s="7">
        <v>224364</v>
      </c>
      <c r="F35" s="10">
        <f>+D35+Paid!F35</f>
        <v>640000</v>
      </c>
      <c r="G35" s="10">
        <f>+E35+Paid!G35</f>
        <v>224364</v>
      </c>
    </row>
    <row r="36" spans="1:7" x14ac:dyDescent="0.25">
      <c r="A36" s="1">
        <v>2004</v>
      </c>
      <c r="B36" s="1" t="s">
        <v>13</v>
      </c>
      <c r="D36" s="7">
        <v>333333</v>
      </c>
      <c r="E36" s="7">
        <v>44950</v>
      </c>
      <c r="F36" s="10">
        <f>+D36+Paid!F36</f>
        <v>333333</v>
      </c>
      <c r="G36" s="10">
        <f>+E36+Paid!G36</f>
        <v>44950</v>
      </c>
    </row>
    <row r="37" spans="1:7" x14ac:dyDescent="0.25">
      <c r="A37" s="1">
        <v>2004</v>
      </c>
      <c r="B37" s="1" t="s">
        <v>15</v>
      </c>
      <c r="D37" s="7">
        <v>1030200</v>
      </c>
      <c r="E37" s="7">
        <v>40016</v>
      </c>
      <c r="F37" s="10">
        <f>+D37+Paid!F37</f>
        <v>1030200</v>
      </c>
      <c r="G37" s="10">
        <f>+E37+Paid!G37</f>
        <v>40016</v>
      </c>
    </row>
    <row r="38" spans="1:7" x14ac:dyDescent="0.25">
      <c r="A38" s="1">
        <v>2004</v>
      </c>
      <c r="B38" s="1" t="s">
        <v>15</v>
      </c>
      <c r="D38" s="7">
        <v>61625</v>
      </c>
      <c r="E38" s="7">
        <v>5935</v>
      </c>
      <c r="F38" s="10">
        <f>+D38+Paid!F38</f>
        <v>61625</v>
      </c>
      <c r="G38" s="10">
        <f>+E38+Paid!G38</f>
        <v>5935</v>
      </c>
    </row>
    <row r="39" spans="1:7" x14ac:dyDescent="0.25">
      <c r="A39" s="1">
        <v>2004</v>
      </c>
      <c r="B39" s="1" t="s">
        <v>16</v>
      </c>
      <c r="D39" s="7"/>
      <c r="E39" s="7"/>
      <c r="F39" s="10">
        <f>+D39+Paid!F39</f>
        <v>0</v>
      </c>
      <c r="G39" s="10">
        <f>+E39+Paid!G39</f>
        <v>0</v>
      </c>
    </row>
    <row r="40" spans="1:7" x14ac:dyDescent="0.25">
      <c r="A40" s="1">
        <v>2005</v>
      </c>
      <c r="B40" s="1" t="s">
        <v>16</v>
      </c>
      <c r="D40" s="7"/>
      <c r="E40" s="7"/>
      <c r="F40" s="10">
        <f>+D40+Paid!F40</f>
        <v>0</v>
      </c>
      <c r="G40" s="10">
        <f>+E40+Paid!G40</f>
        <v>0</v>
      </c>
    </row>
    <row r="41" spans="1:7" x14ac:dyDescent="0.25">
      <c r="A41" s="1">
        <v>2005</v>
      </c>
      <c r="B41" s="1" t="s">
        <v>13</v>
      </c>
      <c r="D41" s="7">
        <v>111111</v>
      </c>
      <c r="E41" s="7"/>
      <c r="F41" s="10">
        <f>+D41+Paid!F41</f>
        <v>111111</v>
      </c>
      <c r="G41" s="10">
        <f>+E41+Paid!G41</f>
        <v>0</v>
      </c>
    </row>
    <row r="42" spans="1:7" x14ac:dyDescent="0.25">
      <c r="A42" s="1">
        <v>2006</v>
      </c>
      <c r="B42" s="1" t="s">
        <v>13</v>
      </c>
      <c r="D42" s="7"/>
      <c r="E42" s="7"/>
      <c r="F42" s="10">
        <f>+D42+Paid!F42</f>
        <v>0</v>
      </c>
      <c r="G42" s="10">
        <f>+E42+Paid!G42</f>
        <v>0</v>
      </c>
    </row>
    <row r="43" spans="1:7" x14ac:dyDescent="0.25">
      <c r="A43" s="1">
        <v>2006</v>
      </c>
      <c r="B43" s="1" t="s">
        <v>16</v>
      </c>
      <c r="D43" s="7"/>
      <c r="E43" s="7"/>
      <c r="F43" s="10">
        <f>+D43+Paid!F43</f>
        <v>0</v>
      </c>
      <c r="G43" s="10">
        <f>+E43+Paid!G43</f>
        <v>0</v>
      </c>
    </row>
    <row r="44" spans="1:7" ht="15.75" customHeight="1" x14ac:dyDescent="0.25">
      <c r="A44" s="1">
        <v>2007</v>
      </c>
      <c r="B44" s="1" t="s">
        <v>18</v>
      </c>
      <c r="D44" s="4">
        <v>4779332</v>
      </c>
      <c r="E44" s="4">
        <v>1076973</v>
      </c>
      <c r="F44" s="10">
        <f>+D44+Paid!F44</f>
        <v>4779332</v>
      </c>
      <c r="G44" s="10">
        <f>+E44+Paid!G44</f>
        <v>1076973</v>
      </c>
    </row>
    <row r="45" spans="1:7" x14ac:dyDescent="0.25">
      <c r="A45" s="1">
        <v>2007</v>
      </c>
      <c r="B45" s="1" t="s">
        <v>19</v>
      </c>
      <c r="D45" s="7">
        <f>816440*0</f>
        <v>0</v>
      </c>
      <c r="E45" s="7">
        <f>531422*0</f>
        <v>0</v>
      </c>
      <c r="F45" s="10">
        <f>+D45+Paid!F45</f>
        <v>0</v>
      </c>
      <c r="G45" s="10">
        <f>+E45+Paid!G45</f>
        <v>0</v>
      </c>
    </row>
    <row r="46" spans="1:7" x14ac:dyDescent="0.25">
      <c r="A46" s="1">
        <v>2007</v>
      </c>
      <c r="B46" s="1" t="s">
        <v>20</v>
      </c>
      <c r="D46" s="7">
        <f>2790000*0</f>
        <v>0</v>
      </c>
      <c r="E46" s="7">
        <f>121667*0</f>
        <v>0</v>
      </c>
      <c r="F46" s="10">
        <f>+D46+Paid!F46</f>
        <v>0</v>
      </c>
      <c r="G46" s="10">
        <f>+E46+Paid!G46</f>
        <v>0</v>
      </c>
    </row>
    <row r="47" spans="1:7" x14ac:dyDescent="0.25">
      <c r="A47" s="1">
        <v>2007</v>
      </c>
      <c r="B47" s="1" t="s">
        <v>21</v>
      </c>
      <c r="D47" s="7">
        <v>816440</v>
      </c>
      <c r="E47" s="7">
        <v>531422</v>
      </c>
      <c r="F47" s="10">
        <f>+D47+Paid!F47</f>
        <v>816440</v>
      </c>
      <c r="G47" s="10">
        <f>+E47+Paid!G47</f>
        <v>531422</v>
      </c>
    </row>
    <row r="48" spans="1:7" x14ac:dyDescent="0.25">
      <c r="A48" s="1">
        <v>2008</v>
      </c>
      <c r="B48" s="1" t="s">
        <v>19</v>
      </c>
      <c r="D48" s="7">
        <f>2175000*0</f>
        <v>0</v>
      </c>
      <c r="E48" s="7">
        <f>87720*0</f>
        <v>0</v>
      </c>
      <c r="F48" s="10">
        <f>+D48+Paid!F48</f>
        <v>0</v>
      </c>
      <c r="G48" s="10">
        <f>+E48+Paid!G48</f>
        <v>0</v>
      </c>
    </row>
    <row r="49" spans="1:7" x14ac:dyDescent="0.25">
      <c r="A49" s="1">
        <v>2008</v>
      </c>
      <c r="B49" s="1" t="s">
        <v>22</v>
      </c>
      <c r="D49" s="7">
        <f>490000*0</f>
        <v>0</v>
      </c>
      <c r="E49" s="7">
        <f>23121*0</f>
        <v>0</v>
      </c>
      <c r="F49" s="10">
        <f>+D49+Paid!F49</f>
        <v>0</v>
      </c>
      <c r="G49" s="10">
        <f>+E49+Paid!G49</f>
        <v>0</v>
      </c>
    </row>
    <row r="50" spans="1:7" x14ac:dyDescent="0.25">
      <c r="A50" s="1">
        <v>2009</v>
      </c>
      <c r="B50" s="1" t="s">
        <v>20</v>
      </c>
      <c r="D50" s="7">
        <f>2155000*0</f>
        <v>0</v>
      </c>
      <c r="E50" s="7">
        <f>37082*0</f>
        <v>0</v>
      </c>
      <c r="F50" s="10">
        <f>+D50+Paid!F50</f>
        <v>0</v>
      </c>
      <c r="G50" s="10">
        <f>+E50+Paid!G50</f>
        <v>0</v>
      </c>
    </row>
    <row r="51" spans="1:7" x14ac:dyDescent="0.25">
      <c r="A51" s="1">
        <v>2009</v>
      </c>
      <c r="B51" s="1" t="s">
        <v>4</v>
      </c>
      <c r="C51" s="1" t="s">
        <v>23</v>
      </c>
      <c r="D51" s="4">
        <v>2970000</v>
      </c>
      <c r="E51" s="4">
        <v>125014</v>
      </c>
      <c r="F51" s="10">
        <f>+D51+Paid!F51</f>
        <v>2970000</v>
      </c>
      <c r="G51" s="10">
        <f>+E51+Paid!G51</f>
        <v>125014</v>
      </c>
    </row>
    <row r="52" spans="1:7" x14ac:dyDescent="0.25">
      <c r="A52" s="1">
        <v>2010</v>
      </c>
      <c r="B52" s="1" t="s">
        <v>4</v>
      </c>
      <c r="C52" s="1" t="s">
        <v>23</v>
      </c>
      <c r="D52" s="4">
        <v>2200000</v>
      </c>
      <c r="E52" s="4">
        <v>88255</v>
      </c>
      <c r="F52" s="10">
        <f>+D52+Paid!F52</f>
        <v>2200000</v>
      </c>
      <c r="G52" s="10">
        <f>+E52+Paid!G52</f>
        <v>88255</v>
      </c>
    </row>
    <row r="53" spans="1:7" x14ac:dyDescent="0.25">
      <c r="A53" s="1">
        <v>2011</v>
      </c>
      <c r="B53" s="1" t="s">
        <v>4</v>
      </c>
      <c r="C53" s="1" t="s">
        <v>23</v>
      </c>
      <c r="D53" s="4">
        <v>2175000</v>
      </c>
      <c r="E53" s="4">
        <v>87720</v>
      </c>
      <c r="F53" s="10">
        <f>+D53+Paid!F53</f>
        <v>4475000</v>
      </c>
      <c r="G53" s="10">
        <f>+E53+Paid!G53</f>
        <v>292566.78000000003</v>
      </c>
    </row>
    <row r="54" spans="1:7" x14ac:dyDescent="0.25">
      <c r="A54" s="1">
        <v>2012</v>
      </c>
      <c r="B54" s="1" t="s">
        <v>4</v>
      </c>
      <c r="C54" s="1" t="s">
        <v>24</v>
      </c>
      <c r="D54" s="4">
        <v>2630000</v>
      </c>
      <c r="E54" s="4">
        <v>67990</v>
      </c>
      <c r="F54" s="10">
        <f>+D54+Paid!F54</f>
        <v>2630000</v>
      </c>
      <c r="G54" s="10">
        <f>+E54+Paid!G54</f>
        <v>67990</v>
      </c>
    </row>
    <row r="55" spans="1:7" x14ac:dyDescent="0.25">
      <c r="A55" s="1">
        <v>2013</v>
      </c>
      <c r="B55" s="1" t="s">
        <v>4</v>
      </c>
      <c r="C55" s="1" t="s">
        <v>24</v>
      </c>
      <c r="D55" s="4">
        <v>1200000</v>
      </c>
      <c r="E55" s="4">
        <v>32457</v>
      </c>
      <c r="F55" s="10">
        <f>+D55+Paid!F55</f>
        <v>2137500</v>
      </c>
      <c r="G55" s="10">
        <f>+E55+Paid!G55</f>
        <v>86755.34</v>
      </c>
    </row>
    <row r="56" spans="1:7" x14ac:dyDescent="0.25">
      <c r="A56" s="1">
        <v>2014</v>
      </c>
      <c r="B56" s="1" t="s">
        <v>4</v>
      </c>
      <c r="C56" s="1" t="s">
        <v>24</v>
      </c>
      <c r="D56" s="4">
        <v>2264208</v>
      </c>
      <c r="E56" s="4">
        <v>33968</v>
      </c>
      <c r="F56" s="10">
        <f>+D56+Paid!F56</f>
        <v>2264208</v>
      </c>
      <c r="G56" s="10">
        <f>+E56+Paid!G56</f>
        <v>33968</v>
      </c>
    </row>
    <row r="57" spans="1:7" x14ac:dyDescent="0.25">
      <c r="A57" s="1">
        <v>2015</v>
      </c>
      <c r="B57" s="1" t="s">
        <v>4</v>
      </c>
      <c r="C57" s="1" t="s">
        <v>25</v>
      </c>
      <c r="D57" s="4">
        <v>1957386</v>
      </c>
      <c r="E57" s="4">
        <v>13595</v>
      </c>
      <c r="F57" s="10">
        <f>+D57+Paid!F57</f>
        <v>3719886</v>
      </c>
      <c r="G57" s="10">
        <f>+E57+Paid!G57</f>
        <v>76503.47</v>
      </c>
    </row>
    <row r="58" spans="1:7" x14ac:dyDescent="0.25">
      <c r="A58" s="1">
        <v>2016</v>
      </c>
      <c r="B58" s="1" t="s">
        <v>4</v>
      </c>
      <c r="C58" s="1" t="s">
        <v>25</v>
      </c>
      <c r="D58" s="4">
        <v>312563</v>
      </c>
      <c r="E58" s="4">
        <v>0</v>
      </c>
      <c r="F58" s="10">
        <f>+D58+Paid!F58</f>
        <v>312563</v>
      </c>
      <c r="G58" s="10">
        <f>+E58+Paid!G58</f>
        <v>0</v>
      </c>
    </row>
    <row r="59" spans="1:7" x14ac:dyDescent="0.25">
      <c r="A59" s="1">
        <v>2017</v>
      </c>
      <c r="B59" s="1" t="s">
        <v>4</v>
      </c>
      <c r="C59" s="1" t="s">
        <v>25</v>
      </c>
      <c r="D59" s="4">
        <v>151822</v>
      </c>
      <c r="E59" s="4"/>
      <c r="F59" s="10">
        <f>+D59+Paid!F59</f>
        <v>151822</v>
      </c>
      <c r="G59" s="10">
        <f>+E59+Paid!G59</f>
        <v>0</v>
      </c>
    </row>
    <row r="60" spans="1:7" x14ac:dyDescent="0.25">
      <c r="A60" s="1">
        <v>2018</v>
      </c>
      <c r="B60" s="1" t="s">
        <v>4</v>
      </c>
      <c r="C60" s="1" t="s">
        <v>25</v>
      </c>
      <c r="D60" s="4"/>
      <c r="E60" s="4"/>
      <c r="F60" s="10">
        <f>+D60+Paid!F60</f>
        <v>0</v>
      </c>
      <c r="G60" s="10">
        <f>+E60+Paid!G60</f>
        <v>0</v>
      </c>
    </row>
    <row r="61" spans="1:7" x14ac:dyDescent="0.25">
      <c r="A61" s="1">
        <v>2011</v>
      </c>
      <c r="B61" s="1" t="s">
        <v>26</v>
      </c>
      <c r="C61" s="1" t="s">
        <v>27</v>
      </c>
      <c r="D61" s="4">
        <v>490000</v>
      </c>
      <c r="E61" s="4">
        <v>23121</v>
      </c>
      <c r="F61" s="10">
        <f>+D61+Paid!F61</f>
        <v>490000</v>
      </c>
      <c r="G61" s="10">
        <f>+E61+Paid!G61</f>
        <v>23121</v>
      </c>
    </row>
    <row r="62" spans="1:7" x14ac:dyDescent="0.25">
      <c r="A62" s="1">
        <v>2014</v>
      </c>
      <c r="B62" s="1" t="s">
        <v>28</v>
      </c>
      <c r="C62" s="1" t="s">
        <v>29</v>
      </c>
      <c r="D62" s="4">
        <v>0</v>
      </c>
      <c r="E62" s="12">
        <v>276823</v>
      </c>
      <c r="F62" s="10">
        <f>+D62+Paid!F62</f>
        <v>200000</v>
      </c>
      <c r="G62" s="10">
        <f>+E62+Paid!G62</f>
        <v>296681.46000000002</v>
      </c>
    </row>
    <row r="63" spans="1:7" x14ac:dyDescent="0.25">
      <c r="A63" s="1">
        <v>2015</v>
      </c>
      <c r="B63" s="1" t="s">
        <v>28</v>
      </c>
      <c r="C63" s="1" t="s">
        <v>29</v>
      </c>
      <c r="D63" s="4">
        <v>0</v>
      </c>
      <c r="E63" s="12">
        <v>206629</v>
      </c>
      <c r="F63" s="10">
        <f>+D63+Paid!F63</f>
        <v>0</v>
      </c>
      <c r="G63" s="10">
        <f>+E63+Paid!G63</f>
        <v>408306.88</v>
      </c>
    </row>
    <row r="64" spans="1:7" x14ac:dyDescent="0.25">
      <c r="A64" s="1">
        <v>2016</v>
      </c>
      <c r="B64" s="1" t="s">
        <v>28</v>
      </c>
      <c r="C64" s="1" t="s">
        <v>29</v>
      </c>
      <c r="D64" s="4">
        <v>0</v>
      </c>
      <c r="E64" s="12">
        <v>173167</v>
      </c>
      <c r="F64" s="10">
        <f>+D64+Paid!F64</f>
        <v>0</v>
      </c>
      <c r="G64" s="10">
        <f>+E64+Paid!G64</f>
        <v>553608.17999999993</v>
      </c>
    </row>
    <row r="65" spans="1:7" x14ac:dyDescent="0.25">
      <c r="A65" s="1">
        <v>2017</v>
      </c>
      <c r="B65" s="1" t="s">
        <v>28</v>
      </c>
      <c r="C65" s="1" t="s">
        <v>29</v>
      </c>
      <c r="D65" s="4">
        <v>0</v>
      </c>
      <c r="E65" s="12"/>
      <c r="F65" s="10">
        <f>+D65+Paid!F65</f>
        <v>0</v>
      </c>
      <c r="G65" s="10">
        <f>+E65+Paid!G65</f>
        <v>40920.46</v>
      </c>
    </row>
    <row r="66" spans="1:7" x14ac:dyDescent="0.25">
      <c r="A66" s="1">
        <v>2018</v>
      </c>
      <c r="B66" s="1" t="s">
        <v>28</v>
      </c>
      <c r="C66" s="1" t="s">
        <v>29</v>
      </c>
      <c r="D66" s="4"/>
      <c r="E66" s="12"/>
      <c r="F66" s="10">
        <f>+D66+Paid!F66</f>
        <v>0</v>
      </c>
      <c r="G66" s="10">
        <f>+E66+Paid!G66</f>
        <v>18220.8</v>
      </c>
    </row>
    <row r="67" spans="1:7" x14ac:dyDescent="0.25">
      <c r="A67" s="1">
        <v>2007</v>
      </c>
      <c r="B67" s="1" t="s">
        <v>21</v>
      </c>
      <c r="C67" s="1" t="s">
        <v>30</v>
      </c>
      <c r="D67" s="4"/>
      <c r="E67" s="4"/>
      <c r="F67" s="10">
        <f>+D67+Paid!F67</f>
        <v>0</v>
      </c>
      <c r="G67" s="10">
        <f>+E67+Paid!G67</f>
        <v>0</v>
      </c>
    </row>
    <row r="68" spans="1:7" x14ac:dyDescent="0.25">
      <c r="A68" s="1">
        <v>2015</v>
      </c>
      <c r="B68" s="1" t="s">
        <v>31</v>
      </c>
      <c r="C68" s="1" t="s">
        <v>32</v>
      </c>
      <c r="D68" s="4">
        <v>936908</v>
      </c>
      <c r="E68" s="4">
        <v>0</v>
      </c>
      <c r="F68" s="10">
        <f>+D68+Paid!F68</f>
        <v>936908</v>
      </c>
      <c r="G68" s="10">
        <f>+E68+Paid!G68</f>
        <v>0</v>
      </c>
    </row>
    <row r="69" spans="1:7" x14ac:dyDescent="0.25">
      <c r="A69" s="1">
        <v>2016</v>
      </c>
      <c r="B69" s="1" t="s">
        <v>31</v>
      </c>
      <c r="C69" s="1" t="s">
        <v>32</v>
      </c>
      <c r="D69" s="4">
        <v>874874</v>
      </c>
      <c r="E69" s="4"/>
      <c r="F69" s="10">
        <f>+D69+Paid!F69</f>
        <v>874874</v>
      </c>
      <c r="G69" s="10">
        <f>+E69+Paid!G69</f>
        <v>0</v>
      </c>
    </row>
    <row r="70" spans="1:7" x14ac:dyDescent="0.25">
      <c r="A70" s="1">
        <v>2017</v>
      </c>
      <c r="B70" s="1" t="s">
        <v>31</v>
      </c>
      <c r="C70" s="1" t="s">
        <v>32</v>
      </c>
      <c r="D70" s="4">
        <v>77430</v>
      </c>
      <c r="E70" s="4"/>
      <c r="F70" s="10">
        <f>+D70+Paid!F70</f>
        <v>77430</v>
      </c>
      <c r="G70" s="10">
        <f>+E70+Paid!G70</f>
        <v>0</v>
      </c>
    </row>
    <row r="71" spans="1:7" x14ac:dyDescent="0.25">
      <c r="A71" s="1">
        <v>2018</v>
      </c>
      <c r="B71" s="1" t="s">
        <v>31</v>
      </c>
      <c r="C71" s="1" t="s">
        <v>32</v>
      </c>
      <c r="D71" s="12"/>
      <c r="E71" s="4"/>
      <c r="F71" s="10">
        <f>+D71+Paid!F71</f>
        <v>0</v>
      </c>
      <c r="G71" s="10">
        <f>+E71+Paid!G71</f>
        <v>0</v>
      </c>
    </row>
    <row r="72" spans="1:7" x14ac:dyDescent="0.25">
      <c r="B72" s="1" t="s">
        <v>17</v>
      </c>
      <c r="D72" s="12"/>
      <c r="E72" s="4"/>
      <c r="F72" s="10">
        <f>+D72+Paid!F72</f>
        <v>0</v>
      </c>
      <c r="G72" s="10">
        <f>+E72+Paid!G72</f>
        <v>0</v>
      </c>
    </row>
    <row r="73" spans="1:7" x14ac:dyDescent="0.25">
      <c r="B73" s="1" t="s">
        <v>33</v>
      </c>
      <c r="D73" s="17">
        <v>21000000</v>
      </c>
      <c r="E73" s="18"/>
      <c r="F73" s="10">
        <f>+D73+Paid!F73</f>
        <v>21000000</v>
      </c>
      <c r="G73" s="10">
        <f>+E73+Paid!G73</f>
        <v>0</v>
      </c>
    </row>
    <row r="74" spans="1:7" x14ac:dyDescent="0.25">
      <c r="B74" s="1" t="s">
        <v>34</v>
      </c>
      <c r="D74" s="21">
        <f t="shared" ref="D74:E74" si="0">SUM(D2:D73)</f>
        <v>166204775</v>
      </c>
      <c r="E74" s="21">
        <f t="shared" si="0"/>
        <v>12158029</v>
      </c>
      <c r="F74" s="21">
        <f>SUM(F2:F73)</f>
        <v>171404775</v>
      </c>
      <c r="G74" s="21">
        <f>SUM(G2:G73)</f>
        <v>13141201.370000003</v>
      </c>
    </row>
    <row r="75" spans="1:7" x14ac:dyDescent="0.25">
      <c r="D75" s="13"/>
      <c r="E75" s="13"/>
      <c r="F75" s="13"/>
      <c r="G75" s="13"/>
    </row>
    <row r="76" spans="1:7" s="24" customFormat="1" x14ac:dyDescent="0.25">
      <c r="D76" s="27"/>
      <c r="E7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3"/>
  <sheetViews>
    <sheetView workbookViewId="0">
      <selection activeCell="G7" sqref="G7"/>
    </sheetView>
  </sheetViews>
  <sheetFormatPr defaultRowHeight="15" x14ac:dyDescent="0.25"/>
  <cols>
    <col min="1" max="1" width="5" style="1" bestFit="1" customWidth="1"/>
    <col min="2" max="2" width="23.85546875" style="1" customWidth="1"/>
    <col min="3" max="3" width="36.7109375" style="1" customWidth="1"/>
    <col min="4" max="4" width="11.5703125" style="1" customWidth="1"/>
    <col min="5" max="5" width="10.5703125" style="1" customWidth="1"/>
    <col min="6" max="6" width="12.140625" style="1" customWidth="1"/>
    <col min="7" max="7" width="11.140625" style="1" customWidth="1"/>
    <col min="8" max="16384" width="9.140625" style="1"/>
  </cols>
  <sheetData>
    <row r="1" spans="1:7" ht="30" x14ac:dyDescent="0.25">
      <c r="A1" s="1" t="s">
        <v>38</v>
      </c>
      <c r="B1" s="1" t="s">
        <v>39</v>
      </c>
      <c r="C1" s="1" t="s">
        <v>40</v>
      </c>
      <c r="D1" s="51" t="s">
        <v>53</v>
      </c>
      <c r="E1" s="51" t="s">
        <v>54</v>
      </c>
      <c r="F1" s="51" t="s">
        <v>55</v>
      </c>
      <c r="G1" s="51" t="s">
        <v>56</v>
      </c>
    </row>
    <row r="2" spans="1:7" x14ac:dyDescent="0.25">
      <c r="A2" s="1">
        <v>1982</v>
      </c>
      <c r="B2" s="1" t="s">
        <v>2</v>
      </c>
      <c r="D2" s="2"/>
      <c r="E2" s="2"/>
      <c r="F2" s="2"/>
      <c r="G2" s="2"/>
    </row>
    <row r="3" spans="1:7" x14ac:dyDescent="0.25">
      <c r="A3" s="1">
        <v>1983</v>
      </c>
      <c r="B3" s="1" t="s">
        <v>2</v>
      </c>
      <c r="D3" s="2"/>
      <c r="E3" s="2"/>
      <c r="F3" s="2"/>
      <c r="G3" s="2"/>
    </row>
    <row r="4" spans="1:7" x14ac:dyDescent="0.25">
      <c r="A4" s="1">
        <v>1984</v>
      </c>
      <c r="B4" s="1" t="s">
        <v>3</v>
      </c>
      <c r="D4" s="2"/>
      <c r="E4" s="2"/>
      <c r="F4" s="2"/>
      <c r="G4" s="2"/>
    </row>
    <row r="5" spans="1:7" x14ac:dyDescent="0.25">
      <c r="A5" s="1">
        <v>1985</v>
      </c>
      <c r="B5" s="1" t="s">
        <v>4</v>
      </c>
      <c r="D5" s="2"/>
      <c r="E5" s="2"/>
      <c r="F5" s="2"/>
      <c r="G5" s="2"/>
    </row>
    <row r="6" spans="1:7" x14ac:dyDescent="0.25">
      <c r="A6" s="1">
        <v>1986</v>
      </c>
      <c r="B6" s="1" t="s">
        <v>4</v>
      </c>
      <c r="D6" s="2"/>
      <c r="E6" s="2"/>
      <c r="F6" s="2"/>
      <c r="G6" s="2"/>
    </row>
    <row r="7" spans="1:7" x14ac:dyDescent="0.25">
      <c r="A7" s="1">
        <v>1987</v>
      </c>
      <c r="B7" s="1" t="s">
        <v>4</v>
      </c>
      <c r="D7" s="2"/>
      <c r="E7" s="2"/>
      <c r="F7" s="2"/>
      <c r="G7" s="2"/>
    </row>
    <row r="8" spans="1:7" x14ac:dyDescent="0.25">
      <c r="A8" s="1">
        <v>1988</v>
      </c>
      <c r="B8" s="1" t="s">
        <v>2</v>
      </c>
      <c r="D8" s="2"/>
      <c r="E8" s="2"/>
      <c r="F8" s="2"/>
      <c r="G8" s="2"/>
    </row>
    <row r="9" spans="1:7" x14ac:dyDescent="0.25">
      <c r="A9" s="1">
        <v>1988</v>
      </c>
      <c r="B9" s="1" t="s">
        <v>3</v>
      </c>
      <c r="D9" s="2"/>
      <c r="E9" s="2"/>
      <c r="F9" s="2"/>
      <c r="G9" s="2"/>
    </row>
    <row r="10" spans="1:7" x14ac:dyDescent="0.25">
      <c r="A10" s="1">
        <v>1989</v>
      </c>
      <c r="B10" s="1" t="s">
        <v>2</v>
      </c>
      <c r="D10" s="2"/>
      <c r="E10" s="2"/>
      <c r="F10" s="2"/>
      <c r="G10" s="2"/>
    </row>
    <row r="11" spans="1:7" x14ac:dyDescent="0.25">
      <c r="A11" s="1">
        <v>1989</v>
      </c>
      <c r="B11" s="1" t="s">
        <v>3</v>
      </c>
      <c r="D11" s="2"/>
      <c r="E11" s="2"/>
      <c r="F11" s="2"/>
      <c r="G11" s="2"/>
    </row>
    <row r="12" spans="1:7" x14ac:dyDescent="0.25">
      <c r="A12" s="1">
        <v>1990</v>
      </c>
      <c r="B12" s="1" t="s">
        <v>2</v>
      </c>
      <c r="D12" s="2"/>
      <c r="E12" s="2"/>
      <c r="F12" s="2"/>
      <c r="G12" s="2"/>
    </row>
    <row r="13" spans="1:7" x14ac:dyDescent="0.25">
      <c r="A13" s="1">
        <v>1994</v>
      </c>
      <c r="B13" s="1" t="s">
        <v>5</v>
      </c>
      <c r="D13" s="2"/>
      <c r="E13" s="2"/>
      <c r="F13" s="2"/>
      <c r="G13" s="2"/>
    </row>
    <row r="14" spans="1:7" x14ac:dyDescent="0.25">
      <c r="A14" s="1">
        <v>1994</v>
      </c>
      <c r="B14" s="1" t="s">
        <v>6</v>
      </c>
      <c r="D14" s="2"/>
      <c r="E14" s="2"/>
      <c r="F14" s="2"/>
      <c r="G14" s="2"/>
    </row>
    <row r="15" spans="1:7" x14ac:dyDescent="0.25">
      <c r="A15" s="1">
        <v>1995</v>
      </c>
      <c r="B15" s="1" t="s">
        <v>5</v>
      </c>
      <c r="D15" s="2"/>
      <c r="E15" s="2"/>
      <c r="F15" s="2"/>
      <c r="G15" s="2"/>
    </row>
    <row r="16" spans="1:7" x14ac:dyDescent="0.25">
      <c r="A16" s="1">
        <v>1995</v>
      </c>
      <c r="B16" s="1" t="s">
        <v>7</v>
      </c>
      <c r="D16" s="2"/>
      <c r="E16" s="2"/>
      <c r="F16" s="2"/>
      <c r="G16" s="2"/>
    </row>
    <row r="17" spans="1:7" x14ac:dyDescent="0.25">
      <c r="A17" s="1">
        <v>1995</v>
      </c>
      <c r="B17" s="1" t="s">
        <v>8</v>
      </c>
      <c r="D17" s="2"/>
      <c r="E17" s="2"/>
      <c r="F17" s="2"/>
      <c r="G17" s="2"/>
    </row>
    <row r="18" spans="1:7" x14ac:dyDescent="0.25">
      <c r="A18" s="1">
        <v>1996</v>
      </c>
      <c r="B18" s="1" t="s">
        <v>8</v>
      </c>
      <c r="D18" s="2"/>
      <c r="E18" s="2"/>
      <c r="F18" s="2"/>
      <c r="G18" s="2"/>
    </row>
    <row r="19" spans="1:7" x14ac:dyDescent="0.25">
      <c r="A19" s="1">
        <v>1996</v>
      </c>
      <c r="B19" s="1" t="s">
        <v>5</v>
      </c>
      <c r="D19" s="2"/>
      <c r="E19" s="2"/>
      <c r="F19" s="2"/>
      <c r="G19" s="2"/>
    </row>
    <row r="20" spans="1:7" x14ac:dyDescent="0.25">
      <c r="A20" s="1">
        <v>1996</v>
      </c>
      <c r="B20" s="1" t="s">
        <v>9</v>
      </c>
      <c r="D20" s="2"/>
      <c r="E20" s="2"/>
      <c r="F20" s="2"/>
      <c r="G20" s="2"/>
    </row>
    <row r="21" spans="1:7" x14ac:dyDescent="0.25">
      <c r="A21" s="1">
        <v>1997</v>
      </c>
      <c r="B21" s="1" t="s">
        <v>5</v>
      </c>
      <c r="D21" s="2"/>
      <c r="E21" s="2"/>
      <c r="F21" s="2"/>
      <c r="G21" s="2"/>
    </row>
    <row r="22" spans="1:7" x14ac:dyDescent="0.25">
      <c r="A22" s="1">
        <v>1997</v>
      </c>
      <c r="B22" s="1" t="s">
        <v>9</v>
      </c>
      <c r="D22" s="2"/>
      <c r="E22" s="2"/>
      <c r="F22" s="2"/>
      <c r="G22" s="2"/>
    </row>
    <row r="23" spans="1:7" x14ac:dyDescent="0.25">
      <c r="A23" s="1">
        <v>1998</v>
      </c>
      <c r="B23" s="1" t="s">
        <v>9</v>
      </c>
      <c r="D23" s="2"/>
      <c r="E23" s="2"/>
      <c r="F23" s="2"/>
      <c r="G23" s="2"/>
    </row>
    <row r="24" spans="1:7" x14ac:dyDescent="0.25">
      <c r="A24" s="1">
        <v>1998</v>
      </c>
      <c r="B24" s="1" t="s">
        <v>5</v>
      </c>
      <c r="D24" s="2"/>
      <c r="E24" s="2"/>
      <c r="F24" s="2"/>
      <c r="G24" s="2"/>
    </row>
    <row r="25" spans="1:7" x14ac:dyDescent="0.25">
      <c r="A25" s="1">
        <v>1998</v>
      </c>
      <c r="B25" s="1" t="s">
        <v>10</v>
      </c>
      <c r="D25" s="2"/>
      <c r="E25" s="2"/>
      <c r="F25" s="2"/>
      <c r="G25" s="2"/>
    </row>
    <row r="26" spans="1:7" x14ac:dyDescent="0.25">
      <c r="A26" s="1">
        <v>1998</v>
      </c>
      <c r="B26" s="1" t="s">
        <v>11</v>
      </c>
      <c r="D26" s="2"/>
      <c r="E26" s="2"/>
      <c r="F26" s="2"/>
      <c r="G26" s="2"/>
    </row>
    <row r="27" spans="1:7" x14ac:dyDescent="0.25">
      <c r="A27" s="1">
        <v>1998</v>
      </c>
      <c r="B27" s="1" t="s">
        <v>12</v>
      </c>
      <c r="D27" s="2"/>
      <c r="E27" s="2"/>
      <c r="F27" s="2"/>
      <c r="G27" s="2"/>
    </row>
    <row r="28" spans="1:7" ht="16.5" customHeight="1" x14ac:dyDescent="0.25">
      <c r="A28" s="1">
        <v>1999</v>
      </c>
      <c r="B28" s="1" t="s">
        <v>9</v>
      </c>
      <c r="D28" s="2"/>
      <c r="E28" s="2"/>
      <c r="F28" s="2"/>
      <c r="G28" s="2"/>
    </row>
    <row r="29" spans="1:7" x14ac:dyDescent="0.25">
      <c r="A29" s="1">
        <v>1999</v>
      </c>
      <c r="B29" s="1" t="s">
        <v>5</v>
      </c>
      <c r="D29" s="2"/>
      <c r="E29" s="2"/>
      <c r="F29" s="2"/>
      <c r="G29" s="2"/>
    </row>
    <row r="30" spans="1:7" x14ac:dyDescent="0.25">
      <c r="A30" s="1">
        <v>2000</v>
      </c>
      <c r="B30" s="1" t="s">
        <v>5</v>
      </c>
      <c r="D30" s="2"/>
      <c r="E30" s="2"/>
      <c r="F30" s="2"/>
      <c r="G30" s="2"/>
    </row>
    <row r="31" spans="1:7" x14ac:dyDescent="0.25">
      <c r="A31" s="1">
        <v>2001</v>
      </c>
      <c r="B31" s="1" t="s">
        <v>9</v>
      </c>
      <c r="D31" s="2"/>
      <c r="E31" s="2"/>
      <c r="F31" s="2"/>
      <c r="G31" s="2"/>
    </row>
    <row r="32" spans="1:7" x14ac:dyDescent="0.25">
      <c r="A32" s="1">
        <v>2001</v>
      </c>
      <c r="B32" s="1" t="s">
        <v>5</v>
      </c>
      <c r="D32" s="2"/>
      <c r="E32" s="2"/>
      <c r="F32" s="2"/>
      <c r="G32" s="2"/>
    </row>
    <row r="33" spans="1:7" ht="15.75" customHeight="1" x14ac:dyDescent="0.25">
      <c r="A33" s="1">
        <v>2002</v>
      </c>
      <c r="B33" s="1" t="s">
        <v>5</v>
      </c>
      <c r="D33" s="2"/>
      <c r="E33" s="2"/>
      <c r="F33" s="2"/>
      <c r="G33" s="2"/>
    </row>
    <row r="34" spans="1:7" x14ac:dyDescent="0.25">
      <c r="A34" s="1">
        <v>2003</v>
      </c>
      <c r="B34" s="1" t="s">
        <v>13</v>
      </c>
      <c r="D34" s="2"/>
      <c r="E34" s="2"/>
      <c r="F34" s="2"/>
      <c r="G34" s="2"/>
    </row>
    <row r="35" spans="1:7" x14ac:dyDescent="0.25">
      <c r="A35" s="1">
        <v>2004</v>
      </c>
      <c r="B35" s="1" t="s">
        <v>14</v>
      </c>
      <c r="D35" s="2"/>
      <c r="E35" s="2"/>
      <c r="F35" s="2"/>
      <c r="G35" s="2"/>
    </row>
    <row r="36" spans="1:7" x14ac:dyDescent="0.25">
      <c r="A36" s="1">
        <v>2004</v>
      </c>
      <c r="B36" s="1" t="s">
        <v>13</v>
      </c>
      <c r="D36" s="2"/>
      <c r="E36" s="2"/>
      <c r="F36" s="2"/>
      <c r="G36" s="2"/>
    </row>
    <row r="37" spans="1:7" x14ac:dyDescent="0.25">
      <c r="A37" s="1">
        <v>2004</v>
      </c>
      <c r="B37" s="1" t="s">
        <v>15</v>
      </c>
      <c r="D37" s="2"/>
      <c r="E37" s="2"/>
      <c r="F37" s="2"/>
      <c r="G37" s="2"/>
    </row>
    <row r="38" spans="1:7" x14ac:dyDescent="0.25">
      <c r="A38" s="1">
        <v>2004</v>
      </c>
      <c r="B38" s="1" t="s">
        <v>15</v>
      </c>
      <c r="D38" s="2"/>
      <c r="E38" s="2"/>
      <c r="F38" s="2"/>
      <c r="G38" s="2"/>
    </row>
    <row r="39" spans="1:7" x14ac:dyDescent="0.25">
      <c r="A39" s="1">
        <v>2004</v>
      </c>
      <c r="B39" s="1" t="s">
        <v>16</v>
      </c>
      <c r="D39" s="2"/>
      <c r="E39" s="2"/>
      <c r="F39" s="2"/>
      <c r="G39" s="2"/>
    </row>
    <row r="40" spans="1:7" x14ac:dyDescent="0.25">
      <c r="A40" s="1">
        <v>2005</v>
      </c>
      <c r="B40" s="1" t="s">
        <v>16</v>
      </c>
      <c r="D40" s="2"/>
      <c r="E40" s="2"/>
      <c r="F40" s="2"/>
      <c r="G40" s="2"/>
    </row>
    <row r="41" spans="1:7" x14ac:dyDescent="0.25">
      <c r="A41" s="1">
        <v>2005</v>
      </c>
      <c r="B41" s="1" t="s">
        <v>13</v>
      </c>
      <c r="D41" s="2"/>
      <c r="E41" s="2"/>
      <c r="F41" s="2"/>
      <c r="G41" s="2"/>
    </row>
    <row r="42" spans="1:7" x14ac:dyDescent="0.25">
      <c r="A42" s="1">
        <v>2006</v>
      </c>
      <c r="B42" s="1" t="s">
        <v>13</v>
      </c>
      <c r="D42" s="2"/>
      <c r="E42" s="2"/>
      <c r="F42" s="2"/>
      <c r="G42" s="2"/>
    </row>
    <row r="43" spans="1:7" x14ac:dyDescent="0.25">
      <c r="A43" s="1">
        <v>2006</v>
      </c>
      <c r="B43" s="1" t="s">
        <v>16</v>
      </c>
      <c r="D43" s="2"/>
      <c r="E43" s="2"/>
      <c r="F43" s="2"/>
      <c r="G43" s="2"/>
    </row>
    <row r="44" spans="1:7" ht="15.75" customHeight="1" x14ac:dyDescent="0.25">
      <c r="A44" s="1">
        <v>2007</v>
      </c>
      <c r="B44" s="1" t="s">
        <v>18</v>
      </c>
      <c r="D44" s="4"/>
      <c r="E44" s="4"/>
      <c r="F44" s="4"/>
      <c r="G44" s="4"/>
    </row>
    <row r="45" spans="1:7" x14ac:dyDescent="0.25">
      <c r="A45" s="1">
        <v>2007</v>
      </c>
      <c r="B45" s="1" t="s">
        <v>19</v>
      </c>
      <c r="D45" s="2"/>
      <c r="E45" s="2"/>
      <c r="F45" s="2"/>
      <c r="G45" s="2"/>
    </row>
    <row r="46" spans="1:7" x14ac:dyDescent="0.25">
      <c r="A46" s="1">
        <v>2007</v>
      </c>
      <c r="B46" s="1" t="s">
        <v>20</v>
      </c>
      <c r="D46" s="2"/>
      <c r="E46" s="2"/>
      <c r="F46" s="2"/>
      <c r="G46" s="2"/>
    </row>
    <row r="47" spans="1:7" x14ac:dyDescent="0.25">
      <c r="A47" s="1">
        <v>2007</v>
      </c>
      <c r="B47" s="1" t="s">
        <v>21</v>
      </c>
      <c r="D47" s="2"/>
      <c r="E47" s="2"/>
      <c r="F47" s="2"/>
      <c r="G47" s="2"/>
    </row>
    <row r="48" spans="1:7" x14ac:dyDescent="0.25">
      <c r="A48" s="1">
        <v>2008</v>
      </c>
      <c r="B48" s="1" t="s">
        <v>19</v>
      </c>
      <c r="D48" s="2"/>
      <c r="E48" s="2"/>
      <c r="F48" s="2"/>
      <c r="G48" s="2"/>
    </row>
    <row r="49" spans="1:7" x14ac:dyDescent="0.25">
      <c r="A49" s="1">
        <v>2008</v>
      </c>
      <c r="B49" s="1" t="s">
        <v>22</v>
      </c>
      <c r="D49" s="2"/>
      <c r="E49" s="2"/>
      <c r="F49" s="2"/>
      <c r="G49" s="2"/>
    </row>
    <row r="50" spans="1:7" x14ac:dyDescent="0.25">
      <c r="A50" s="1">
        <v>2009</v>
      </c>
      <c r="B50" s="1" t="s">
        <v>20</v>
      </c>
      <c r="D50" s="2"/>
      <c r="E50" s="2"/>
      <c r="F50" s="2"/>
      <c r="G50" s="2"/>
    </row>
    <row r="51" spans="1:7" x14ac:dyDescent="0.25">
      <c r="A51" s="1">
        <v>2009</v>
      </c>
      <c r="B51" s="1" t="s">
        <v>4</v>
      </c>
      <c r="C51" s="1" t="s">
        <v>23</v>
      </c>
      <c r="D51" s="4">
        <v>1890000</v>
      </c>
      <c r="E51" s="4">
        <v>78565</v>
      </c>
      <c r="F51" s="4">
        <v>1890000</v>
      </c>
      <c r="G51" s="4">
        <v>78389.59</v>
      </c>
    </row>
    <row r="52" spans="1:7" x14ac:dyDescent="0.25">
      <c r="A52" s="1">
        <v>2010</v>
      </c>
      <c r="B52" s="1" t="s">
        <v>4</v>
      </c>
      <c r="C52" s="1" t="s">
        <v>23</v>
      </c>
      <c r="D52" s="4">
        <v>600000</v>
      </c>
      <c r="E52" s="4">
        <v>55833</v>
      </c>
      <c r="F52" s="4">
        <v>600000</v>
      </c>
      <c r="G52" s="4">
        <v>76269.05</v>
      </c>
    </row>
    <row r="53" spans="1:7" x14ac:dyDescent="0.25">
      <c r="A53" s="1">
        <v>2011</v>
      </c>
      <c r="B53" s="1" t="s">
        <v>4</v>
      </c>
      <c r="C53" s="1" t="s">
        <v>23</v>
      </c>
      <c r="D53" s="4">
        <v>5920002</v>
      </c>
      <c r="E53" s="4">
        <v>334306</v>
      </c>
      <c r="F53" s="4">
        <v>4620002</v>
      </c>
      <c r="G53" s="4">
        <v>191698.77</v>
      </c>
    </row>
    <row r="54" spans="1:7" x14ac:dyDescent="0.25">
      <c r="A54" s="1">
        <v>2012</v>
      </c>
      <c r="B54" s="1" t="s">
        <v>4</v>
      </c>
      <c r="C54" s="1" t="s">
        <v>24</v>
      </c>
      <c r="D54" s="4"/>
      <c r="E54" s="4"/>
      <c r="F54" s="4">
        <v>0</v>
      </c>
      <c r="G54" s="4">
        <v>0</v>
      </c>
    </row>
    <row r="55" spans="1:7" x14ac:dyDescent="0.25">
      <c r="A55" s="1">
        <v>2013</v>
      </c>
      <c r="B55" s="1" t="s">
        <v>4</v>
      </c>
      <c r="C55" s="1" t="s">
        <v>24</v>
      </c>
      <c r="D55" s="4">
        <v>2850000</v>
      </c>
      <c r="E55" s="4">
        <v>131091</v>
      </c>
      <c r="F55" s="4">
        <v>937500</v>
      </c>
      <c r="G55" s="4">
        <v>49075.26</v>
      </c>
    </row>
    <row r="56" spans="1:7" x14ac:dyDescent="0.25">
      <c r="A56" s="1">
        <v>2014</v>
      </c>
      <c r="B56" s="1" t="s">
        <v>4</v>
      </c>
      <c r="C56" s="1" t="s">
        <v>24</v>
      </c>
      <c r="D56" s="4"/>
      <c r="E56" s="4"/>
      <c r="F56" s="4">
        <v>1200000</v>
      </c>
      <c r="G56" s="4">
        <v>24979.59</v>
      </c>
    </row>
    <row r="57" spans="1:7" x14ac:dyDescent="0.25">
      <c r="A57" s="1">
        <v>2015</v>
      </c>
      <c r="B57" s="1" t="s">
        <v>4</v>
      </c>
      <c r="C57" s="1" t="s">
        <v>25</v>
      </c>
      <c r="D57" s="4">
        <v>1762500</v>
      </c>
      <c r="E57" s="4">
        <v>77253</v>
      </c>
      <c r="F57" s="4">
        <v>225000</v>
      </c>
      <c r="G57" s="4">
        <v>3812.5</v>
      </c>
    </row>
    <row r="58" spans="1:7" x14ac:dyDescent="0.25">
      <c r="A58" s="1">
        <v>2016</v>
      </c>
      <c r="B58" s="1" t="s">
        <v>4</v>
      </c>
      <c r="C58" s="1" t="s">
        <v>25</v>
      </c>
      <c r="D58" s="4"/>
      <c r="E58" s="4"/>
      <c r="F58" s="4"/>
      <c r="G58" s="4"/>
    </row>
    <row r="59" spans="1:7" x14ac:dyDescent="0.25">
      <c r="A59" s="1">
        <v>2017</v>
      </c>
      <c r="B59" s="1" t="s">
        <v>4</v>
      </c>
      <c r="C59" s="1" t="s">
        <v>25</v>
      </c>
      <c r="D59" s="4"/>
      <c r="E59" s="4"/>
      <c r="F59" s="4"/>
      <c r="G59" s="4"/>
    </row>
    <row r="60" spans="1:7" x14ac:dyDescent="0.25">
      <c r="A60" s="1">
        <v>2018</v>
      </c>
      <c r="B60" s="1" t="s">
        <v>4</v>
      </c>
      <c r="C60" s="1" t="s">
        <v>25</v>
      </c>
      <c r="D60" s="4"/>
      <c r="E60" s="4"/>
      <c r="F60" s="4"/>
      <c r="G60" s="4"/>
    </row>
    <row r="61" spans="1:7" x14ac:dyDescent="0.25">
      <c r="A61" s="1">
        <v>2011</v>
      </c>
      <c r="B61" s="1" t="s">
        <v>26</v>
      </c>
      <c r="C61" s="1" t="s">
        <v>27</v>
      </c>
      <c r="D61" s="4">
        <v>700000</v>
      </c>
      <c r="E61" s="4">
        <v>26250</v>
      </c>
      <c r="F61" s="4">
        <v>0</v>
      </c>
      <c r="G61" s="4">
        <v>0</v>
      </c>
    </row>
    <row r="62" spans="1:7" x14ac:dyDescent="0.25">
      <c r="A62" s="1">
        <v>2014</v>
      </c>
      <c r="B62" s="1" t="s">
        <v>28</v>
      </c>
      <c r="C62" s="1" t="s">
        <v>29</v>
      </c>
      <c r="D62" s="4">
        <v>1075618</v>
      </c>
      <c r="E62" s="4">
        <v>96353</v>
      </c>
      <c r="F62" s="4">
        <v>250000</v>
      </c>
      <c r="G62" s="4">
        <v>19702.41</v>
      </c>
    </row>
    <row r="63" spans="1:7" x14ac:dyDescent="0.25">
      <c r="A63" s="1">
        <v>2015</v>
      </c>
      <c r="B63" s="1" t="s">
        <v>28</v>
      </c>
      <c r="C63" s="1" t="s">
        <v>29</v>
      </c>
      <c r="D63" s="4">
        <v>1922790</v>
      </c>
      <c r="E63" s="4">
        <v>101512</v>
      </c>
      <c r="F63" s="4">
        <f>930003</f>
        <v>930003</v>
      </c>
      <c r="G63" s="4">
        <v>133612.09</v>
      </c>
    </row>
    <row r="64" spans="1:7" x14ac:dyDescent="0.25">
      <c r="A64" s="1">
        <v>2016</v>
      </c>
      <c r="B64" s="1" t="s">
        <v>28</v>
      </c>
      <c r="C64" s="1" t="s">
        <v>29</v>
      </c>
      <c r="D64" s="4">
        <v>2758000</v>
      </c>
      <c r="E64" s="4">
        <v>195524</v>
      </c>
      <c r="F64" s="4">
        <f>1568536.98+10001</f>
        <v>1578537.98</v>
      </c>
      <c r="G64" s="4">
        <v>329612.55</v>
      </c>
    </row>
    <row r="65" spans="1:7" x14ac:dyDescent="0.25">
      <c r="A65" s="1">
        <v>2017</v>
      </c>
      <c r="B65" s="1" t="s">
        <v>28</v>
      </c>
      <c r="C65" s="1" t="s">
        <v>29</v>
      </c>
      <c r="D65" s="4">
        <v>120000</v>
      </c>
      <c r="E65" s="4">
        <v>40976</v>
      </c>
      <c r="F65" s="4">
        <v>560005</v>
      </c>
      <c r="G65" s="4">
        <v>141189.91</v>
      </c>
    </row>
    <row r="66" spans="1:7" x14ac:dyDescent="0.25">
      <c r="A66" s="1">
        <v>2018</v>
      </c>
      <c r="B66" s="1" t="s">
        <v>28</v>
      </c>
      <c r="C66" s="1" t="s">
        <v>29</v>
      </c>
      <c r="D66" s="4"/>
      <c r="E66" s="4"/>
      <c r="F66" s="4">
        <v>370000</v>
      </c>
      <c r="G66" s="4">
        <v>120673.37</v>
      </c>
    </row>
    <row r="67" spans="1:7" x14ac:dyDescent="0.25">
      <c r="A67" s="1">
        <v>2007</v>
      </c>
      <c r="B67" s="1" t="s">
        <v>21</v>
      </c>
      <c r="C67" s="1" t="s">
        <v>30</v>
      </c>
      <c r="D67" s="4"/>
      <c r="E67" s="4"/>
      <c r="F67" s="4"/>
      <c r="G67" s="4"/>
    </row>
    <row r="68" spans="1:7" x14ac:dyDescent="0.25">
      <c r="A68" s="1">
        <v>2015</v>
      </c>
      <c r="B68" s="1" t="s">
        <v>31</v>
      </c>
      <c r="C68" s="1" t="s">
        <v>32</v>
      </c>
      <c r="D68" s="4"/>
      <c r="E68" s="4"/>
      <c r="F68" s="4"/>
      <c r="G68" s="4"/>
    </row>
    <row r="69" spans="1:7" x14ac:dyDescent="0.25">
      <c r="A69" s="1">
        <v>2016</v>
      </c>
      <c r="B69" s="1" t="s">
        <v>31</v>
      </c>
      <c r="C69" s="1" t="s">
        <v>32</v>
      </c>
      <c r="D69" s="4"/>
      <c r="E69" s="4"/>
      <c r="F69" s="4"/>
      <c r="G69" s="4"/>
    </row>
    <row r="70" spans="1:7" x14ac:dyDescent="0.25">
      <c r="A70" s="1">
        <v>2017</v>
      </c>
      <c r="B70" s="1" t="s">
        <v>31</v>
      </c>
      <c r="C70" s="1" t="s">
        <v>32</v>
      </c>
      <c r="D70" s="4"/>
      <c r="E70" s="4"/>
      <c r="F70" s="4"/>
      <c r="G70" s="4"/>
    </row>
    <row r="71" spans="1:7" x14ac:dyDescent="0.25">
      <c r="A71" s="1">
        <v>2018</v>
      </c>
      <c r="B71" s="1" t="s">
        <v>31</v>
      </c>
      <c r="C71" s="1" t="s">
        <v>32</v>
      </c>
      <c r="D71" s="2"/>
      <c r="E71" s="2"/>
      <c r="F71" s="2"/>
      <c r="G71" s="2"/>
    </row>
    <row r="72" spans="1:7" x14ac:dyDescent="0.25">
      <c r="B72" s="1" t="s">
        <v>17</v>
      </c>
      <c r="D72" s="2"/>
      <c r="E72" s="2"/>
      <c r="F72" s="2"/>
      <c r="G72" s="2"/>
    </row>
    <row r="73" spans="1:7" x14ac:dyDescent="0.25">
      <c r="B73" s="1" t="s">
        <v>33</v>
      </c>
      <c r="D73" s="18"/>
      <c r="E73" s="18"/>
      <c r="F73" s="18"/>
      <c r="G73" s="18"/>
    </row>
    <row r="74" spans="1:7" x14ac:dyDescent="0.25">
      <c r="B74" s="1" t="s">
        <v>34</v>
      </c>
      <c r="D74" s="21">
        <f t="shared" ref="D74:E74" si="0">SUM(D51:D73)</f>
        <v>19598910</v>
      </c>
      <c r="E74" s="21">
        <f t="shared" si="0"/>
        <v>1137663</v>
      </c>
      <c r="F74" s="21">
        <f>SUM(F51:F73)</f>
        <v>13161047.98</v>
      </c>
      <c r="G74" s="21">
        <f>SUM(G51:G73)</f>
        <v>1169015.0900000001</v>
      </c>
    </row>
    <row r="75" spans="1:7" x14ac:dyDescent="0.25">
      <c r="D75" s="13">
        <f t="shared" ref="D75:E75" si="1">SUM(D51:D71)</f>
        <v>19598910</v>
      </c>
      <c r="E75" s="13">
        <f t="shared" si="1"/>
        <v>1137663</v>
      </c>
      <c r="F75" s="13">
        <f>SUM(F51:F71)</f>
        <v>13161047.98</v>
      </c>
      <c r="G75" s="13">
        <f>SUM(G51:G71)</f>
        <v>1169015.0900000001</v>
      </c>
    </row>
    <row r="76" spans="1:7" s="24" customFormat="1" x14ac:dyDescent="0.25">
      <c r="D76" s="30"/>
      <c r="E76" s="31"/>
      <c r="F76" s="30"/>
      <c r="G76" s="31"/>
    </row>
    <row r="83" ht="15" customHeight="1" x14ac:dyDescent="0.25"/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workbookViewId="0">
      <selection activeCell="D1" sqref="D1"/>
    </sheetView>
  </sheetViews>
  <sheetFormatPr defaultRowHeight="15" x14ac:dyDescent="0.25"/>
  <cols>
    <col min="1" max="1" width="5" style="1" bestFit="1" customWidth="1"/>
    <col min="2" max="2" width="23.85546875" style="1" customWidth="1"/>
    <col min="3" max="3" width="36.7109375" style="1" customWidth="1"/>
    <col min="4" max="4" width="14.28515625" style="1" customWidth="1"/>
    <col min="5" max="5" width="10.5703125" style="1" bestFit="1" customWidth="1"/>
    <col min="6" max="6" width="13.85546875" style="1" customWidth="1"/>
    <col min="7" max="7" width="14.85546875" style="1" customWidth="1"/>
    <col min="8" max="10" width="10.5703125" style="1" customWidth="1"/>
    <col min="11" max="16384" width="9.140625" style="1"/>
  </cols>
  <sheetData>
    <row r="1" spans="1:10" ht="45" x14ac:dyDescent="0.25">
      <c r="A1" s="1" t="s">
        <v>38</v>
      </c>
      <c r="B1" s="1" t="s">
        <v>39</v>
      </c>
      <c r="C1" s="1" t="s">
        <v>40</v>
      </c>
      <c r="D1" s="51" t="s">
        <v>57</v>
      </c>
      <c r="E1" s="51" t="s">
        <v>58</v>
      </c>
      <c r="F1" s="51" t="s">
        <v>60</v>
      </c>
      <c r="G1" s="51" t="s">
        <v>59</v>
      </c>
    </row>
    <row r="2" spans="1:10" x14ac:dyDescent="0.25">
      <c r="A2" s="1">
        <v>1982</v>
      </c>
      <c r="B2" s="1" t="s">
        <v>2</v>
      </c>
      <c r="D2" s="11">
        <f>+'Ultimate-Report'!D3-Paid!D2-Case!D2</f>
        <v>0</v>
      </c>
      <c r="E2" s="11">
        <f>+'Ultimate-Report'!E3-Paid!E2-Case!E2</f>
        <v>0</v>
      </c>
      <c r="F2" s="11">
        <f>+'Ultimate-Report'!F3-'ITD Paid'!F2-Case!F2</f>
        <v>0</v>
      </c>
      <c r="G2" s="11">
        <f>+'Ultimate-Report'!G3-'ITD Paid'!G2-Case!G2</f>
        <v>0</v>
      </c>
      <c r="H2" s="11"/>
      <c r="I2" s="11"/>
      <c r="J2" s="11"/>
    </row>
    <row r="3" spans="1:10" x14ac:dyDescent="0.25">
      <c r="A3" s="1">
        <v>1983</v>
      </c>
      <c r="B3" s="1" t="s">
        <v>2</v>
      </c>
      <c r="D3" s="11">
        <f>+'Ultimate-Report'!D4-Paid!D3-Case!D3</f>
        <v>0</v>
      </c>
      <c r="E3" s="11">
        <f>+'Ultimate-Report'!E4-Paid!E3-Case!E3</f>
        <v>0</v>
      </c>
      <c r="F3" s="11">
        <f>+'Ultimate-Report'!F4-'ITD Paid'!F3-Case!F3</f>
        <v>0</v>
      </c>
      <c r="G3" s="11">
        <f>+'Ultimate-Report'!G4-'ITD Paid'!G3-Case!G3</f>
        <v>0</v>
      </c>
      <c r="H3" s="11"/>
      <c r="I3" s="11"/>
      <c r="J3" s="11"/>
    </row>
    <row r="4" spans="1:10" x14ac:dyDescent="0.25">
      <c r="A4" s="1">
        <v>1984</v>
      </c>
      <c r="B4" s="1" t="s">
        <v>3</v>
      </c>
      <c r="D4" s="11">
        <f>+'Ultimate-Report'!D5-Paid!D4-Case!D4</f>
        <v>0</v>
      </c>
      <c r="E4" s="11">
        <f>+'Ultimate-Report'!E5-Paid!E4-Case!E4</f>
        <v>0</v>
      </c>
      <c r="F4" s="11">
        <f>+'Ultimate-Report'!F5-'ITD Paid'!F4-Case!F4</f>
        <v>0</v>
      </c>
      <c r="G4" s="11">
        <f>+'Ultimate-Report'!G5-'ITD Paid'!G4-Case!G4</f>
        <v>0</v>
      </c>
      <c r="H4" s="11"/>
      <c r="I4" s="11"/>
      <c r="J4" s="11"/>
    </row>
    <row r="5" spans="1:10" x14ac:dyDescent="0.25">
      <c r="A5" s="1">
        <v>1985</v>
      </c>
      <c r="B5" s="1" t="s">
        <v>4</v>
      </c>
      <c r="D5" s="11">
        <f>+'Ultimate-Report'!D6-Paid!D5-Case!D5</f>
        <v>0</v>
      </c>
      <c r="E5" s="11">
        <f>+'Ultimate-Report'!E6-Paid!E5-Case!E5</f>
        <v>0</v>
      </c>
      <c r="F5" s="11">
        <f>+'Ultimate-Report'!F6-'ITD Paid'!F5-Case!F5</f>
        <v>0</v>
      </c>
      <c r="G5" s="11">
        <f>+'Ultimate-Report'!G6-'ITD Paid'!G5-Case!G5</f>
        <v>0</v>
      </c>
      <c r="H5" s="11"/>
      <c r="I5" s="11"/>
      <c r="J5" s="11"/>
    </row>
    <row r="6" spans="1:10" x14ac:dyDescent="0.25">
      <c r="A6" s="1">
        <v>1986</v>
      </c>
      <c r="B6" s="1" t="s">
        <v>4</v>
      </c>
      <c r="D6" s="11">
        <f>+'Ultimate-Report'!D7-Paid!D6-Case!D6</f>
        <v>0</v>
      </c>
      <c r="E6" s="11">
        <f>+'Ultimate-Report'!E7-Paid!E6-Case!E6</f>
        <v>0</v>
      </c>
      <c r="F6" s="11">
        <f>+'Ultimate-Report'!F7-'ITD Paid'!F6-Case!F6</f>
        <v>0</v>
      </c>
      <c r="G6" s="11">
        <f>+'Ultimate-Report'!G7-'ITD Paid'!G6-Case!G6</f>
        <v>0</v>
      </c>
      <c r="H6" s="11"/>
      <c r="I6" s="11"/>
      <c r="J6" s="11"/>
    </row>
    <row r="7" spans="1:10" x14ac:dyDescent="0.25">
      <c r="A7" s="1">
        <v>1987</v>
      </c>
      <c r="B7" s="1" t="s">
        <v>4</v>
      </c>
      <c r="D7" s="11">
        <f>+'Ultimate-Report'!D8-Paid!D7-Case!D7</f>
        <v>0</v>
      </c>
      <c r="E7" s="11">
        <f>+'Ultimate-Report'!E8-Paid!E7-Case!E7</f>
        <v>0</v>
      </c>
      <c r="F7" s="11">
        <f>+'Ultimate-Report'!F8-'ITD Paid'!F7-Case!F7</f>
        <v>0</v>
      </c>
      <c r="G7" s="11">
        <f>+'Ultimate-Report'!G8-'ITD Paid'!G7-Case!G7</f>
        <v>0</v>
      </c>
      <c r="H7" s="11"/>
      <c r="I7" s="11"/>
      <c r="J7" s="11"/>
    </row>
    <row r="8" spans="1:10" x14ac:dyDescent="0.25">
      <c r="A8" s="1">
        <v>1988</v>
      </c>
      <c r="B8" s="1" t="s">
        <v>2</v>
      </c>
      <c r="D8" s="11">
        <f>+'Ultimate-Report'!D9-Paid!D8-Case!D8</f>
        <v>0</v>
      </c>
      <c r="E8" s="11">
        <f>+'Ultimate-Report'!E9-Paid!E8-Case!E8</f>
        <v>0</v>
      </c>
      <c r="F8" s="11">
        <f>+'Ultimate-Report'!F9-'ITD Paid'!F8-Case!F8</f>
        <v>0</v>
      </c>
      <c r="G8" s="11">
        <f>+'Ultimate-Report'!G9-'ITD Paid'!G8-Case!G8</f>
        <v>0</v>
      </c>
      <c r="H8" s="11"/>
      <c r="I8" s="11"/>
      <c r="J8" s="11"/>
    </row>
    <row r="9" spans="1:10" x14ac:dyDescent="0.25">
      <c r="A9" s="1">
        <v>1988</v>
      </c>
      <c r="B9" s="1" t="s">
        <v>3</v>
      </c>
      <c r="D9" s="11">
        <f>+'Ultimate-Report'!D10-Paid!D9-Case!D9</f>
        <v>0</v>
      </c>
      <c r="E9" s="11">
        <f>+'Ultimate-Report'!E10-Paid!E9-Case!E9</f>
        <v>0</v>
      </c>
      <c r="F9" s="11">
        <f>+'Ultimate-Report'!F10-'ITD Paid'!F9-Case!F9</f>
        <v>0</v>
      </c>
      <c r="G9" s="11">
        <f>+'Ultimate-Report'!G10-'ITD Paid'!G9-Case!G9</f>
        <v>0</v>
      </c>
      <c r="H9" s="11"/>
      <c r="I9" s="11"/>
      <c r="J9" s="11"/>
    </row>
    <row r="10" spans="1:10" x14ac:dyDescent="0.25">
      <c r="A10" s="1">
        <v>1989</v>
      </c>
      <c r="B10" s="1" t="s">
        <v>2</v>
      </c>
      <c r="D10" s="11">
        <f>+'Ultimate-Report'!D11-Paid!D10-Case!D10</f>
        <v>0</v>
      </c>
      <c r="E10" s="11">
        <f>+'Ultimate-Report'!E11-Paid!E10-Case!E10</f>
        <v>0</v>
      </c>
      <c r="F10" s="11">
        <f>+'Ultimate-Report'!F11-'ITD Paid'!F10-Case!F10</f>
        <v>0</v>
      </c>
      <c r="G10" s="11">
        <f>+'Ultimate-Report'!G11-'ITD Paid'!G10-Case!G10</f>
        <v>0</v>
      </c>
      <c r="H10" s="11"/>
      <c r="I10" s="11"/>
      <c r="J10" s="11"/>
    </row>
    <row r="11" spans="1:10" x14ac:dyDescent="0.25">
      <c r="A11" s="1">
        <v>1989</v>
      </c>
      <c r="B11" s="1" t="s">
        <v>3</v>
      </c>
      <c r="D11" s="11">
        <f>+'Ultimate-Report'!D12-Paid!D11-Case!D11</f>
        <v>0</v>
      </c>
      <c r="E11" s="11">
        <f>+'Ultimate-Report'!E12-Paid!E11-Case!E11</f>
        <v>0</v>
      </c>
      <c r="F11" s="11">
        <f>+'Ultimate-Report'!F12-'ITD Paid'!F11-Case!F11</f>
        <v>0</v>
      </c>
      <c r="G11" s="11">
        <f>+'Ultimate-Report'!G12-'ITD Paid'!G11-Case!G11</f>
        <v>0</v>
      </c>
      <c r="H11" s="11"/>
      <c r="I11" s="11"/>
      <c r="J11" s="11"/>
    </row>
    <row r="12" spans="1:10" x14ac:dyDescent="0.25">
      <c r="A12" s="1">
        <v>1990</v>
      </c>
      <c r="B12" s="1" t="s">
        <v>2</v>
      </c>
      <c r="D12" s="11">
        <f>+'Ultimate-Report'!D13-Paid!D12-Case!D12</f>
        <v>0</v>
      </c>
      <c r="E12" s="11">
        <f>+'Ultimate-Report'!E13-Paid!E12-Case!E12</f>
        <v>0</v>
      </c>
      <c r="F12" s="11">
        <f>+'Ultimate-Report'!F13-'ITD Paid'!F12-Case!F12</f>
        <v>0</v>
      </c>
      <c r="G12" s="11">
        <f>+'Ultimate-Report'!G13-'ITD Paid'!G12-Case!G12</f>
        <v>0</v>
      </c>
      <c r="H12" s="11"/>
      <c r="I12" s="11"/>
      <c r="J12" s="11"/>
    </row>
    <row r="13" spans="1:10" x14ac:dyDescent="0.25">
      <c r="A13" s="1">
        <v>1994</v>
      </c>
      <c r="B13" s="1" t="s">
        <v>5</v>
      </c>
      <c r="D13" s="11">
        <f>+'Ultimate-Report'!D14-Paid!D13-Case!D13</f>
        <v>0</v>
      </c>
      <c r="E13" s="11">
        <f>+'Ultimate-Report'!E14-Paid!E13-Case!E13</f>
        <v>0</v>
      </c>
      <c r="F13" s="11">
        <f>+'Ultimate-Report'!F14-'ITD Paid'!F13-Case!F13</f>
        <v>0</v>
      </c>
      <c r="G13" s="11">
        <f>+'Ultimate-Report'!G14-'ITD Paid'!G13-Case!G13</f>
        <v>0</v>
      </c>
      <c r="H13" s="11"/>
      <c r="I13" s="11"/>
      <c r="J13" s="11"/>
    </row>
    <row r="14" spans="1:10" x14ac:dyDescent="0.25">
      <c r="A14" s="1">
        <v>1994</v>
      </c>
      <c r="B14" s="1" t="s">
        <v>6</v>
      </c>
      <c r="D14" s="11">
        <f>+'Ultimate-Report'!D15-Paid!D14-Case!D14</f>
        <v>0</v>
      </c>
      <c r="E14" s="11">
        <f>+'Ultimate-Report'!E15-Paid!E14-Case!E14</f>
        <v>0</v>
      </c>
      <c r="F14" s="11">
        <f>+'Ultimate-Report'!F15-'ITD Paid'!F14-Case!F14</f>
        <v>0</v>
      </c>
      <c r="G14" s="11">
        <f>+'Ultimate-Report'!G15-'ITD Paid'!G14-Case!G14</f>
        <v>0</v>
      </c>
      <c r="H14" s="11"/>
      <c r="I14" s="11"/>
      <c r="J14" s="11"/>
    </row>
    <row r="15" spans="1:10" x14ac:dyDescent="0.25">
      <c r="A15" s="1">
        <v>1995</v>
      </c>
      <c r="B15" s="1" t="s">
        <v>5</v>
      </c>
      <c r="D15" s="11">
        <f>+'Ultimate-Report'!D16-Paid!D15-Case!D15</f>
        <v>0</v>
      </c>
      <c r="E15" s="11">
        <f>+'Ultimate-Report'!E16-Paid!E15-Case!E15</f>
        <v>0</v>
      </c>
      <c r="F15" s="11">
        <f>+'Ultimate-Report'!F16-'ITD Paid'!F15-Case!F15</f>
        <v>0</v>
      </c>
      <c r="G15" s="11">
        <f>+'Ultimate-Report'!G16-'ITD Paid'!G15-Case!G15</f>
        <v>0</v>
      </c>
      <c r="H15" s="11"/>
      <c r="I15" s="11"/>
      <c r="J15" s="11"/>
    </row>
    <row r="16" spans="1:10" x14ac:dyDescent="0.25">
      <c r="A16" s="1">
        <v>1995</v>
      </c>
      <c r="B16" s="1" t="s">
        <v>7</v>
      </c>
      <c r="D16" s="11">
        <f>+'Ultimate-Report'!D17-Paid!D16-Case!D16</f>
        <v>0</v>
      </c>
      <c r="E16" s="11">
        <f>+'Ultimate-Report'!E17-Paid!E16-Case!E16</f>
        <v>0</v>
      </c>
      <c r="F16" s="11">
        <f>+'Ultimate-Report'!F17-'ITD Paid'!F16-Case!F16</f>
        <v>0</v>
      </c>
      <c r="G16" s="11">
        <f>+'Ultimate-Report'!G17-'ITD Paid'!G16-Case!G16</f>
        <v>0</v>
      </c>
      <c r="H16" s="11"/>
      <c r="I16" s="11"/>
      <c r="J16" s="11"/>
    </row>
    <row r="17" spans="1:10" x14ac:dyDescent="0.25">
      <c r="A17" s="1">
        <v>1995</v>
      </c>
      <c r="B17" s="1" t="s">
        <v>8</v>
      </c>
      <c r="D17" s="11">
        <f>+'Ultimate-Report'!D18-Paid!D17-Case!D17</f>
        <v>0</v>
      </c>
      <c r="E17" s="11">
        <f>+'Ultimate-Report'!E18-Paid!E17-Case!E17</f>
        <v>0</v>
      </c>
      <c r="F17" s="11">
        <f>+'Ultimate-Report'!F18-'ITD Paid'!F17-Case!F17</f>
        <v>0</v>
      </c>
      <c r="G17" s="11">
        <f>+'Ultimate-Report'!G18-'ITD Paid'!G17-Case!G17</f>
        <v>0</v>
      </c>
      <c r="H17" s="11"/>
      <c r="I17" s="11"/>
      <c r="J17" s="11"/>
    </row>
    <row r="18" spans="1:10" x14ac:dyDescent="0.25">
      <c r="A18" s="1">
        <v>1996</v>
      </c>
      <c r="B18" s="1" t="s">
        <v>8</v>
      </c>
      <c r="D18" s="11">
        <f>+'Ultimate-Report'!D19-Paid!D18-Case!D18</f>
        <v>0</v>
      </c>
      <c r="E18" s="11">
        <f>+'Ultimate-Report'!E19-Paid!E18-Case!E18</f>
        <v>0</v>
      </c>
      <c r="F18" s="11">
        <f>+'Ultimate-Report'!F19-'ITD Paid'!F18-Case!F18</f>
        <v>0</v>
      </c>
      <c r="G18" s="11">
        <f>+'Ultimate-Report'!G19-'ITD Paid'!G18-Case!G18</f>
        <v>0</v>
      </c>
      <c r="H18" s="11"/>
      <c r="I18" s="11"/>
      <c r="J18" s="11"/>
    </row>
    <row r="19" spans="1:10" x14ac:dyDescent="0.25">
      <c r="A19" s="1">
        <v>1996</v>
      </c>
      <c r="B19" s="1" t="s">
        <v>5</v>
      </c>
      <c r="D19" s="11">
        <f>+'Ultimate-Report'!D20-Paid!D19-Case!D19</f>
        <v>0</v>
      </c>
      <c r="E19" s="11">
        <f>+'Ultimate-Report'!E20-Paid!E19-Case!E19</f>
        <v>0</v>
      </c>
      <c r="F19" s="11">
        <f>+'Ultimate-Report'!F20-'ITD Paid'!F19-Case!F19</f>
        <v>0</v>
      </c>
      <c r="G19" s="11">
        <f>+'Ultimate-Report'!G20-'ITD Paid'!G19-Case!G19</f>
        <v>0</v>
      </c>
      <c r="H19" s="11"/>
      <c r="I19" s="11"/>
      <c r="J19" s="11"/>
    </row>
    <row r="20" spans="1:10" x14ac:dyDescent="0.25">
      <c r="A20" s="1">
        <v>1996</v>
      </c>
      <c r="B20" s="1" t="s">
        <v>9</v>
      </c>
      <c r="D20" s="11">
        <f>+'Ultimate-Report'!D21-Paid!D20-Case!D20</f>
        <v>0</v>
      </c>
      <c r="E20" s="11">
        <f>+'Ultimate-Report'!E21-Paid!E20-Case!E20</f>
        <v>0</v>
      </c>
      <c r="F20" s="11">
        <f>+'Ultimate-Report'!F21-'ITD Paid'!F20-Case!F20</f>
        <v>0</v>
      </c>
      <c r="G20" s="11">
        <f>+'Ultimate-Report'!G21-'ITD Paid'!G20-Case!G20</f>
        <v>0</v>
      </c>
      <c r="H20" s="11"/>
      <c r="I20" s="11"/>
      <c r="J20" s="11"/>
    </row>
    <row r="21" spans="1:10" x14ac:dyDescent="0.25">
      <c r="A21" s="1">
        <v>1997</v>
      </c>
      <c r="B21" s="1" t="s">
        <v>5</v>
      </c>
      <c r="D21" s="11">
        <f>+'Ultimate-Report'!D22-Paid!D21-Case!D21</f>
        <v>0</v>
      </c>
      <c r="E21" s="11">
        <f>+'Ultimate-Report'!E22-Paid!E21-Case!E21</f>
        <v>0</v>
      </c>
      <c r="F21" s="11">
        <f>+'Ultimate-Report'!F22-'ITD Paid'!F21-Case!F21</f>
        <v>0</v>
      </c>
      <c r="G21" s="11">
        <f>+'Ultimate-Report'!G22-'ITD Paid'!G21-Case!G21</f>
        <v>0</v>
      </c>
      <c r="H21" s="11"/>
      <c r="I21" s="11"/>
      <c r="J21" s="11"/>
    </row>
    <row r="22" spans="1:10" x14ac:dyDescent="0.25">
      <c r="A22" s="1">
        <v>1997</v>
      </c>
      <c r="B22" s="1" t="s">
        <v>9</v>
      </c>
      <c r="D22" s="11">
        <f>+'Ultimate-Report'!D23-Paid!D22-Case!D22</f>
        <v>0</v>
      </c>
      <c r="E22" s="11">
        <f>+'Ultimate-Report'!E23-Paid!E22-Case!E22</f>
        <v>0</v>
      </c>
      <c r="F22" s="11">
        <f>+'Ultimate-Report'!F23-'ITD Paid'!F22-Case!F22</f>
        <v>0</v>
      </c>
      <c r="G22" s="11">
        <f>+'Ultimate-Report'!G23-'ITD Paid'!G22-Case!G22</f>
        <v>0</v>
      </c>
      <c r="H22" s="11"/>
      <c r="I22" s="11"/>
      <c r="J22" s="11"/>
    </row>
    <row r="23" spans="1:10" x14ac:dyDescent="0.25">
      <c r="A23" s="1">
        <v>1998</v>
      </c>
      <c r="B23" s="1" t="s">
        <v>9</v>
      </c>
      <c r="D23" s="11">
        <f>+'Ultimate-Report'!D24-Paid!D23-Case!D23</f>
        <v>0</v>
      </c>
      <c r="E23" s="11">
        <f>+'Ultimate-Report'!E24-Paid!E23-Case!E23</f>
        <v>0</v>
      </c>
      <c r="F23" s="11">
        <f>+'Ultimate-Report'!F24-'ITD Paid'!F23-Case!F23</f>
        <v>0</v>
      </c>
      <c r="G23" s="11">
        <f>+'Ultimate-Report'!G24-'ITD Paid'!G23-Case!G23</f>
        <v>0</v>
      </c>
      <c r="H23" s="11"/>
      <c r="I23" s="11"/>
      <c r="J23" s="11"/>
    </row>
    <row r="24" spans="1:10" x14ac:dyDescent="0.25">
      <c r="A24" s="1">
        <v>1998</v>
      </c>
      <c r="B24" s="1" t="s">
        <v>5</v>
      </c>
      <c r="D24" s="11">
        <f>+'Ultimate-Report'!D25-Paid!D24-Case!D24</f>
        <v>0</v>
      </c>
      <c r="E24" s="11">
        <f>+'Ultimate-Report'!E25-Paid!E24-Case!E24</f>
        <v>0</v>
      </c>
      <c r="F24" s="11">
        <f>+'Ultimate-Report'!F25-'ITD Paid'!F24-Case!F24</f>
        <v>0</v>
      </c>
      <c r="G24" s="11">
        <f>+'Ultimate-Report'!G25-'ITD Paid'!G24-Case!G24</f>
        <v>0</v>
      </c>
      <c r="H24" s="11"/>
      <c r="I24" s="11"/>
      <c r="J24" s="11"/>
    </row>
    <row r="25" spans="1:10" x14ac:dyDescent="0.25">
      <c r="A25" s="1">
        <v>1998</v>
      </c>
      <c r="B25" s="1" t="s">
        <v>10</v>
      </c>
      <c r="D25" s="11">
        <f>+'Ultimate-Report'!D26-Paid!D25-Case!D25</f>
        <v>0</v>
      </c>
      <c r="E25" s="11">
        <f>+'Ultimate-Report'!E26-Paid!E25-Case!E25</f>
        <v>0</v>
      </c>
      <c r="F25" s="11">
        <f>+'Ultimate-Report'!F26-'ITD Paid'!F25-Case!F25</f>
        <v>0</v>
      </c>
      <c r="G25" s="11">
        <f>+'Ultimate-Report'!G26-'ITD Paid'!G25-Case!G25</f>
        <v>0</v>
      </c>
      <c r="H25" s="11"/>
      <c r="I25" s="11"/>
      <c r="J25" s="11"/>
    </row>
    <row r="26" spans="1:10" x14ac:dyDescent="0.25">
      <c r="A26" s="1">
        <v>1998</v>
      </c>
      <c r="B26" s="1" t="s">
        <v>11</v>
      </c>
      <c r="D26" s="11">
        <f>+'Ultimate-Report'!D27-Paid!D26-Case!D26</f>
        <v>0</v>
      </c>
      <c r="E26" s="11">
        <f>+'Ultimate-Report'!E27-Paid!E26-Case!E26</f>
        <v>0</v>
      </c>
      <c r="F26" s="11">
        <f>+'Ultimate-Report'!F27-'ITD Paid'!F26-Case!F26</f>
        <v>0</v>
      </c>
      <c r="G26" s="11">
        <f>+'Ultimate-Report'!G27-'ITD Paid'!G26-Case!G26</f>
        <v>0</v>
      </c>
      <c r="H26" s="11"/>
      <c r="I26" s="11"/>
      <c r="J26" s="11"/>
    </row>
    <row r="27" spans="1:10" x14ac:dyDescent="0.25">
      <c r="A27" s="1">
        <v>1998</v>
      </c>
      <c r="B27" s="1" t="s">
        <v>12</v>
      </c>
      <c r="D27" s="11">
        <f>+'Ultimate-Report'!D28-Paid!D27-Case!D27</f>
        <v>0</v>
      </c>
      <c r="E27" s="11">
        <f>+'Ultimate-Report'!E28-Paid!E27-Case!E27</f>
        <v>0</v>
      </c>
      <c r="F27" s="11">
        <f>+'Ultimate-Report'!F28-'ITD Paid'!F27-Case!F27</f>
        <v>0</v>
      </c>
      <c r="G27" s="11">
        <f>+'Ultimate-Report'!G28-'ITD Paid'!G27-Case!G27</f>
        <v>0</v>
      </c>
      <c r="H27" s="11"/>
      <c r="I27" s="11"/>
      <c r="J27" s="11"/>
    </row>
    <row r="28" spans="1:10" ht="16.5" customHeight="1" x14ac:dyDescent="0.25">
      <c r="A28" s="1">
        <v>1999</v>
      </c>
      <c r="B28" s="1" t="s">
        <v>9</v>
      </c>
      <c r="D28" s="11">
        <f>+'Ultimate-Report'!D29-Paid!D28-Case!D28</f>
        <v>0</v>
      </c>
      <c r="E28" s="11">
        <f>+'Ultimate-Report'!E29-Paid!E28-Case!E28</f>
        <v>0</v>
      </c>
      <c r="F28" s="11">
        <f>+'Ultimate-Report'!F29-'ITD Paid'!F28-Case!F28</f>
        <v>0</v>
      </c>
      <c r="G28" s="11">
        <f>+'Ultimate-Report'!G29-'ITD Paid'!G28-Case!G28</f>
        <v>0</v>
      </c>
      <c r="H28" s="11"/>
      <c r="I28" s="11"/>
      <c r="J28" s="11"/>
    </row>
    <row r="29" spans="1:10" x14ac:dyDescent="0.25">
      <c r="A29" s="1">
        <v>1999</v>
      </c>
      <c r="B29" s="1" t="s">
        <v>5</v>
      </c>
      <c r="D29" s="11">
        <f>+'Ultimate-Report'!D30-Paid!D29-Case!D29</f>
        <v>0</v>
      </c>
      <c r="E29" s="11">
        <f>+'Ultimate-Report'!E30-Paid!E29-Case!E29</f>
        <v>0</v>
      </c>
      <c r="F29" s="11">
        <f>+'Ultimate-Report'!F30-'ITD Paid'!F29-Case!F29</f>
        <v>0</v>
      </c>
      <c r="G29" s="11">
        <f>+'Ultimate-Report'!G30-'ITD Paid'!G29-Case!G29</f>
        <v>0</v>
      </c>
      <c r="H29" s="11"/>
      <c r="I29" s="11"/>
      <c r="J29" s="11"/>
    </row>
    <row r="30" spans="1:10" x14ac:dyDescent="0.25">
      <c r="A30" s="1">
        <v>2000</v>
      </c>
      <c r="B30" s="1" t="s">
        <v>5</v>
      </c>
      <c r="D30" s="11">
        <f>+'Ultimate-Report'!D31-Paid!D30-Case!D30</f>
        <v>0</v>
      </c>
      <c r="E30" s="11">
        <f>+'Ultimate-Report'!E31-Paid!E30-Case!E30</f>
        <v>0</v>
      </c>
      <c r="F30" s="11">
        <f>+'Ultimate-Report'!F31-'ITD Paid'!F30-Case!F30</f>
        <v>0</v>
      </c>
      <c r="G30" s="11">
        <f>+'Ultimate-Report'!G31-'ITD Paid'!G30-Case!G30</f>
        <v>0</v>
      </c>
      <c r="H30" s="11"/>
      <c r="I30" s="11"/>
      <c r="J30" s="11"/>
    </row>
    <row r="31" spans="1:10" x14ac:dyDescent="0.25">
      <c r="A31" s="1">
        <v>2001</v>
      </c>
      <c r="B31" s="1" t="s">
        <v>9</v>
      </c>
      <c r="D31" s="11">
        <f>+'Ultimate-Report'!D32-Paid!D31-Case!D31</f>
        <v>0</v>
      </c>
      <c r="E31" s="11">
        <f>+'Ultimate-Report'!E32-Paid!E31-Case!E31</f>
        <v>0</v>
      </c>
      <c r="F31" s="11">
        <f>+'Ultimate-Report'!F32-'ITD Paid'!F31-Case!F31</f>
        <v>0</v>
      </c>
      <c r="G31" s="11">
        <f>+'Ultimate-Report'!G32-'ITD Paid'!G31-Case!G31</f>
        <v>0</v>
      </c>
      <c r="H31" s="11"/>
      <c r="I31" s="11"/>
      <c r="J31" s="11"/>
    </row>
    <row r="32" spans="1:10" x14ac:dyDescent="0.25">
      <c r="A32" s="1">
        <v>2001</v>
      </c>
      <c r="B32" s="1" t="s">
        <v>5</v>
      </c>
      <c r="D32" s="11">
        <f>+'Ultimate-Report'!D33-Paid!D32-Case!D32</f>
        <v>0</v>
      </c>
      <c r="E32" s="11">
        <f>+'Ultimate-Report'!E33-Paid!E32-Case!E32</f>
        <v>0</v>
      </c>
      <c r="F32" s="11">
        <f>+'Ultimate-Report'!F33-'ITD Paid'!F32-Case!F32</f>
        <v>0</v>
      </c>
      <c r="G32" s="11">
        <f>+'Ultimate-Report'!G33-'ITD Paid'!G32-Case!G32</f>
        <v>0</v>
      </c>
      <c r="H32" s="11"/>
      <c r="I32" s="11"/>
      <c r="J32" s="11"/>
    </row>
    <row r="33" spans="1:10" ht="15.75" customHeight="1" x14ac:dyDescent="0.25">
      <c r="A33" s="1">
        <v>2002</v>
      </c>
      <c r="B33" s="1" t="s">
        <v>5</v>
      </c>
      <c r="D33" s="11">
        <f>+'Ultimate-Report'!D34-Paid!D33-Case!D33</f>
        <v>0</v>
      </c>
      <c r="E33" s="11">
        <f>+'Ultimate-Report'!E34-Paid!E33-Case!E33</f>
        <v>0</v>
      </c>
      <c r="F33" s="11">
        <f>+'Ultimate-Report'!F34-'ITD Paid'!F33-Case!F33</f>
        <v>0</v>
      </c>
      <c r="G33" s="11">
        <f>+'Ultimate-Report'!G34-'ITD Paid'!G33-Case!G33</f>
        <v>0</v>
      </c>
      <c r="H33" s="11"/>
      <c r="I33" s="11"/>
      <c r="J33" s="11"/>
    </row>
    <row r="34" spans="1:10" x14ac:dyDescent="0.25">
      <c r="A34" s="1">
        <v>2003</v>
      </c>
      <c r="B34" s="1" t="s">
        <v>13</v>
      </c>
      <c r="D34" s="11">
        <f>+'Ultimate-Report'!D35-Paid!D34-Case!D34</f>
        <v>0</v>
      </c>
      <c r="E34" s="11">
        <f>+'Ultimate-Report'!E35-Paid!E34-Case!E34</f>
        <v>0</v>
      </c>
      <c r="F34" s="11">
        <f>+'Ultimate-Report'!F35-'ITD Paid'!F34-Case!F34</f>
        <v>0</v>
      </c>
      <c r="G34" s="11">
        <f>+'Ultimate-Report'!G35-'ITD Paid'!G34-Case!G34</f>
        <v>0</v>
      </c>
      <c r="H34" s="11"/>
      <c r="I34" s="11"/>
      <c r="J34" s="11"/>
    </row>
    <row r="35" spans="1:10" x14ac:dyDescent="0.25">
      <c r="A35" s="1">
        <v>2004</v>
      </c>
      <c r="B35" s="1" t="s">
        <v>14</v>
      </c>
      <c r="D35" s="11">
        <f>+'Ultimate-Report'!D36-Paid!D35-Case!D35</f>
        <v>0</v>
      </c>
      <c r="E35" s="11">
        <f>+'Ultimate-Report'!E36-Paid!E35-Case!E35</f>
        <v>0</v>
      </c>
      <c r="F35" s="11">
        <f>+'Ultimate-Report'!F36-'ITD Paid'!F35-Case!F35</f>
        <v>0</v>
      </c>
      <c r="G35" s="11">
        <f>+'Ultimate-Report'!G36-'ITD Paid'!G35-Case!G35</f>
        <v>0</v>
      </c>
      <c r="H35" s="11"/>
      <c r="I35" s="11"/>
      <c r="J35" s="11"/>
    </row>
    <row r="36" spans="1:10" x14ac:dyDescent="0.25">
      <c r="A36" s="1">
        <v>2004</v>
      </c>
      <c r="B36" s="1" t="s">
        <v>13</v>
      </c>
      <c r="D36" s="11">
        <f>+'Ultimate-Report'!D37-Paid!D36-Case!D36</f>
        <v>0</v>
      </c>
      <c r="E36" s="11">
        <f>+'Ultimate-Report'!E37-Paid!E36-Case!E36</f>
        <v>0</v>
      </c>
      <c r="F36" s="11">
        <f>+'Ultimate-Report'!F37-'ITD Paid'!F36-Case!F36</f>
        <v>0</v>
      </c>
      <c r="G36" s="11">
        <f>+'Ultimate-Report'!G37-'ITD Paid'!G36-Case!G36</f>
        <v>0</v>
      </c>
      <c r="H36" s="11"/>
      <c r="I36" s="11"/>
      <c r="J36" s="11"/>
    </row>
    <row r="37" spans="1:10" x14ac:dyDescent="0.25">
      <c r="A37" s="1">
        <v>2004</v>
      </c>
      <c r="B37" s="1" t="s">
        <v>15</v>
      </c>
      <c r="D37" s="11">
        <f>+'Ultimate-Report'!D38-Paid!D37-Case!D37</f>
        <v>0</v>
      </c>
      <c r="E37" s="11">
        <f>+'Ultimate-Report'!E38-Paid!E37-Case!E37</f>
        <v>0</v>
      </c>
      <c r="F37" s="11">
        <f>+'Ultimate-Report'!F38-'ITD Paid'!F37-Case!F37</f>
        <v>0</v>
      </c>
      <c r="G37" s="11">
        <f>+'Ultimate-Report'!G38-'ITD Paid'!G37-Case!G37</f>
        <v>0</v>
      </c>
      <c r="H37" s="11"/>
      <c r="I37" s="11"/>
      <c r="J37" s="11"/>
    </row>
    <row r="38" spans="1:10" x14ac:dyDescent="0.25">
      <c r="A38" s="1">
        <v>2004</v>
      </c>
      <c r="B38" s="1" t="s">
        <v>15</v>
      </c>
      <c r="D38" s="11">
        <f>+'Ultimate-Report'!D39-Paid!D38-Case!D38</f>
        <v>0</v>
      </c>
      <c r="E38" s="11">
        <f>+'Ultimate-Report'!E39-Paid!E38-Case!E38</f>
        <v>0</v>
      </c>
      <c r="F38" s="11">
        <f>+'Ultimate-Report'!F39-'ITD Paid'!F38-Case!F38</f>
        <v>0</v>
      </c>
      <c r="G38" s="11">
        <f>+'Ultimate-Report'!G39-'ITD Paid'!G38-Case!G38</f>
        <v>0</v>
      </c>
      <c r="H38" s="11"/>
      <c r="I38" s="11"/>
      <c r="J38" s="11"/>
    </row>
    <row r="39" spans="1:10" x14ac:dyDescent="0.25">
      <c r="A39" s="1">
        <v>2004</v>
      </c>
      <c r="B39" s="1" t="s">
        <v>16</v>
      </c>
      <c r="D39" s="11">
        <f>+'Ultimate-Report'!D40-Paid!D39-Case!D39</f>
        <v>0</v>
      </c>
      <c r="E39" s="11">
        <f>+'Ultimate-Report'!E40-Paid!E39-Case!E39</f>
        <v>0</v>
      </c>
      <c r="F39" s="11">
        <f>+'Ultimate-Report'!F40-'ITD Paid'!F39-Case!F39</f>
        <v>0</v>
      </c>
      <c r="G39" s="11">
        <f>+'Ultimate-Report'!G40-'ITD Paid'!G39-Case!G39</f>
        <v>0</v>
      </c>
      <c r="H39" s="11"/>
      <c r="I39" s="11"/>
      <c r="J39" s="11"/>
    </row>
    <row r="40" spans="1:10" x14ac:dyDescent="0.25">
      <c r="A40" s="1">
        <v>2005</v>
      </c>
      <c r="B40" s="1" t="s">
        <v>16</v>
      </c>
      <c r="D40" s="11">
        <f>+'Ultimate-Report'!D41-Paid!D40-Case!D40</f>
        <v>0</v>
      </c>
      <c r="E40" s="11">
        <f>+'Ultimate-Report'!E41-Paid!E40-Case!E40</f>
        <v>0</v>
      </c>
      <c r="F40" s="11">
        <f>+'Ultimate-Report'!F41-'ITD Paid'!F40-Case!F40</f>
        <v>0</v>
      </c>
      <c r="G40" s="11">
        <f>+'Ultimate-Report'!G41-'ITD Paid'!G40-Case!G40</f>
        <v>0</v>
      </c>
      <c r="H40" s="11"/>
      <c r="I40" s="11"/>
      <c r="J40" s="11"/>
    </row>
    <row r="41" spans="1:10" x14ac:dyDescent="0.25">
      <c r="A41" s="1">
        <v>2005</v>
      </c>
      <c r="B41" s="1" t="s">
        <v>13</v>
      </c>
      <c r="D41" s="11">
        <f>+'Ultimate-Report'!D42-Paid!D41-Case!D41</f>
        <v>0</v>
      </c>
      <c r="E41" s="11">
        <f>+'Ultimate-Report'!E42-Paid!E41-Case!E41</f>
        <v>0</v>
      </c>
      <c r="F41" s="11">
        <f>+'Ultimate-Report'!F42-'ITD Paid'!F41-Case!F41</f>
        <v>0</v>
      </c>
      <c r="G41" s="11">
        <f>+'Ultimate-Report'!G42-'ITD Paid'!G41-Case!G41</f>
        <v>0</v>
      </c>
      <c r="H41" s="11"/>
      <c r="I41" s="11"/>
      <c r="J41" s="11"/>
    </row>
    <row r="42" spans="1:10" x14ac:dyDescent="0.25">
      <c r="A42" s="1">
        <v>2006</v>
      </c>
      <c r="B42" s="1" t="s">
        <v>13</v>
      </c>
      <c r="D42" s="11">
        <f>+'Ultimate-Report'!D43-Paid!D42-Case!D42</f>
        <v>0</v>
      </c>
      <c r="E42" s="11">
        <f>+'Ultimate-Report'!E43-Paid!E42-Case!E42</f>
        <v>0</v>
      </c>
      <c r="F42" s="11">
        <f>+'Ultimate-Report'!F43-'ITD Paid'!F42-Case!F42</f>
        <v>0</v>
      </c>
      <c r="G42" s="11">
        <f>+'Ultimate-Report'!G43-'ITD Paid'!G42-Case!G42</f>
        <v>0</v>
      </c>
      <c r="H42" s="11"/>
      <c r="I42" s="11"/>
      <c r="J42" s="11"/>
    </row>
    <row r="43" spans="1:10" x14ac:dyDescent="0.25">
      <c r="A43" s="1">
        <v>2006</v>
      </c>
      <c r="B43" s="1" t="s">
        <v>16</v>
      </c>
      <c r="D43" s="11">
        <f>+'Ultimate-Report'!D44-Paid!D43-Case!D43</f>
        <v>0</v>
      </c>
      <c r="E43" s="11">
        <f>+'Ultimate-Report'!E44-Paid!E43-Case!E43</f>
        <v>0</v>
      </c>
      <c r="F43" s="11">
        <f>+'Ultimate-Report'!F44-'ITD Paid'!F43-Case!F43</f>
        <v>0</v>
      </c>
      <c r="G43" s="11">
        <f>+'Ultimate-Report'!G44-'ITD Paid'!G43-Case!G43</f>
        <v>0</v>
      </c>
      <c r="H43" s="11"/>
      <c r="I43" s="11"/>
      <c r="J43" s="11"/>
    </row>
    <row r="44" spans="1:10" ht="15.75" customHeight="1" x14ac:dyDescent="0.25">
      <c r="A44" s="1">
        <v>2007</v>
      </c>
      <c r="B44" s="1" t="s">
        <v>18</v>
      </c>
      <c r="D44" s="11">
        <f>+'Ultimate-Report'!D45-Paid!D44-Case!D44</f>
        <v>0</v>
      </c>
      <c r="E44" s="11">
        <f>+'Ultimate-Report'!E45-Paid!E44-Case!E44</f>
        <v>0</v>
      </c>
      <c r="F44" s="11">
        <f>+'Ultimate-Report'!F45-'ITD Paid'!F44-Case!F44</f>
        <v>0</v>
      </c>
      <c r="G44" s="11">
        <f>+'Ultimate-Report'!G45-'ITD Paid'!G44-Case!G44</f>
        <v>0</v>
      </c>
      <c r="H44" s="11"/>
      <c r="I44" s="11"/>
      <c r="J44" s="11"/>
    </row>
    <row r="45" spans="1:10" x14ac:dyDescent="0.25">
      <c r="A45" s="1">
        <v>2007</v>
      </c>
      <c r="B45" s="1" t="s">
        <v>19</v>
      </c>
      <c r="D45" s="11">
        <f>+'Ultimate-Report'!D46-Paid!D45-Case!D45</f>
        <v>0</v>
      </c>
      <c r="E45" s="11">
        <f>+'Ultimate-Report'!E46-Paid!E45-Case!E45</f>
        <v>0</v>
      </c>
      <c r="F45" s="11">
        <f>+'Ultimate-Report'!F46-'ITD Paid'!F45-Case!F45</f>
        <v>0</v>
      </c>
      <c r="G45" s="11">
        <f>+'Ultimate-Report'!G46-'ITD Paid'!G45-Case!G45</f>
        <v>0</v>
      </c>
      <c r="H45" s="11"/>
      <c r="I45" s="11"/>
      <c r="J45" s="11"/>
    </row>
    <row r="46" spans="1:10" x14ac:dyDescent="0.25">
      <c r="A46" s="1">
        <v>2007</v>
      </c>
      <c r="B46" s="1" t="s">
        <v>20</v>
      </c>
      <c r="D46" s="11">
        <f>+'Ultimate-Report'!D47-Paid!D46-Case!D46</f>
        <v>0</v>
      </c>
      <c r="E46" s="11">
        <f>+'Ultimate-Report'!E47-Paid!E46-Case!E46</f>
        <v>0</v>
      </c>
      <c r="F46" s="11">
        <f>+'Ultimate-Report'!F47-'ITD Paid'!F46-Case!F46</f>
        <v>0</v>
      </c>
      <c r="G46" s="11">
        <f>+'Ultimate-Report'!G47-'ITD Paid'!G46-Case!G46</f>
        <v>0</v>
      </c>
      <c r="H46" s="11"/>
      <c r="I46" s="11"/>
      <c r="J46" s="11"/>
    </row>
    <row r="47" spans="1:10" x14ac:dyDescent="0.25">
      <c r="A47" s="1">
        <v>2007</v>
      </c>
      <c r="B47" s="1" t="s">
        <v>21</v>
      </c>
      <c r="D47" s="11">
        <f>+'Ultimate-Report'!D48-Paid!D47-Case!D47</f>
        <v>0</v>
      </c>
      <c r="E47" s="11">
        <f>+'Ultimate-Report'!E48-Paid!E47-Case!E47</f>
        <v>0</v>
      </c>
      <c r="F47" s="11">
        <f>+'Ultimate-Report'!F48-'ITD Paid'!F47-Case!F47</f>
        <v>0</v>
      </c>
      <c r="G47" s="11">
        <f>+'Ultimate-Report'!G48-'ITD Paid'!G47-Case!G47</f>
        <v>0</v>
      </c>
      <c r="H47" s="11"/>
      <c r="I47" s="11"/>
      <c r="J47" s="11"/>
    </row>
    <row r="48" spans="1:10" x14ac:dyDescent="0.25">
      <c r="A48" s="1">
        <v>2008</v>
      </c>
      <c r="B48" s="1" t="s">
        <v>19</v>
      </c>
      <c r="D48" s="11">
        <f>+'Ultimate-Report'!D49-Paid!D48-Case!D48</f>
        <v>0</v>
      </c>
      <c r="E48" s="11">
        <f>+'Ultimate-Report'!E49-Paid!E48-Case!E48</f>
        <v>0</v>
      </c>
      <c r="F48" s="11">
        <f>+'Ultimate-Report'!F49-'ITD Paid'!F48-Case!F48</f>
        <v>0</v>
      </c>
      <c r="G48" s="11">
        <f>+'Ultimate-Report'!G49-'ITD Paid'!G48-Case!G48</f>
        <v>0</v>
      </c>
      <c r="H48" s="11"/>
      <c r="I48" s="11"/>
      <c r="J48" s="11"/>
    </row>
    <row r="49" spans="1:10" x14ac:dyDescent="0.25">
      <c r="A49" s="1">
        <v>2008</v>
      </c>
      <c r="B49" s="1" t="s">
        <v>22</v>
      </c>
      <c r="D49" s="11">
        <f>+'Ultimate-Report'!D50-Paid!D49-Case!D49</f>
        <v>0</v>
      </c>
      <c r="E49" s="11">
        <f>+'Ultimate-Report'!E50-Paid!E49-Case!E49</f>
        <v>0</v>
      </c>
      <c r="F49" s="11">
        <f>+'Ultimate-Report'!F50-'ITD Paid'!F49-Case!F49</f>
        <v>0</v>
      </c>
      <c r="G49" s="11">
        <f>+'Ultimate-Report'!G50-'ITD Paid'!G49-Case!G49</f>
        <v>0</v>
      </c>
      <c r="H49" s="11"/>
      <c r="I49" s="11"/>
      <c r="J49" s="11"/>
    </row>
    <row r="50" spans="1:10" x14ac:dyDescent="0.25">
      <c r="A50" s="1">
        <v>2009</v>
      </c>
      <c r="B50" s="1" t="s">
        <v>20</v>
      </c>
      <c r="D50" s="11">
        <f>+'Ultimate-Report'!D51-Paid!D50-Case!D50</f>
        <v>0</v>
      </c>
      <c r="E50" s="11">
        <f>+'Ultimate-Report'!E51-Paid!E50-Case!E50</f>
        <v>0</v>
      </c>
      <c r="F50" s="11">
        <f>+'Ultimate-Report'!F51-'ITD Paid'!F50-Case!F50</f>
        <v>0</v>
      </c>
      <c r="G50" s="11">
        <f>+'Ultimate-Report'!G51-'ITD Paid'!G50-Case!G50</f>
        <v>0</v>
      </c>
      <c r="H50" s="11"/>
      <c r="I50" s="11"/>
      <c r="J50" s="11"/>
    </row>
    <row r="51" spans="1:10" x14ac:dyDescent="0.25">
      <c r="A51" s="1">
        <v>2009</v>
      </c>
      <c r="B51" s="1" t="s">
        <v>4</v>
      </c>
      <c r="C51" s="1" t="s">
        <v>23</v>
      </c>
      <c r="D51" s="11">
        <f>+'Ultimate-Report'!D52-Paid!D51-Case!D51</f>
        <v>190920</v>
      </c>
      <c r="E51" s="11">
        <f>+'Ultimate-Report'!E52-Paid!E51-Case!E51</f>
        <v>62259</v>
      </c>
      <c r="F51" s="11">
        <f>+'Ultimate-Report'!F52-'ITD Paid'!F51-Case!F51</f>
        <v>190048.23749999981</v>
      </c>
      <c r="G51" s="11">
        <f>+'Ultimate-Report'!G52-'ITD Paid'!G51-Case!G51</f>
        <v>62388.422500000015</v>
      </c>
      <c r="H51" s="11"/>
      <c r="I51" s="11"/>
      <c r="J51" s="11"/>
    </row>
    <row r="52" spans="1:10" x14ac:dyDescent="0.25">
      <c r="A52" s="1">
        <v>2010</v>
      </c>
      <c r="B52" s="1" t="s">
        <v>4</v>
      </c>
      <c r="C52" s="1" t="s">
        <v>23</v>
      </c>
      <c r="D52" s="11">
        <f>+'Ultimate-Report'!D53-Paid!D52-Case!D52</f>
        <v>123823</v>
      </c>
      <c r="E52" s="11">
        <f>+'Ultimate-Report'!E53-Paid!E52-Case!E52</f>
        <v>9797</v>
      </c>
      <c r="F52" s="11">
        <f>+'Ultimate-Report'!F53-'ITD Paid'!F52-Case!F52</f>
        <v>157112.68999999994</v>
      </c>
      <c r="G52" s="11">
        <f>+'Ultimate-Report'!G53-'ITD Paid'!G52-Case!G52</f>
        <v>-8886.5399999999936</v>
      </c>
      <c r="H52" s="11"/>
      <c r="I52" s="11"/>
      <c r="J52" s="11"/>
    </row>
    <row r="53" spans="1:10" x14ac:dyDescent="0.25">
      <c r="A53" s="1">
        <v>2011</v>
      </c>
      <c r="B53" s="1" t="s">
        <v>4</v>
      </c>
      <c r="C53" s="1" t="s">
        <v>23</v>
      </c>
      <c r="D53" s="11">
        <f>+'Ultimate-Report'!D54-Paid!D53-Case!D53</f>
        <v>-94903</v>
      </c>
      <c r="E53" s="11">
        <f>+'Ultimate-Report'!E54-Paid!E53-Case!E53</f>
        <v>-968</v>
      </c>
      <c r="F53" s="11">
        <f>+'Ultimate-Report'!F54-'ITD Paid'!F53-Case!F53</f>
        <v>383124.97916069254</v>
      </c>
      <c r="G53" s="11">
        <f>+'Ultimate-Report'!G54-'ITD Paid'!G53-Case!G53</f>
        <v>14583.23837687858</v>
      </c>
      <c r="H53" s="11"/>
      <c r="I53" s="11"/>
      <c r="J53" s="11"/>
    </row>
    <row r="54" spans="1:10" x14ac:dyDescent="0.25">
      <c r="A54" s="1">
        <v>2012</v>
      </c>
      <c r="B54" s="1" t="s">
        <v>4</v>
      </c>
      <c r="C54" s="1" t="s">
        <v>24</v>
      </c>
      <c r="D54" s="11">
        <f>+'Ultimate-Report'!D55-Paid!D54-Case!D54</f>
        <v>151680</v>
      </c>
      <c r="E54" s="11">
        <f>+'Ultimate-Report'!E55-Paid!E54-Case!E54</f>
        <v>78414</v>
      </c>
      <c r="F54" s="11">
        <f>+'Ultimate-Report'!F55-'ITD Paid'!F54-Case!F54</f>
        <v>-390403.00753974542</v>
      </c>
      <c r="G54" s="11">
        <f>+'Ultimate-Report'!G55-'ITD Paid'!G54-Case!G54</f>
        <v>49883.52591896079</v>
      </c>
      <c r="H54" s="11"/>
      <c r="I54" s="11"/>
      <c r="J54" s="11"/>
    </row>
    <row r="55" spans="1:10" x14ac:dyDescent="0.25">
      <c r="A55" s="1">
        <v>2013</v>
      </c>
      <c r="B55" s="1" t="s">
        <v>4</v>
      </c>
      <c r="C55" s="1" t="s">
        <v>24</v>
      </c>
      <c r="D55" s="11">
        <f>+'Ultimate-Report'!D56-Paid!D55-Case!D55</f>
        <v>1137528</v>
      </c>
      <c r="E55" s="11">
        <f>+'Ultimate-Report'!E56-Paid!E55-Case!E55</f>
        <v>109480</v>
      </c>
      <c r="F55" s="11">
        <f>+'Ultimate-Report'!F56-'ITD Paid'!F55-Case!F55</f>
        <v>-595245.68922831584</v>
      </c>
      <c r="G55" s="11">
        <f>+'Ultimate-Report'!G56-'ITD Paid'!G55-Case!G55</f>
        <v>-5317.2152225429381</v>
      </c>
      <c r="H55" s="11"/>
      <c r="I55" s="11"/>
      <c r="J55" s="11"/>
    </row>
    <row r="56" spans="1:10" x14ac:dyDescent="0.25">
      <c r="A56" s="1">
        <v>2014</v>
      </c>
      <c r="B56" s="1" t="s">
        <v>4</v>
      </c>
      <c r="C56" s="1" t="s">
        <v>24</v>
      </c>
      <c r="D56" s="11">
        <f>+'Ultimate-Report'!D57-Paid!D56-Case!D56</f>
        <v>1012633</v>
      </c>
      <c r="E56" s="11">
        <f>+'Ultimate-Report'!E57-Paid!E56-Case!E56</f>
        <v>111832</v>
      </c>
      <c r="F56" s="11">
        <f>+'Ultimate-Report'!F57-'ITD Paid'!F56-Case!F56</f>
        <v>-676527.90803682618</v>
      </c>
      <c r="G56" s="11">
        <f>+'Ultimate-Report'!G57-'ITD Paid'!G56-Case!G56</f>
        <v>61109.677998061801</v>
      </c>
      <c r="H56" s="11"/>
      <c r="I56" s="11"/>
      <c r="J56" s="11"/>
    </row>
    <row r="57" spans="1:10" x14ac:dyDescent="0.25">
      <c r="A57" s="1">
        <v>2015</v>
      </c>
      <c r="B57" s="1" t="s">
        <v>4</v>
      </c>
      <c r="C57" s="1" t="s">
        <v>25</v>
      </c>
      <c r="D57" s="11">
        <f>+'Ultimate-Report'!D58-Paid!D57-Case!D57</f>
        <v>3554423</v>
      </c>
      <c r="E57" s="11">
        <f>+'Ultimate-Report'!E58-Paid!E57-Case!E57</f>
        <v>254414</v>
      </c>
      <c r="F57" s="11">
        <f>+'Ultimate-Report'!F58-'ITD Paid'!F57-Case!F57</f>
        <v>-398773.34862527531</v>
      </c>
      <c r="G57" s="11">
        <f>+'Ultimate-Report'!G58-'ITD Paid'!G57-Case!G57</f>
        <v>68725.116914459213</v>
      </c>
      <c r="H57" s="11"/>
      <c r="I57" s="11"/>
      <c r="J57" s="11"/>
    </row>
    <row r="58" spans="1:10" x14ac:dyDescent="0.25">
      <c r="A58" s="1">
        <v>2016</v>
      </c>
      <c r="B58" s="1" t="s">
        <v>4</v>
      </c>
      <c r="C58" s="1" t="s">
        <v>25</v>
      </c>
      <c r="D58" s="11">
        <f>+'Ultimate-Report'!D59-Paid!D58-Case!D58</f>
        <v>1828754</v>
      </c>
      <c r="E58" s="11">
        <f>+'Ultimate-Report'!E59-Paid!E58-Case!E58</f>
        <v>96250</v>
      </c>
      <c r="F58" s="11">
        <f>+'Ultimate-Report'!F59-'ITD Paid'!F58-Case!F58</f>
        <v>1828753.958333333</v>
      </c>
      <c r="G58" s="11">
        <f>+'Ultimate-Report'!G59-'ITD Paid'!G58-Case!G58</f>
        <v>96250.208333333328</v>
      </c>
      <c r="H58" s="11"/>
      <c r="I58" s="11"/>
      <c r="J58" s="11"/>
    </row>
    <row r="59" spans="1:10" x14ac:dyDescent="0.25">
      <c r="A59" s="1">
        <v>2017</v>
      </c>
      <c r="B59" s="1" t="s">
        <v>4</v>
      </c>
      <c r="C59" s="1" t="s">
        <v>25</v>
      </c>
      <c r="D59" s="11">
        <f>+'Ultimate-Report'!D60-Paid!D59-Case!D59</f>
        <v>1732706</v>
      </c>
      <c r="E59" s="11">
        <f>+'Ultimate-Report'!E60-Paid!E59-Case!E59</f>
        <v>91195</v>
      </c>
      <c r="F59" s="11">
        <f>+'Ultimate-Report'!F60-'ITD Paid'!F59-Case!F59</f>
        <v>1732706.0449999997</v>
      </c>
      <c r="G59" s="11">
        <f>+'Ultimate-Report'!G60-'ITD Paid'!G59-Case!G59</f>
        <v>91195.054999999993</v>
      </c>
      <c r="H59" s="11"/>
      <c r="I59" s="11"/>
      <c r="J59" s="11"/>
    </row>
    <row r="60" spans="1:10" x14ac:dyDescent="0.25">
      <c r="A60" s="1">
        <v>2018</v>
      </c>
      <c r="B60" s="1" t="s">
        <v>4</v>
      </c>
      <c r="C60" s="1" t="s">
        <v>25</v>
      </c>
      <c r="D60" s="11">
        <f>+'Ultimate-Report'!D61-Paid!D60-Case!D60</f>
        <v>0</v>
      </c>
      <c r="E60" s="11">
        <f>+'Ultimate-Report'!E61-Paid!E60-Case!E60</f>
        <v>0</v>
      </c>
      <c r="F60" s="11">
        <f>+'Ultimate-Report'!F61-'ITD Paid'!F60-Case!F60</f>
        <v>1051753.844</v>
      </c>
      <c r="G60" s="11">
        <f>+'Ultimate-Report'!G61-'ITD Paid'!G60-Case!G60</f>
        <v>262938.46100000001</v>
      </c>
      <c r="H60" s="11"/>
      <c r="I60" s="11"/>
      <c r="J60" s="11"/>
    </row>
    <row r="61" spans="1:10" x14ac:dyDescent="0.25">
      <c r="A61" s="1">
        <v>2011</v>
      </c>
      <c r="B61" s="1" t="s">
        <v>26</v>
      </c>
      <c r="C61" s="1" t="s">
        <v>27</v>
      </c>
      <c r="D61" s="11">
        <f>+'Ultimate-Report'!D62-Paid!D61-Case!D61</f>
        <v>0</v>
      </c>
      <c r="E61" s="11">
        <f>+'Ultimate-Report'!E62-Paid!E61-Case!E61</f>
        <v>0</v>
      </c>
      <c r="F61" s="11">
        <f>+'Ultimate-Report'!F62-'ITD Paid'!F61-Case!F61</f>
        <v>0</v>
      </c>
      <c r="G61" s="11">
        <f>+'Ultimate-Report'!G62-'ITD Paid'!G61-Case!G61</f>
        <v>0</v>
      </c>
      <c r="H61" s="11"/>
      <c r="I61" s="11"/>
      <c r="J61" s="11"/>
    </row>
    <row r="62" spans="1:10" x14ac:dyDescent="0.25">
      <c r="A62" s="1">
        <v>2014</v>
      </c>
      <c r="B62" s="1" t="s">
        <v>28</v>
      </c>
      <c r="C62" s="1" t="s">
        <v>29</v>
      </c>
      <c r="D62" s="11">
        <f>+'Ultimate-Report'!D63-Paid!D62-Case!D62</f>
        <v>444275</v>
      </c>
      <c r="E62" s="11">
        <f>+'Ultimate-Report'!E63-Paid!E62-Case!E62</f>
        <v>6797</v>
      </c>
      <c r="F62" s="11">
        <f>+'Ultimate-Report'!F63-'ITD Paid'!F62-Case!F62</f>
        <v>1017872.8</v>
      </c>
      <c r="G62" s="11">
        <f>+'Ultimate-Report'!G63-'ITD Paid'!G62-Case!G62</f>
        <v>50584.329999999987</v>
      </c>
      <c r="H62" s="11"/>
      <c r="I62" s="11"/>
      <c r="J62" s="11"/>
    </row>
    <row r="63" spans="1:10" x14ac:dyDescent="0.25">
      <c r="A63" s="1">
        <v>2015</v>
      </c>
      <c r="B63" s="1" t="s">
        <v>28</v>
      </c>
      <c r="C63" s="1" t="s">
        <v>29</v>
      </c>
      <c r="D63" s="11">
        <f>+'Ultimate-Report'!D64-Paid!D63-Case!D63</f>
        <v>393002</v>
      </c>
      <c r="E63" s="11">
        <f>+'Ultimate-Report'!E64-Paid!E63-Case!E63</f>
        <v>270807</v>
      </c>
      <c r="F63" s="11">
        <f>+'Ultimate-Report'!F64-'ITD Paid'!F63-Case!F63</f>
        <v>985536.20000000019</v>
      </c>
      <c r="G63" s="11">
        <f>+'Ultimate-Report'!G64-'ITD Paid'!G63-Case!G63</f>
        <v>-63034.169999999955</v>
      </c>
      <c r="H63" s="11"/>
      <c r="I63" s="11"/>
      <c r="J63" s="11"/>
    </row>
    <row r="64" spans="1:10" x14ac:dyDescent="0.25">
      <c r="A64" s="1">
        <v>2016</v>
      </c>
      <c r="B64" s="1" t="s">
        <v>28</v>
      </c>
      <c r="C64" s="1" t="s">
        <v>29</v>
      </c>
      <c r="D64" s="11">
        <f>+'Ultimate-Report'!D65-Paid!D64-Case!D64</f>
        <v>-198054</v>
      </c>
      <c r="E64" s="11">
        <f>+'Ultimate-Report'!E65-Paid!E64-Case!E64</f>
        <v>271295</v>
      </c>
      <c r="F64" s="11">
        <f>+'Ultimate-Report'!F65-'ITD Paid'!F64-Case!F64</f>
        <v>738290.8200000003</v>
      </c>
      <c r="G64" s="11">
        <f>+'Ultimate-Report'!G65-'ITD Paid'!G64-Case!G64</f>
        <v>-304013.52999999985</v>
      </c>
      <c r="H64" s="11"/>
      <c r="I64" s="11"/>
      <c r="J64" s="11"/>
    </row>
    <row r="65" spans="1:10" x14ac:dyDescent="0.25">
      <c r="A65" s="1">
        <v>2017</v>
      </c>
      <c r="B65" s="1" t="s">
        <v>28</v>
      </c>
      <c r="C65" s="1" t="s">
        <v>29</v>
      </c>
      <c r="D65" s="11">
        <f>+'Ultimate-Report'!D66-Paid!D65-Case!D65</f>
        <v>937277</v>
      </c>
      <c r="E65" s="11">
        <f>+'Ultimate-Report'!E66-Paid!E65-Case!E65</f>
        <v>223343</v>
      </c>
      <c r="F65" s="11">
        <f>+'Ultimate-Report'!F66-'ITD Paid'!F65-Case!F65</f>
        <v>1253635</v>
      </c>
      <c r="G65" s="11">
        <f>+'Ultimate-Report'!G66-'ITD Paid'!G65-Case!G65</f>
        <v>271299.63</v>
      </c>
      <c r="H65" s="11"/>
      <c r="I65" s="11"/>
      <c r="J65" s="11"/>
    </row>
    <row r="66" spans="1:10" x14ac:dyDescent="0.25">
      <c r="A66" s="1">
        <v>2018</v>
      </c>
      <c r="B66" s="1" t="s">
        <v>28</v>
      </c>
      <c r="C66" s="1" t="s">
        <v>29</v>
      </c>
      <c r="D66" s="11">
        <f>+'Ultimate-Report'!D67-Paid!D66-Case!D66</f>
        <v>0</v>
      </c>
      <c r="E66" s="11">
        <f>+'Ultimate-Report'!E67-Paid!E66-Case!E66</f>
        <v>0</v>
      </c>
      <c r="F66" s="11">
        <f>+'Ultimate-Report'!F67-'ITD Paid'!F66-Case!F66</f>
        <v>830000</v>
      </c>
      <c r="G66" s="11">
        <f>+'Ultimate-Report'!G67-'ITD Paid'!G66-Case!G66</f>
        <v>161105.83000000002</v>
      </c>
      <c r="H66" s="11"/>
      <c r="I66" s="11"/>
      <c r="J66" s="11"/>
    </row>
    <row r="67" spans="1:10" x14ac:dyDescent="0.25">
      <c r="A67" s="1">
        <v>2007</v>
      </c>
      <c r="B67" s="1" t="s">
        <v>21</v>
      </c>
      <c r="C67" s="1" t="s">
        <v>30</v>
      </c>
      <c r="D67" s="11">
        <f>+'Ultimate-Report'!D68-Paid!D67-Case!D67</f>
        <v>0</v>
      </c>
      <c r="E67" s="11">
        <f>+'Ultimate-Report'!E68-Paid!E67-Case!E67</f>
        <v>0</v>
      </c>
      <c r="F67" s="11">
        <f>+'Ultimate-Report'!F68-'ITD Paid'!F67-Case!F67</f>
        <v>0</v>
      </c>
      <c r="G67" s="11">
        <f>+'Ultimate-Report'!G68-'ITD Paid'!G67-Case!G67</f>
        <v>0</v>
      </c>
      <c r="H67" s="11"/>
      <c r="I67" s="11"/>
      <c r="J67" s="11"/>
    </row>
    <row r="68" spans="1:10" x14ac:dyDescent="0.25">
      <c r="A68" s="1">
        <v>2015</v>
      </c>
      <c r="B68" s="1" t="s">
        <v>31</v>
      </c>
      <c r="C68" s="1" t="s">
        <v>32</v>
      </c>
      <c r="D68" s="11">
        <f>+'Ultimate-Report'!D69-Paid!D68-Case!D68</f>
        <v>546720</v>
      </c>
      <c r="E68" s="11">
        <f>+'Ultimate-Report'!E69-Paid!E68-Case!E68</f>
        <v>0</v>
      </c>
      <c r="F68" s="11">
        <f>+'Ultimate-Report'!F69-'ITD Paid'!F68-Case!F68</f>
        <v>546719.88950000401</v>
      </c>
      <c r="G68" s="11">
        <f>+'Ultimate-Report'!G69-'ITD Paid'!G68-Case!G68</f>
        <v>0</v>
      </c>
      <c r="H68" s="11"/>
      <c r="I68" s="11"/>
      <c r="J68" s="11"/>
    </row>
    <row r="69" spans="1:10" x14ac:dyDescent="0.25">
      <c r="A69" s="1">
        <v>2016</v>
      </c>
      <c r="B69" s="1" t="s">
        <v>31</v>
      </c>
      <c r="C69" s="1" t="s">
        <v>32</v>
      </c>
      <c r="D69" s="11">
        <f>+'Ultimate-Report'!D70-Paid!D69-Case!D69</f>
        <v>0</v>
      </c>
      <c r="E69" s="11">
        <f>+'Ultimate-Report'!E70-Paid!E69-Case!E69</f>
        <v>0</v>
      </c>
      <c r="F69" s="11">
        <f>+'Ultimate-Report'!F70-'ITD Paid'!F69-Case!F69</f>
        <v>0</v>
      </c>
      <c r="G69" s="11">
        <f>+'Ultimate-Report'!G70-'ITD Paid'!G69-Case!G69</f>
        <v>0</v>
      </c>
      <c r="H69" s="11"/>
      <c r="I69" s="11"/>
      <c r="J69" s="11"/>
    </row>
    <row r="70" spans="1:10" x14ac:dyDescent="0.25">
      <c r="A70" s="1">
        <v>2017</v>
      </c>
      <c r="B70" s="1" t="s">
        <v>31</v>
      </c>
      <c r="C70" s="1" t="s">
        <v>32</v>
      </c>
      <c r="D70" s="11">
        <f>+'Ultimate-Report'!D71-Paid!D70-Case!D70</f>
        <v>910281</v>
      </c>
      <c r="E70" s="11">
        <f>+'Ultimate-Report'!E71-Paid!E70-Case!E70</f>
        <v>0</v>
      </c>
      <c r="F70" s="11">
        <f>+'Ultimate-Report'!F71-'ITD Paid'!F70-Case!F70</f>
        <v>1653527.1066300014</v>
      </c>
      <c r="G70" s="11">
        <f>+'Ultimate-Report'!G71-'ITD Paid'!G70-Case!G70</f>
        <v>0</v>
      </c>
      <c r="H70" s="11"/>
      <c r="I70" s="11"/>
      <c r="J70" s="11"/>
    </row>
    <row r="71" spans="1:10" x14ac:dyDescent="0.25">
      <c r="A71" s="1">
        <v>2018</v>
      </c>
      <c r="B71" s="1" t="s">
        <v>31</v>
      </c>
      <c r="C71" s="1" t="s">
        <v>32</v>
      </c>
      <c r="D71" s="11">
        <f>+'Ultimate-Report'!D72-Paid!D71-Case!D71</f>
        <v>0</v>
      </c>
      <c r="E71" s="11">
        <f>+'Ultimate-Report'!E72-Paid!E71-Case!E71</f>
        <v>0</v>
      </c>
      <c r="F71" s="11">
        <f>+'Ultimate-Report'!F72-'ITD Paid'!F71-Case!F71</f>
        <v>1384070.7317073171</v>
      </c>
      <c r="G71" s="11">
        <f>+'Ultimate-Report'!G72-'ITD Paid'!G71-Case!G71</f>
        <v>0</v>
      </c>
      <c r="H71" s="11"/>
      <c r="I71" s="11"/>
      <c r="J71" s="11"/>
    </row>
    <row r="72" spans="1:10" x14ac:dyDescent="0.25">
      <c r="B72" s="1" t="s">
        <v>33</v>
      </c>
      <c r="D72" s="11">
        <f>+'Ultimate-Report'!D74-Paid!D73-Case!D73</f>
        <v>0</v>
      </c>
      <c r="E72" s="11">
        <f>+'Ultimate-Report'!E74-Paid!E73-Case!E73</f>
        <v>0</v>
      </c>
      <c r="F72" s="19" t="e">
        <f>+'Ultimate-Report'!F73-'ITD Paid'!F72-Case!F72</f>
        <v>#REF!</v>
      </c>
      <c r="G72" s="19" t="e">
        <f>+'Ultimate-Report'!G73-'ITD Paid'!G72-Case!G72</f>
        <v>#REF!</v>
      </c>
      <c r="H72" s="19"/>
      <c r="I72" s="19"/>
      <c r="J72" s="19"/>
    </row>
    <row r="73" spans="1:10" ht="15.75" thickBot="1" x14ac:dyDescent="0.3">
      <c r="B73" s="1" t="s">
        <v>34</v>
      </c>
      <c r="D73" s="21">
        <f>SUM(D51:D72)</f>
        <v>12671065</v>
      </c>
      <c r="E73" s="21">
        <f>SUM(E51:E72)</f>
        <v>1584915</v>
      </c>
      <c r="F73" s="22" t="e">
        <f>SUM(F2:F72)</f>
        <v>#REF!</v>
      </c>
      <c r="G73" s="22" t="e">
        <f>SUM(G2:G72)</f>
        <v>#REF!</v>
      </c>
      <c r="H73" s="23"/>
      <c r="I73" s="23"/>
      <c r="J73" s="23"/>
    </row>
    <row r="74" spans="1:10" ht="15.75" thickTop="1" x14ac:dyDescent="0.25">
      <c r="D74" s="13">
        <f>SUM(D51:D71)</f>
        <v>12671065</v>
      </c>
      <c r="E74" s="13">
        <f>SUM(E51:E71)</f>
        <v>1584915</v>
      </c>
      <c r="F74" s="13">
        <f>SUM(F51:F71)</f>
        <v>11692202.348401185</v>
      </c>
      <c r="G74" s="13">
        <f>SUM(G51:G71)</f>
        <v>808812.04081915109</v>
      </c>
      <c r="H74" s="13"/>
      <c r="I74" s="13"/>
      <c r="J74" s="13"/>
    </row>
    <row r="75" spans="1:10" s="24" customFormat="1" x14ac:dyDescent="0.25"/>
    <row r="77" spans="1:10" s="35" customFormat="1" x14ac:dyDescent="0.25">
      <c r="B77" s="35" t="s">
        <v>35</v>
      </c>
    </row>
    <row r="78" spans="1:10" s="35" customFormat="1" x14ac:dyDescent="0.25">
      <c r="B78" s="38" t="s">
        <v>36</v>
      </c>
      <c r="C78" s="38"/>
      <c r="D78" s="41"/>
      <c r="E78" s="41"/>
    </row>
    <row r="79" spans="1:10" s="35" customFormat="1" x14ac:dyDescent="0.25">
      <c r="B79" s="38"/>
      <c r="C79" s="38"/>
      <c r="D79" s="41"/>
      <c r="E79" s="41"/>
    </row>
    <row r="80" spans="1:10" s="35" customFormat="1" x14ac:dyDescent="0.25">
      <c r="B80" s="35" t="s">
        <v>35</v>
      </c>
      <c r="D80" s="39"/>
      <c r="E80" s="39"/>
      <c r="F80" s="44">
        <v>12673000</v>
      </c>
      <c r="G80" s="44">
        <v>1585000</v>
      </c>
      <c r="H80" s="44"/>
      <c r="I80" s="44"/>
      <c r="J80" s="44"/>
    </row>
    <row r="81" spans="2:10" s="35" customFormat="1" x14ac:dyDescent="0.25">
      <c r="B81" s="38" t="s">
        <v>36</v>
      </c>
      <c r="C81" s="38"/>
      <c r="D81" s="40"/>
      <c r="E81" s="40"/>
      <c r="F81" s="45" t="e">
        <f>+F73-F80</f>
        <v>#REF!</v>
      </c>
      <c r="G81" s="45" t="e">
        <f>+G73-G80</f>
        <v>#REF!</v>
      </c>
      <c r="H81" s="45"/>
      <c r="I81" s="45"/>
      <c r="J81" s="45"/>
    </row>
    <row r="82" spans="2:10" s="35" customFormat="1" x14ac:dyDescent="0.25">
      <c r="E82" s="40"/>
    </row>
    <row r="84" spans="2:10" x14ac:dyDescent="0.25">
      <c r="D84" s="11"/>
      <c r="E84" s="11"/>
    </row>
    <row r="85" spans="2:10" x14ac:dyDescent="0.25">
      <c r="E85" s="11"/>
    </row>
    <row r="86" spans="2:10" ht="15" customHeight="1" x14ac:dyDescent="0.25"/>
    <row r="93" spans="2:10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Ultimate-Table</vt:lpstr>
      <vt:lpstr>Ultimate-Report</vt:lpstr>
      <vt:lpstr>Paid</vt:lpstr>
      <vt:lpstr>ITD Paid</vt:lpstr>
      <vt:lpstr>Case</vt:lpstr>
      <vt:lpstr>IBNR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</dc:creator>
  <cp:lastModifiedBy>jasmin</cp:lastModifiedBy>
  <dcterms:created xsi:type="dcterms:W3CDTF">2019-02-12T22:46:09Z</dcterms:created>
  <dcterms:modified xsi:type="dcterms:W3CDTF">2019-02-13T00:00:25Z</dcterms:modified>
</cp:coreProperties>
</file>