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4.png" ContentType="image/png"/>
  <Override PartName="/xl/media/image10.png" ContentType="image/png"/>
  <Override PartName="/xl/media/image11.png" ContentType="image/png"/>
  <Override PartName="/xl/media/image12.png" ContentType="image/png"/>
  <Override PartName="/xl/media/image13.png" ContentType="image/png"/>
  <Override PartName="/xl/drawings/_rels/drawing4.xml.rels" ContentType="application/vnd.openxmlformats-package.relationships+xml"/>
  <Override PartName="/xl/drawings/_rels/drawing1.xml.rels" ContentType="application/vnd.openxmlformats-package.relationships+xml"/>
  <Override PartName="/xl/drawings/drawing24.xml" ContentType="application/vnd.openxmlformats-officedocument.drawing+xml"/>
  <Override PartName="/xl/drawings/drawing9.xml" ContentType="application/vnd.openxmlformats-officedocument.drawing+xml"/>
  <Override PartName="/xl/drawings/drawing23.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2.xml" ContentType="application/vnd.openxmlformats-officedocument.drawing+xml"/>
  <Override PartName="/xl/drawings/drawing6.xml" ContentType="application/vnd.openxmlformats-officedocument.drawing+xml"/>
  <Override PartName="/xl/drawings/drawing21.xml" ContentType="application/vnd.openxmlformats-officedocument.drawing+xml"/>
  <Override PartName="/xl/drawings/drawing5.xml" ContentType="application/vnd.openxmlformats-officedocument.drawing+xml"/>
  <Override PartName="/xl/drawings/drawing20.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workbook.xml" ContentType="application/vnd.openxmlformats-officedocument.spreadsheetml.sheet.main+xml"/>
  <Override PartName="/xl/tables/table5.xml" ContentType="application/vnd.openxmlformats-officedocument.spreadsheetml.table+xml"/>
  <Override PartName="/xl/tables/table17.xml" ContentType="application/vnd.openxmlformats-officedocument.spreadsheetml.table+xml"/>
  <Override PartName="/xl/tables/table4.xml" ContentType="application/vnd.openxmlformats-officedocument.spreadsheetml.table+xml"/>
  <Override PartName="/xl/tables/table16.xml" ContentType="application/vnd.openxmlformats-officedocument.spreadsheetml.table+xml"/>
  <Override PartName="/xl/tables/table3.xml" ContentType="application/vnd.openxmlformats-officedocument.spreadsheetml.table+xml"/>
  <Override PartName="/xl/tables/table15.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tables/table18.xml" ContentType="application/vnd.openxmlformats-officedocument.spreadsheetml.table+xml"/>
  <Override PartName="/xl/tables/table6.xml" ContentType="application/vnd.openxmlformats-officedocument.spreadsheetml.table+xml"/>
  <Override PartName="/xl/tables/table11.xml" ContentType="application/vnd.openxmlformats-officedocument.spreadsheetml.table+xml"/>
  <Override PartName="/xl/tables/table10.xml" ContentType="application/vnd.openxmlformats-officedocument.spreadsheetml.table+xml"/>
  <Override PartName="/xl/tables/table19.xml" ContentType="application/vnd.openxmlformats-officedocument.spreadsheetml.table+xml"/>
  <Override PartName="/xl/tables/table7.xml" ContentType="application/vnd.openxmlformats-officedocument.spreadsheetml.table+xml"/>
  <Override PartName="/xl/tables/table12.xml" ContentType="application/vnd.openxmlformats-officedocument.spreadsheetml.table+xml"/>
  <Override PartName="/xl/tables/table8.xml" ContentType="application/vnd.openxmlformats-officedocument.spreadsheetml.table+xml"/>
  <Override PartName="/xl/tables/table1.xml" ContentType="application/vnd.openxmlformats-officedocument.spreadsheetml.table+xml"/>
  <Override PartName="/xl/tables/table13.xml" ContentType="application/vnd.openxmlformats-officedocument.spreadsheetml.table+xml"/>
  <Override PartName="/xl/tables/table9.xml" ContentType="application/vnd.openxmlformats-officedocument.spreadsheetml.table+xml"/>
  <Override PartName="/xl/styles.xml" ContentType="application/vnd.openxmlformats-officedocument.spreadsheetml.style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21.xml.rels" ContentType="application/vnd.openxmlformats-package.relationship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24"/>
  </bookViews>
  <sheets>
    <sheet name="POPrun" sheetId="1" state="visible" r:id="rId2"/>
    <sheet name="POPsubset" sheetId="2" state="visible" r:id="rId3"/>
    <sheet name="POPsubsetAlt" sheetId="3" state="visible" r:id="rId4"/>
    <sheet name="POPref" sheetId="4" state="visible" r:id="rId5"/>
    <sheet name="Home" sheetId="5" state="visible" r:id="rId6"/>
    <sheet name="Allocation by SNUxIM" sheetId="6" state="visible" r:id="rId7"/>
    <sheet name="GEND_GBV" sheetId="7" state="visible" r:id="rId8"/>
    <sheet name="ESRI_MAPINFO_SHEET" sheetId="8" state="hidden" r:id="rId9"/>
    <sheet name="HTS_SELF" sheetId="9" state="visible" r:id="rId10"/>
    <sheet name="OVC_SERV" sheetId="10" state="visible" r:id="rId11"/>
    <sheet name="PMTCT_STAT" sheetId="11" state="visible" r:id="rId12"/>
    <sheet name="PP_PREV" sheetId="12" state="visible" r:id="rId13"/>
    <sheet name="PrEP_NEW" sheetId="13" state="visible" r:id="rId14"/>
    <sheet name="TB_STAT" sheetId="14" state="visible" r:id="rId15"/>
    <sheet name="TB_ART" sheetId="15" state="visible" r:id="rId16"/>
    <sheet name="TB_PREV" sheetId="16" state="visible" r:id="rId17"/>
    <sheet name="TX_CURR" sheetId="17" state="visible" r:id="rId18"/>
    <sheet name="TX_NEW" sheetId="18" state="visible" r:id="rId19"/>
    <sheet name="TX_PVLS" sheetId="19" state="visible" r:id="rId20"/>
    <sheet name="TX_RET" sheetId="20" state="visible" r:id="rId21"/>
    <sheet name="TX_TB" sheetId="21" state="visible" r:id="rId22"/>
    <sheet name="VMMC_CIRC" sheetId="22" state="visible" r:id="rId23"/>
    <sheet name="Already Alloc Targets" sheetId="23" state="visible" r:id="rId24"/>
    <sheet name="IMPATT Table" sheetId="24" state="visible" r:id="rId25"/>
    <sheet name="Follow on Mech List" sheetId="25" state="visible" r:id="rId26"/>
  </sheets>
  <definedNames>
    <definedName function="false" hidden="true" localSheetId="1" name="_xlnm._FilterDatabase" vbProcedure="false">POPsubset!$A$1:$K$373</definedName>
    <definedName function="false" hidden="true" localSheetId="2" name="_xlnm._FilterDatabase" vbProcedure="false">POPsubsetAlt!$A$1:$K$17</definedName>
    <definedName function="false" hidden="false" localSheetId="1" name="_xlnm._FilterDatabase" vbProcedure="false">POPsubset!$A$1:$K$373</definedName>
    <definedName function="false" hidden="false" localSheetId="1" name="_xlnm._FilterDatabase_0" vbProcedure="false">POPsubset!$A$1:$K$373</definedName>
    <definedName function="false" hidden="false" localSheetId="2" name="_xlnm._FilterDatabase" vbProcedure="false">POPsubsetAlt!$A$1:$K$17</definedName>
    <definedName function="false" hidden="false" localSheetId="2" name="_xlnm._FilterDatabase_0" vbProcedure="false">POPsubsetAlt!$A$1:$K$17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<sst xmlns="http://schemas.openxmlformats.org/spreadsheetml/2006/main" count="6630" uniqueCount="1678">
  <si>
    <t xml:space="preserve">indicator</t>
  </si>
  <si>
    <t xml:space="preserve">standardizeddisaggregate</t>
  </si>
  <si>
    <t xml:space="preserve">sex</t>
  </si>
  <si>
    <t xml:space="preserve">age</t>
  </si>
  <si>
    <t xml:space="preserve">resultstatus</t>
  </si>
  <si>
    <t xml:space="preserve">otherdisaggregate</t>
  </si>
  <si>
    <t xml:space="preserve">modality</t>
  </si>
  <si>
    <t xml:space="preserve">numeratordenom</t>
  </si>
  <si>
    <t xml:space="preserve">dt_dataelementgrp</t>
  </si>
  <si>
    <t xml:space="preserve">dt_categoryoptioncombo</t>
  </si>
  <si>
    <t xml:space="preserve">dt_ind_name</t>
  </si>
  <si>
    <t xml:space="preserve">GEND_GBV</t>
  </si>
  <si>
    <t xml:space="preserve">Age/Sex/ViolenceType</t>
  </si>
  <si>
    <t xml:space="preserve">Female</t>
  </si>
  <si>
    <t xml:space="preserve">&lt;10</t>
  </si>
  <si>
    <t xml:space="preserve">Physical and/or Emotional Violence</t>
  </si>
  <si>
    <t xml:space="preserve">N</t>
  </si>
  <si>
    <t xml:space="preserve">Age/Sex/Violence Type</t>
  </si>
  <si>
    <t xml:space="preserve">&lt;10, Female, Physical and/or Emotional Violence</t>
  </si>
  <si>
    <t xml:space="preserve">A_gend_gbv_u10_f_pev</t>
  </si>
  <si>
    <t xml:space="preserve">Sexual Violence (Post-Rape Care)</t>
  </si>
  <si>
    <t xml:space="preserve">&lt;10, Female, Sexual Violence (Post-Rape Care)</t>
  </si>
  <si>
    <t xml:space="preserve">A_gend_gbv_u10_f_sv</t>
  </si>
  <si>
    <t xml:space="preserve">Male</t>
  </si>
  <si>
    <t xml:space="preserve">&lt;10, Male, Physical and/or Emotional Violence</t>
  </si>
  <si>
    <t xml:space="preserve">A_gend_gbv_u10_m_pev</t>
  </si>
  <si>
    <t xml:space="preserve">&lt;10, Male, Sexual Violence (Post-Rape Care)</t>
  </si>
  <si>
    <t xml:space="preserve">A_gend_gbv_u10_m_sv</t>
  </si>
  <si>
    <t xml:space="preserve">10-14</t>
  </si>
  <si>
    <t xml:space="preserve">10-14, Female, Physical and/or Emotional Violence</t>
  </si>
  <si>
    <t xml:space="preserve">A_gend_gbv_1014_f_pev</t>
  </si>
  <si>
    <t xml:space="preserve">10-14, Female, Sexual Violence (Post-Rape Care)</t>
  </si>
  <si>
    <t xml:space="preserve">A_gend_gbv_1014_f_sv</t>
  </si>
  <si>
    <t xml:space="preserve">10-14, Male, Physical and/or Emotional Violence</t>
  </si>
  <si>
    <t xml:space="preserve">A_gend_gbv_1014_m_pev</t>
  </si>
  <si>
    <t xml:space="preserve">10-14, Male, Sexual Violence (Post-Rape Care)</t>
  </si>
  <si>
    <t xml:space="preserve">A_gend_gbv_1014_m_sv</t>
  </si>
  <si>
    <t xml:space="preserve">15-19</t>
  </si>
  <si>
    <t xml:space="preserve">15-19, Female, Physical and/or Emotional Violence</t>
  </si>
  <si>
    <t xml:space="preserve">A_gend_gbv_1519_f_pev</t>
  </si>
  <si>
    <t xml:space="preserve">15-19, Female, Sexual Violence (Post-Rape Care)</t>
  </si>
  <si>
    <t xml:space="preserve">A_gend_gbv_1519_f_sv</t>
  </si>
  <si>
    <t xml:space="preserve">15-19, Male, Physical and/or Emotional Violence</t>
  </si>
  <si>
    <t xml:space="preserve">A_gend_gbv_1519_m_pev</t>
  </si>
  <si>
    <t xml:space="preserve">15-19, Male, Sexual Violence (Post-Rape Care)</t>
  </si>
  <si>
    <t xml:space="preserve">A_gend_gbv_1519_m_sv</t>
  </si>
  <si>
    <t xml:space="preserve">20-24</t>
  </si>
  <si>
    <t xml:space="preserve">20-24, Female, Physical and/or Emotional Violence</t>
  </si>
  <si>
    <t xml:space="preserve">A_gend_gbv_2024_f_pev</t>
  </si>
  <si>
    <t xml:space="preserve">20-24, Female, Sexual Violence (Post-Rape Care)</t>
  </si>
  <si>
    <t xml:space="preserve">A_gend_gbv_2024_f_sv</t>
  </si>
  <si>
    <t xml:space="preserve">20-24, Male, Physical and/or Emotional Violence</t>
  </si>
  <si>
    <t xml:space="preserve">A_gend_gbv_2024_m_pev</t>
  </si>
  <si>
    <t xml:space="preserve">20-24, Male, Sexual Violence (Post-Rape Care)</t>
  </si>
  <si>
    <t xml:space="preserve">A_gend_gbv_2024_m_sv</t>
  </si>
  <si>
    <t xml:space="preserve">25-29, Female, Physical and/or Emotional Violence</t>
  </si>
  <si>
    <t xml:space="preserve">A_gend_gbv_2529_f_pev</t>
  </si>
  <si>
    <t xml:space="preserve">25-29, Female, Sexual Violence (Post-Rape Care)</t>
  </si>
  <si>
    <t xml:space="preserve">A_gend_gbv_2529_f_sv</t>
  </si>
  <si>
    <t xml:space="preserve">25-29, Male, Physical and/or Emotional Violence</t>
  </si>
  <si>
    <t xml:space="preserve">A_gend_gbv_2529_m_pev</t>
  </si>
  <si>
    <t xml:space="preserve">25-29, Male, Sexual Violence (Post-Rape Care)</t>
  </si>
  <si>
    <t xml:space="preserve">A_gend_gbv_2529_m_sv</t>
  </si>
  <si>
    <t xml:space="preserve">30-34, Female, Physical and/or Emotional Violence</t>
  </si>
  <si>
    <t xml:space="preserve">A_gend_gbv_3034_f_pev</t>
  </si>
  <si>
    <t xml:space="preserve">30-34, Female, Sexual Violence (Post-Rape Care)</t>
  </si>
  <si>
    <t xml:space="preserve">A_gend_gbv_3034_f_sv</t>
  </si>
  <si>
    <t xml:space="preserve">30-34, Male, Physical and/or Emotional Violence</t>
  </si>
  <si>
    <t xml:space="preserve">A_gend_gbv_3034_m_pev</t>
  </si>
  <si>
    <t xml:space="preserve">30-34, Male, Sexual Violence (Post-Rape Care)</t>
  </si>
  <si>
    <t xml:space="preserve">A_gend_gbv_3034_m_sv</t>
  </si>
  <si>
    <t xml:space="preserve">35-39, Female, Physical and/or Emotional Violence</t>
  </si>
  <si>
    <t xml:space="preserve">A_gend_gbv_3539_f_pev</t>
  </si>
  <si>
    <t xml:space="preserve">35-39, Female, Sexual Violence (Post-Rape Care)</t>
  </si>
  <si>
    <t xml:space="preserve">A_gend_gbv_3539_f_sv</t>
  </si>
  <si>
    <t xml:space="preserve">35-39, Male, Physical and/or Emotional Violence</t>
  </si>
  <si>
    <t xml:space="preserve">A_gend_gbv_3539_m_pev</t>
  </si>
  <si>
    <t xml:space="preserve">35-39, Male, Sexual Violence (Post-Rape Care)</t>
  </si>
  <si>
    <t xml:space="preserve">A_gend_gbv_3539_m_sv</t>
  </si>
  <si>
    <t xml:space="preserve">40-49, Female, Physical and/or Emotional Violence</t>
  </si>
  <si>
    <t xml:space="preserve">A_gend_gbv_4049_f_pev</t>
  </si>
  <si>
    <t xml:space="preserve">40-49, Female, Sexual Violence (Post-Rape Care)</t>
  </si>
  <si>
    <t xml:space="preserve">A_gend_gbv_4049_f_sv</t>
  </si>
  <si>
    <t xml:space="preserve">40-49, Male, Physical and/or Emotional Violence</t>
  </si>
  <si>
    <t xml:space="preserve">A_gend_gbv_4049_m_pev</t>
  </si>
  <si>
    <t xml:space="preserve">40-49, Male, Sexual Violence (Post-Rape Care)</t>
  </si>
  <si>
    <t xml:space="preserve">A_gend_gbv_4049_m_sv</t>
  </si>
  <si>
    <t xml:space="preserve">50+</t>
  </si>
  <si>
    <t xml:space="preserve">50+, Female, Physical and/or Emotional Violence</t>
  </si>
  <si>
    <t xml:space="preserve">A_gend_gbv_o50_f_pev</t>
  </si>
  <si>
    <t xml:space="preserve">50+, Female, Sexual Violence (Post-Rape Care)</t>
  </si>
  <si>
    <t xml:space="preserve">A_gend_gbv_o50_f_sv</t>
  </si>
  <si>
    <t xml:space="preserve">50+, Male, Physical and/or Emotional Violence</t>
  </si>
  <si>
    <t xml:space="preserve">A_gend_gbv_o50_m_pev</t>
  </si>
  <si>
    <t xml:space="preserve">50+, Male, Sexual Violence (Post-Rape Care)</t>
  </si>
  <si>
    <t xml:space="preserve">A_gend_gbv_o50_m_sv</t>
  </si>
  <si>
    <t xml:space="preserve">PEP</t>
  </si>
  <si>
    <t xml:space="preserve">A_gend_gbv_pep</t>
  </si>
  <si>
    <t xml:space="preserve">HTS_SELF</t>
  </si>
  <si>
    <t xml:space="preserve"> Age/Sex/HIVSelfTest</t>
  </si>
  <si>
    <t xml:space="preserve">10-14, Female, Directly-Assisted</t>
  </si>
  <si>
    <t xml:space="preserve">A_hts_self_1014_f_direct</t>
  </si>
  <si>
    <t xml:space="preserve">10-14, Female, Unassisted</t>
  </si>
  <si>
    <t xml:space="preserve">A_hts_self_1014_f_unasst</t>
  </si>
  <si>
    <t xml:space="preserve">10-14, Male, Directly-Assisted</t>
  </si>
  <si>
    <t xml:space="preserve">A_hts_self_1014_m_direct</t>
  </si>
  <si>
    <t xml:space="preserve">10-14, Male, Unassisted</t>
  </si>
  <si>
    <t xml:space="preserve">A_hts_self_1014_m_unasst</t>
  </si>
  <si>
    <t xml:space="preserve">15-19, Female, Directly-Assisted</t>
  </si>
  <si>
    <t xml:space="preserve">A_hts_self_1519_f_direct</t>
  </si>
  <si>
    <t xml:space="preserve">15-19, Female, Unassisted</t>
  </si>
  <si>
    <t xml:space="preserve">A_hts_self_1519_f_unasst</t>
  </si>
  <si>
    <t xml:space="preserve">15-19, Male, Directly-Assisted</t>
  </si>
  <si>
    <t xml:space="preserve">A_hts_self_1519_m_direct</t>
  </si>
  <si>
    <t xml:space="preserve">15-19, Male, Unassisted</t>
  </si>
  <si>
    <t xml:space="preserve">A_hts_self_1519_m_unasst</t>
  </si>
  <si>
    <t xml:space="preserve">20-24, Female, Directly-Assisted</t>
  </si>
  <si>
    <t xml:space="preserve">A_hts_self_2024_f_direct</t>
  </si>
  <si>
    <t xml:space="preserve">20-24, Female, Unassisted</t>
  </si>
  <si>
    <t xml:space="preserve">A_hts_self_2024_f_unasst</t>
  </si>
  <si>
    <t xml:space="preserve">20-24, Male, Directly-Assisted</t>
  </si>
  <si>
    <t xml:space="preserve">A_hts_self_2024_m_direct</t>
  </si>
  <si>
    <t xml:space="preserve">20-24, Male, Unassisted</t>
  </si>
  <si>
    <t xml:space="preserve">A_hts_self_2024_m_unasst</t>
  </si>
  <si>
    <t xml:space="preserve">25-29, Female, Directly-Assisted</t>
  </si>
  <si>
    <t xml:space="preserve">A_hts_self_2529_f_direct</t>
  </si>
  <si>
    <t xml:space="preserve">25-29, Female, Unassisted</t>
  </si>
  <si>
    <t xml:space="preserve">A_hts_self_2529_f_unasst</t>
  </si>
  <si>
    <t xml:space="preserve">25-29, Male, Directly-Assisted</t>
  </si>
  <si>
    <t xml:space="preserve">A_hts_self_2529_m_direct</t>
  </si>
  <si>
    <t xml:space="preserve">25-29, Male, Unassisted</t>
  </si>
  <si>
    <t xml:space="preserve">A_hts_self_2529_m_unasst</t>
  </si>
  <si>
    <t xml:space="preserve">30-34, Female, Directly-Assisted</t>
  </si>
  <si>
    <t xml:space="preserve">A_hts_self_3034_f_direct</t>
  </si>
  <si>
    <t xml:space="preserve">30-34, Female, Unassisted</t>
  </si>
  <si>
    <t xml:space="preserve">A_hts_self_3034_f_unasst</t>
  </si>
  <si>
    <t xml:space="preserve">30-34, Male, Directly-Assisted</t>
  </si>
  <si>
    <t xml:space="preserve">A_hts_self_3034_m_direct</t>
  </si>
  <si>
    <t xml:space="preserve">30-34, Male, Unassisted</t>
  </si>
  <si>
    <t xml:space="preserve">A_hts_self_3034_m_unasst</t>
  </si>
  <si>
    <t xml:space="preserve">35-39, Female, Directly-Assisted</t>
  </si>
  <si>
    <t xml:space="preserve">A_hts_self_3539_f_direct</t>
  </si>
  <si>
    <t xml:space="preserve">35-39, Female, Unassisted</t>
  </si>
  <si>
    <t xml:space="preserve">A_hts_self_3539_f_unasst</t>
  </si>
  <si>
    <t xml:space="preserve">35-39, Male, Directly-Assisted</t>
  </si>
  <si>
    <t xml:space="preserve">A_hts_self_3539_m_direct</t>
  </si>
  <si>
    <t xml:space="preserve">35-39, Male, Unassisted</t>
  </si>
  <si>
    <t xml:space="preserve">A_hts_self_3539_m_unasst</t>
  </si>
  <si>
    <t xml:space="preserve">40-49, Female, Directly-Assisted</t>
  </si>
  <si>
    <t xml:space="preserve">A_hts_self_4049_f_direct</t>
  </si>
  <si>
    <t xml:space="preserve">40-49, Female, Unassisted</t>
  </si>
  <si>
    <t xml:space="preserve">A_hts_self_4049_f_unasst</t>
  </si>
  <si>
    <t xml:space="preserve">40-49, Male, Directly-Assisted</t>
  </si>
  <si>
    <t xml:space="preserve">A_hts_self_4049_m_direct</t>
  </si>
  <si>
    <t xml:space="preserve">40-49, Male, Unassisted</t>
  </si>
  <si>
    <t xml:space="preserve">A_hts_self_4049_m_unasst</t>
  </si>
  <si>
    <t xml:space="preserve">50+, Female, Directly-Assisted</t>
  </si>
  <si>
    <t xml:space="preserve">A_hts_self_o50_f_direct</t>
  </si>
  <si>
    <t xml:space="preserve">50+, Female, Unassisted</t>
  </si>
  <si>
    <t xml:space="preserve">A_hts_self_o50_f_unasst</t>
  </si>
  <si>
    <t xml:space="preserve">50+, Male, Directly-Assisted</t>
  </si>
  <si>
    <t xml:space="preserve">A_hts_self_o50_m_direct</t>
  </si>
  <si>
    <t xml:space="preserve">50+, Male, Unassisted</t>
  </si>
  <si>
    <t xml:space="preserve">A_hts_self_o50_m_unasst</t>
  </si>
  <si>
    <t xml:space="preserve"> HIVSelfTestUser</t>
  </si>
  <si>
    <t xml:space="preserve">Unassisted - Other</t>
  </si>
  <si>
    <t xml:space="preserve">A_hts_self_unasst_oth</t>
  </si>
  <si>
    <t xml:space="preserve">Unassisted - Self</t>
  </si>
  <si>
    <t xml:space="preserve">A_hts_self_unasst_self</t>
  </si>
  <si>
    <t xml:space="preserve">Unassisted - Sex Partner</t>
  </si>
  <si>
    <t xml:space="preserve">A_hts_self_unasst_partner</t>
  </si>
  <si>
    <t xml:space="preserve"> KeyPop/HIVSelfTest</t>
  </si>
  <si>
    <t xml:space="preserve">FSW, Directly-Assisted</t>
  </si>
  <si>
    <t xml:space="preserve">A_hts_self_fsw_direct</t>
  </si>
  <si>
    <t xml:space="preserve">FSW, Unassisted</t>
  </si>
  <si>
    <t xml:space="preserve">A_hts_self_fsw_unasst</t>
  </si>
  <si>
    <t xml:space="preserve">MSM, Directly-Assisted</t>
  </si>
  <si>
    <t xml:space="preserve">A_hts_self_msm_direct</t>
  </si>
  <si>
    <t xml:space="preserve">MSM, Unassisted</t>
  </si>
  <si>
    <t xml:space="preserve">A_hts_self_msm_unasst</t>
  </si>
  <si>
    <t xml:space="preserve">People in prisons and other enclosed settings, Directly-Assisted</t>
  </si>
  <si>
    <t xml:space="preserve">A_hts_self_prison_direct</t>
  </si>
  <si>
    <t xml:space="preserve">People in prisons and other enclosed settings, Unassisted</t>
  </si>
  <si>
    <t xml:space="preserve">A_hts_self_prison_unasst</t>
  </si>
  <si>
    <t xml:space="preserve">PWID, Directly-Assisted</t>
  </si>
  <si>
    <t xml:space="preserve">A_hts_self_pwid_direct</t>
  </si>
  <si>
    <t xml:space="preserve">PWID, Unassisted</t>
  </si>
  <si>
    <t xml:space="preserve">A_hts_self_pwid_unasst</t>
  </si>
  <si>
    <t xml:space="preserve">TG, Directly-Assisted</t>
  </si>
  <si>
    <t xml:space="preserve">A_hts_self_tg_direct</t>
  </si>
  <si>
    <t xml:space="preserve">TG, Unassisted</t>
  </si>
  <si>
    <t xml:space="preserve">A_hts_self_tg_unasst</t>
  </si>
  <si>
    <t xml:space="preserve">OVC_SERV</t>
  </si>
  <si>
    <t xml:space="preserve">AgeLessThanTen</t>
  </si>
  <si>
    <t xml:space="preserve">&lt;01</t>
  </si>
  <si>
    <t xml:space="preserve"> Age/Sex &lt;18</t>
  </si>
  <si>
    <t xml:space="preserve">&lt;1, Unknown Sex</t>
  </si>
  <si>
    <t xml:space="preserve">A_ovc_serv_u1_unk</t>
  </si>
  <si>
    <t xml:space="preserve">01-09</t>
  </si>
  <si>
    <t xml:space="preserve">1-9, Unknown Sex</t>
  </si>
  <si>
    <t xml:space="preserve">A_ovc_serv_0109_unk</t>
  </si>
  <si>
    <t xml:space="preserve">AgeAboveTen/Sex</t>
  </si>
  <si>
    <t xml:space="preserve">10-14, Female</t>
  </si>
  <si>
    <t xml:space="preserve">A_ovc_serv_1014_f</t>
  </si>
  <si>
    <t xml:space="preserve">10-14, Male</t>
  </si>
  <si>
    <t xml:space="preserve">A_ovc_serv_1014_m</t>
  </si>
  <si>
    <t xml:space="preserve">15-17</t>
  </si>
  <si>
    <t xml:space="preserve">15-17, Female</t>
  </si>
  <si>
    <t xml:space="preserve">A_ovc_serv_1517_f</t>
  </si>
  <si>
    <t xml:space="preserve">15-17, Male</t>
  </si>
  <si>
    <t xml:space="preserve">A_ovc_serv_1517_m</t>
  </si>
  <si>
    <t xml:space="preserve">18-24</t>
  </si>
  <si>
    <t xml:space="preserve"> Age/Sex 18+</t>
  </si>
  <si>
    <t xml:space="preserve">18-24, Female</t>
  </si>
  <si>
    <t xml:space="preserve">A_ovc_serv_1824_f</t>
  </si>
  <si>
    <t xml:space="preserve">18-24, Male</t>
  </si>
  <si>
    <t xml:space="preserve">A_ovc_serv_1824_m</t>
  </si>
  <si>
    <t xml:space="preserve">25+</t>
  </si>
  <si>
    <t xml:space="preserve">25+, Female</t>
  </si>
  <si>
    <t xml:space="preserve">A_ovc_serv_o25_f</t>
  </si>
  <si>
    <t xml:space="preserve">25+, Male</t>
  </si>
  <si>
    <t xml:space="preserve">A_ovc_serv_o25_m</t>
  </si>
  <si>
    <t xml:space="preserve">Age/Sex/Service - Econ</t>
  </si>
  <si>
    <t xml:space="preserve"> Economic Strengthening,  Unknown Sex, &lt;1</t>
  </si>
  <si>
    <t xml:space="preserve">A_ovc_serv_u1_unk_econ</t>
  </si>
  <si>
    <t xml:space="preserve"> Economic Strengthening,  Unknown Sex, 1-9</t>
  </si>
  <si>
    <t xml:space="preserve">A_ovc_serv_0109_unk_econ</t>
  </si>
  <si>
    <t xml:space="preserve">Age/Sex/Service</t>
  </si>
  <si>
    <t xml:space="preserve">Economic Strengthening</t>
  </si>
  <si>
    <t xml:space="preserve"> Economic Strengthening,  Female, 10-14</t>
  </si>
  <si>
    <t xml:space="preserve">A_ovc_serv_1014_f_econ</t>
  </si>
  <si>
    <t xml:space="preserve"> Economic Strengthening,  Female, 15-17</t>
  </si>
  <si>
    <t xml:space="preserve">A_ovc_serv_1014_m_econ</t>
  </si>
  <si>
    <t xml:space="preserve"> Economic Strengthening,  Female, 18-24</t>
  </si>
  <si>
    <t xml:space="preserve">A_ovc_serv_1517_f_econ</t>
  </si>
  <si>
    <t xml:space="preserve"> Economic Strengthening,  Female, 25+</t>
  </si>
  <si>
    <t xml:space="preserve">A_ovc_serv_1517_m_econ</t>
  </si>
  <si>
    <t xml:space="preserve"> Economic Strengthening,  Male, 10-14</t>
  </si>
  <si>
    <t xml:space="preserve">A_ovc_serv_1824_f_econ</t>
  </si>
  <si>
    <t xml:space="preserve"> Economic Strengthening,  Male, 15-17</t>
  </si>
  <si>
    <t xml:space="preserve">A_ovc_serv_1824_m_econ</t>
  </si>
  <si>
    <t xml:space="preserve"> Economic Strengthening,  Male, 18-24</t>
  </si>
  <si>
    <t xml:space="preserve">A_ovc_serv_o25_f_econ</t>
  </si>
  <si>
    <t xml:space="preserve"> Economic Strengthening,  Male, 25+</t>
  </si>
  <si>
    <t xml:space="preserve">A_ovc_serv_o25_m_econ</t>
  </si>
  <si>
    <t xml:space="preserve">Age/Sex/Service - Edu</t>
  </si>
  <si>
    <t xml:space="preserve"> Education Support,  Unknown Sex, &lt;1</t>
  </si>
  <si>
    <t xml:space="preserve">A_ovc_serv_u1_unk_edu</t>
  </si>
  <si>
    <t xml:space="preserve"> Education Support,  Unknown Sex, 1-9</t>
  </si>
  <si>
    <t xml:space="preserve">A_ovc_serv_0109_unk_edu</t>
  </si>
  <si>
    <t xml:space="preserve">Education Support</t>
  </si>
  <si>
    <t xml:space="preserve"> Education Support,  Female, 10-14</t>
  </si>
  <si>
    <t xml:space="preserve">A_ovc_serv_1014_f_edu</t>
  </si>
  <si>
    <t xml:space="preserve"> Education Support,  Female, 15-17</t>
  </si>
  <si>
    <t xml:space="preserve">A_ovc_serv_1014_m_edu</t>
  </si>
  <si>
    <t xml:space="preserve"> Education Support,  Female, 18-24</t>
  </si>
  <si>
    <t xml:space="preserve">A_ovc_serv_1517_f_edu</t>
  </si>
  <si>
    <t xml:space="preserve"> Education Support,  Female, 25+</t>
  </si>
  <si>
    <t xml:space="preserve">A_ovc_serv_1517_m_edu</t>
  </si>
  <si>
    <t xml:space="preserve"> Education Support,  Male, 10-14</t>
  </si>
  <si>
    <t xml:space="preserve">A_ovc_serv_1824_f_edu</t>
  </si>
  <si>
    <t xml:space="preserve"> Education Support,  Male, 15-17</t>
  </si>
  <si>
    <t xml:space="preserve">A_ovc_serv_1824_m_edu</t>
  </si>
  <si>
    <t xml:space="preserve"> Education Support,  Male, 18-24</t>
  </si>
  <si>
    <t xml:space="preserve">A_ovc_serv_o25_f_edu</t>
  </si>
  <si>
    <t xml:space="preserve"> Education Support,  Male, 25+</t>
  </si>
  <si>
    <t xml:space="preserve">A_ovc_serv_o25_m_edu</t>
  </si>
  <si>
    <t xml:space="preserve">Age/Sex/Service - Oth</t>
  </si>
  <si>
    <t xml:space="preserve"> Other Service Areas,  Unknown Sex, &lt;1</t>
  </si>
  <si>
    <t xml:space="preserve">A_ovc_serv_u1_unk_oth</t>
  </si>
  <si>
    <t xml:space="preserve"> Other Service Areas,  Unknown Sex, 1-9</t>
  </si>
  <si>
    <t xml:space="preserve">A_ovc_serv_0109_unk_oth</t>
  </si>
  <si>
    <t xml:space="preserve">Other Service Areas</t>
  </si>
  <si>
    <t xml:space="preserve"> Other Service Areas,  Female, 10-14</t>
  </si>
  <si>
    <t xml:space="preserve">A_ovc_serv_1014_f_oth</t>
  </si>
  <si>
    <t xml:space="preserve"> Other Service Areas,  Female, 15-17</t>
  </si>
  <si>
    <t xml:space="preserve">A_ovc_serv_1014_m_oth</t>
  </si>
  <si>
    <t xml:space="preserve"> Other Service Areas,  Female, 18-24</t>
  </si>
  <si>
    <t xml:space="preserve">A_ovc_serv_1517_f_oth</t>
  </si>
  <si>
    <t xml:space="preserve"> Other Service Areas,  Female, 25+</t>
  </si>
  <si>
    <t xml:space="preserve">A_ovc_serv_1517_m_oth</t>
  </si>
  <si>
    <t xml:space="preserve"> Other Service Areas,  Male, 10-14</t>
  </si>
  <si>
    <t xml:space="preserve">A_ovc_serv_1824_f_oth</t>
  </si>
  <si>
    <t xml:space="preserve"> Other Service Areas,  Male, 15-17</t>
  </si>
  <si>
    <t xml:space="preserve">A_ovc_serv_1824_m_oth</t>
  </si>
  <si>
    <t xml:space="preserve"> Other Service Areas,  Male, 18-24</t>
  </si>
  <si>
    <t xml:space="preserve">A_ovc_serv_o25_f_oth</t>
  </si>
  <si>
    <t xml:space="preserve"> Other Service Areas,  Male, 25+</t>
  </si>
  <si>
    <t xml:space="preserve">A_ovc_serv_o25_m_oth</t>
  </si>
  <si>
    <t xml:space="preserve">Age/Sex/Service - Care</t>
  </si>
  <si>
    <t xml:space="preserve"> Parenting/Caregiver Programs,  Unknown Sex, &lt;1</t>
  </si>
  <si>
    <t xml:space="preserve">A_ovc_serv_u1_unk_care</t>
  </si>
  <si>
    <t xml:space="preserve"> Parenting/Caregiver Programs,  Unknown Sex, 1-9</t>
  </si>
  <si>
    <t xml:space="preserve">A_ovc_serv_0109_unk_care</t>
  </si>
  <si>
    <t xml:space="preserve">Parenting/Caregiver Programs</t>
  </si>
  <si>
    <t xml:space="preserve"> Parenting/Caregiver Programs,  Female, 10-14</t>
  </si>
  <si>
    <t xml:space="preserve">A_ovc_serv_1014_f_care</t>
  </si>
  <si>
    <t xml:space="preserve"> Parenting/Caregiver Programs,  Female, 15-17</t>
  </si>
  <si>
    <t xml:space="preserve">A_ovc_serv_1014_m_care</t>
  </si>
  <si>
    <t xml:space="preserve"> Parenting/Caregiver Programs,  Female, 18-24</t>
  </si>
  <si>
    <t xml:space="preserve">A_ovc_serv_1517_f_care</t>
  </si>
  <si>
    <t xml:space="preserve"> Parenting/Caregiver Programs,  Female, 25+</t>
  </si>
  <si>
    <t xml:space="preserve">A_ovc_serv_1517_m_care</t>
  </si>
  <si>
    <t xml:space="preserve"> Parenting/Caregiver Programs,  Male, 10-14</t>
  </si>
  <si>
    <t xml:space="preserve">A_ovc_serv_1824_f_care</t>
  </si>
  <si>
    <t xml:space="preserve"> Parenting/Caregiver Programs,  Male, 15-17</t>
  </si>
  <si>
    <t xml:space="preserve">A_ovc_serv_1824_m_care</t>
  </si>
  <si>
    <t xml:space="preserve"> Parenting/Caregiver Programs,  Male, 18-24</t>
  </si>
  <si>
    <t xml:space="preserve">A_ovc_serv_o25_f_care</t>
  </si>
  <si>
    <t xml:space="preserve"> Parenting/Caregiver Programs,  Male, 25+</t>
  </si>
  <si>
    <t xml:space="preserve">A_ovc_serv_o25_m_care</t>
  </si>
  <si>
    <t xml:space="preserve">Age/Sex/Service - SP</t>
  </si>
  <si>
    <t xml:space="preserve"> Social Protection,  Unknown Sex, &lt;1</t>
  </si>
  <si>
    <t xml:space="preserve">A_ovc_serv_u1_unk_sp</t>
  </si>
  <si>
    <t xml:space="preserve"> Social Protection,  Unknown Sex, 1-9</t>
  </si>
  <si>
    <t xml:space="preserve">A_ovc_serv_0109_unk_sp</t>
  </si>
  <si>
    <t xml:space="preserve">Social Protection</t>
  </si>
  <si>
    <t xml:space="preserve"> Social Protection,  Female, 10-14</t>
  </si>
  <si>
    <t xml:space="preserve">A_ovc_serv_1014_f_sp</t>
  </si>
  <si>
    <t xml:space="preserve"> Social Protection,  Female, 15-17</t>
  </si>
  <si>
    <t xml:space="preserve">A_ovc_serv_1014_m_sp</t>
  </si>
  <si>
    <t xml:space="preserve"> Social Protection,  Female, 18-24</t>
  </si>
  <si>
    <t xml:space="preserve">A_ovc_serv_1517_f_sp</t>
  </si>
  <si>
    <t xml:space="preserve"> Social Protection,  Female, 25+</t>
  </si>
  <si>
    <t xml:space="preserve">A_ovc_serv_1517_m_sp</t>
  </si>
  <si>
    <t xml:space="preserve"> Social Protection,  Male, 10-14</t>
  </si>
  <si>
    <t xml:space="preserve">A_ovc_serv_1824_f_sp</t>
  </si>
  <si>
    <t xml:space="preserve"> Social Protection,  Male, 15-17</t>
  </si>
  <si>
    <t xml:space="preserve">A_ovc_serv_1824_m_sp</t>
  </si>
  <si>
    <t xml:space="preserve"> Social Protection,  Male, 18-24</t>
  </si>
  <si>
    <t xml:space="preserve">A_ovc_serv_o25_f_sp</t>
  </si>
  <si>
    <t xml:space="preserve"> Social Protection,  Male, 25+</t>
  </si>
  <si>
    <t xml:space="preserve">A_ovc_serv_o25_m_sp</t>
  </si>
  <si>
    <t xml:space="preserve">PMTCT_EID</t>
  </si>
  <si>
    <t xml:space="preserve">Age/HIVStatus</t>
  </si>
  <si>
    <t xml:space="preserve">&lt;2 months</t>
  </si>
  <si>
    <t xml:space="preserve">Negative</t>
  </si>
  <si>
    <t xml:space="preserve">Age</t>
  </si>
  <si>
    <t xml:space="preserve">≤2 months</t>
  </si>
  <si>
    <t xml:space="preserve">A_pmtct_eid_u02</t>
  </si>
  <si>
    <t xml:space="preserve">Positive</t>
  </si>
  <si>
    <t xml:space="preserve">Unknown</t>
  </si>
  <si>
    <t xml:space="preserve">[months] 02-12</t>
  </si>
  <si>
    <t xml:space="preserve">2-12 months</t>
  </si>
  <si>
    <t xml:space="preserve">A_pmtct_eid_0212mo</t>
  </si>
  <si>
    <t xml:space="preserve">PMTCT_STAT</t>
  </si>
  <si>
    <t xml:space="preserve">D</t>
  </si>
  <si>
    <t xml:space="preserve">DENOMINATOR Age/Sex</t>
  </si>
  <si>
    <t xml:space="preserve">&lt;10, Female</t>
  </si>
  <si>
    <t xml:space="preserve">A_pmtct_stat_D_u10_f</t>
  </si>
  <si>
    <t xml:space="preserve">A_pmtct_stat_D_1014_f</t>
  </si>
  <si>
    <t xml:space="preserve">15-19, Female</t>
  </si>
  <si>
    <t xml:space="preserve">A_pmtct_stat_D_1519_f</t>
  </si>
  <si>
    <t xml:space="preserve">20-24, Female</t>
  </si>
  <si>
    <t xml:space="preserve">A_pmtct_stat_D_2024_f</t>
  </si>
  <si>
    <t xml:space="preserve">25-29, Female</t>
  </si>
  <si>
    <t xml:space="preserve">A_pmtct_stat_D_2529_f</t>
  </si>
  <si>
    <t xml:space="preserve">30-34, Female</t>
  </si>
  <si>
    <t xml:space="preserve">A_pmtct_stat_D_3034_f</t>
  </si>
  <si>
    <t xml:space="preserve">35-39, Female</t>
  </si>
  <si>
    <t xml:space="preserve">A_pmtct_stat_D_3539_f</t>
  </si>
  <si>
    <t xml:space="preserve">40-49, Female</t>
  </si>
  <si>
    <t xml:space="preserve">A_pmtct_stat_D_4049_f</t>
  </si>
  <si>
    <t xml:space="preserve">50+, Female</t>
  </si>
  <si>
    <t xml:space="preserve">A_pmtct_stat_D_o50_f</t>
  </si>
  <si>
    <t xml:space="preserve">Age/KnownNewResult</t>
  </si>
  <si>
    <t xml:space="preserve">Known at Entry</t>
  </si>
  <si>
    <t xml:space="preserve">Age/Sex/KnownNewResult - Known Pos</t>
  </si>
  <si>
    <t xml:space="preserve"> Known at Entry Positive,  Female, &lt;10</t>
  </si>
  <si>
    <t xml:space="preserve">A_pmtct_stat_u10_f_known</t>
  </si>
  <si>
    <t xml:space="preserve"> Known at Entry Positive,  Female, 10-14</t>
  </si>
  <si>
    <t xml:space="preserve">A_pmtct_stat_1014_f_known</t>
  </si>
  <si>
    <t xml:space="preserve"> Known at Entry Positive,  Female, 15-19</t>
  </si>
  <si>
    <t xml:space="preserve">A_pmtct_stat_1519_f_known</t>
  </si>
  <si>
    <t xml:space="preserve"> Known at Entry Positive,  Female, 20-24</t>
  </si>
  <si>
    <t xml:space="preserve">A_pmtct_stat_2024_f_known</t>
  </si>
  <si>
    <t xml:space="preserve"> Known at Entry Positive,  Female, 25-29</t>
  </si>
  <si>
    <t xml:space="preserve">A_pmtct_stat_2529_f_known</t>
  </si>
  <si>
    <t xml:space="preserve"> Known at Entry Positive,  Female, 30-34</t>
  </si>
  <si>
    <t xml:space="preserve">A_pmtct_stat_3034_f_known</t>
  </si>
  <si>
    <t xml:space="preserve"> Known at Entry Positive,  Female, 35-39</t>
  </si>
  <si>
    <t xml:space="preserve">A_pmtct_stat_3539_f_known</t>
  </si>
  <si>
    <t xml:space="preserve"> Known at Entry Positive,  Female, 40-49</t>
  </si>
  <si>
    <t xml:space="preserve">A_pmtct_stat_4049_f_known</t>
  </si>
  <si>
    <t xml:space="preserve"> Known at Entry Positive,  Female, 50+</t>
  </si>
  <si>
    <t xml:space="preserve">A_pmtct_stat_o50_f_known</t>
  </si>
  <si>
    <t xml:space="preserve">Newly Identified</t>
  </si>
  <si>
    <t xml:space="preserve">Age/Sex/KnownNewResult - New Neg</t>
  </si>
  <si>
    <t xml:space="preserve"> Newly Identified Negative,  Female, &lt;10</t>
  </si>
  <si>
    <t xml:space="preserve">A_pmtct_stat_u10_f_newneg</t>
  </si>
  <si>
    <t xml:space="preserve"> Newly Identified Negative,  Female, 10-14</t>
  </si>
  <si>
    <t xml:space="preserve">A_pmtct_stat_1014_f_newneg</t>
  </si>
  <si>
    <t xml:space="preserve"> Newly Identified Negative,  Female, 15-19</t>
  </si>
  <si>
    <t xml:space="preserve">A_pmtct_stat_1519_f_newneg</t>
  </si>
  <si>
    <t xml:space="preserve"> Newly Identified Negative,  Female, 20-24</t>
  </si>
  <si>
    <t xml:space="preserve">A_pmtct_stat_2024_f_newneg</t>
  </si>
  <si>
    <t xml:space="preserve">25-49</t>
  </si>
  <si>
    <t xml:space="preserve"> Newly Identified Negative,  Female, 25-29</t>
  </si>
  <si>
    <t xml:space="preserve">A_pmtct_stat_2529_f_newneg</t>
  </si>
  <si>
    <t xml:space="preserve"> Newly Identified Negative,  Female, 30-34</t>
  </si>
  <si>
    <t xml:space="preserve">A_pmtct_stat_3034_f_newneg</t>
  </si>
  <si>
    <t xml:space="preserve"> Newly Identified Negative,  Female, 35-39</t>
  </si>
  <si>
    <t xml:space="preserve">A_pmtct_stat_3539_f_newneg</t>
  </si>
  <si>
    <t xml:space="preserve"> Newly Identified Negative,  Female, 40-49</t>
  </si>
  <si>
    <t xml:space="preserve">A_pmtct_stat_4049_f_newneg</t>
  </si>
  <si>
    <t xml:space="preserve"> Newly Identified Negative,  Female, 50+</t>
  </si>
  <si>
    <t xml:space="preserve">A_pmtct_stat_o50_f_newneg</t>
  </si>
  <si>
    <t xml:space="preserve">Age/Sex/KnownNewResult - New Pos</t>
  </si>
  <si>
    <t xml:space="preserve"> Newly Identified Positive,  Female, &lt;10</t>
  </si>
  <si>
    <t xml:space="preserve">A_pmtct_stat_u10_f_newpos</t>
  </si>
  <si>
    <t xml:space="preserve"> Newly Identified Positive,  Female, 10-14</t>
  </si>
  <si>
    <t xml:space="preserve">A_pmtct_stat_1014_f_newpos</t>
  </si>
  <si>
    <t xml:space="preserve"> Newly Identified Positive,  Female, 15-19</t>
  </si>
  <si>
    <t xml:space="preserve">A_pmtct_stat_1519_f_newpos</t>
  </si>
  <si>
    <t xml:space="preserve"> Newly Identified Positive,  Female, 20-24</t>
  </si>
  <si>
    <t xml:space="preserve">A_pmtct_stat_2024_f_newpos</t>
  </si>
  <si>
    <t xml:space="preserve"> Newly Identified Positive,  Female, 25-29</t>
  </si>
  <si>
    <t xml:space="preserve">A_pmtct_stat_2529_f_newpos</t>
  </si>
  <si>
    <t xml:space="preserve"> Newly Identified Positive,  Female, 30-34</t>
  </si>
  <si>
    <t xml:space="preserve">A_pmtct_stat_3034_f_newpos</t>
  </si>
  <si>
    <t xml:space="preserve"> Newly Identified Positive,  Female, 35-39</t>
  </si>
  <si>
    <t xml:space="preserve">A_pmtct_stat_3539_f_newpos</t>
  </si>
  <si>
    <t xml:space="preserve"> Newly Identified Positive,  Female, 40-49</t>
  </si>
  <si>
    <t xml:space="preserve">A_pmtct_stat_4049_f_newpos</t>
  </si>
  <si>
    <t xml:space="preserve"> Newly Identified Positive,  Female, 50+</t>
  </si>
  <si>
    <t xml:space="preserve">A_pmtct_stat_o50_f_newpos</t>
  </si>
  <si>
    <t xml:space="preserve">PP_PREV</t>
  </si>
  <si>
    <t xml:space="preserve">Age/Sex</t>
  </si>
  <si>
    <t xml:space="preserve">A_pp_prev_1014_f</t>
  </si>
  <si>
    <t xml:space="preserve">A_pp_prev_1014_m</t>
  </si>
  <si>
    <t xml:space="preserve">A_pp_prev_1519_f</t>
  </si>
  <si>
    <t xml:space="preserve">15-19, Male</t>
  </si>
  <si>
    <t xml:space="preserve">A_pp_prev_1519_m</t>
  </si>
  <si>
    <t xml:space="preserve">A_pp_prev_2024_f</t>
  </si>
  <si>
    <t xml:space="preserve">20-24, Male</t>
  </si>
  <si>
    <t xml:space="preserve">A_pp_prev_2024_m</t>
  </si>
  <si>
    <t xml:space="preserve">A_pp_prev_2529_f</t>
  </si>
  <si>
    <t xml:space="preserve">25-29, Male</t>
  </si>
  <si>
    <t xml:space="preserve">A_pp_prev_2529_m</t>
  </si>
  <si>
    <t xml:space="preserve">A_pp_prev_3034_f</t>
  </si>
  <si>
    <t xml:space="preserve">30-34, Male</t>
  </si>
  <si>
    <t xml:space="preserve">A_pp_prev_3034_m</t>
  </si>
  <si>
    <t xml:space="preserve">A_pp_prev_3539_f</t>
  </si>
  <si>
    <t xml:space="preserve">35-39, Male</t>
  </si>
  <si>
    <t xml:space="preserve">A_pp_prev_3539_m</t>
  </si>
  <si>
    <t xml:space="preserve">A_pp_prev_4049_f</t>
  </si>
  <si>
    <t xml:space="preserve">40-49, Male</t>
  </si>
  <si>
    <t xml:space="preserve">A_pp_prev_4049_m</t>
  </si>
  <si>
    <t xml:space="preserve">A_pp_prev_o50_f</t>
  </si>
  <si>
    <t xml:space="preserve">50+, Male</t>
  </si>
  <si>
    <t xml:space="preserve">A_pp_prev_o50_m</t>
  </si>
  <si>
    <t xml:space="preserve">PrEP_NEW</t>
  </si>
  <si>
    <t xml:space="preserve">A_prep_new_1519_f</t>
  </si>
  <si>
    <t xml:space="preserve">A_prep_new_1519_m</t>
  </si>
  <si>
    <t xml:space="preserve">A_prep_new_2024_f</t>
  </si>
  <si>
    <t xml:space="preserve">A_prep_new_2024_m</t>
  </si>
  <si>
    <t xml:space="preserve">A_prep_new_2529_f</t>
  </si>
  <si>
    <t xml:space="preserve">A_prep_new_2529_m</t>
  </si>
  <si>
    <t xml:space="preserve">A_prep_new_3034_f</t>
  </si>
  <si>
    <t xml:space="preserve">A_prep_new_3034_m</t>
  </si>
  <si>
    <t xml:space="preserve">A_prep_new_3539_f</t>
  </si>
  <si>
    <t xml:space="preserve">A_prep_new_3539_m</t>
  </si>
  <si>
    <t xml:space="preserve">A_prep_new_4049_f</t>
  </si>
  <si>
    <t xml:space="preserve">A_prep_new_4049_m</t>
  </si>
  <si>
    <t xml:space="preserve">A_prep_new_o50_f</t>
  </si>
  <si>
    <t xml:space="preserve">A_prep_new_o50_m</t>
  </si>
  <si>
    <t xml:space="preserve">KeyPopAbr</t>
  </si>
  <si>
    <t xml:space="preserve">FSW</t>
  </si>
  <si>
    <t xml:space="preserve">KeyPop</t>
  </si>
  <si>
    <t xml:space="preserve">A_prep_new_fsw</t>
  </si>
  <si>
    <t xml:space="preserve">MSM</t>
  </si>
  <si>
    <t xml:space="preserve">A_prep_new_msm</t>
  </si>
  <si>
    <t xml:space="preserve">Other Key Populations</t>
  </si>
  <si>
    <t xml:space="preserve">A_prep_new_oth_kp</t>
  </si>
  <si>
    <t xml:space="preserve">TG</t>
  </si>
  <si>
    <t xml:space="preserve">A_prep_new_tg</t>
  </si>
  <si>
    <t xml:space="preserve">TB_STAT</t>
  </si>
  <si>
    <t xml:space="preserve">Age Aggregated/Sex</t>
  </si>
  <si>
    <t xml:space="preserve">&lt;15</t>
  </si>
  <si>
    <t xml:space="preserve">&lt;15, Female</t>
  </si>
  <si>
    <t xml:space="preserve">A_tb_stat_D_u15_f</t>
  </si>
  <si>
    <t xml:space="preserve">&lt;15, Male</t>
  </si>
  <si>
    <t xml:space="preserve">A_tb_stat_D_u15_m</t>
  </si>
  <si>
    <t xml:space="preserve">15+</t>
  </si>
  <si>
    <t xml:space="preserve">15+, Female</t>
  </si>
  <si>
    <t xml:space="preserve">A_tb_stat_D_o15_f</t>
  </si>
  <si>
    <t xml:space="preserve">15+, Male</t>
  </si>
  <si>
    <t xml:space="preserve">A_tb_stat_D_o15_m</t>
  </si>
  <si>
    <t xml:space="preserve">Age Aggregated/Sex/KnownNewPosNeg</t>
  </si>
  <si>
    <t xml:space="preserve">&lt;15, Female, Positive</t>
  </si>
  <si>
    <t xml:space="preserve">A_tb_stat_u15_f</t>
  </si>
  <si>
    <t xml:space="preserve">&lt;15, Male, Positive</t>
  </si>
  <si>
    <t xml:space="preserve">A_tb_stat_u15_m</t>
  </si>
  <si>
    <t xml:space="preserve">15+, Female, Positive</t>
  </si>
  <si>
    <t xml:space="preserve">A_tb_stat_o15_f</t>
  </si>
  <si>
    <t xml:space="preserve">15+, Male, Positive</t>
  </si>
  <si>
    <t xml:space="preserve">A_tb_stat_o15_m</t>
  </si>
  <si>
    <t xml:space="preserve">TB_ART</t>
  </si>
  <si>
    <t xml:space="preserve">Age Aggregated/Sex/HIVStatus</t>
  </si>
  <si>
    <t xml:space="preserve">A_tb_art_u15_f_pos</t>
  </si>
  <si>
    <t xml:space="preserve">A_tb_art_u15_m_pos</t>
  </si>
  <si>
    <t xml:space="preserve">A_tb_art_o15_f_pos</t>
  </si>
  <si>
    <t xml:space="preserve">A_tb_art_o15_m_pos</t>
  </si>
  <si>
    <t xml:space="preserve">NewExistingArt/HIVStatus</t>
  </si>
  <si>
    <t xml:space="preserve">Life-long ART Already</t>
  </si>
  <si>
    <t xml:space="preserve">STATUS</t>
  </si>
  <si>
    <t xml:space="preserve">A_tb_art_already</t>
  </si>
  <si>
    <t xml:space="preserve">Life-long ART New</t>
  </si>
  <si>
    <t xml:space="preserve">A_tb_art_new</t>
  </si>
  <si>
    <t xml:space="preserve">TB_PREV</t>
  </si>
  <si>
    <t xml:space="preserve">DENOMINATOR Age Aggregated/Sex/HIVStatus</t>
  </si>
  <si>
    <t xml:space="preserve">A_tb_prev_D_u15_f_pos</t>
  </si>
  <si>
    <t xml:space="preserve">A_tb_prev_D_u15_m_pos</t>
  </si>
  <si>
    <t xml:space="preserve">A_tb_prev_D_o15_f_pos</t>
  </si>
  <si>
    <t xml:space="preserve">A_tb_prev_D_o15_m_pos</t>
  </si>
  <si>
    <t xml:space="preserve">DENOMINATOR TherapyType/NewExistingArt/HIVStatus</t>
  </si>
  <si>
    <t xml:space="preserve">Alternative TPT Regimen, Life-long ART, Already, Positive</t>
  </si>
  <si>
    <t xml:space="preserve">A_tb_prev_D_alt_tpt_life_already_pos</t>
  </si>
  <si>
    <t xml:space="preserve">IPT, Life-long ART, Already, Positive</t>
  </si>
  <si>
    <t xml:space="preserve">A_tb_prev_D_ipt_life_already_pos</t>
  </si>
  <si>
    <t xml:space="preserve">Alternative TPT Regimen, Life-long ART, New, Positive</t>
  </si>
  <si>
    <t xml:space="preserve">A_tb_prev_D_alt_tpt_life_new_pos</t>
  </si>
  <si>
    <t xml:space="preserve">IPT, Life-long ART, New, Positive</t>
  </si>
  <si>
    <t xml:space="preserve">A_tb_prev_D_ipt_life_new_pos</t>
  </si>
  <si>
    <t xml:space="preserve">A_tb_prev_u15_f_pos</t>
  </si>
  <si>
    <t xml:space="preserve">A_tb_prev_u15_m_pos</t>
  </si>
  <si>
    <t xml:space="preserve">A_tb_prev_o15_f_pos</t>
  </si>
  <si>
    <t xml:space="preserve">A_tb_prev_o15_m_pos</t>
  </si>
  <si>
    <t xml:space="preserve">TherapyType/NewExistingArt/HIVStatus</t>
  </si>
  <si>
    <t xml:space="preserve">Alternative TPT Regimen, Life-long ART, Already, Positive </t>
  </si>
  <si>
    <t xml:space="preserve">A_tb_prev_alt_tpt_life_already_pos</t>
  </si>
  <si>
    <t xml:space="preserve">A_tb_prev_ipt_life_already_pos</t>
  </si>
  <si>
    <t xml:space="preserve">A_tb_prev_alt_tpt_life_new_pos</t>
  </si>
  <si>
    <t xml:space="preserve">A_tb_prev_ipt_life_new_pos</t>
  </si>
  <si>
    <t xml:space="preserve">TX_CURR</t>
  </si>
  <si>
    <t xml:space="preserve"> Age/Sex/HIVStatus - &lt;15</t>
  </si>
  <si>
    <t xml:space="preserve">&lt;1, Unknown Sex, Positive</t>
  </si>
  <si>
    <t xml:space="preserve">A_tx_curr_u1_unk_pos</t>
  </si>
  <si>
    <t xml:space="preserve">1-9, Unknown Sex, Positive</t>
  </si>
  <si>
    <t xml:space="preserve">A_tx_curr_0109_unk_pos</t>
  </si>
  <si>
    <t xml:space="preserve">10-14, Female, Positive</t>
  </si>
  <si>
    <t xml:space="preserve">A_tx_curr_1014_f_pos</t>
  </si>
  <si>
    <t xml:space="preserve">10-14, Male, Positive</t>
  </si>
  <si>
    <t xml:space="preserve">A_tx_curr_1014_m_pos</t>
  </si>
  <si>
    <t xml:space="preserve"> Age/Sex/HIVStatus - 15+</t>
  </si>
  <si>
    <t xml:space="preserve">15-19, Female, Positive</t>
  </si>
  <si>
    <t xml:space="preserve">A_tx_curr_1519_f_pos</t>
  </si>
  <si>
    <t xml:space="preserve">15-19, Male, Positive</t>
  </si>
  <si>
    <t xml:space="preserve">A_tx_curr_1519_m_pos</t>
  </si>
  <si>
    <t xml:space="preserve">20-24, Female, Positive</t>
  </si>
  <si>
    <t xml:space="preserve">A_tx_curr_2024_f_pos</t>
  </si>
  <si>
    <t xml:space="preserve">20-24, Male, Positive</t>
  </si>
  <si>
    <t xml:space="preserve">A_tx_curr_2024_m_pos</t>
  </si>
  <si>
    <t xml:space="preserve">25-29, Female, Positive</t>
  </si>
  <si>
    <t xml:space="preserve">A_tx_curr_2529_f_pos</t>
  </si>
  <si>
    <t xml:space="preserve">25-29, Male, Positive</t>
  </si>
  <si>
    <t xml:space="preserve">A_tx_curr_2529_m_pos</t>
  </si>
  <si>
    <t xml:space="preserve">30-34, Female, Positive</t>
  </si>
  <si>
    <t xml:space="preserve">A_tx_curr_3034_f_pos</t>
  </si>
  <si>
    <t xml:space="preserve">30-34, Male, Positive</t>
  </si>
  <si>
    <t xml:space="preserve">A_tx_curr_3034_m_pos</t>
  </si>
  <si>
    <t xml:space="preserve">35-39, Female, Positive</t>
  </si>
  <si>
    <t xml:space="preserve">A_tx_curr_3539_f_pos</t>
  </si>
  <si>
    <t xml:space="preserve">35-39, Male, Positive</t>
  </si>
  <si>
    <t xml:space="preserve">A_tx_curr_3539_m_pos</t>
  </si>
  <si>
    <t xml:space="preserve">40-49, Female, Positive</t>
  </si>
  <si>
    <t xml:space="preserve">A_tx_curr_4049_f_pos</t>
  </si>
  <si>
    <t xml:space="preserve">40-49, Male, Positive</t>
  </si>
  <si>
    <t xml:space="preserve">A_tx_curr_4049_m_pos</t>
  </si>
  <si>
    <t xml:space="preserve">50+, Female, Positive</t>
  </si>
  <si>
    <t xml:space="preserve">A_tx_curr_o50_f_pos</t>
  </si>
  <si>
    <t xml:space="preserve">50+, Male, Positive</t>
  </si>
  <si>
    <t xml:space="preserve">A_tx_curr_o50_m_pos</t>
  </si>
  <si>
    <t xml:space="preserve">TX_NEW</t>
  </si>
  <si>
    <t xml:space="preserve">A_tx_new_u01_unk_pos</t>
  </si>
  <si>
    <t xml:space="preserve">A_tx_new_1014_f_pos</t>
  </si>
  <si>
    <t xml:space="preserve">A_tx_new_0109_unk_pos</t>
  </si>
  <si>
    <t xml:space="preserve">A_tx_new_1014_m_pos</t>
  </si>
  <si>
    <t xml:space="preserve">A_tx_new_1519_f_pos</t>
  </si>
  <si>
    <t xml:space="preserve">A_tx_new_1519_m_pos</t>
  </si>
  <si>
    <t xml:space="preserve">A_tx_new_2024_f_pos</t>
  </si>
  <si>
    <t xml:space="preserve">A_tx_new_2024_m_pos</t>
  </si>
  <si>
    <t xml:space="preserve">A_tx_new_2529_f_pos</t>
  </si>
  <si>
    <t xml:space="preserve">A_tx_new_2529_m_pos</t>
  </si>
  <si>
    <t xml:space="preserve">A_tx_new_3034_f_pos</t>
  </si>
  <si>
    <t xml:space="preserve">A_tx_new_3034_m_pos</t>
  </si>
  <si>
    <t xml:space="preserve">A_tx_new_3539_f_pos</t>
  </si>
  <si>
    <t xml:space="preserve">A_tx_new_3539_m_pos</t>
  </si>
  <si>
    <t xml:space="preserve">A_tx_new_4049_f_pos</t>
  </si>
  <si>
    <t xml:space="preserve">A_tx_new_4049_m_pos</t>
  </si>
  <si>
    <t xml:space="preserve">A_tx_new_o50_f_pos</t>
  </si>
  <si>
    <t xml:space="preserve">A_tx_new_o50_m_pos</t>
  </si>
  <si>
    <t xml:space="preserve">KeyPop/HIVStatus</t>
  </si>
  <si>
    <t xml:space="preserve">FSW, Positive</t>
  </si>
  <si>
    <t xml:space="preserve">A_tx_new_fsw_pos</t>
  </si>
  <si>
    <t xml:space="preserve">MSM, Positive</t>
  </si>
  <si>
    <t xml:space="preserve">A_tx_new_msm_pos</t>
  </si>
  <si>
    <t xml:space="preserve">People in prisons and other enclosed settings</t>
  </si>
  <si>
    <t xml:space="preserve">People in prisons and other enclosed settings, Positive</t>
  </si>
  <si>
    <t xml:space="preserve">A_tx_new_prison_pos</t>
  </si>
  <si>
    <t xml:space="preserve">PWID</t>
  </si>
  <si>
    <t xml:space="preserve">PWID, Positive</t>
  </si>
  <si>
    <t xml:space="preserve">A_tx_new_pwid_pos</t>
  </si>
  <si>
    <t xml:space="preserve">TG, Positive</t>
  </si>
  <si>
    <t xml:space="preserve">A_tx_new_tg_pos</t>
  </si>
  <si>
    <t xml:space="preserve">PregnantOrBreastfeeding/HIVStatus</t>
  </si>
  <si>
    <t xml:space="preserve">Breastfeeding</t>
  </si>
  <si>
    <t xml:space="preserve">Breastfeeding, Positive</t>
  </si>
  <si>
    <t xml:space="preserve">A_tx_new_bf_pos</t>
  </si>
  <si>
    <t xml:space="preserve">Pregnant</t>
  </si>
  <si>
    <t xml:space="preserve">Pregnant, Positive</t>
  </si>
  <si>
    <t xml:space="preserve">A_tx_new_preg_pos</t>
  </si>
  <si>
    <t xml:space="preserve">TX_PVLS</t>
  </si>
  <si>
    <t xml:space="preserve">Age Aggregated/Sex/Indication/HIVStatus</t>
  </si>
  <si>
    <t xml:space="preserve">Routine</t>
  </si>
  <si>
    <t xml:space="preserve">Age Aggregated/Sex/Indication</t>
  </si>
  <si>
    <t xml:space="preserve">&lt;15, Female, Routine</t>
  </si>
  <si>
    <t xml:space="preserve">A_tx_pvls_D_u15_f_rtn</t>
  </si>
  <si>
    <t xml:space="preserve">Targeted</t>
  </si>
  <si>
    <t xml:space="preserve">&lt;15, Female, Targeted</t>
  </si>
  <si>
    <t xml:space="preserve">A_tx_pvls_D_u15_f_targeted</t>
  </si>
  <si>
    <t xml:space="preserve">Undocumented Test Indication</t>
  </si>
  <si>
    <t xml:space="preserve">&lt;15, Female, Undocumented Test Indication</t>
  </si>
  <si>
    <t xml:space="preserve">A_tx_pvls_D_u15_f_undoctest</t>
  </si>
  <si>
    <t xml:space="preserve">&lt;15, Male, Routine</t>
  </si>
  <si>
    <t xml:space="preserve">A_tx_pvls_D_u15_m_rtn</t>
  </si>
  <si>
    <t xml:space="preserve">&lt;15, Male, Targeted</t>
  </si>
  <si>
    <t xml:space="preserve">A_tx_pvls_D_u15_m_targeted</t>
  </si>
  <si>
    <t xml:space="preserve">&lt;15, Male, Undocumented Test Indication</t>
  </si>
  <si>
    <t xml:space="preserve">A_tx_pvls_D_u15_m_undoctest</t>
  </si>
  <si>
    <t xml:space="preserve">15+, Female, Routine</t>
  </si>
  <si>
    <t xml:space="preserve">A_tx_pvls_D_o15_f_rtn</t>
  </si>
  <si>
    <t xml:space="preserve">15+, Female, Targeted</t>
  </si>
  <si>
    <t xml:space="preserve">A_tx_pvls_D_o15_f_targeted</t>
  </si>
  <si>
    <t xml:space="preserve">15+, Female, Undocumented Test Indication</t>
  </si>
  <si>
    <t xml:space="preserve">A_tx_pvls_D_o15_f_undoctest</t>
  </si>
  <si>
    <t xml:space="preserve">15+, Male, Routine</t>
  </si>
  <si>
    <t xml:space="preserve">A_tx_pvls_D_o15_m_rtn</t>
  </si>
  <si>
    <t xml:space="preserve">15+, Male, Targeted</t>
  </si>
  <si>
    <t xml:space="preserve">A_tx_pvls_D_o15_m_targeted</t>
  </si>
  <si>
    <t xml:space="preserve">15+, Male, Undocumented Test Indication</t>
  </si>
  <si>
    <t xml:space="preserve">A_tx_pvls_D_o15_m_undoctest</t>
  </si>
  <si>
    <t xml:space="preserve">RoutineTargeted/HIVStatus</t>
  </si>
  <si>
    <t xml:space="preserve"> RoutineTargeted/HIVStatus</t>
  </si>
  <si>
    <t xml:space="preserve">Routine, Positive</t>
  </si>
  <si>
    <t xml:space="preserve">A_tx_pvls_D_rtn_pos</t>
  </si>
  <si>
    <t xml:space="preserve">Targeted, Positive</t>
  </si>
  <si>
    <t xml:space="preserve">A_tx_pvls_D_targeted_pos</t>
  </si>
  <si>
    <t xml:space="preserve">Undocumented Test Indication, Positive</t>
  </si>
  <si>
    <t xml:space="preserve">A_tx_pvls_D_undoctest_pos</t>
  </si>
  <si>
    <t xml:space="preserve">TX_RET</t>
  </si>
  <si>
    <t xml:space="preserve">DENOMINATOR Age Aggregated/Sex/HIVStatus - &lt;15</t>
  </si>
  <si>
    <t xml:space="preserve">A_tx_ret_D_u15_f_pos</t>
  </si>
  <si>
    <t xml:space="preserve">A_tx_ret_D_u15_m_pos</t>
  </si>
  <si>
    <t xml:space="preserve">DENOMINATOR Age Aggregated/Sex/HIVStatus - 15+</t>
  </si>
  <si>
    <t xml:space="preserve">A_tx_ret_D_o15_f_pos</t>
  </si>
  <si>
    <t xml:space="preserve">A_tx_ret_D_o15_m_pos</t>
  </si>
  <si>
    <t xml:space="preserve">DENOMINATOR PregnantOrBreastfeeding/HIVStatus</t>
  </si>
  <si>
    <t xml:space="preserve">A_tx_ret_D_bf_pos</t>
  </si>
  <si>
    <t xml:space="preserve">A_tx_ret_D_preg_pos</t>
  </si>
  <si>
    <t xml:space="preserve">Age Aggregated/Sex/HIVStatus - &lt;15</t>
  </si>
  <si>
    <t xml:space="preserve">A_tx_ret_u15_f_pos</t>
  </si>
  <si>
    <t xml:space="preserve">A_tx_ret_u15_m_pos</t>
  </si>
  <si>
    <t xml:space="preserve">Age Aggregated/Sex/HIVStatus - 15+</t>
  </si>
  <si>
    <t xml:space="preserve">A_tx_ret_o15_f_pos</t>
  </si>
  <si>
    <t xml:space="preserve">A_tx_ret_o15_m_pos</t>
  </si>
  <si>
    <t xml:space="preserve">A_tx_ret_bf_pos</t>
  </si>
  <si>
    <t xml:space="preserve">A_tx_ret_preg_pos</t>
  </si>
  <si>
    <t xml:space="preserve">TX_TB</t>
  </si>
  <si>
    <t xml:space="preserve">A_tx_tb_D_u15_f_pos</t>
  </si>
  <si>
    <t xml:space="preserve">A_tx_tb_D_u15_m_pos</t>
  </si>
  <si>
    <t xml:space="preserve">A_tx_tb_D_o15_f_pos</t>
  </si>
  <si>
    <t xml:space="preserve">A_tx_tb_D_o15_m_pos</t>
  </si>
  <si>
    <t xml:space="preserve">Specimen Sent</t>
  </si>
  <si>
    <t xml:space="preserve">A_tx_tb_D_sent_pos</t>
  </si>
  <si>
    <t xml:space="preserve">TB Test Type/HIVStatus</t>
  </si>
  <si>
    <t xml:space="preserve">Other</t>
  </si>
  <si>
    <t xml:space="preserve">Diagnostic Test/HIVStatus</t>
  </si>
  <si>
    <t xml:space="preserve">Other, Positive</t>
  </si>
  <si>
    <t xml:space="preserve">A_tx_tb_D_oth_pos</t>
  </si>
  <si>
    <t xml:space="preserve">Smear</t>
  </si>
  <si>
    <t xml:space="preserve">Smear, Positive</t>
  </si>
  <si>
    <t xml:space="preserve">A_tx_tb_D_smear_pos</t>
  </si>
  <si>
    <t xml:space="preserve">Xpert</t>
  </si>
  <si>
    <t xml:space="preserve">Xpert, Positive</t>
  </si>
  <si>
    <t xml:space="preserve">A_tx_tb_D_xpert_pos</t>
  </si>
  <si>
    <t xml:space="preserve">TBScreen/NewExistingART/HIVStatus</t>
  </si>
  <si>
    <t xml:space="preserve">Life-long ART, Already, TB Screen - Negative, Positive</t>
  </si>
  <si>
    <t xml:space="preserve">A_tx_tb_D_life_already_scrn_neg_pos</t>
  </si>
  <si>
    <t xml:space="preserve">Life-long ART, Already, TB Screen - Positive, Positive</t>
  </si>
  <si>
    <t xml:space="preserve">A_tx_tb_D_life_already_scrn_pos_pos</t>
  </si>
  <si>
    <t xml:space="preserve">Life-long ART, New, TB Screen - Negative, Positive</t>
  </si>
  <si>
    <t xml:space="preserve">A_tx_tb_D_life_new_scrn_neg_pos</t>
  </si>
  <si>
    <t xml:space="preserve">Life-long ART, New, TB Screen - Positive, Positive</t>
  </si>
  <si>
    <t xml:space="preserve">A_tx_tb_D_life_new_scrn_pos_pos</t>
  </si>
  <si>
    <t xml:space="preserve">VMMC_CIRC</t>
  </si>
  <si>
    <t xml:space="preserve">Age/Sex - 15-29</t>
  </si>
  <si>
    <t xml:space="preserve">A_vmmc_circ_1519_m</t>
  </si>
  <si>
    <t xml:space="preserve">A_vmmc_circ_2024_m</t>
  </si>
  <si>
    <t xml:space="preserve">25-29</t>
  </si>
  <si>
    <t xml:space="preserve">A_vmmc_circ_2529_m</t>
  </si>
  <si>
    <t xml:space="preserve">Age/Sex - &lt;15 &amp; 30+</t>
  </si>
  <si>
    <t xml:space="preserve">&lt; 2 months, Male</t>
  </si>
  <si>
    <t xml:space="preserve">A_vmmc_circ_u02mo_m</t>
  </si>
  <si>
    <t xml:space="preserve">02 months - 09 years</t>
  </si>
  <si>
    <t xml:space="preserve">2 months - 9 years, Male</t>
  </si>
  <si>
    <t xml:space="preserve">A_vmmc_circ_02mo9_m</t>
  </si>
  <si>
    <t xml:space="preserve">A_vmmc_circ_1014_m</t>
  </si>
  <si>
    <t xml:space="preserve">A_vmmc_circ_3034_m</t>
  </si>
  <si>
    <t xml:space="preserve">A_vmmc_circ_3539_m</t>
  </si>
  <si>
    <t xml:space="preserve">A_vmmc_circ_4049_m</t>
  </si>
  <si>
    <t xml:space="preserve">A_vmmc_circ_o50_m</t>
  </si>
  <si>
    <t xml:space="preserve">Technique/Sex</t>
  </si>
  <si>
    <t xml:space="preserve">Device based</t>
  </si>
  <si>
    <t xml:space="preserve">Technique</t>
  </si>
  <si>
    <t xml:space="preserve">Device based, Male</t>
  </si>
  <si>
    <t xml:space="preserve">A_vmmc_circ_device_m</t>
  </si>
  <si>
    <t xml:space="preserve">Surgical Technique</t>
  </si>
  <si>
    <t xml:space="preserve">Surgical Technique, Male</t>
  </si>
  <si>
    <t xml:space="preserve">A_vmmc_circ_surg_m</t>
  </si>
  <si>
    <t xml:space="preserve">Preg/Feeding</t>
  </si>
  <si>
    <t xml:space="preserve">OUs </t>
  </si>
  <si>
    <t xml:space="preserve">File Save Date</t>
  </si>
  <si>
    <t xml:space="preserve">Selected OUs </t>
  </si>
  <si>
    <t xml:space="preserve">Botswana</t>
  </si>
  <si>
    <t xml:space="preserve">Mozambique</t>
  </si>
  <si>
    <t xml:space="preserve">Burundi</t>
  </si>
  <si>
    <t xml:space="preserve">Cameroon</t>
  </si>
  <si>
    <t xml:space="preserve">Cote d'Ivoire</t>
  </si>
  <si>
    <t xml:space="preserve">Democratic Republic of the Congo</t>
  </si>
  <si>
    <t xml:space="preserve">Ethiopia</t>
  </si>
  <si>
    <t xml:space="preserve">Tool Updated</t>
  </si>
  <si>
    <t xml:space="preserve">Haiti</t>
  </si>
  <si>
    <t xml:space="preserve">Kenya</t>
  </si>
  <si>
    <t xml:space="preserve">Lesotho</t>
  </si>
  <si>
    <t xml:space="preserve">View output?</t>
  </si>
  <si>
    <t xml:space="preserve">Malawi</t>
  </si>
  <si>
    <t xml:space="preserve">No</t>
  </si>
  <si>
    <t xml:space="preserve">Namibia</t>
  </si>
  <si>
    <t xml:space="preserve">Zip folder?</t>
  </si>
  <si>
    <t xml:space="preserve">Nigeria</t>
  </si>
  <si>
    <t xml:space="preserve">Yes</t>
  </si>
  <si>
    <t xml:space="preserve">Rwanda</t>
  </si>
  <si>
    <t xml:space="preserve">South Africa</t>
  </si>
  <si>
    <t xml:space="preserve">File Path</t>
  </si>
  <si>
    <t xml:space="preserve">South Sudan</t>
  </si>
  <si>
    <t xml:space="preserve">C:\Users\achafetz\Documents\GitHub\DataPack\</t>
  </si>
  <si>
    <t xml:space="preserve">Swaziland</t>
  </si>
  <si>
    <t xml:space="preserve">Tanzania</t>
  </si>
  <si>
    <t xml:space="preserve">Uganda</t>
  </si>
  <si>
    <t xml:space="preserve">Ukraine</t>
  </si>
  <si>
    <t xml:space="preserve">Vietnam</t>
  </si>
  <si>
    <t xml:space="preserve">Zambia</t>
  </si>
  <si>
    <t xml:space="preserve">Zimbabwe</t>
  </si>
  <si>
    <t xml:space="preserve">OU</t>
  </si>
  <si>
    <t xml:space="preserve">COP 18 DISAGGREGATE ALLOCATION TOOL</t>
  </si>
  <si>
    <t xml:space="preserve">operatingunit</t>
  </si>
  <si>
    <t xml:space="preserve">operatingunituid</t>
  </si>
  <si>
    <t xml:space="preserve">IM Targeting Appendix</t>
  </si>
  <si>
    <t xml:space="preserve">Angola</t>
  </si>
  <si>
    <t xml:space="preserve">XOivy2uDpMF</t>
  </si>
  <si>
    <t xml:space="preserve">normal</t>
  </si>
  <si>
    <t xml:space="preserve">Asia Regional Program</t>
  </si>
  <si>
    <t xml:space="preserve">iD2i0aynOGm</t>
  </si>
  <si>
    <t xml:space="preserve">l1KFEXKI4Dg</t>
  </si>
  <si>
    <t xml:space="preserve">Burma</t>
  </si>
  <si>
    <t xml:space="preserve">wChmwjpXOw2</t>
  </si>
  <si>
    <t xml:space="preserve">Qh4XMQJhbk8</t>
  </si>
  <si>
    <t xml:space="preserve">Cambodia</t>
  </si>
  <si>
    <t xml:space="preserve">XWZK2nop7pM</t>
  </si>
  <si>
    <t xml:space="preserve">bQQJe0cC1eD</t>
  </si>
  <si>
    <t xml:space="preserve">Caribbean Region</t>
  </si>
  <si>
    <t xml:space="preserve">nBo9Y4yZubB</t>
  </si>
  <si>
    <t xml:space="preserve">Central America Region</t>
  </si>
  <si>
    <t xml:space="preserve">vSu0nPMbq7b</t>
  </si>
  <si>
    <t xml:space="preserve">Central Asia Region</t>
  </si>
  <si>
    <t xml:space="preserve">t25400wXrNB</t>
  </si>
  <si>
    <t xml:space="preserve">ds0ADyc9UCU</t>
  </si>
  <si>
    <t xml:space="preserve">ANN4YCOufcP</t>
  </si>
  <si>
    <t xml:space="preserve">Dominican Republic</t>
  </si>
  <si>
    <t xml:space="preserve">NzelIFhEv3C</t>
  </si>
  <si>
    <t xml:space="preserve">IH1kchw86uA</t>
  </si>
  <si>
    <t xml:space="preserve">Ghana</t>
  </si>
  <si>
    <t xml:space="preserve">y3zhsvdXlhN</t>
  </si>
  <si>
    <t xml:space="preserve">JTypsdEUNPw</t>
  </si>
  <si>
    <t xml:space="preserve">India</t>
  </si>
  <si>
    <t xml:space="preserve">skj3e4YSiJY</t>
  </si>
  <si>
    <t xml:space="preserve">Indonesia</t>
  </si>
  <si>
    <t xml:space="preserve">W73PRZcjFIU</t>
  </si>
  <si>
    <t xml:space="preserve">HfVjCurKxh2</t>
  </si>
  <si>
    <t xml:space="preserve">qllxzIjjurr</t>
  </si>
  <si>
    <t xml:space="preserve">lZsCb6y0KDX</t>
  </si>
  <si>
    <t xml:space="preserve">h11OyvlPxpJ</t>
  </si>
  <si>
    <t xml:space="preserve">FFVkaV9Zk1S</t>
  </si>
  <si>
    <t xml:space="preserve">PqlFzhuPcF1</t>
  </si>
  <si>
    <t xml:space="preserve">Papua New Guinea</t>
  </si>
  <si>
    <t xml:space="preserve">cl7jVQOW3Ks</t>
  </si>
  <si>
    <t xml:space="preserve">XtxUYCsDWrR</t>
  </si>
  <si>
    <t xml:space="preserve">cDGPF739ZZr</t>
  </si>
  <si>
    <t xml:space="preserve">WLG0z5NxQs8</t>
  </si>
  <si>
    <t xml:space="preserve">V0qMZH29CtN</t>
  </si>
  <si>
    <t xml:space="preserve">mdXu6iCbn2G</t>
  </si>
  <si>
    <t xml:space="preserve">FETQ6OmnsKB</t>
  </si>
  <si>
    <t xml:space="preserve">ligZVIYs2rL</t>
  </si>
  <si>
    <t xml:space="preserve">YM6xn5QxNpY</t>
  </si>
  <si>
    <t xml:space="preserve">f5RoebaDLMx</t>
  </si>
  <si>
    <t xml:space="preserve">a71G4Gtcttv</t>
  </si>
  <si>
    <t xml:space="preserve">ALLOCATION BY IM</t>
  </si>
  <si>
    <t xml:space="preserve">X</t>
  </si>
  <si>
    <t xml:space="preserve">FY17 APR Distribution</t>
  </si>
  <si>
    <t xml:space="preserve">FY19 Target Allocation</t>
  </si>
  <si>
    <t xml:space="preserve">TX_RET (Denom.)</t>
  </si>
  <si>
    <t xml:space="preserve">TX_RET &lt;15 (Denom.)</t>
  </si>
  <si>
    <t xml:space="preserve">TX_RET &lt;15</t>
  </si>
  <si>
    <t xml:space="preserve">TX_NEW &lt;15</t>
  </si>
  <si>
    <t xml:space="preserve">TX_CURR &lt;15</t>
  </si>
  <si>
    <t xml:space="preserve">TX_PVLS (Denom.)</t>
  </si>
  <si>
    <t xml:space="preserve">PMTCT_STAT (Denom.)</t>
  </si>
  <si>
    <t xml:space="preserve">PMTCT_STAT newly identified HIV-positive </t>
  </si>
  <si>
    <t xml:space="preserve">PMTCT_STAT newly identified HIV-negative </t>
  </si>
  <si>
    <t xml:space="preserve">PMTCT_STAT known (at entry) HIV+</t>
  </si>
  <si>
    <t xml:space="preserve">PMTCT_ART</t>
  </si>
  <si>
    <t xml:space="preserve">PMTCT_ART- New on Treatment</t>
  </si>
  <si>
    <t xml:space="preserve">PMTCT_ART- Already on Treatment</t>
  </si>
  <si>
    <t xml:space="preserve">PMTCT_EID 0-2mo</t>
  </si>
  <si>
    <t xml:space="preserve">PMTCT_EID 2-12mo</t>
  </si>
  <si>
    <t xml:space="preserve">TB_STAT (Denom.)</t>
  </si>
  <si>
    <t xml:space="preserve">TB_STAT newly identified HIV-positive </t>
  </si>
  <si>
    <t xml:space="preserve">TB_STAT newly identified HIV-negative </t>
  </si>
  <si>
    <t xml:space="preserve">TB_STAT known (at entry) HIV+</t>
  </si>
  <si>
    <t xml:space="preserve">TB_ART- New on Treatment</t>
  </si>
  <si>
    <t xml:space="preserve">TB_ART- Already on Treatment</t>
  </si>
  <si>
    <t xml:space="preserve">TX_TB (Denom.)</t>
  </si>
  <si>
    <t xml:space="preserve">TB_PREV (Denom.)</t>
  </si>
  <si>
    <t xml:space="preserve">HTS_TST_POS: VMMC</t>
  </si>
  <si>
    <t xml:space="preserve">HTS_TST: PMTCT ANC</t>
  </si>
  <si>
    <t xml:space="preserve">HTS_TST: Tuberculosis</t>
  </si>
  <si>
    <t xml:space="preserve">HTS_TST: VMMC</t>
  </si>
  <si>
    <t xml:space="preserve">HTS_TST 15+: Index Testing Community</t>
  </si>
  <si>
    <t xml:space="preserve">HTS_TST 15+: Mobile Testing Community</t>
  </si>
  <si>
    <t xml:space="preserve">HTS_TST 15+: VCT Community </t>
  </si>
  <si>
    <t xml:space="preserve">HTS_TST 15+: Other Community </t>
  </si>
  <si>
    <t xml:space="preserve">HTS_TST 15+: Index Testing</t>
  </si>
  <si>
    <t xml:space="preserve">HTS_TST 15+: STI</t>
  </si>
  <si>
    <t xml:space="preserve">HTS_TST 15+: Inpatient</t>
  </si>
  <si>
    <t xml:space="preserve">HTS_TST 15+: Emergency</t>
  </si>
  <si>
    <t xml:space="preserve">HTS_TST 15+: Voluntary Counseling &amp; Testing co-located</t>
  </si>
  <si>
    <t xml:space="preserve">HTS_TST 15+: Other Facility</t>
  </si>
  <si>
    <t xml:space="preserve">HTS_TST_POS 15+: Index Testing Community</t>
  </si>
  <si>
    <t xml:space="preserve">HTS_TST_POS 15+: Mobile Testing Community</t>
  </si>
  <si>
    <t xml:space="preserve">HTS_TST_POS 15+: VCT Community </t>
  </si>
  <si>
    <t xml:space="preserve">HTS_TST_POS 15+: Other Community </t>
  </si>
  <si>
    <t xml:space="preserve">HTS_TST_POS 15+: Index Testing</t>
  </si>
  <si>
    <t xml:space="preserve">HTS_TST_POS 15+: STI</t>
  </si>
  <si>
    <t xml:space="preserve">HTS_TST_POS 15+: Inpatient</t>
  </si>
  <si>
    <t xml:space="preserve">HTS_TST_POS 15+: Emergency</t>
  </si>
  <si>
    <t xml:space="preserve">HTS_TST_POS 15+: Voluntary Counseling &amp; Testing co-located</t>
  </si>
  <si>
    <t xml:space="preserve">HTS_TST_POS 15+: Other Facility</t>
  </si>
  <si>
    <t xml:space="preserve">HTS_TST &lt;15: Index Testing Community</t>
  </si>
  <si>
    <t xml:space="preserve">HTS_TST &lt;15: Mobile Testing Community</t>
  </si>
  <si>
    <t xml:space="preserve">HTS_TST &lt;15: VCT Community </t>
  </si>
  <si>
    <t xml:space="preserve">HTS_TST &lt;15: Other Community </t>
  </si>
  <si>
    <t xml:space="preserve">HTS_TST &lt;15: Index Testing</t>
  </si>
  <si>
    <t xml:space="preserve">HTS_TST &lt;15: STI</t>
  </si>
  <si>
    <t xml:space="preserve">HTS_TST &lt;15: Inpatient</t>
  </si>
  <si>
    <t xml:space="preserve">HTS_TST &lt;15: Emergency</t>
  </si>
  <si>
    <t xml:space="preserve">HTS_TST &lt;15: Voluntary Counseling &amp; Testing co-located</t>
  </si>
  <si>
    <t xml:space="preserve">HTS_TST &lt;15: Pediatric Clinic</t>
  </si>
  <si>
    <t xml:space="preserve">HTS_TST &lt;15: Malnutrition Clinic</t>
  </si>
  <si>
    <t xml:space="preserve">HTS_TST &lt;15: Other Facility</t>
  </si>
  <si>
    <t xml:space="preserve">HTS_TST_POS &lt;15: Index Testing Community</t>
  </si>
  <si>
    <t xml:space="preserve">HTS_TST_POS &lt;15: Mobile Testing Community</t>
  </si>
  <si>
    <t xml:space="preserve">HTS_TST_POS &lt;15: VCT Community </t>
  </si>
  <si>
    <t xml:space="preserve">HTS_TST_POS &lt;15: Other Community </t>
  </si>
  <si>
    <t xml:space="preserve">HTS_TST_POS &lt;15: Index Testing</t>
  </si>
  <si>
    <t xml:space="preserve">HTS_TST_POS &lt;15: STI</t>
  </si>
  <si>
    <t xml:space="preserve">HTS_TST_POS &lt;15: Inpatient</t>
  </si>
  <si>
    <t xml:space="preserve">HTS_TST_POS &lt;15: Emergency</t>
  </si>
  <si>
    <t xml:space="preserve">HTS_TST_POS &lt;15: Voluntary Counseling &amp; Testing co-located</t>
  </si>
  <si>
    <t xml:space="preserve">HTS_TST_POS &lt;15: Pediatric Clinic</t>
  </si>
  <si>
    <t xml:space="preserve">HTS_TST_POS &lt;15: Malnutrition Clinic</t>
  </si>
  <si>
    <t xml:space="preserve">HTS_TST_POS &lt;15: Other Facility</t>
  </si>
  <si>
    <t xml:space="preserve">HTS_TST Key Populations</t>
  </si>
  <si>
    <t xml:space="preserve">VMMC_CIRC 15-29</t>
  </si>
  <si>
    <t xml:space="preserve">OVC_SERV Graduated</t>
  </si>
  <si>
    <t xml:space="preserve">OVC_SERV Active</t>
  </si>
  <si>
    <t xml:space="preserve">OVC_SERV &lt;18</t>
  </si>
  <si>
    <t xml:space="preserve">OVC_HIVSTAT</t>
  </si>
  <si>
    <t xml:space="preserve">OVC_SERV Education Support [DREAMS]</t>
  </si>
  <si>
    <t xml:space="preserve">OVC_SERV Parenting/Caregiver Support [DREAMS]</t>
  </si>
  <si>
    <t xml:space="preserve">OVC_SERV Social Protection [DREAMS]</t>
  </si>
  <si>
    <t xml:space="preserve">OVC_SERV Economic Strengthening [DREAMS]</t>
  </si>
  <si>
    <t xml:space="preserve">OVC_SERV Other Service [DREAMS]</t>
  </si>
  <si>
    <t xml:space="preserve">KP_PREV MSM SW (Denom.)</t>
  </si>
  <si>
    <t xml:space="preserve">KP_PREV MSM SW</t>
  </si>
  <si>
    <t xml:space="preserve">KP_PREV MSM not SW (Denom.)</t>
  </si>
  <si>
    <t xml:space="preserve">KP_PREV MSM not SW</t>
  </si>
  <si>
    <t xml:space="preserve">KP_PREV TG SW (Denom.)</t>
  </si>
  <si>
    <t xml:space="preserve">KP_PREV TG SW</t>
  </si>
  <si>
    <t xml:space="preserve">KP_PREV TG not SW (Denom.)</t>
  </si>
  <si>
    <t xml:space="preserve">KP_PREV TG not SW</t>
  </si>
  <si>
    <t xml:space="preserve">KP_PREV FSW (Denom.)</t>
  </si>
  <si>
    <t xml:space="preserve">KP_PREV FSW</t>
  </si>
  <si>
    <t xml:space="preserve">KP_PREV PWID Male (Denom.)</t>
  </si>
  <si>
    <t xml:space="preserve">KP_PREV PWID Male</t>
  </si>
  <si>
    <t xml:space="preserve">KP_PREV PWID Female (Denom.)</t>
  </si>
  <si>
    <t xml:space="preserve">KP_PREV PWID Female</t>
  </si>
  <si>
    <t xml:space="preserve">KP_PREV People in prisons &amp; other closed settings (Denom.)</t>
  </si>
  <si>
    <t xml:space="preserve">KP_MAT</t>
  </si>
  <si>
    <t xml:space="preserve">Target Lookup</t>
  </si>
  <si>
    <t xml:space="preserve">PSNU</t>
  </si>
  <si>
    <t xml:space="preserve">Priority</t>
  </si>
  <si>
    <t xml:space="preserve">Mech ID</t>
  </si>
  <si>
    <t xml:space="preserve">Type</t>
  </si>
  <si>
    <t xml:space="preserve">D_tx_ret_D_pct</t>
  </si>
  <si>
    <t xml:space="preserve">D_tx_ret_u15_D_pct</t>
  </si>
  <si>
    <t xml:space="preserve">D_tx_ret_pct</t>
  </si>
  <si>
    <t xml:space="preserve">D_tx_ret_u15_pct</t>
  </si>
  <si>
    <t xml:space="preserve">D_tx_new_pct</t>
  </si>
  <si>
    <t xml:space="preserve">D_tx_new_u15_pct</t>
  </si>
  <si>
    <t xml:space="preserve">D_tx_curr_pct</t>
  </si>
  <si>
    <t xml:space="preserve">D_tx_curr_u15_pct</t>
  </si>
  <si>
    <t xml:space="preserve">D_tx_pvls_D_pct</t>
  </si>
  <si>
    <t xml:space="preserve">D_pmtct_stat_D_pct</t>
  </si>
  <si>
    <t xml:space="preserve">D_pmtct_stat_pct</t>
  </si>
  <si>
    <t xml:space="preserve">D_pmtct_stat_newpos_pct</t>
  </si>
  <si>
    <t xml:space="preserve">D_pmtct_stat_newneg_pct</t>
  </si>
  <si>
    <t xml:space="preserve">D_pmtct_stat_known_pct</t>
  </si>
  <si>
    <t xml:space="preserve">D_pmtct_art_pct</t>
  </si>
  <si>
    <t xml:space="preserve">D_pmtct_art_new_pct</t>
  </si>
  <si>
    <t xml:space="preserve">D_pmtct_art_already_pct</t>
  </si>
  <si>
    <t xml:space="preserve">D_pmtct_eid_pct</t>
  </si>
  <si>
    <t xml:space="preserve">D_pmtct_eid_u2mo_pct</t>
  </si>
  <si>
    <t xml:space="preserve">D_pmtct_eid_o2mo_pct</t>
  </si>
  <si>
    <t xml:space="preserve">D_tb_stat_D_pct</t>
  </si>
  <si>
    <t xml:space="preserve">D_tb_stat_pct</t>
  </si>
  <si>
    <t xml:space="preserve">D_tb_stat_newpos_pct</t>
  </si>
  <si>
    <t xml:space="preserve">D_tb_stat_newneg_pct</t>
  </si>
  <si>
    <t xml:space="preserve">D_tb_stat_known_pct</t>
  </si>
  <si>
    <t xml:space="preserve">D_tb_art_pct</t>
  </si>
  <si>
    <t xml:space="preserve">D_tb_art_new_pct</t>
  </si>
  <si>
    <t xml:space="preserve">D_tb_art_already_pct</t>
  </si>
  <si>
    <t xml:space="preserve">D_tx_tb_D_pct</t>
  </si>
  <si>
    <t xml:space="preserve">D_tb_prev_D_pct</t>
  </si>
  <si>
    <t xml:space="preserve">D_tb_prev_pct</t>
  </si>
  <si>
    <t xml:space="preserve">D_hts_tst_pos_vmmc_pct</t>
  </si>
  <si>
    <t xml:space="preserve">D_hts_tst_pmtctanc_pct</t>
  </si>
  <si>
    <t xml:space="preserve">D_hts_tst_tbclinic_pct</t>
  </si>
  <si>
    <t xml:space="preserve">D_hts_tst_vmmc_pct</t>
  </si>
  <si>
    <t xml:space="preserve">D_hts_tst_indexmod_o15_pct</t>
  </si>
  <si>
    <t xml:space="preserve">D_hts_tst_mobilemod_o15_pct</t>
  </si>
  <si>
    <t xml:space="preserve">D_hts_tst_vctmod_o15_pct</t>
  </si>
  <si>
    <t xml:space="preserve">D_hts_tst_othermod_o15_pct</t>
  </si>
  <si>
    <t xml:space="preserve">D_hts_tst_index_o15_pct</t>
  </si>
  <si>
    <t xml:space="preserve">D_hts_tst_sti_o15_pct</t>
  </si>
  <si>
    <t xml:space="preserve">D_hts_tst_inpat_o15_pct</t>
  </si>
  <si>
    <t xml:space="preserve">D_hts_tst_emergency_o15_pct</t>
  </si>
  <si>
    <t xml:space="preserve">D_hts_tst_vct_o15_pct</t>
  </si>
  <si>
    <t xml:space="preserve">D_hts_tst_otherpitc_o15_pct</t>
  </si>
  <si>
    <t xml:space="preserve">D_hts_tst_pos_indexmod_o15_pct</t>
  </si>
  <si>
    <t xml:space="preserve">D_hts_tst_pos_mobilemod_o15_pct</t>
  </si>
  <si>
    <t xml:space="preserve">D_hts_tst_pos_vctmod_o15_pct</t>
  </si>
  <si>
    <t xml:space="preserve">D_hts_tst_pos_othermod_o15_pct</t>
  </si>
  <si>
    <t xml:space="preserve">D_hts_tst_pos_index_o15_pct</t>
  </si>
  <si>
    <t xml:space="preserve">D_hts_tst_pos_sti_o15_pct</t>
  </si>
  <si>
    <t xml:space="preserve">D_hts_tst_pos_inpat_o15_pct</t>
  </si>
  <si>
    <t xml:space="preserve">D_hts_tst_pos_emergency_o15_pct</t>
  </si>
  <si>
    <t xml:space="preserve">D_hts_tst_pos_vct_o15_pct</t>
  </si>
  <si>
    <t xml:space="preserve">D_hts_tst_pos_otherpitc_o15_pct</t>
  </si>
  <si>
    <t xml:space="preserve">D_hts_tst_indexmod_u15_pct</t>
  </si>
  <si>
    <t xml:space="preserve">D_hts_tst_mobilemod_u15_pct</t>
  </si>
  <si>
    <t xml:space="preserve">D_hts_tst_vctmod_u15_pct</t>
  </si>
  <si>
    <t xml:space="preserve">D_hts_tst_othermod_u15_pct</t>
  </si>
  <si>
    <t xml:space="preserve">D_hts_tst_index_u15_pct</t>
  </si>
  <si>
    <t xml:space="preserve">D_hts_tst_sti_u15_pct</t>
  </si>
  <si>
    <t xml:space="preserve">D_hts_tst_inpat_u15_pct</t>
  </si>
  <si>
    <t xml:space="preserve">D_hts_tst_emergency_u15_pct</t>
  </si>
  <si>
    <t xml:space="preserve">D_hts_tst_vct_u15_pct</t>
  </si>
  <si>
    <t xml:space="preserve">D_hts_tst_pediatric_u15_pct</t>
  </si>
  <si>
    <t xml:space="preserve">D_hts_tst_malnutrition_u15_pct</t>
  </si>
  <si>
    <t xml:space="preserve">D_hts_tst_otherpitc_u15_pct</t>
  </si>
  <si>
    <t xml:space="preserve">D_hts_tst_pos_indexmod_u15_pct</t>
  </si>
  <si>
    <t xml:space="preserve">D_hts_tst_pos_mobilemod_u15_pct</t>
  </si>
  <si>
    <t xml:space="preserve">D_hts_tst_pos_vctmod_u15_pct</t>
  </si>
  <si>
    <t xml:space="preserve">D_hts_tst_pos_othermod_u15_pct</t>
  </si>
  <si>
    <t xml:space="preserve">D_hts_tst_pos_index_u15_pct</t>
  </si>
  <si>
    <t xml:space="preserve">D_hts_tst_pos_sti_u15_pct</t>
  </si>
  <si>
    <t xml:space="preserve">D_hts_tst_pos_inpat_u15_pct</t>
  </si>
  <si>
    <t xml:space="preserve">D_hts_tst_pos_emergency_u15_pct</t>
  </si>
  <si>
    <t xml:space="preserve">D_hts_tst_pos_vct_u15_pct</t>
  </si>
  <si>
    <t xml:space="preserve">D_hts_tst_pos_pediatric_u15_pct</t>
  </si>
  <si>
    <t xml:space="preserve">D_hts_tst_pos_malnutrition_u15_pct</t>
  </si>
  <si>
    <t xml:space="preserve">D_hts_tst_pos_otherpitc_u15_pct</t>
  </si>
  <si>
    <t xml:space="preserve">D_hts_tst_keypop_pct</t>
  </si>
  <si>
    <t xml:space="preserve">D_hts_self_pct</t>
  </si>
  <si>
    <t xml:space="preserve">D_vmmc_circ_pct</t>
  </si>
  <si>
    <t xml:space="preserve">D_vmmc_circ_1529_pct</t>
  </si>
  <si>
    <t xml:space="preserve">D_ovc_serv_pct</t>
  </si>
  <si>
    <t xml:space="preserve">D_ovc_serv_grad_pct</t>
  </si>
  <si>
    <t xml:space="preserve">D_ovc_serv_active_pct</t>
  </si>
  <si>
    <t xml:space="preserve">D_ovc_serv_u18_pct</t>
  </si>
  <si>
    <t xml:space="preserve">D_ovc_hivstat_pct</t>
  </si>
  <si>
    <t xml:space="preserve">D_ovc_serv_edu_pct</t>
  </si>
  <si>
    <t xml:space="preserve">D_ovc_serv_care_pct</t>
  </si>
  <si>
    <t xml:space="preserve">D_ovc_serv_sp_pct</t>
  </si>
  <si>
    <t xml:space="preserve">D_ovc_serv_econ_pct</t>
  </si>
  <si>
    <t xml:space="preserve">D_ovc_serv_oth_pct</t>
  </si>
  <si>
    <t xml:space="preserve">D_kp_prev_msm_sw_D_pct</t>
  </si>
  <si>
    <t xml:space="preserve">D_kp_prev_msm_sw_pct</t>
  </si>
  <si>
    <t xml:space="preserve">D_kp_prev_msm_not_sw_D_pct</t>
  </si>
  <si>
    <t xml:space="preserve">D_kp_prev_msm_not_sw_pct</t>
  </si>
  <si>
    <t xml:space="preserve">D_kp_prev_tg_sw_D_pct</t>
  </si>
  <si>
    <t xml:space="preserve">D_kp_prev_tg_sw_pct</t>
  </si>
  <si>
    <t xml:space="preserve">D_kp_prev_tg_not_sw_D_pct</t>
  </si>
  <si>
    <t xml:space="preserve">D_kp_prev_tg_not_sw_pct</t>
  </si>
  <si>
    <t xml:space="preserve">D_kp_prev_fsw_D_pct</t>
  </si>
  <si>
    <t xml:space="preserve">D_kp_prev_fsw_pct</t>
  </si>
  <si>
    <t xml:space="preserve">D_kp_prev_pwid_m_D_pct</t>
  </si>
  <si>
    <t xml:space="preserve">D_kp_prev_pwid_m_pct</t>
  </si>
  <si>
    <t xml:space="preserve">D_kp_prev_pwid_f_D_pct</t>
  </si>
  <si>
    <t xml:space="preserve">D_kp_prev_pwid_f_pct</t>
  </si>
  <si>
    <t xml:space="preserve">D_kp_prev_prison_D_pct</t>
  </si>
  <si>
    <t xml:space="preserve">D_kp_prev_prison_pct</t>
  </si>
  <si>
    <t xml:space="preserve">D_pp_prev_pct</t>
  </si>
  <si>
    <t xml:space="preserve">D_kp_mat_pct</t>
  </si>
  <si>
    <t xml:space="preserve">D_gend_gbv_pct</t>
  </si>
  <si>
    <t xml:space="preserve">D_prep_new_pct</t>
  </si>
  <si>
    <t xml:space="preserve">D_tx_ret_D_fy19</t>
  </si>
  <si>
    <t xml:space="preserve">D_tx_ret_u15_D_fy19</t>
  </si>
  <si>
    <t xml:space="preserve">D_tx_ret_fy19</t>
  </si>
  <si>
    <t xml:space="preserve">D_tx_ret_u15_fy19</t>
  </si>
  <si>
    <t xml:space="preserve">D_tx_new_fy19</t>
  </si>
  <si>
    <t xml:space="preserve">D_tx_new_u15_fy19</t>
  </si>
  <si>
    <t xml:space="preserve">D_tx_curr_fy19</t>
  </si>
  <si>
    <t xml:space="preserve">D_tx_curr_u15_fy19</t>
  </si>
  <si>
    <t xml:space="preserve">D_tx_pvls_D_fy19</t>
  </si>
  <si>
    <t xml:space="preserve">D_pmtct_stat_D_fy19</t>
  </si>
  <si>
    <t xml:space="preserve">D_pmtct_stat_fy19</t>
  </si>
  <si>
    <t xml:space="preserve">D_pmtct_stat_newpos_fy19</t>
  </si>
  <si>
    <t xml:space="preserve">D_pmtct_stat_newneg_fy19</t>
  </si>
  <si>
    <t xml:space="preserve">D_pmtct_stat_known_fy19</t>
  </si>
  <si>
    <t xml:space="preserve">D_pmtct_art_fy19</t>
  </si>
  <si>
    <t xml:space="preserve">D_pmtct_art_new_fy19</t>
  </si>
  <si>
    <t xml:space="preserve">D_pmtct_art_already_fy19</t>
  </si>
  <si>
    <t xml:space="preserve">D_pmtct_eid_fy19</t>
  </si>
  <si>
    <t xml:space="preserve">D_pmtct_eid_u2mo_fy19</t>
  </si>
  <si>
    <t xml:space="preserve">D_pmtct_eid_o2mo_fy19</t>
  </si>
  <si>
    <t xml:space="preserve">D_tb_stat_D_fy19</t>
  </si>
  <si>
    <t xml:space="preserve">D_tb_stat_fy19</t>
  </si>
  <si>
    <t xml:space="preserve">D_tb_stat_newpos_fy19</t>
  </si>
  <si>
    <t xml:space="preserve">D_tb_stat_newneg_fy19</t>
  </si>
  <si>
    <t xml:space="preserve">D_tb_stat_known_fy19</t>
  </si>
  <si>
    <t xml:space="preserve">D_tb_art_fy19</t>
  </si>
  <si>
    <t xml:space="preserve">D_tb_art_new_fy19</t>
  </si>
  <si>
    <t xml:space="preserve">D_tb_art_already_fy19</t>
  </si>
  <si>
    <t xml:space="preserve">D_tx_tb_D_fy19</t>
  </si>
  <si>
    <t xml:space="preserve">D_tb_prev_D_fy19</t>
  </si>
  <si>
    <t xml:space="preserve">D_tb_prev_fy19</t>
  </si>
  <si>
    <t xml:space="preserve">D_hts_tst_pos_vmmc_fy19</t>
  </si>
  <si>
    <t xml:space="preserve">D_hts_tst_pmtctanc_fy19</t>
  </si>
  <si>
    <t xml:space="preserve">D_hts_tst_tbclinic_fy19</t>
  </si>
  <si>
    <t xml:space="preserve">D_hts_tst_vmmc_fy19</t>
  </si>
  <si>
    <t xml:space="preserve">D_hts_tst_indexmod_o15_fy19</t>
  </si>
  <si>
    <t xml:space="preserve">D_hts_tst_mobilemod_o15_fy19</t>
  </si>
  <si>
    <t xml:space="preserve">D_hts_tst_vctmod_o15_fy19</t>
  </si>
  <si>
    <t xml:space="preserve">D_hts_tst_othermod_o15_fy19</t>
  </si>
  <si>
    <t xml:space="preserve">D_hts_tst_index_o15_fy19</t>
  </si>
  <si>
    <t xml:space="preserve">D_hts_tst_sti_o15_fy19</t>
  </si>
  <si>
    <t xml:space="preserve">D_hts_tst_inpat_o15_fy19</t>
  </si>
  <si>
    <t xml:space="preserve">D_hts_tst_emergency_o15_fy19</t>
  </si>
  <si>
    <t xml:space="preserve">D_hts_tst_vct_o15_fy19</t>
  </si>
  <si>
    <t xml:space="preserve">D_hts_tst_otherpitc_o15_fy19</t>
  </si>
  <si>
    <t xml:space="preserve">D_hts_tst_pos_indexmod_o15_fy19</t>
  </si>
  <si>
    <t xml:space="preserve">D_hts_tst_pos_mobilemod_o15_fy19</t>
  </si>
  <si>
    <t xml:space="preserve">D_hts_tst_pos_vctmod_o15_fy19</t>
  </si>
  <si>
    <t xml:space="preserve">D_hts_tst_pos_othermod_o15_fy19</t>
  </si>
  <si>
    <t xml:space="preserve">D_hts_tst_pos_index_o15_fy19</t>
  </si>
  <si>
    <t xml:space="preserve">D_hts_tst_pos_sti_o15_fy19</t>
  </si>
  <si>
    <t xml:space="preserve">D_hts_tst_pos_inpat_o15_fy19</t>
  </si>
  <si>
    <t xml:space="preserve">D_hts_tst_pos_emergency_o15_fy19</t>
  </si>
  <si>
    <t xml:space="preserve">D_hts_tst_pos_vct_o15_fy19</t>
  </si>
  <si>
    <t xml:space="preserve">D_hts_tst_pos_otherpitc_o15_fy19</t>
  </si>
  <si>
    <t xml:space="preserve">D_hts_tst_indexmod_u15_fy19</t>
  </si>
  <si>
    <t xml:space="preserve">D_hts_tst_mobilemod_u15_fy19</t>
  </si>
  <si>
    <t xml:space="preserve">D_hts_tst_vctmod_u15_fy19</t>
  </si>
  <si>
    <t xml:space="preserve">D_hts_tst_othermod_u15_fy19</t>
  </si>
  <si>
    <t xml:space="preserve">D_hts_tst_index_u15_fy19</t>
  </si>
  <si>
    <t xml:space="preserve">D_hts_tst_sti_u15_fy19</t>
  </si>
  <si>
    <t xml:space="preserve">D_hts_tst_inpat_u15_fy19</t>
  </si>
  <si>
    <t xml:space="preserve">D_hts_tst_emergency_u15_fy19</t>
  </si>
  <si>
    <t xml:space="preserve">D_hts_tst_vct_u15_fy19</t>
  </si>
  <si>
    <t xml:space="preserve">D_hts_tst_pediatric_u15_fy19</t>
  </si>
  <si>
    <t xml:space="preserve">D_hts_tst_malnutrition_u15_fy19</t>
  </si>
  <si>
    <t xml:space="preserve">D_hts_tst_otherpitc_u15_fy19</t>
  </si>
  <si>
    <t xml:space="preserve">D_hts_tst_pos_indexmod_u15_fy19</t>
  </si>
  <si>
    <t xml:space="preserve">D_hts_tst_pos_mobilemod_u15_fy19</t>
  </si>
  <si>
    <t xml:space="preserve">D_hts_tst_pos_vctmod_u15_fy19</t>
  </si>
  <si>
    <t xml:space="preserve">D_hts_tst_pos_othermod_u15_fy19</t>
  </si>
  <si>
    <t xml:space="preserve">D_hts_tst_pos_index_u15_fy19</t>
  </si>
  <si>
    <t xml:space="preserve">D_hts_tst_pos_sti_u15_fy19</t>
  </si>
  <si>
    <t xml:space="preserve">D_hts_tst_pos_inpat_u15_fy19</t>
  </si>
  <si>
    <t xml:space="preserve">D_hts_tst_pos_emergency_u15_fy19</t>
  </si>
  <si>
    <t xml:space="preserve">D_hts_tst_pos_vct_u15_fy19</t>
  </si>
  <si>
    <t xml:space="preserve">D_hts_tst_pos_pediatric_u15_fy19</t>
  </si>
  <si>
    <t xml:space="preserve">D_hts_tst_pos_malnutrition_u15_fy19</t>
  </si>
  <si>
    <t xml:space="preserve">D_hts_tst_pos_otherpitc_u15_fy19</t>
  </si>
  <si>
    <t xml:space="preserve">D_hts_tst_keypop_fy19</t>
  </si>
  <si>
    <t xml:space="preserve">D_hts_self_fy19</t>
  </si>
  <si>
    <t xml:space="preserve">D_vmmc_circ_fy19</t>
  </si>
  <si>
    <t xml:space="preserve">D_vmmc_circ_1529_fy19</t>
  </si>
  <si>
    <t xml:space="preserve">D_ovc_serv_fy19</t>
  </si>
  <si>
    <t xml:space="preserve">D_ovc_serv_grad_fy19</t>
  </si>
  <si>
    <t xml:space="preserve">D_ovc_serv_active_fy19</t>
  </si>
  <si>
    <t xml:space="preserve">D_ovc_serv_u18_fy19</t>
  </si>
  <si>
    <t xml:space="preserve">D_ovc_hivstat_fy19</t>
  </si>
  <si>
    <t xml:space="preserve">D_ovc_serv_edu_fy19</t>
  </si>
  <si>
    <t xml:space="preserve">D_ovc_serv_care_fy19</t>
  </si>
  <si>
    <t xml:space="preserve">D_ovc_serv_sp_fy19</t>
  </si>
  <si>
    <t xml:space="preserve">D_ovc_serv_econ_fy19</t>
  </si>
  <si>
    <t xml:space="preserve">D_ovc_serv_oth_fy19</t>
  </si>
  <si>
    <t xml:space="preserve">D_kp_prev_msm_sw_D_fy19</t>
  </si>
  <si>
    <t xml:space="preserve">D_kp_prev_msm_sw_fy19</t>
  </si>
  <si>
    <t xml:space="preserve">D_kp_prev_msm_not_sw_D_fy19</t>
  </si>
  <si>
    <t xml:space="preserve">D_kp_prev_msm_not_sw_fy19</t>
  </si>
  <si>
    <t xml:space="preserve">D_kp_prev_tg_sw_D_fy19</t>
  </si>
  <si>
    <t xml:space="preserve">D_kp_prev_tg_sw_fy19</t>
  </si>
  <si>
    <t xml:space="preserve">D_kp_prev_tg_not_sw_D_fy19</t>
  </si>
  <si>
    <t xml:space="preserve">D_kp_prev_tg_not_sw_fy19</t>
  </si>
  <si>
    <t xml:space="preserve">D_kp_prev_fsw_D_fy19</t>
  </si>
  <si>
    <t xml:space="preserve">D_kp_prev_fsw_fy19</t>
  </si>
  <si>
    <t xml:space="preserve">D_kp_prev_pwid_m_D_fy19</t>
  </si>
  <si>
    <t xml:space="preserve">D_kp_prev_pwid_m_fy19</t>
  </si>
  <si>
    <t xml:space="preserve">D_kp_prev_pwid_f_D_fy19</t>
  </si>
  <si>
    <t xml:space="preserve">D_kp_prev_pwid_f_fy19</t>
  </si>
  <si>
    <t xml:space="preserve">D_kp_prev_prison_D_fy19</t>
  </si>
  <si>
    <t xml:space="preserve">D_kp_prev_prison_fy19</t>
  </si>
  <si>
    <t xml:space="preserve">D_pp_prev_fy19</t>
  </si>
  <si>
    <t xml:space="preserve">D_kp_mat_fy19</t>
  </si>
  <si>
    <t xml:space="preserve">D_gend_gbv_fy19</t>
  </si>
  <si>
    <t xml:space="preserve">D_prep_new_fy19</t>
  </si>
  <si>
    <t xml:space="preserve">Total</t>
  </si>
  <si>
    <t xml:space="preserve">psnu_type_mechid</t>
  </si>
  <si>
    <t xml:space="preserve">Dsnulist</t>
  </si>
  <si>
    <t xml:space="preserve">D_priority</t>
  </si>
  <si>
    <t xml:space="preserve">D_mechanismid</t>
  </si>
  <si>
    <t xml:space="preserve">D_indicatortype</t>
  </si>
  <si>
    <t xml:space="preserve">D_pmtct_eid_u2mo_fy19 </t>
  </si>
  <si>
    <t xml:space="preserve">ovc_hivstat</t>
  </si>
  <si>
    <t xml:space="preserve">kp_prev_msm_sw</t>
  </si>
  <si>
    <t xml:space="preserve">kp_prev_msm_notsw</t>
  </si>
  <si>
    <t xml:space="preserve">kp_prev_tg_sw</t>
  </si>
  <si>
    <t xml:space="preserve">kp_prev_tg_notsw</t>
  </si>
  <si>
    <t xml:space="preserve">kp_prev_fsw</t>
  </si>
  <si>
    <t xml:space="preserve">kp_prev_m_pwid</t>
  </si>
  <si>
    <t xml:space="preserve">kp_prev_f_pwid</t>
  </si>
  <si>
    <t xml:space="preserve">kp_prev_prison</t>
  </si>
  <si>
    <t xml:space="preserve">Paste Data Pack Values here (starting in cell C7)</t>
  </si>
  <si>
    <t xml:space="preserve">ALLOCATION</t>
  </si>
  <si>
    <t xml:space="preserve">CHECK</t>
  </si>
  <si>
    <t xml:space="preserve">DP TARGETS</t>
  </si>
  <si>
    <t xml:space="preserve">DISAGGREGATE TARGETS</t>
  </si>
  <si>
    <t xml:space="preserve">Allocation Check</t>
  </si>
  <si>
    <t xml:space="preserve">FY19 Target</t>
  </si>
  <si>
    <t xml:space="preserve"> ViolenceServiceType</t>
  </si>
  <si>
    <t xml:space="preserve">PSNU UID</t>
  </si>
  <si>
    <t xml:space="preserve">Mech Name</t>
  </si>
  <si>
    <t xml:space="preserve">PSNU-Type</t>
  </si>
  <si>
    <t xml:space="preserve">PEP 
[Share of Sexual Violence Target]</t>
  </si>
  <si>
    <t xml:space="preserve">psnu</t>
  </si>
  <si>
    <t xml:space="preserve">psnuuid</t>
  </si>
  <si>
    <t xml:space="preserve">priority</t>
  </si>
  <si>
    <t xml:space="preserve">mechid</t>
  </si>
  <si>
    <t xml:space="preserve">mechname</t>
  </si>
  <si>
    <t xml:space="preserve">type</t>
  </si>
  <si>
    <t xml:space="preserve">psnu_type</t>
  </si>
  <si>
    <t xml:space="preserve">A_check1</t>
  </si>
  <si>
    <t xml:space="preserve">gend_gbv_u10_f_pev</t>
  </si>
  <si>
    <t xml:space="preserve">gend_gbv_u10_f_sv</t>
  </si>
  <si>
    <t xml:space="preserve">gend_gbv_u10_m_pev</t>
  </si>
  <si>
    <t xml:space="preserve">gend_gbv_u10_m_sv</t>
  </si>
  <si>
    <t xml:space="preserve">gend_gbv_1014_f_pev</t>
  </si>
  <si>
    <t xml:space="preserve">gend_gbv_1014_f_sv</t>
  </si>
  <si>
    <t xml:space="preserve">gend_gbv_1014_m_pev</t>
  </si>
  <si>
    <t xml:space="preserve">gend_gbv_1014_m_sv</t>
  </si>
  <si>
    <t xml:space="preserve">gend_gbv_1519_f_pev</t>
  </si>
  <si>
    <t xml:space="preserve">gend_gbv_1519_f_sv</t>
  </si>
  <si>
    <t xml:space="preserve">gend_gbv_1519_m_pev</t>
  </si>
  <si>
    <t xml:space="preserve">gend_gbv_1519_m_sv</t>
  </si>
  <si>
    <t xml:space="preserve">gend_gbv_2024_f_pev</t>
  </si>
  <si>
    <t xml:space="preserve">gend_gbv_2024_f_sv</t>
  </si>
  <si>
    <t xml:space="preserve">gend_gbv_2024_m_pev</t>
  </si>
  <si>
    <t xml:space="preserve">gend_gbv_2024_m_sv</t>
  </si>
  <si>
    <t xml:space="preserve">gend_gbv_2529_f_pev</t>
  </si>
  <si>
    <t xml:space="preserve">gend_gbv_2529_f_sv</t>
  </si>
  <si>
    <t xml:space="preserve">gend_gbv_2529_m_pev</t>
  </si>
  <si>
    <t xml:space="preserve">gend_gbv_2529_m_sv</t>
  </si>
  <si>
    <t xml:space="preserve">gend_gbv_3034_f_pev</t>
  </si>
  <si>
    <t xml:space="preserve">gend_gbv_3034_f_sv</t>
  </si>
  <si>
    <t xml:space="preserve">gend_gbv_3034_m_pev</t>
  </si>
  <si>
    <t xml:space="preserve">gend_gbv_3034_m_sv</t>
  </si>
  <si>
    <t xml:space="preserve">gend_gbv_3539_f_pev</t>
  </si>
  <si>
    <t xml:space="preserve">gend_gbv_3539_f_sv</t>
  </si>
  <si>
    <t xml:space="preserve">gend_gbv_3539_m_pev</t>
  </si>
  <si>
    <t xml:space="preserve">gend_gbv_3539_m_sv</t>
  </si>
  <si>
    <t xml:space="preserve">gend_gbv_4049_f_pev</t>
  </si>
  <si>
    <t xml:space="preserve">gend_gbv_4049_f_sv</t>
  </si>
  <si>
    <t xml:space="preserve">gend_gbv_4049_m_pev</t>
  </si>
  <si>
    <t xml:space="preserve">gend_gbv_4049_m_sv</t>
  </si>
  <si>
    <t xml:space="preserve">gend_gbv_o50_f_pev</t>
  </si>
  <si>
    <t xml:space="preserve">gend_gbv_o50_f_sv</t>
  </si>
  <si>
    <t xml:space="preserve">gend_gbv_o50_m_pev</t>
  </si>
  <si>
    <t xml:space="preserve">gend_gbv_o50_m_sv</t>
  </si>
  <si>
    <t xml:space="preserve">gend_gbv_pep</t>
  </si>
  <si>
    <t xml:space="preserve">gend_gbv_pev</t>
  </si>
  <si>
    <t xml:space="preserve">gend_gbv_sv</t>
  </si>
  <si>
    <t xml:space="preserve"> KeyPop/HIVSelfTest [Share of Numerator]</t>
  </si>
  <si>
    <t xml:space="preserve"> HIVSelfTest</t>
  </si>
  <si>
    <t xml:space="preserve"> KeyPop/HIVSelfTest
 [Share of Numerator]</t>
  </si>
  <si>
    <t xml:space="preserve">Directly-Assisted</t>
  </si>
  <si>
    <t xml:space="preserve">Unassisted</t>
  </si>
  <si>
    <t xml:space="preserve">A_check2</t>
  </si>
  <si>
    <t xml:space="preserve">A_check3</t>
  </si>
  <si>
    <t xml:space="preserve">hts_self_1014_f_direct</t>
  </si>
  <si>
    <t xml:space="preserve">hts_self_1014_f_unasst</t>
  </si>
  <si>
    <t xml:space="preserve">hts_self_1014_m_direct</t>
  </si>
  <si>
    <t xml:space="preserve">hts_self_1014_m_unasst</t>
  </si>
  <si>
    <t xml:space="preserve">hts_self_1519_f_direct</t>
  </si>
  <si>
    <t xml:space="preserve">hts_self_1519_f_unasst</t>
  </si>
  <si>
    <t xml:space="preserve">hts_self_1519_m_direct</t>
  </si>
  <si>
    <t xml:space="preserve">hts_self_1519_m_unasst</t>
  </si>
  <si>
    <t xml:space="preserve">hts_self_2024_f_direct</t>
  </si>
  <si>
    <t xml:space="preserve">hts_self_2024_f_unasst</t>
  </si>
  <si>
    <t xml:space="preserve">hts_self_2024_m_direct</t>
  </si>
  <si>
    <t xml:space="preserve">hts_self_2024_m_unasst</t>
  </si>
  <si>
    <t xml:space="preserve">hts_self_2529_f_direct</t>
  </si>
  <si>
    <t xml:space="preserve">hts_self_2529_f_unasst</t>
  </si>
  <si>
    <t xml:space="preserve">hts_self_2529_m_direct</t>
  </si>
  <si>
    <t xml:space="preserve">hts_self_2529_m_unasst</t>
  </si>
  <si>
    <t xml:space="preserve">hts_self_3034_f_direct</t>
  </si>
  <si>
    <t xml:space="preserve">hts_self_3034_f_unasst</t>
  </si>
  <si>
    <t xml:space="preserve">hts_self_3034_m_direct</t>
  </si>
  <si>
    <t xml:space="preserve">hts_self_3034_m_unasst</t>
  </si>
  <si>
    <t xml:space="preserve">hts_self_3539_f_direct</t>
  </si>
  <si>
    <t xml:space="preserve">hts_self_3539_f_unasst</t>
  </si>
  <si>
    <t xml:space="preserve">hts_self_3539_m_direct</t>
  </si>
  <si>
    <t xml:space="preserve">hts_self_3539_m_unasst</t>
  </si>
  <si>
    <t xml:space="preserve">hts_self_4049_f_direct</t>
  </si>
  <si>
    <t xml:space="preserve">hts_self_4049_f_unasst</t>
  </si>
  <si>
    <t xml:space="preserve">hts_self_4049_m_direct</t>
  </si>
  <si>
    <t xml:space="preserve">hts_self_4049_m_unasst</t>
  </si>
  <si>
    <t xml:space="preserve">hts_self_o50_f_direct</t>
  </si>
  <si>
    <t xml:space="preserve">hts_self_o50_f_unasst</t>
  </si>
  <si>
    <t xml:space="preserve">hts_self_o50_m_direct</t>
  </si>
  <si>
    <t xml:space="preserve">hts_self_o50_m_unasst</t>
  </si>
  <si>
    <t xml:space="preserve">hts_self_direct</t>
  </si>
  <si>
    <t xml:space="preserve">hts_self_unasst</t>
  </si>
  <si>
    <t xml:space="preserve">hts_self_unasst_oth</t>
  </si>
  <si>
    <t xml:space="preserve">hts_self_unasst_self</t>
  </si>
  <si>
    <t xml:space="preserve">hts_self_unasst_partner</t>
  </si>
  <si>
    <t xml:space="preserve">hts_self_fsw_direct</t>
  </si>
  <si>
    <t xml:space="preserve">hts_self_fsw_unasst</t>
  </si>
  <si>
    <t xml:space="preserve">hts_self_msm_direct</t>
  </si>
  <si>
    <t xml:space="preserve">hts_self_msm_unasst</t>
  </si>
  <si>
    <t xml:space="preserve">hts_self_prison_direct</t>
  </si>
  <si>
    <t xml:space="preserve">hts_self_prison_unasst</t>
  </si>
  <si>
    <t xml:space="preserve">hts_self_pwid_direct</t>
  </si>
  <si>
    <t xml:space="preserve">hts_self_pwid_unasst</t>
  </si>
  <si>
    <t xml:space="preserve">hts_self_tg_direct</t>
  </si>
  <si>
    <t xml:space="preserve">hts_self_tg_unasst</t>
  </si>
  <si>
    <t xml:space="preserve">Age/Sex/Service - Econ [DREAMS ONLY]</t>
  </si>
  <si>
    <t xml:space="preserve">Age/Sex/Service - Edu  [DREAMS ONLY]</t>
  </si>
  <si>
    <t xml:space="preserve">Age/Sex/Service - Oth  [DREAMS ONLY]</t>
  </si>
  <si>
    <t xml:space="preserve">Age/Sex/Service - Care  [DREAMS ONLY]</t>
  </si>
  <si>
    <t xml:space="preserve">Age/Sex/Service - SP  [DREAMS ONLY]</t>
  </si>
  <si>
    <t xml:space="preserve">Economic Strengthening, Unknown Sex, &lt;1</t>
  </si>
  <si>
    <t xml:space="preserve">Economic Strengthening, Unknown Sex, 1-9</t>
  </si>
  <si>
    <t xml:space="preserve">Economic Strengthening, Female, 10-14</t>
  </si>
  <si>
    <t xml:space="preserve">Economic Strengthening, Male, 10-14</t>
  </si>
  <si>
    <t xml:space="preserve">Economic Strengthening, Female, 15-17</t>
  </si>
  <si>
    <t xml:space="preserve">Economic Strengthening, Male, 15-17</t>
  </si>
  <si>
    <t xml:space="preserve">Economic Strengthening, Female, 18-24</t>
  </si>
  <si>
    <t xml:space="preserve">Economic Strengthening, Male, 18-24</t>
  </si>
  <si>
    <t xml:space="preserve">Economic Strengthening, Female, 25+</t>
  </si>
  <si>
    <t xml:space="preserve">Economic Strengthening, Male, 25+</t>
  </si>
  <si>
    <t xml:space="preserve">Education Support, Unknown Sex, &lt;1</t>
  </si>
  <si>
    <t xml:space="preserve">Education Support, Unknown Sex, 1-9</t>
  </si>
  <si>
    <t xml:space="preserve">Education Support, Female, 10-14</t>
  </si>
  <si>
    <t xml:space="preserve">Education Support, Male, 10-14</t>
  </si>
  <si>
    <t xml:space="preserve">Education Support, Female, 15-17</t>
  </si>
  <si>
    <t xml:space="preserve">Education Support, Male, 15-17</t>
  </si>
  <si>
    <t xml:space="preserve">Education Support, Female, 18-24</t>
  </si>
  <si>
    <t xml:space="preserve">Education Support, Male, 18-24</t>
  </si>
  <si>
    <t xml:space="preserve">Education Support, Female, 25+</t>
  </si>
  <si>
    <t xml:space="preserve">Education Support, Male, 25+</t>
  </si>
  <si>
    <t xml:space="preserve">Other Services, Unknown Sex, &lt;1</t>
  </si>
  <si>
    <t xml:space="preserve">Other Services, Unknown Sex, 1-9</t>
  </si>
  <si>
    <t xml:space="preserve">Other Services, Female, 10-14</t>
  </si>
  <si>
    <t xml:space="preserve">Other Services, Male, 10-14</t>
  </si>
  <si>
    <t xml:space="preserve">Other Services, Female, 15-17</t>
  </si>
  <si>
    <t xml:space="preserve">Other Services, Male, 15-17</t>
  </si>
  <si>
    <t xml:space="preserve">Other Services, Female, 18-24</t>
  </si>
  <si>
    <t xml:space="preserve">Other Services, Male, 18-24</t>
  </si>
  <si>
    <t xml:space="preserve">Other Services, Female, 25+</t>
  </si>
  <si>
    <t xml:space="preserve">Other Services, Male, 25+</t>
  </si>
  <si>
    <t xml:space="preserve"> Parenting/Caregiver Programs, Unknown Sex, &lt;1</t>
  </si>
  <si>
    <t xml:space="preserve"> Parenting/Caregiver Programs, Unknown Sex, 1-9</t>
  </si>
  <si>
    <t xml:space="preserve"> Parenting/Caregiver Programs, Female, 10-14</t>
  </si>
  <si>
    <t xml:space="preserve"> Parenting/Caregiver Programs, Male, 10-14</t>
  </si>
  <si>
    <t xml:space="preserve"> Parenting/Caregiver Programs, Female, 15-17</t>
  </si>
  <si>
    <t xml:space="preserve"> Parenting/Caregiver Programs, Male, 15-17</t>
  </si>
  <si>
    <t xml:space="preserve"> Parenting/Caregiver Programs, Female, 18-24</t>
  </si>
  <si>
    <t xml:space="preserve"> Parenting/Caregiver Programs, Male, 18-24</t>
  </si>
  <si>
    <t xml:space="preserve"> Parenting/Caregiver Programs, Female, 25+</t>
  </si>
  <si>
    <t xml:space="preserve"> Parenting/Caregiver Programs, Male, 25+</t>
  </si>
  <si>
    <t xml:space="preserve">Social Protection, Unknown Sex, &lt;1</t>
  </si>
  <si>
    <t xml:space="preserve">Social Protection, Unknown Sex, 1-9</t>
  </si>
  <si>
    <t xml:space="preserve">Social Protection, Female, 10-14</t>
  </si>
  <si>
    <t xml:space="preserve">Social Protection, Male, 10-14</t>
  </si>
  <si>
    <t xml:space="preserve">Social Protection, Female, 15-17</t>
  </si>
  <si>
    <t xml:space="preserve">Social Protection, Male, 15-17</t>
  </si>
  <si>
    <t xml:space="preserve">Social Protection, Female, 18-24</t>
  </si>
  <si>
    <t xml:space="preserve">Social Protection, Male, 18-24</t>
  </si>
  <si>
    <t xml:space="preserve">Social Protection, Female, 25+</t>
  </si>
  <si>
    <t xml:space="preserve">Social Protection, Male, 25+</t>
  </si>
  <si>
    <t xml:space="preserve">Age/Sex/Service - Edu [DREAMS ONLY]</t>
  </si>
  <si>
    <t xml:space="preserve">Age/Sex/Service - Oth [DREAMS ONLY]</t>
  </si>
  <si>
    <t xml:space="preserve">Age/Sex/Service - Care [DREAMS ONLY]</t>
  </si>
  <si>
    <t xml:space="preserve">Age/Sex/Service - SP [DREAMS ONLY]</t>
  </si>
  <si>
    <t xml:space="preserve">OVC_SERV 18+</t>
  </si>
  <si>
    <t xml:space="preserve"> OVC_SERV Graduated</t>
  </si>
  <si>
    <t xml:space="preserve"> OVC_SERV Transferred</t>
  </si>
  <si>
    <t xml:space="preserve"> OVC_SERV Exited</t>
  </si>
  <si>
    <t xml:space="preserve"> OVC_SERV Active</t>
  </si>
  <si>
    <t xml:space="preserve">A_check4</t>
  </si>
  <si>
    <t xml:space="preserve">A_check5</t>
  </si>
  <si>
    <t xml:space="preserve">A_check6</t>
  </si>
  <si>
    <t xml:space="preserve">A_check7</t>
  </si>
  <si>
    <t xml:space="preserve">D_ovc_serv_o18_fy19</t>
  </si>
  <si>
    <t xml:space="preserve">D_ovc_serv_trans_fy19</t>
  </si>
  <si>
    <t xml:space="preserve">D_ovc_serv_exited_fy19</t>
  </si>
  <si>
    <t xml:space="preserve">ovc_serv_u1_unk</t>
  </si>
  <si>
    <t xml:space="preserve">ovc_serv_0109_unk</t>
  </si>
  <si>
    <t xml:space="preserve">ovc_serv_1014_f</t>
  </si>
  <si>
    <t xml:space="preserve">ovc_serv_1014_m</t>
  </si>
  <si>
    <t xml:space="preserve">ovc_serv_1517_f</t>
  </si>
  <si>
    <t xml:space="preserve">ovc_serv_1517_m</t>
  </si>
  <si>
    <t xml:space="preserve">ovc_serv_1824_f</t>
  </si>
  <si>
    <t xml:space="preserve">ovc_serv_1824_m</t>
  </si>
  <si>
    <t xml:space="preserve">ovc_serv_o25_f</t>
  </si>
  <si>
    <t xml:space="preserve">ovc_serv_o25_m</t>
  </si>
  <si>
    <t xml:space="preserve">ovc_serv_u1_unk_econ</t>
  </si>
  <si>
    <t xml:space="preserve">ovc_serv_0109_unk_econ</t>
  </si>
  <si>
    <t xml:space="preserve">ovc_serv_1014_f_econ</t>
  </si>
  <si>
    <t xml:space="preserve">ovc_serv_1014_m_econ</t>
  </si>
  <si>
    <t xml:space="preserve">ovc_serv_1517_f_econ</t>
  </si>
  <si>
    <t xml:space="preserve">ovc_serv_1517_m_econ</t>
  </si>
  <si>
    <t xml:space="preserve">ovc_serv_1824_f_econ</t>
  </si>
  <si>
    <t xml:space="preserve">ovc_serv_1824_m_econ</t>
  </si>
  <si>
    <t xml:space="preserve">ovc_serv_o25_f_econ</t>
  </si>
  <si>
    <t xml:space="preserve">ovc_serv_o25_m_econ</t>
  </si>
  <si>
    <t xml:space="preserve">ovc_serv_u1_unk_edu</t>
  </si>
  <si>
    <t xml:space="preserve">ovc_serv_0109_unk_edu</t>
  </si>
  <si>
    <t xml:space="preserve">ovc_serv_1014_f_edu</t>
  </si>
  <si>
    <t xml:space="preserve">ovc_serv_1014_m_edu</t>
  </si>
  <si>
    <t xml:space="preserve">ovc_serv_1517_f_edu</t>
  </si>
  <si>
    <t xml:space="preserve">ovc_serv_1517_m_edu</t>
  </si>
  <si>
    <t xml:space="preserve">ovc_serv_1824_f_edu</t>
  </si>
  <si>
    <t xml:space="preserve">ovc_serv_1824_m_edu</t>
  </si>
  <si>
    <t xml:space="preserve">ovc_serv_o25_f_edu</t>
  </si>
  <si>
    <t xml:space="preserve">ovc_serv_o25_m_edu</t>
  </si>
  <si>
    <t xml:space="preserve">ovc_serv_u1_unk_oth</t>
  </si>
  <si>
    <t xml:space="preserve">ovc_serv_0109_unk_oth</t>
  </si>
  <si>
    <t xml:space="preserve">ovc_serv_1014_f_oth</t>
  </si>
  <si>
    <t xml:space="preserve">ovc_serv_1014_m_oth</t>
  </si>
  <si>
    <t xml:space="preserve">ovc_serv_1517_f_oth</t>
  </si>
  <si>
    <t xml:space="preserve">ovc_serv_1517_m_oth</t>
  </si>
  <si>
    <t xml:space="preserve">ovc_serv_1824_f_oth</t>
  </si>
  <si>
    <t xml:space="preserve">ovc_serv_1824_m_oth</t>
  </si>
  <si>
    <t xml:space="preserve">ovc_serv_o25_f_oth</t>
  </si>
  <si>
    <t xml:space="preserve">ovc_serv_o25_m_oth</t>
  </si>
  <si>
    <t xml:space="preserve">ovc_serv_u1_unk_care</t>
  </si>
  <si>
    <t xml:space="preserve">ovc_serv_0109_unk_care</t>
  </si>
  <si>
    <t xml:space="preserve">ovc_serv_1014_f_care</t>
  </si>
  <si>
    <t xml:space="preserve">ovc_serv_1014_m_care</t>
  </si>
  <si>
    <t xml:space="preserve">ovc_serv_1517_f_care</t>
  </si>
  <si>
    <t xml:space="preserve">ovc_serv_1517_m_care</t>
  </si>
  <si>
    <t xml:space="preserve">ovc_serv_1824_f_care</t>
  </si>
  <si>
    <t xml:space="preserve">ovc_serv_1824_m_care</t>
  </si>
  <si>
    <t xml:space="preserve">ovc_serv_o25_f_care</t>
  </si>
  <si>
    <t xml:space="preserve">ovc_serv_o25_m_care</t>
  </si>
  <si>
    <t xml:space="preserve">ovc_serv_u1_unk_sp</t>
  </si>
  <si>
    <t xml:space="preserve">ovc_serv_0109_unk_sp</t>
  </si>
  <si>
    <t xml:space="preserve">ovc_serv_1014_f_sp</t>
  </si>
  <si>
    <t xml:space="preserve">ovc_serv_1014_m_sp</t>
  </si>
  <si>
    <t xml:space="preserve">ovc_serv_1517_f_sp</t>
  </si>
  <si>
    <t xml:space="preserve">ovc_serv_1517_m_sp</t>
  </si>
  <si>
    <t xml:space="preserve">ovc_serv_1824_f_sp</t>
  </si>
  <si>
    <t xml:space="preserve">ovc_serv_1824_m_sp</t>
  </si>
  <si>
    <t xml:space="preserve">ovc_serv_o25_f_sp</t>
  </si>
  <si>
    <t xml:space="preserve">ovc_serv_o25_m_sp</t>
  </si>
  <si>
    <t xml:space="preserve"> Age/Sex/KnownNewResult - Known Pos</t>
  </si>
  <si>
    <t xml:space="preserve"> Age/Sex/KnownNewResult - New Neg</t>
  </si>
  <si>
    <t xml:space="preserve"> Age/Sex/KnownNewResult - New Pos</t>
  </si>
  <si>
    <t xml:space="preserve">FY19 Targets</t>
  </si>
  <si>
    <t xml:space="preserve">PMTCT_STAT Known Pos at Entry</t>
  </si>
  <si>
    <t xml:space="preserve">PMTCT_STAT Newly Identified Negative</t>
  </si>
  <si>
    <t xml:space="preserve">PMTCT_STAT Newly Identified Positive</t>
  </si>
  <si>
    <t xml:space="preserve">pmtct_stat_D_u10_f</t>
  </si>
  <si>
    <t xml:space="preserve">pmtct_stat_D_1014_f</t>
  </si>
  <si>
    <t xml:space="preserve">pmtct_stat_D_1519_f</t>
  </si>
  <si>
    <t xml:space="preserve">pmtct_stat_D_2024_f</t>
  </si>
  <si>
    <t xml:space="preserve">pmtct_stat_D_2529_f</t>
  </si>
  <si>
    <t xml:space="preserve">pmtct_stat_D_3034_f</t>
  </si>
  <si>
    <t xml:space="preserve">pmtct_stat_D_3539_f</t>
  </si>
  <si>
    <t xml:space="preserve">pmtct_stat_D_4049_f</t>
  </si>
  <si>
    <t xml:space="preserve">pmtct_stat_D_o50_f</t>
  </si>
  <si>
    <t xml:space="preserve">pmtct_stat_u10_f</t>
  </si>
  <si>
    <t xml:space="preserve">pmtct_stat_1014_f</t>
  </si>
  <si>
    <t xml:space="preserve">pmtct_stat_1519_f</t>
  </si>
  <si>
    <t xml:space="preserve">pmtct_stat_2024_f</t>
  </si>
  <si>
    <t xml:space="preserve">pmtct_stat_2529_f</t>
  </si>
  <si>
    <t xml:space="preserve">pmtct_stat_3034_f</t>
  </si>
  <si>
    <t xml:space="preserve">pmtct_stat_3539_f</t>
  </si>
  <si>
    <t xml:space="preserve">pmtct_stat_4049_f</t>
  </si>
  <si>
    <t xml:space="preserve">pmtct_stat_o50_f</t>
  </si>
  <si>
    <t xml:space="preserve">pmtct_stat_u10_f_known</t>
  </si>
  <si>
    <t xml:space="preserve">pmtct_stat_1014_f_known</t>
  </si>
  <si>
    <t xml:space="preserve">pmtct_stat_1519_f_known</t>
  </si>
  <si>
    <t xml:space="preserve">pmtct_stat_2024_f_known</t>
  </si>
  <si>
    <t xml:space="preserve">pmtct_stat_2529_f_known</t>
  </si>
  <si>
    <t xml:space="preserve">pmtct_stat_3034_f_known</t>
  </si>
  <si>
    <t xml:space="preserve">pmtct_stat_3539_f_known</t>
  </si>
  <si>
    <t xml:space="preserve">pmtct_stat_4049_f_known</t>
  </si>
  <si>
    <t xml:space="preserve">pmtct_stat_o50_f_known</t>
  </si>
  <si>
    <t xml:space="preserve">pmtct_stat_u10_f_newneg</t>
  </si>
  <si>
    <t xml:space="preserve">pmtct_stat_1014_f_newneg</t>
  </si>
  <si>
    <t xml:space="preserve">pmtct_stat_1519_f_newneg</t>
  </si>
  <si>
    <t xml:space="preserve">pmtct_stat_2024_f_newneg</t>
  </si>
  <si>
    <t xml:space="preserve">pmtct_stat_2529_f_newneg</t>
  </si>
  <si>
    <t xml:space="preserve">pmtct_stat_3034_f_newneg</t>
  </si>
  <si>
    <t xml:space="preserve">pmtct_stat_3539_f_newneg</t>
  </si>
  <si>
    <t xml:space="preserve">pmtct_stat_4049_f_newneg</t>
  </si>
  <si>
    <t xml:space="preserve">pmtct_stat_o50_f_newneg</t>
  </si>
  <si>
    <t xml:space="preserve">pmtct_stat_u10_f_newpos</t>
  </si>
  <si>
    <t xml:space="preserve">pmtct_stat_1014_f_newpos</t>
  </si>
  <si>
    <t xml:space="preserve">pmtct_stat_1519_f_newpos</t>
  </si>
  <si>
    <t xml:space="preserve">pmtct_stat_2024_f_newpos</t>
  </si>
  <si>
    <t xml:space="preserve">pmtct_stat_2529_f_newpos</t>
  </si>
  <si>
    <t xml:space="preserve">pmtct_stat_3034_f_newpos</t>
  </si>
  <si>
    <t xml:space="preserve">pmtct_stat_3539_f_newpos</t>
  </si>
  <si>
    <t xml:space="preserve">pmtct_stat_4049_f_newpos</t>
  </si>
  <si>
    <t xml:space="preserve">pmtct_stat_o50_f_newpos</t>
  </si>
  <si>
    <t xml:space="preserve">pp_prev_1014_f</t>
  </si>
  <si>
    <t xml:space="preserve">pp_prev_1014_m</t>
  </si>
  <si>
    <t xml:space="preserve">pp_prev_1519_f</t>
  </si>
  <si>
    <t xml:space="preserve">pp_prev_1519_m</t>
  </si>
  <si>
    <t xml:space="preserve">pp_prev_2024_f</t>
  </si>
  <si>
    <t xml:space="preserve">pp_prev_2024_m</t>
  </si>
  <si>
    <t xml:space="preserve">pp_prev_2529_f</t>
  </si>
  <si>
    <t xml:space="preserve">pp_prev_2529_m</t>
  </si>
  <si>
    <t xml:space="preserve">pp_prev_3034_f</t>
  </si>
  <si>
    <t xml:space="preserve">pp_prev_3034_m</t>
  </si>
  <si>
    <t xml:space="preserve">pp_prev_3539_f</t>
  </si>
  <si>
    <t xml:space="preserve">pp_prev_3539_m</t>
  </si>
  <si>
    <t xml:space="preserve">pp_prev_4049_f</t>
  </si>
  <si>
    <t xml:space="preserve">pp_prev_4049_m</t>
  </si>
  <si>
    <t xml:space="preserve">pp_prev_o50_f</t>
  </si>
  <si>
    <t xml:space="preserve">pp_prev_o50_m</t>
  </si>
  <si>
    <t xml:space="preserve">KeyPop [Share of Numerator]</t>
  </si>
  <si>
    <t xml:space="preserve">prep_new_1519_f</t>
  </si>
  <si>
    <t xml:space="preserve">prep_new_1519_m</t>
  </si>
  <si>
    <t xml:space="preserve">prep_new_2024_f</t>
  </si>
  <si>
    <t xml:space="preserve">prep_new_2024_m</t>
  </si>
  <si>
    <t xml:space="preserve">prep_new_2529_f</t>
  </si>
  <si>
    <t xml:space="preserve">prep_new_2529_m</t>
  </si>
  <si>
    <t xml:space="preserve">prep_new_3034_f</t>
  </si>
  <si>
    <t xml:space="preserve">prep_new_3034_m</t>
  </si>
  <si>
    <t xml:space="preserve">prep_new_3539_f</t>
  </si>
  <si>
    <t xml:space="preserve">prep_new_3539_m</t>
  </si>
  <si>
    <t xml:space="preserve">prep_new_4049_f</t>
  </si>
  <si>
    <t xml:space="preserve">prep_new_4049_m</t>
  </si>
  <si>
    <t xml:space="preserve">prep_new_o50_f</t>
  </si>
  <si>
    <t xml:space="preserve">prep_new_o50_m</t>
  </si>
  <si>
    <t xml:space="preserve">prep_new_fsw</t>
  </si>
  <si>
    <t xml:space="preserve">prep_new_msm</t>
  </si>
  <si>
    <t xml:space="preserve">prep_new_oth_kp</t>
  </si>
  <si>
    <t xml:space="preserve">prep_new_tg</t>
  </si>
  <si>
    <t xml:space="preserve">DENOMINATOR Age Aggregated/Sex</t>
  </si>
  <si>
    <t xml:space="preserve">Age/Sex/Result</t>
  </si>
  <si>
    <t xml:space="preserve">FY19 Target TB_STAT (Denom.)</t>
  </si>
  <si>
    <t xml:space="preserve">FY19 Target TB_STAT</t>
  </si>
  <si>
    <t xml:space="preserve">tb_stat_D_u15_f</t>
  </si>
  <si>
    <t xml:space="preserve">tb_stat_D_u15_m</t>
  </si>
  <si>
    <t xml:space="preserve">tb_stat_D_o15_f</t>
  </si>
  <si>
    <t xml:space="preserve">tb_stat_D_o15_m</t>
  </si>
  <si>
    <t xml:space="preserve">tb_stat_u15_f_newneg</t>
  </si>
  <si>
    <t xml:space="preserve">tb_stat_u15_m_newneg</t>
  </si>
  <si>
    <t xml:space="preserve">tb_stat_o15_f_newneg</t>
  </si>
  <si>
    <t xml:space="preserve">tb_stat_o15_m_newneg</t>
  </si>
  <si>
    <t xml:space="preserve">FY19 Target TB_ART</t>
  </si>
  <si>
    <t xml:space="preserve">FY19 Target TB_ART- New on Treatment</t>
  </si>
  <si>
    <t xml:space="preserve">FY19 Target TB_ART- Already on Treatment</t>
  </si>
  <si>
    <t xml:space="preserve">tb_art_u15_f_pos</t>
  </si>
  <si>
    <t xml:space="preserve">tb_art_u15_m_pos</t>
  </si>
  <si>
    <t xml:space="preserve">tb_art_o15_f_pos</t>
  </si>
  <si>
    <t xml:space="preserve">tb_art_o15_m_pos</t>
  </si>
  <si>
    <t xml:space="preserve">TherapyType/NewExistingArt/HIVStatus -Already</t>
  </si>
  <si>
    <t xml:space="preserve">DENOMINATOR TherapyType/NewExistingArt/HIVStatus - Already</t>
  </si>
  <si>
    <t xml:space="preserve">TherapyType/NewExistingArt/HIVStatus - Already</t>
  </si>
  <si>
    <t xml:space="preserve">FY19 Target TB_PREV (Denom.)</t>
  </si>
  <si>
    <t xml:space="preserve">FY19 Target TB_PREV</t>
  </si>
  <si>
    <t xml:space="preserve">tb_prev_D_u15_f_pos</t>
  </si>
  <si>
    <t xml:space="preserve">tb_prev_D_u15_m_pos</t>
  </si>
  <si>
    <t xml:space="preserve">tb_prev_D_o15_f_pos</t>
  </si>
  <si>
    <t xml:space="preserve">tb_prev_D_o15_m_pos</t>
  </si>
  <si>
    <t xml:space="preserve">tb_prev_D_alt_tpt_life_already_pos</t>
  </si>
  <si>
    <t xml:space="preserve">tb_prev_D_ipt_life_already_pos</t>
  </si>
  <si>
    <t xml:space="preserve">tb_prev_D_alt_tpt_life_new_pos</t>
  </si>
  <si>
    <t xml:space="preserve">tb_prev_D_ipt_life_new_pos</t>
  </si>
  <si>
    <t xml:space="preserve">tb_prev_u15_f_pos</t>
  </si>
  <si>
    <t xml:space="preserve">tb_prev_u15_m_pos</t>
  </si>
  <si>
    <t xml:space="preserve">tb_prev_o15_f_pos</t>
  </si>
  <si>
    <t xml:space="preserve">tb_prev_o15_m_pos</t>
  </si>
  <si>
    <t xml:space="preserve">tb_prev_alt_tpt_life_already_pos</t>
  </si>
  <si>
    <t xml:space="preserve">tb_prev_ipt_life_already_pos</t>
  </si>
  <si>
    <t xml:space="preserve">tb_prev_alt_tpt_life_new_pos</t>
  </si>
  <si>
    <t xml:space="preserve">tb_prev_ipt_life_new_pos</t>
  </si>
  <si>
    <t xml:space="preserve">TX_CURR 15+</t>
  </si>
  <si>
    <t xml:space="preserve">D_tx_curr_o15_fy19</t>
  </si>
  <si>
    <t xml:space="preserve">tx_curr_u1_unk_pos</t>
  </si>
  <si>
    <t xml:space="preserve">tx_curr_0109_unk_pos</t>
  </si>
  <si>
    <t xml:space="preserve">tx_curr_1014_f_pos</t>
  </si>
  <si>
    <t xml:space="preserve">tx_curr_1014_m_pos</t>
  </si>
  <si>
    <t xml:space="preserve">tx_curr_1519_f_pos</t>
  </si>
  <si>
    <t xml:space="preserve">tx_curr_1519_m_pos</t>
  </si>
  <si>
    <t xml:space="preserve">tx_curr_2024_f_pos</t>
  </si>
  <si>
    <t xml:space="preserve">tx_curr_2024_m_pos</t>
  </si>
  <si>
    <t xml:space="preserve">tx_curr_2529_f_pos</t>
  </si>
  <si>
    <t xml:space="preserve">tx_curr_2529_m_pos</t>
  </si>
  <si>
    <t xml:space="preserve">tx_curr_3034_f_pos</t>
  </si>
  <si>
    <t xml:space="preserve">tx_curr_3034_m_pos</t>
  </si>
  <si>
    <t xml:space="preserve">tx_curr_3539_f_pos</t>
  </si>
  <si>
    <t xml:space="preserve">tx_curr_3539_m_pos</t>
  </si>
  <si>
    <t xml:space="preserve">tx_curr_4049_f_pos</t>
  </si>
  <si>
    <t xml:space="preserve">tx_curr_4049_m_pos</t>
  </si>
  <si>
    <t xml:space="preserve">tx_curr_o50_f_pos</t>
  </si>
  <si>
    <t xml:space="preserve">tx_curr_o50_m_pos</t>
  </si>
  <si>
    <t xml:space="preserve">KeyPop/HIVStatus  [OPTIONAL] [Share of Numerator]</t>
  </si>
  <si>
    <t xml:space="preserve">PregnantOrBreastfeeding/HIVStatus[Share of Numerator]</t>
  </si>
  <si>
    <t xml:space="preserve">KeyPop/HIVStatus [OPTIONAL]</t>
  </si>
  <si>
    <t xml:space="preserve">KeyPop/HIVStatus [Optional] [Share of Numerator]</t>
  </si>
  <si>
    <t xml:space="preserve">PregnantOrBreastfeeding/HIVStatus [Share of Numerator]</t>
  </si>
  <si>
    <t xml:space="preserve">TX_NEW 15+</t>
  </si>
  <si>
    <t xml:space="preserve">D_tx_new_o15_fy19</t>
  </si>
  <si>
    <t xml:space="preserve">tx_new_u01_unk_pos</t>
  </si>
  <si>
    <t xml:space="preserve">tx_new_0109_unk_pos</t>
  </si>
  <si>
    <t xml:space="preserve">tx_new_1014_f_pos</t>
  </si>
  <si>
    <t xml:space="preserve">tx_new_1014_m_pos</t>
  </si>
  <si>
    <t xml:space="preserve">tx_new_1519_f_pos</t>
  </si>
  <si>
    <t xml:space="preserve">tx_new_1519_m_pos</t>
  </si>
  <si>
    <t xml:space="preserve">tx_new_2024_f_pos</t>
  </si>
  <si>
    <t xml:space="preserve">tx_new_2024_m_pos</t>
  </si>
  <si>
    <t xml:space="preserve">tx_new_2529_f_pos</t>
  </si>
  <si>
    <t xml:space="preserve">tx_new_2529_m_pos</t>
  </si>
  <si>
    <t xml:space="preserve">tx_new_3034_f_pos</t>
  </si>
  <si>
    <t xml:space="preserve">tx_new_3034_m_pos</t>
  </si>
  <si>
    <t xml:space="preserve">tx_new_3539_f_pos</t>
  </si>
  <si>
    <t xml:space="preserve">tx_new_3539_m_pos</t>
  </si>
  <si>
    <t xml:space="preserve">tx_new_4049_f_pos</t>
  </si>
  <si>
    <t xml:space="preserve">tx_new_4049_m_pos</t>
  </si>
  <si>
    <t xml:space="preserve">tx_new_o50_f_pos</t>
  </si>
  <si>
    <t xml:space="preserve">tx_new_o50_m_pos</t>
  </si>
  <si>
    <t xml:space="preserve">tx_new_fsw_pos</t>
  </si>
  <si>
    <t xml:space="preserve">tx_new_msm_pos</t>
  </si>
  <si>
    <t xml:space="preserve">tx_new_prison_pos</t>
  </si>
  <si>
    <t xml:space="preserve">tx_new_pwid_pos</t>
  </si>
  <si>
    <t xml:space="preserve">tx_new_tg_pos</t>
  </si>
  <si>
    <t xml:space="preserve">tx_new_bf_pos</t>
  </si>
  <si>
    <t xml:space="preserve">tx_new_preg_pos</t>
  </si>
  <si>
    <t xml:space="preserve">DENOMINATOR - Age Aggregated/Sex/Indication</t>
  </si>
  <si>
    <t xml:space="preserve"> DENOMINATOR - RoutineTargeted/HIVStatus</t>
  </si>
  <si>
    <t xml:space="preserve">DENOMINATOR - RoutineTargeted/HIVStatus</t>
  </si>
  <si>
    <t xml:space="preserve">tx_pvls_D_u15_f_rtn</t>
  </si>
  <si>
    <t xml:space="preserve">tx_pvls_D_u15_f_targeted</t>
  </si>
  <si>
    <t xml:space="preserve">tx_pvls_D_u15_f_undoctest</t>
  </si>
  <si>
    <t xml:space="preserve">tx_pvls_D_u15_m_rtn</t>
  </si>
  <si>
    <t xml:space="preserve">tx_pvls_D_u15_m_targeted</t>
  </si>
  <si>
    <t xml:space="preserve">tx_pvls_D_u15_m_undoctest</t>
  </si>
  <si>
    <t xml:space="preserve">tx_pvls_D_o15_f_rtn</t>
  </si>
  <si>
    <t xml:space="preserve">tx_pvls_D_o15_f_targeted</t>
  </si>
  <si>
    <t xml:space="preserve">tx_pvls_D_o15_f_undoctest</t>
  </si>
  <si>
    <t xml:space="preserve">tx_pvls_D_o15_m_rtn</t>
  </si>
  <si>
    <t xml:space="preserve">tx_pvls_D_o15_m_targeted</t>
  </si>
  <si>
    <t xml:space="preserve">tx_pvls_D_o15_m_undoctest</t>
  </si>
  <si>
    <t xml:space="preserve">tx_pvls_D_rtn_pos</t>
  </si>
  <si>
    <t xml:space="preserve">tx_pvls_D_targeted_pos</t>
  </si>
  <si>
    <t xml:space="preserve">tx_pvls_D_undoctest_pos</t>
  </si>
  <si>
    <t xml:space="preserve">PregnantOrBreastfeeding/HIVStatus [Share of Total Numerator]</t>
  </si>
  <si>
    <t xml:space="preserve">DENOMINATOR PregnantOrBreastfeeding/HIVStatus [Share of Total Denominator]</t>
  </si>
  <si>
    <t xml:space="preserve">TX_RET 15+ (Denom.)</t>
  </si>
  <si>
    <t xml:space="preserve">TX_RET 15+</t>
  </si>
  <si>
    <t xml:space="preserve">D_tx_ret_o15_D_fy19</t>
  </si>
  <si>
    <t xml:space="preserve">D_tx_ret_o15_fy19</t>
  </si>
  <si>
    <t xml:space="preserve">tx_ret_D_u15_f_pos</t>
  </si>
  <si>
    <t xml:space="preserve">tx_ret_D_u15_m_pos</t>
  </si>
  <si>
    <t xml:space="preserve">tx_ret_D_o15_f_pos</t>
  </si>
  <si>
    <t xml:space="preserve">tx_ret_D_o15_m_pos</t>
  </si>
  <si>
    <t xml:space="preserve">tx_ret_D_bf_pos</t>
  </si>
  <si>
    <t xml:space="preserve">tx_ret_D_preg_pos</t>
  </si>
  <si>
    <t xml:space="preserve">tx_ret_u15_f_pos</t>
  </si>
  <si>
    <t xml:space="preserve">tx_ret_u15_m_pos</t>
  </si>
  <si>
    <t xml:space="preserve">tx_ret_o15_f_pos</t>
  </si>
  <si>
    <t xml:space="preserve">tx_ret_o15_m_pos</t>
  </si>
  <si>
    <t xml:space="preserve">tx_ret_bf_pos</t>
  </si>
  <si>
    <t xml:space="preserve">tx_ret_preg_pos</t>
  </si>
  <si>
    <t xml:space="preserve"> </t>
  </si>
  <si>
    <t xml:space="preserve">DENOMINATOR -Age Aggregated/Sex/HIVStatus</t>
  </si>
  <si>
    <t xml:space="preserve">DENOMINATOR - Specimen Sent [Share of Total Numerator]</t>
  </si>
  <si>
    <t xml:space="preserve">DENOMINATOR - Diagnostic Test/HIVStatus [Share of Specimens Sent disagg]</t>
  </si>
  <si>
    <t xml:space="preserve">DENOMINATOR - TBScreen/NewExistingART/HIVStatus</t>
  </si>
  <si>
    <t xml:space="preserve">DENOMINATOR - Specimen Sent</t>
  </si>
  <si>
    <t xml:space="preserve">DENOMINATOR - Diagnostic Test/HIVStatus</t>
  </si>
  <si>
    <t xml:space="preserve">Specimen Sent, Positive</t>
  </si>
  <si>
    <t xml:space="preserve">DENOMINATOR - Specimen Sent/HIVStatus [Share of Specimens Sent disagg]</t>
  </si>
  <si>
    <t xml:space="preserve">A_tx_tb_D_oth_pos2</t>
  </si>
  <si>
    <t xml:space="preserve">tx_tb_D_u15_f_pos2</t>
  </si>
  <si>
    <t xml:space="preserve">tx_tb_D_u15_m_pos</t>
  </si>
  <si>
    <t xml:space="preserve">tx_tb_D_o15_f_pos</t>
  </si>
  <si>
    <t xml:space="preserve">tx_tb_D_o15_m_pos</t>
  </si>
  <si>
    <t xml:space="preserve">tx_tb_D_sent_pos</t>
  </si>
  <si>
    <t xml:space="preserve">tx_tb_D_oth_pos</t>
  </si>
  <si>
    <t xml:space="preserve">tx_tb_D_smear_pos</t>
  </si>
  <si>
    <t xml:space="preserve">tx_tb_D_xpert_pos</t>
  </si>
  <si>
    <t xml:space="preserve">tx_tb_D_life_already_scrn_neg_pos</t>
  </si>
  <si>
    <t xml:space="preserve">tx_tb_D_life_already_scrn_pos_pos</t>
  </si>
  <si>
    <t xml:space="preserve">tx_tb_D_life_new_scrn_neg_pos</t>
  </si>
  <si>
    <t xml:space="preserve">tx_tb_D_life_new_scrn_pos_pos</t>
  </si>
  <si>
    <t xml:space="preserve">VMMC_CIRC &lt;15 &amp; 30+</t>
  </si>
  <si>
    <t xml:space="preserve">D_vmmc_circ_othage_fy19</t>
  </si>
  <si>
    <t xml:space="preserve">vmmc_circ_1519_m</t>
  </si>
  <si>
    <t xml:space="preserve">vmmc_circ_2024_m</t>
  </si>
  <si>
    <t xml:space="preserve">vmmc_circ_2529_m</t>
  </si>
  <si>
    <t xml:space="preserve">vmmc_circ_u02mo_m</t>
  </si>
  <si>
    <t xml:space="preserve">vmmc_circ_02mo9_m</t>
  </si>
  <si>
    <t xml:space="preserve">vmmc_circ_1014_m</t>
  </si>
  <si>
    <t xml:space="preserve">vmmc_circ_3034_m</t>
  </si>
  <si>
    <t xml:space="preserve">vmmc_circ_3539_m</t>
  </si>
  <si>
    <t xml:space="preserve">vmmc_circ_4049_m</t>
  </si>
  <si>
    <t xml:space="preserve">vmmc_circ_o50_m</t>
  </si>
  <si>
    <t xml:space="preserve">vmmc_circ_device_m</t>
  </si>
  <si>
    <t xml:space="preserve">vmmc_circ_surg_m</t>
  </si>
  <si>
    <t xml:space="preserve">FY19 Disagg Allocation Table</t>
  </si>
  <si>
    <t xml:space="preserve">KP_PREV</t>
  </si>
  <si>
    <t xml:space="preserve">Sex</t>
  </si>
  <si>
    <t xml:space="preserve"> NewExistingArt/HIVStatus</t>
  </si>
  <si>
    <t xml:space="preserve">Female PWID</t>
  </si>
  <si>
    <t xml:space="preserve">Male PWID</t>
  </si>
  <si>
    <t xml:space="preserve">MSM not SW</t>
  </si>
  <si>
    <t xml:space="preserve">MSM SW</t>
  </si>
  <si>
    <t xml:space="preserve">TG not SW</t>
  </si>
  <si>
    <t xml:space="preserve">TG SW</t>
  </si>
  <si>
    <t xml:space="preserve">Total Numerator</t>
  </si>
  <si>
    <t xml:space="preserve">Life-long ART, Already, Positive</t>
  </si>
  <si>
    <t xml:space="preserve">Life-long ART, New, Positive</t>
  </si>
  <si>
    <r>
      <rPr>
        <sz val="11"/>
        <color rgb="FF2F2B20"/>
        <rFont val="Calibri"/>
        <family val="2"/>
        <charset val="1"/>
      </rPr>
      <t xml:space="preserve">≤</t>
    </r>
    <r>
      <rPr>
        <sz val="11"/>
        <color rgb="FF2F2B20"/>
        <rFont val="Calibri Light"/>
        <family val="2"/>
        <charset val="1"/>
      </rPr>
      <t xml:space="preserve">2 months</t>
    </r>
  </si>
  <si>
    <t xml:space="preserve">kp_mat_f</t>
  </si>
  <si>
    <t xml:space="preserve">kp_mat_m</t>
  </si>
  <si>
    <t xml:space="preserve">FY19 IMPATT Table</t>
  </si>
  <si>
    <t xml:space="preserve">IMPATT</t>
  </si>
  <si>
    <t xml:space="preserve">Prioritization</t>
  </si>
  <si>
    <t xml:space="preserve">Estimated Number of PLHIV, end of FY19</t>
  </si>
  <si>
    <t xml:space="preserve">snu_priotization_fy19</t>
  </si>
  <si>
    <t xml:space="preserve">plhiv_fy19</t>
  </si>
  <si>
    <t xml:space="preserve">Follow on Mechanism List</t>
  </si>
  <si>
    <t xml:space="preserve">Mechanism ID</t>
  </si>
  <si>
    <t xml:space="preserve">Closing Out</t>
  </si>
  <si>
    <t xml:space="preserve">Follow on</t>
  </si>
  <si>
    <t xml:space="preserve">Notes</t>
  </si>
</sst>
</file>

<file path=xl/styles.xml><?xml version="1.0" encoding="utf-8"?>
<styleSheet xmlns="http://schemas.openxmlformats.org/spreadsheetml/2006/main">
  <numFmts count="13">
    <numFmt numFmtId="164" formatCode="General"/>
    <numFmt numFmtId="165" formatCode="@"/>
    <numFmt numFmtId="166" formatCode="M/D/YYYY\ H:MM"/>
    <numFmt numFmtId="167" formatCode="MMMM\ D"/>
    <numFmt numFmtId="168" formatCode=";;;"/>
    <numFmt numFmtId="169" formatCode="H:MM"/>
    <numFmt numFmtId="170" formatCode="MM:SS"/>
    <numFmt numFmtId="171" formatCode="0%"/>
    <numFmt numFmtId="172" formatCode="#,##0;\-#,##0;;"/>
    <numFmt numFmtId="173" formatCode="0%;\-0%;;"/>
    <numFmt numFmtId="174" formatCode="#,##0"/>
    <numFmt numFmtId="175" formatCode="[&lt;&gt;1][RED]0%;[BLACK]0%"/>
    <numFmt numFmtId="176" formatCode="[=0][RED]0%;[BLACK]0%"/>
  </numFmts>
  <fonts count="20">
    <font>
      <sz val="11"/>
      <color rgb="FF2F2B20"/>
      <name val="Calibri"/>
      <family val="2"/>
      <charset val="1"/>
    </font>
    <font>
      <sz val="10"/>
      <name val="Arial"/>
      <family val="0"/>
    </font>
    <font>
      <sz val="10"/>
      <name val="Arial"/>
      <family val="0"/>
    </font>
    <font>
      <sz val="10"/>
      <name val="Arial"/>
      <family val="0"/>
    </font>
    <font>
      <b val="true"/>
      <sz val="66"/>
      <color rgb="FF2F2B20"/>
      <name val="Calibri"/>
      <family val="2"/>
    </font>
    <font>
      <sz val="14"/>
      <color rgb="FF808080"/>
      <name val="Calibri"/>
      <family val="2"/>
    </font>
    <font>
      <sz val="48"/>
      <color rgb="FF808080"/>
      <name val="Calibri"/>
      <family val="2"/>
    </font>
    <font>
      <sz val="12"/>
      <color rgb="FF808080"/>
      <name val="Calibri"/>
      <family val="2"/>
    </font>
    <font>
      <b val="true"/>
      <sz val="28"/>
      <color rgb="FFFFFFFF"/>
      <name val="Calibri"/>
      <family val="2"/>
    </font>
    <font>
      <b val="true"/>
      <sz val="11"/>
      <color rgb="FF2F2B20"/>
      <name val="Calibri"/>
      <family val="2"/>
      <charset val="1"/>
    </font>
    <font>
      <sz val="11"/>
      <name val="Calibri"/>
      <family val="2"/>
      <charset val="1"/>
    </font>
    <font>
      <b val="true"/>
      <u val="single"/>
      <sz val="11"/>
      <color rgb="FF2F2B20"/>
      <name val="Calibri"/>
      <family val="2"/>
      <charset val="1"/>
    </font>
    <font>
      <sz val="11"/>
      <color rgb="FFFFFFFF"/>
      <name val="Calibri"/>
      <family val="2"/>
      <charset val="1"/>
    </font>
    <font>
      <b val="true"/>
      <sz val="66"/>
      <color rgb="FF689C9A"/>
      <name val="Calibri"/>
      <family val="2"/>
    </font>
    <font>
      <sz val="11"/>
      <color rgb="FF2F2B20"/>
      <name val="Calibri Light"/>
      <family val="2"/>
      <charset val="1"/>
    </font>
    <font>
      <sz val="18"/>
      <color rgb="FF2F2B20"/>
      <name val="Calibri"/>
      <family val="2"/>
      <charset val="1"/>
    </font>
    <font>
      <sz val="11"/>
      <color rgb="FF808080"/>
      <name val="Calibri Light"/>
      <family val="0"/>
    </font>
    <font>
      <u val="single"/>
      <sz val="11"/>
      <color rgb="FF808080"/>
      <name val="Calibri Light"/>
      <family val="0"/>
    </font>
    <font>
      <b val="true"/>
      <sz val="18"/>
      <color rgb="FF2F2B20"/>
      <name val="Calibri"/>
      <family val="2"/>
      <charset val="1"/>
    </font>
    <font>
      <b val="true"/>
      <sz val="50"/>
      <color rgb="FF95C5C3"/>
      <name val="Verdana"/>
      <family val="2"/>
    </font>
  </fonts>
  <fills count="10">
    <fill>
      <patternFill patternType="none"/>
    </fill>
    <fill>
      <patternFill patternType="gray125"/>
    </fill>
    <fill>
      <patternFill patternType="solid">
        <fgColor rgb="FF95A39D"/>
        <bgColor rgb="FFB1A089"/>
      </patternFill>
    </fill>
    <fill>
      <patternFill patternType="solid">
        <fgColor rgb="FFFFFF00"/>
        <bgColor rgb="FFFFFF00"/>
      </patternFill>
    </fill>
    <fill>
      <patternFill patternType="solid">
        <fgColor rgb="FFBFC8C4"/>
        <bgColor rgb="FFBFBFBF"/>
      </patternFill>
    </fill>
    <fill>
      <patternFill patternType="solid">
        <fgColor rgb="FFE4E0A7"/>
        <bgColor rgb="FFF4ECDF"/>
      </patternFill>
    </fill>
    <fill>
      <patternFill patternType="solid">
        <fgColor rgb="FF9CBEBD"/>
        <bgColor rgb="FF95C5C3"/>
      </patternFill>
    </fill>
    <fill>
      <patternFill patternType="solid">
        <fgColor rgb="FFC4D8D7"/>
        <bgColor rgb="FFBFC8C4"/>
      </patternFill>
    </fill>
    <fill>
      <patternFill patternType="solid">
        <fgColor rgb="FFBFBFBF"/>
        <bgColor rgb="FFBFC8C4"/>
      </patternFill>
    </fill>
    <fill>
      <patternFill patternType="solid">
        <fgColor rgb="FFF4ECDF"/>
        <bgColor rgb="FFFFFFFF"/>
      </patternFill>
    </fill>
  </fills>
  <borders count="16">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FFFFFF"/>
      </left>
      <right style="thin">
        <color rgb="FFFFFFFF"/>
      </right>
      <top/>
      <bottom/>
      <diagonal/>
    </border>
    <border diagonalUp="false" diagonalDown="false">
      <left style="thin">
        <color rgb="FFFFFFFF"/>
      </left>
      <right/>
      <top/>
      <bottom/>
      <diagonal/>
    </border>
    <border diagonalUp="false" diagonalDown="false">
      <left style="thin">
        <color rgb="FF808080"/>
      </left>
      <right/>
      <top style="thin">
        <color rgb="FF808080"/>
      </top>
      <bottom/>
      <diagonal/>
    </border>
    <border diagonalUp="false" diagonalDown="false">
      <left/>
      <right/>
      <top style="thin">
        <color rgb="FF808080"/>
      </top>
      <bottom/>
      <diagonal/>
    </border>
    <border diagonalUp="false" diagonalDown="false">
      <left/>
      <right style="thin">
        <color rgb="FF808080"/>
      </right>
      <top style="thin">
        <color rgb="FF808080"/>
      </top>
      <bottom/>
      <diagonal/>
    </border>
    <border diagonalUp="false" diagonalDown="false">
      <left style="thin">
        <color rgb="FF808080"/>
      </left>
      <right/>
      <top/>
      <bottom style="thin">
        <color rgb="FF808080"/>
      </bottom>
      <diagonal/>
    </border>
    <border diagonalUp="false" diagonalDown="false">
      <left/>
      <right/>
      <top/>
      <bottom style="thin">
        <color rgb="FF808080"/>
      </bottom>
      <diagonal/>
    </border>
    <border diagonalUp="false" diagonalDown="false">
      <left/>
      <right style="thin">
        <color rgb="FF808080"/>
      </right>
      <top/>
      <bottom style="thin">
        <color rgb="FF808080"/>
      </bottom>
      <diagonal/>
    </border>
    <border diagonalUp="false" diagonalDown="false">
      <left/>
      <right style="thin">
        <color rgb="FFFFFFFF"/>
      </right>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0" fillId="0" borderId="3" xfId="0" applyFont="fals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70"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center" vertical="center" textRotation="0" wrapText="true" indent="0" shrinkToFit="false"/>
      <protection locked="true" hidden="false"/>
    </xf>
    <xf numFmtId="168" fontId="14" fillId="0" borderId="0" xfId="0" applyFont="true" applyBorder="false" applyAlignment="false" applyProtection="false">
      <alignment horizontal="general" vertical="bottom" textRotation="0" wrapText="false" indent="0" shrinkToFit="false"/>
      <protection locked="true" hidden="false"/>
    </xf>
    <xf numFmtId="164" fontId="15" fillId="5" borderId="4" xfId="0" applyFont="true" applyBorder="true" applyAlignment="true" applyProtection="false">
      <alignment horizontal="general" vertical="bottom" textRotation="0" wrapText="false" indent="0" shrinkToFit="false"/>
      <protection locked="true" hidden="false"/>
    </xf>
    <xf numFmtId="164" fontId="15" fillId="5" borderId="5" xfId="0" applyFont="true" applyBorder="tru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center"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71" fontId="14" fillId="0" borderId="0" xfId="19" applyFont="true" applyBorder="true" applyAlignment="true" applyProtection="true">
      <alignment horizontal="general" vertical="bottom" textRotation="0" wrapText="false" indent="0" shrinkToFit="false"/>
      <protection locked="true" hidden="false"/>
    </xf>
    <xf numFmtId="164" fontId="14" fillId="6" borderId="6" xfId="0" applyFont="true" applyBorder="true" applyAlignment="true" applyProtection="false">
      <alignment horizontal="center" vertical="center" textRotation="0" wrapText="true" indent="0" shrinkToFit="false"/>
      <protection locked="true" hidden="false"/>
    </xf>
    <xf numFmtId="164" fontId="14" fillId="6" borderId="7" xfId="0" applyFont="true" applyBorder="true" applyAlignment="true" applyProtection="false">
      <alignment horizontal="center" vertical="center" textRotation="0" wrapText="true" indent="0" shrinkToFit="false"/>
      <protection locked="true" hidden="false"/>
    </xf>
    <xf numFmtId="164" fontId="14" fillId="6" borderId="8"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14" fillId="7" borderId="9" xfId="0" applyFont="true" applyBorder="true" applyAlignment="true" applyProtection="false">
      <alignment horizontal="center" vertical="center" textRotation="0" wrapText="true" indent="0" shrinkToFit="false"/>
      <protection locked="true" hidden="false"/>
    </xf>
    <xf numFmtId="164" fontId="14" fillId="7" borderId="10" xfId="0" applyFont="true" applyBorder="true" applyAlignment="true" applyProtection="false">
      <alignment horizontal="center" vertical="center" textRotation="0" wrapText="true" indent="0" shrinkToFit="false"/>
      <protection locked="true" hidden="false"/>
    </xf>
    <xf numFmtId="164" fontId="14" fillId="7" borderId="11" xfId="0" applyFont="true" applyBorder="true" applyAlignment="true" applyProtection="false">
      <alignment horizontal="center" vertical="center" textRotation="0" wrapText="tru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72" fontId="14" fillId="0" borderId="0" xfId="0" applyFont="true" applyBorder="false" applyAlignment="false" applyProtection="false">
      <alignment horizontal="general" vertical="bottom" textRotation="0" wrapText="false" indent="0" shrinkToFit="false"/>
      <protection locked="true" hidden="false"/>
    </xf>
    <xf numFmtId="168" fontId="14" fillId="8"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center" vertical="center" textRotation="0" wrapText="true" indent="0" shrinkToFit="false"/>
      <protection locked="true" hidden="false"/>
    </xf>
    <xf numFmtId="164" fontId="14" fillId="8" borderId="0" xfId="0" applyFont="true" applyBorder="false" applyAlignment="false" applyProtection="false">
      <alignment horizontal="general" vertical="bottom" textRotation="0" wrapText="false" indent="0" shrinkToFit="false"/>
      <protection locked="true" hidden="false"/>
    </xf>
    <xf numFmtId="173" fontId="1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false" indent="0" shrinkToFit="false"/>
      <protection locked="true" hidden="false"/>
    </xf>
    <xf numFmtId="164" fontId="15" fillId="5" borderId="12" xfId="0" applyFont="true" applyBorder="true" applyAlignment="true" applyProtection="false">
      <alignment horizontal="general" vertical="bottom" textRotation="0" wrapText="false" indent="0" shrinkToFit="false"/>
      <protection locked="true" hidden="false"/>
    </xf>
    <xf numFmtId="164" fontId="9" fillId="6" borderId="6" xfId="0" applyFont="true" applyBorder="true" applyAlignment="true" applyProtection="false">
      <alignment horizontal="general" vertical="bottom" textRotation="0" wrapText="false" indent="0" shrinkToFit="false"/>
      <protection locked="true" hidden="false"/>
    </xf>
    <xf numFmtId="164" fontId="9" fillId="6" borderId="7" xfId="0" applyFont="true" applyBorder="true" applyAlignment="true" applyProtection="false">
      <alignment horizontal="general" vertical="bottom" textRotation="0" wrapText="false" indent="0" shrinkToFit="false"/>
      <protection locked="true" hidden="false"/>
    </xf>
    <xf numFmtId="164" fontId="9" fillId="6" borderId="13" xfId="0" applyFont="true" applyBorder="true" applyAlignment="true" applyProtection="false">
      <alignment horizontal="general" vertical="bottom" textRotation="0" wrapText="false" indent="0" shrinkToFit="false"/>
      <protection locked="true" hidden="false"/>
    </xf>
    <xf numFmtId="164" fontId="9" fillId="9" borderId="6" xfId="0" applyFont="true" applyBorder="true" applyAlignment="true" applyProtection="false">
      <alignment horizontal="general" vertical="bottom" textRotation="0" wrapText="false" indent="0" shrinkToFit="false"/>
      <protection locked="true" hidden="false"/>
    </xf>
    <xf numFmtId="164" fontId="9" fillId="7" borderId="6" xfId="0" applyFont="true" applyBorder="true" applyAlignment="true" applyProtection="false">
      <alignment horizontal="general" vertical="bottom" textRotation="0" wrapText="false" indent="0" shrinkToFit="false"/>
      <protection locked="true" hidden="false"/>
    </xf>
    <xf numFmtId="164" fontId="9" fillId="4" borderId="6" xfId="0" applyFont="true" applyBorder="true" applyAlignment="true" applyProtection="false">
      <alignment horizontal="general" vertical="bottom" textRotation="0" wrapText="false" indent="0" shrinkToFit="false"/>
      <protection locked="true" hidden="false"/>
    </xf>
    <xf numFmtId="164" fontId="9" fillId="4" borderId="7" xfId="0" applyFont="true" applyBorder="true" applyAlignment="true" applyProtection="false">
      <alignment horizontal="general" vertical="bottom" textRotation="0" wrapText="false" indent="0" shrinkToFit="false"/>
      <protection locked="true" hidden="false"/>
    </xf>
    <xf numFmtId="164" fontId="9" fillId="4" borderId="13" xfId="0" applyFont="true" applyBorder="true" applyAlignment="true" applyProtection="false">
      <alignment horizontal="general" vertical="bottom" textRotation="0" wrapText="false" indent="0" shrinkToFit="false"/>
      <protection locked="true" hidden="false"/>
    </xf>
    <xf numFmtId="164" fontId="9" fillId="4" borderId="8" xfId="0" applyFont="true" applyBorder="true" applyAlignment="true" applyProtection="false">
      <alignment horizontal="general" vertical="bottom" textRotation="0" wrapText="false" indent="0" shrinkToFit="false"/>
      <protection locked="true" hidden="false"/>
    </xf>
    <xf numFmtId="164" fontId="14" fillId="6" borderId="9" xfId="0" applyFont="true" applyBorder="true" applyAlignment="true" applyProtection="false">
      <alignment horizontal="center" vertical="center" textRotation="0" wrapText="true" indent="0" shrinkToFit="false"/>
      <protection locked="true" hidden="false"/>
    </xf>
    <xf numFmtId="164" fontId="14" fillId="6" borderId="10" xfId="0" applyFont="true" applyBorder="true" applyAlignment="true" applyProtection="false">
      <alignment horizontal="center" vertical="center" textRotation="0" wrapText="true" indent="0" shrinkToFit="false"/>
      <protection locked="true" hidden="false"/>
    </xf>
    <xf numFmtId="164" fontId="14" fillId="6" borderId="14" xfId="0" applyFont="true" applyBorder="true" applyAlignment="true" applyProtection="false">
      <alignment horizontal="center" vertical="center" textRotation="0" wrapText="true" indent="0" shrinkToFit="false"/>
      <protection locked="true" hidden="false"/>
    </xf>
    <xf numFmtId="164" fontId="14" fillId="9" borderId="9" xfId="0" applyFont="true" applyBorder="true" applyAlignment="true" applyProtection="false">
      <alignment horizontal="center" vertical="center" textRotation="0" wrapText="true" indent="0" shrinkToFit="false"/>
      <protection locked="true" hidden="false"/>
    </xf>
    <xf numFmtId="164" fontId="14" fillId="4" borderId="9" xfId="0" applyFont="true" applyBorder="true" applyAlignment="true" applyProtection="false">
      <alignment horizontal="center" vertical="center" textRotation="0" wrapText="true" indent="0" shrinkToFit="false"/>
      <protection locked="true" hidden="false"/>
    </xf>
    <xf numFmtId="164" fontId="14" fillId="4" borderId="10" xfId="0" applyFont="true" applyBorder="true" applyAlignment="true" applyProtection="false">
      <alignment horizontal="center" vertical="center" textRotation="0" wrapText="true" indent="0" shrinkToFit="false"/>
      <protection locked="true" hidden="false"/>
    </xf>
    <xf numFmtId="164" fontId="14" fillId="4" borderId="14" xfId="0" applyFont="true" applyBorder="true" applyAlignment="true" applyProtection="false">
      <alignment horizontal="center" vertical="center" textRotation="0" wrapText="true" indent="0" shrinkToFit="false"/>
      <protection locked="true" hidden="false"/>
    </xf>
    <xf numFmtId="164" fontId="14" fillId="4" borderId="11" xfId="0" applyFont="true" applyBorder="true" applyAlignment="true" applyProtection="false">
      <alignment horizontal="center" vertical="center" textRotation="0" wrapText="true" indent="0" shrinkToFit="false"/>
      <protection locked="true" hidden="false"/>
    </xf>
    <xf numFmtId="174" fontId="14" fillId="0" borderId="0" xfId="0" applyFont="true" applyBorder="false" applyAlignment="false" applyProtection="false">
      <alignment horizontal="general" vertical="bottom" textRotation="0" wrapText="false" indent="0" shrinkToFit="false"/>
      <protection locked="true" hidden="false"/>
    </xf>
    <xf numFmtId="175" fontId="14"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5" borderId="0" xfId="0" applyFont="true" applyBorder="false" applyAlignment="false" applyProtection="false">
      <alignment horizontal="general" vertical="bottom" textRotation="0" wrapText="false" indent="0" shrinkToFit="false"/>
      <protection locked="true" hidden="false"/>
    </xf>
    <xf numFmtId="164" fontId="9" fillId="6" borderId="8" xfId="0" applyFont="true" applyBorder="true" applyAlignment="true" applyProtection="false">
      <alignment horizontal="general" vertical="bottom" textRotation="0" wrapText="false" indent="0" shrinkToFit="false"/>
      <protection locked="true" hidden="false"/>
    </xf>
    <xf numFmtId="164" fontId="9" fillId="6" borderId="7" xfId="0" applyFont="true" applyBorder="true" applyAlignment="true" applyProtection="false">
      <alignment horizontal="center" vertical="bottom" textRotation="0" wrapText="false" indent="0" shrinkToFit="false"/>
      <protection locked="true" hidden="false"/>
    </xf>
    <xf numFmtId="164" fontId="9" fillId="6" borderId="8" xfId="0" applyFont="true" applyBorder="true" applyAlignment="true" applyProtection="false">
      <alignment horizontal="center" vertical="bottom" textRotation="0" wrapText="false" indent="0" shrinkToFit="false"/>
      <protection locked="true" hidden="false"/>
    </xf>
    <xf numFmtId="164" fontId="9" fillId="9" borderId="7" xfId="0" applyFont="true" applyBorder="true" applyAlignment="true" applyProtection="false">
      <alignment horizontal="left" vertical="bottom" textRotation="0" wrapText="false" indent="0" shrinkToFit="false"/>
      <protection locked="true" hidden="false"/>
    </xf>
    <xf numFmtId="164" fontId="9" fillId="4" borderId="7" xfId="0" applyFont="true" applyBorder="true" applyAlignment="true" applyProtection="false">
      <alignment horizontal="center" vertical="bottom" textRotation="0" wrapText="false" indent="0" shrinkToFit="false"/>
      <protection locked="true" hidden="false"/>
    </xf>
    <xf numFmtId="164" fontId="9" fillId="4" borderId="8" xfId="0" applyFont="true" applyBorder="true" applyAlignment="true" applyProtection="false">
      <alignment horizontal="center" vertical="bottom" textRotation="0" wrapText="false" indent="0" shrinkToFit="false"/>
      <protection locked="true" hidden="false"/>
    </xf>
    <xf numFmtId="164" fontId="14" fillId="6" borderId="11" xfId="0" applyFont="true" applyBorder="true" applyAlignment="true" applyProtection="false">
      <alignment horizontal="center" vertical="center" textRotation="0" wrapText="true" indent="0" shrinkToFit="false"/>
      <protection locked="true" hidden="false"/>
    </xf>
    <xf numFmtId="164" fontId="14" fillId="9" borderId="10" xfId="0" applyFont="true" applyBorder="true" applyAlignment="true" applyProtection="false">
      <alignment horizontal="center" vertical="center" textRotation="0" wrapText="true" indent="0" shrinkToFit="false"/>
      <protection locked="true" hidden="false"/>
    </xf>
    <xf numFmtId="176" fontId="14" fillId="0"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9" fillId="9" borderId="7" xfId="0" applyFont="true" applyBorder="true" applyAlignment="true" applyProtection="false">
      <alignment horizontal="center" vertical="bottom" textRotation="0" wrapText="false" indent="0" shrinkToFit="false"/>
      <protection locked="true" hidden="false"/>
    </xf>
    <xf numFmtId="164" fontId="9" fillId="7" borderId="7" xfId="0" applyFont="true" applyBorder="true" applyAlignment="true" applyProtection="false">
      <alignment horizontal="general" vertical="bottom" textRotation="0" wrapText="false" indent="0" shrinkToFit="false"/>
      <protection locked="true" hidden="false"/>
    </xf>
    <xf numFmtId="164" fontId="9" fillId="9" borderId="7" xfId="0" applyFont="true" applyBorder="true" applyAlignment="true" applyProtection="false">
      <alignment horizontal="general" vertical="bottom" textRotation="0" wrapText="false" indent="0" shrinkToFit="false"/>
      <protection locked="true" hidden="false"/>
    </xf>
    <xf numFmtId="164" fontId="9" fillId="9" borderId="8" xfId="0" applyFont="true" applyBorder="true" applyAlignment="true" applyProtection="false">
      <alignment horizontal="general" vertical="bottom" textRotation="0" wrapText="false" indent="0" shrinkToFit="false"/>
      <protection locked="true" hidden="false"/>
    </xf>
    <xf numFmtId="164" fontId="14" fillId="9" borderId="11" xfId="0" applyFont="true" applyBorder="true" applyAlignment="true" applyProtection="false">
      <alignment horizontal="center" vertical="center" textRotation="0" wrapText="true" indent="0" shrinkToFit="false"/>
      <protection locked="true" hidden="false"/>
    </xf>
    <xf numFmtId="164" fontId="9" fillId="9" borderId="13" xfId="0" applyFont="true" applyBorder="true" applyAlignment="true" applyProtection="false">
      <alignment horizontal="general" vertical="bottom" textRotation="0" wrapText="false" indent="0" shrinkToFit="false"/>
      <protection locked="true" hidden="false"/>
    </xf>
    <xf numFmtId="164" fontId="14" fillId="9" borderId="14" xfId="0" applyFont="true" applyBorder="true" applyAlignment="true" applyProtection="false">
      <alignment horizontal="center" vertical="center" textRotation="0" wrapText="true" indent="0" shrinkToFit="false"/>
      <protection locked="true" hidden="false"/>
    </xf>
    <xf numFmtId="164" fontId="9" fillId="7" borderId="8" xfId="0" applyFont="true" applyBorder="true" applyAlignment="true" applyProtection="false">
      <alignment horizontal="general" vertical="bottom" textRotation="0" wrapText="false" indent="0" shrinkToFit="false"/>
      <protection locked="true" hidden="false"/>
    </xf>
    <xf numFmtId="164" fontId="9" fillId="6" borderId="6" xfId="0" applyFont="true" applyBorder="true" applyAlignment="true" applyProtection="false">
      <alignment horizontal="left" vertical="bottom" textRotation="0" wrapText="false" indent="0" shrinkToFit="false"/>
      <protection locked="true" hidden="false"/>
    </xf>
    <xf numFmtId="164" fontId="9" fillId="6" borderId="7" xfId="0" applyFont="true" applyBorder="true" applyAlignment="true" applyProtection="false">
      <alignment horizontal="left" vertical="bottom" textRotation="0" wrapText="false" indent="0" shrinkToFit="false"/>
      <protection locked="true" hidden="false"/>
    </xf>
    <xf numFmtId="164" fontId="9" fillId="6" borderId="8" xfId="0" applyFont="true" applyBorder="true" applyAlignment="true" applyProtection="false">
      <alignment horizontal="left" vertical="bottom" textRotation="0" wrapText="false" indent="0" shrinkToFit="false"/>
      <protection locked="true" hidden="false"/>
    </xf>
    <xf numFmtId="164" fontId="9" fillId="4" borderId="6" xfId="0" applyFont="true" applyBorder="true" applyAlignment="true" applyProtection="false">
      <alignment horizontal="left" vertical="bottom" textRotation="0" wrapText="false" indent="0" shrinkToFit="false"/>
      <protection locked="true" hidden="false"/>
    </xf>
    <xf numFmtId="164" fontId="9" fillId="4" borderId="7" xfId="0" applyFont="true" applyBorder="true" applyAlignment="true" applyProtection="false">
      <alignment horizontal="left" vertical="bottom" textRotation="0" wrapText="false" indent="0" shrinkToFit="false"/>
      <protection locked="true" hidden="false"/>
    </xf>
    <xf numFmtId="164" fontId="9" fillId="4" borderId="8" xfId="0" applyFont="true" applyBorder="true" applyAlignment="true" applyProtection="false">
      <alignment horizontal="left" vertical="bottom"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14" fillId="6" borderId="9" xfId="0" applyFont="true" applyBorder="true" applyAlignment="true" applyProtection="false">
      <alignment horizontal="center" vertical="center" textRotation="0" wrapText="false" indent="0" shrinkToFit="false"/>
      <protection locked="true" hidden="false"/>
    </xf>
    <xf numFmtId="164" fontId="14" fillId="6" borderId="11" xfId="0" applyFont="true" applyBorder="true" applyAlignment="true" applyProtection="false">
      <alignment horizontal="center" vertical="center" textRotation="0" wrapText="false" indent="0" shrinkToFit="false"/>
      <protection locked="true" hidden="false"/>
    </xf>
    <xf numFmtId="164" fontId="14" fillId="6" borderId="14" xfId="0" applyFont="true" applyBorder="true" applyAlignment="true" applyProtection="false">
      <alignment horizontal="center" vertical="center" textRotation="0" wrapText="false" indent="0" shrinkToFit="false"/>
      <protection locked="true" hidden="false"/>
    </xf>
    <xf numFmtId="164" fontId="14" fillId="0" borderId="15" xfId="0" applyFont="true" applyBorder="true" applyAlignment="true" applyProtection="false">
      <alignment horizontal="center" vertical="bottom" textRotation="0" wrapText="false" indent="0" shrinkToFit="false"/>
      <protection locked="true" hidden="false"/>
    </xf>
    <xf numFmtId="164" fontId="14" fillId="0" borderId="15" xfId="0" applyFont="true" applyBorder="true" applyAlignment="true" applyProtection="false">
      <alignment horizontal="left" vertical="bottom" textRotation="0" wrapText="false" indent="4"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CBEBD"/>
      <rgbColor rgb="FF993366"/>
      <rgbColor rgb="FFF4ECDF"/>
      <rgbColor rgb="FFCCFFFF"/>
      <rgbColor rgb="FF660066"/>
      <rgbColor rgb="FFFF8080"/>
      <rgbColor rgb="FF0066CC"/>
      <rgbColor rgb="FFC4D8D7"/>
      <rgbColor rgb="FF000080"/>
      <rgbColor rgb="FFFF00FF"/>
      <rgbColor rgb="FFFFFF00"/>
      <rgbColor rgb="FF00FFFF"/>
      <rgbColor rgb="FF800080"/>
      <rgbColor rgb="FF800000"/>
      <rgbColor rgb="FF008080"/>
      <rgbColor rgb="FF0000FF"/>
      <rgbColor rgb="FF00CCFF"/>
      <rgbColor rgb="FFCCFFFF"/>
      <rgbColor rgb="FFCCFFCC"/>
      <rgbColor rgb="FFE4E0A7"/>
      <rgbColor rgb="FF95C5C3"/>
      <rgbColor rgb="FFB1A089"/>
      <rgbColor rgb="FFBFC8C4"/>
      <rgbColor rgb="FFFFC7CE"/>
      <rgbColor rgb="FF3366FF"/>
      <rgbColor rgb="FF33CCCC"/>
      <rgbColor rgb="FF99CC00"/>
      <rgbColor rgb="FFFFCC00"/>
      <rgbColor rgb="FFFF9900"/>
      <rgbColor rgb="FFFF6600"/>
      <rgbColor rgb="FF666699"/>
      <rgbColor rgb="FF95A39D"/>
      <rgbColor rgb="FF003366"/>
      <rgbColor rgb="FF689C9A"/>
      <rgbColor rgb="FF003300"/>
      <rgbColor rgb="FF333300"/>
      <rgbColor rgb="FF993300"/>
      <rgbColor rgb="FF993366"/>
      <rgbColor rgb="FF333399"/>
      <rgbColor rgb="FF2F2B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
</Relationships>
</file>

<file path=xl/drawings/_rels/drawing4.xml.rels><?xml version="1.0" encoding="UTF-8"?>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Relationship Id="rId3"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133200</xdr:colOff>
      <xdr:row>10</xdr:row>
      <xdr:rowOff>42840</xdr:rowOff>
    </xdr:from>
    <xdr:to>
      <xdr:col>22</xdr:col>
      <xdr:colOff>463320</xdr:colOff>
      <xdr:row>16</xdr:row>
      <xdr:rowOff>23040</xdr:rowOff>
    </xdr:to>
    <xdr:sp>
      <xdr:nvSpPr>
        <xdr:cNvPr id="0" name="CustomShape 1"/>
        <xdr:cNvSpPr/>
      </xdr:nvSpPr>
      <xdr:spPr>
        <a:xfrm>
          <a:off x="133200" y="1947600"/>
          <a:ext cx="17093880" cy="112320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INTERAGENCY COLLABORATIVE FOR</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216360</xdr:colOff>
      <xdr:row>22</xdr:row>
      <xdr:rowOff>2880</xdr:rowOff>
    </xdr:from>
    <xdr:to>
      <xdr:col>5</xdr:col>
      <xdr:colOff>511200</xdr:colOff>
      <xdr:row>24</xdr:row>
      <xdr:rowOff>106560</xdr:rowOff>
    </xdr:to>
    <xdr:sp>
      <xdr:nvSpPr>
        <xdr:cNvPr id="1" name="CustomShape 1"/>
        <xdr:cNvSpPr/>
      </xdr:nvSpPr>
      <xdr:spPr>
        <a:xfrm>
          <a:off x="216360" y="4193640"/>
          <a:ext cx="4104720" cy="484920"/>
        </a:xfrm>
        <a:prstGeom prst="rect">
          <a:avLst/>
        </a:prstGeom>
        <a:noFill/>
        <a:ln w="9360">
          <a:noFill/>
        </a:ln>
      </xdr:spPr>
      <xdr:style>
        <a:lnRef idx="0"/>
        <a:fillRef idx="0"/>
        <a:effectRef idx="0"/>
        <a:fontRef idx="minor"/>
      </xdr:style>
      <xdr:txBody>
        <a:bodyPr lIns="90000" rIns="90000" tIns="45000" bIns="45000"/>
        <a:p>
          <a:r>
            <a:rPr b="0" lang="en-US" sz="1400" spc="-1" strike="noStrike">
              <a:solidFill>
                <a:srgbClr val="808080"/>
              </a:solidFill>
              <a:uFill>
                <a:solidFill>
                  <a:srgbClr val="ffffff"/>
                </a:solidFill>
              </a:uFill>
              <a:latin typeface="Calibri"/>
            </a:rPr>
            <a:t>Design by Aaron Chafetz</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133200</xdr:colOff>
      <xdr:row>18</xdr:row>
      <xdr:rowOff>2160</xdr:rowOff>
    </xdr:from>
    <xdr:to>
      <xdr:col>12</xdr:col>
      <xdr:colOff>201600</xdr:colOff>
      <xdr:row>21</xdr:row>
      <xdr:rowOff>150480</xdr:rowOff>
    </xdr:to>
    <xdr:sp>
      <xdr:nvSpPr>
        <xdr:cNvPr id="2" name="CustomShape 1"/>
        <xdr:cNvSpPr/>
      </xdr:nvSpPr>
      <xdr:spPr>
        <a:xfrm>
          <a:off x="133200" y="3431160"/>
          <a:ext cx="9212400" cy="719640"/>
        </a:xfrm>
        <a:prstGeom prst="rect">
          <a:avLst/>
        </a:prstGeom>
        <a:noFill/>
        <a:ln w="9360">
          <a:noFill/>
        </a:ln>
      </xdr:spPr>
      <xdr:style>
        <a:lnRef idx="0"/>
        <a:fillRef idx="0"/>
        <a:effectRef idx="0"/>
        <a:fontRef idx="minor"/>
      </xdr:style>
      <xdr:txBody>
        <a:bodyPr lIns="90000" rIns="90000" tIns="45000" bIns="45000"/>
        <a:p>
          <a:r>
            <a:rPr b="0" lang="en-US" sz="4800" spc="-1" strike="noStrike">
              <a:solidFill>
                <a:srgbClr val="808080"/>
              </a:solidFill>
              <a:uFill>
                <a:solidFill>
                  <a:srgbClr val="ffffff"/>
                </a:solidFill>
              </a:uFill>
              <a:latin typeface="Calibri"/>
            </a:rPr>
            <a:t>DISAGG TOOL GENERATOR</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285840</xdr:colOff>
      <xdr:row>0</xdr:row>
      <xdr:rowOff>114480</xdr:rowOff>
    </xdr:from>
    <xdr:to>
      <xdr:col>3</xdr:col>
      <xdr:colOff>72360</xdr:colOff>
      <xdr:row>10</xdr:row>
      <xdr:rowOff>147240</xdr:rowOff>
    </xdr:to>
    <xdr:pic>
      <xdr:nvPicPr>
        <xdr:cNvPr id="3" name="Picture 4" descr=""/>
        <xdr:cNvPicPr/>
      </xdr:nvPicPr>
      <xdr:blipFill>
        <a:blip r:embed="rId1"/>
        <a:stretch/>
      </xdr:blipFill>
      <xdr:spPr>
        <a:xfrm>
          <a:off x="285840" y="114480"/>
          <a:ext cx="2072520" cy="1937520"/>
        </a:xfrm>
        <a:prstGeom prst="rect">
          <a:avLst/>
        </a:prstGeom>
        <a:ln>
          <a:noFill/>
        </a:ln>
      </xdr:spPr>
    </xdr:pic>
    <xdr:clientData/>
  </xdr:twoCellAnchor>
  <xdr:twoCellAnchor editAs="oneCell">
    <xdr:from>
      <xdr:col>0</xdr:col>
      <xdr:colOff>142920</xdr:colOff>
      <xdr:row>13</xdr:row>
      <xdr:rowOff>129600</xdr:rowOff>
    </xdr:from>
    <xdr:to>
      <xdr:col>22</xdr:col>
      <xdr:colOff>473040</xdr:colOff>
      <xdr:row>19</xdr:row>
      <xdr:rowOff>106200</xdr:rowOff>
    </xdr:to>
    <xdr:sp>
      <xdr:nvSpPr>
        <xdr:cNvPr id="4" name="CustomShape 1"/>
        <xdr:cNvSpPr/>
      </xdr:nvSpPr>
      <xdr:spPr>
        <a:xfrm>
          <a:off x="142920" y="2606040"/>
          <a:ext cx="17093880" cy="111960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PROGRAM IMPROVEMENT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118440</xdr:colOff>
      <xdr:row>19</xdr:row>
      <xdr:rowOff>151200</xdr:rowOff>
    </xdr:from>
    <xdr:to>
      <xdr:col>15</xdr:col>
      <xdr:colOff>408240</xdr:colOff>
      <xdr:row>21</xdr:row>
      <xdr:rowOff>150480</xdr:rowOff>
    </xdr:to>
    <xdr:sp>
      <xdr:nvSpPr>
        <xdr:cNvPr id="5" name="CustomShape 1"/>
        <xdr:cNvSpPr/>
      </xdr:nvSpPr>
      <xdr:spPr>
        <a:xfrm>
          <a:off x="9262440" y="3770640"/>
          <a:ext cx="2575800" cy="380160"/>
        </a:xfrm>
        <a:prstGeom prst="rect">
          <a:avLst/>
        </a:prstGeom>
        <a:noFill/>
        <a:ln w="9360">
          <a:noFill/>
        </a:ln>
      </xdr:spPr>
      <xdr:style>
        <a:lnRef idx="0"/>
        <a:fillRef idx="0"/>
        <a:effectRef idx="0"/>
        <a:fontRef idx="minor"/>
      </xdr:style>
      <xdr:txBody>
        <a:bodyPr lIns="90000" rIns="90000" tIns="45000" bIns="45000" anchor="b"/>
        <a:p>
          <a:pPr algn="r">
            <a:lnSpc>
              <a:spcPct val="100000"/>
            </a:lnSpc>
          </a:pPr>
          <a:r>
            <a:rPr b="0" lang="en-US" sz="1400" spc="-1" strike="noStrike">
              <a:solidFill>
                <a:srgbClr val="808080"/>
              </a:solidFill>
              <a:uFill>
                <a:solidFill>
                  <a:srgbClr val="ffffff"/>
                </a:solidFill>
              </a:uFill>
              <a:latin typeface="Calibri"/>
            </a:rPr>
            <a:t>Updated: February 19</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273960</xdr:colOff>
      <xdr:row>25</xdr:row>
      <xdr:rowOff>142920</xdr:rowOff>
    </xdr:from>
    <xdr:to>
      <xdr:col>6</xdr:col>
      <xdr:colOff>201960</xdr:colOff>
      <xdr:row>32</xdr:row>
      <xdr:rowOff>165960</xdr:rowOff>
    </xdr:to>
    <xdr:sp>
      <xdr:nvSpPr>
        <xdr:cNvPr id="6" name="CustomShape 1"/>
        <xdr:cNvSpPr/>
      </xdr:nvSpPr>
      <xdr:spPr>
        <a:xfrm>
          <a:off x="1797840" y="4905360"/>
          <a:ext cx="2976120" cy="1356480"/>
        </a:xfrm>
        <a:prstGeom prst="rect">
          <a:avLst/>
        </a:prstGeom>
        <a:noFill/>
        <a:ln>
          <a:solidFill>
            <a:srgbClr val="ffffff"/>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333360</xdr:colOff>
      <xdr:row>24</xdr:row>
      <xdr:rowOff>166680</xdr:rowOff>
    </xdr:from>
    <xdr:to>
      <xdr:col>5</xdr:col>
      <xdr:colOff>248400</xdr:colOff>
      <xdr:row>26</xdr:row>
      <xdr:rowOff>106560</xdr:rowOff>
    </xdr:to>
    <xdr:sp>
      <xdr:nvSpPr>
        <xdr:cNvPr id="7" name="CustomShape 1"/>
        <xdr:cNvSpPr/>
      </xdr:nvSpPr>
      <xdr:spPr>
        <a:xfrm>
          <a:off x="1857240" y="4738680"/>
          <a:ext cx="2201040" cy="320760"/>
        </a:xfrm>
        <a:prstGeom prst="rect">
          <a:avLst/>
        </a:prstGeom>
        <a:solidFill>
          <a:srgbClr val="ffffff"/>
        </a:solidFill>
        <a:ln w="9360">
          <a:noFill/>
        </a:ln>
      </xdr:spPr>
      <xdr:style>
        <a:lnRef idx="0"/>
        <a:fillRef idx="0"/>
        <a:effectRef idx="0"/>
        <a:fontRef idx="minor"/>
      </xdr:style>
      <xdr:txBody>
        <a:bodyPr lIns="90000" rIns="90000" tIns="45000" bIns="45000" anchor="ctr"/>
        <a:p>
          <a:pPr>
            <a:lnSpc>
              <a:spcPct val="100000"/>
            </a:lnSpc>
          </a:pPr>
          <a:r>
            <a:rPr b="0" lang="en-US" sz="1200" spc="-1" strike="noStrike">
              <a:solidFill>
                <a:srgbClr val="808080"/>
              </a:solidFill>
              <a:uFill>
                <a:solidFill>
                  <a:srgbClr val="ffffff"/>
                </a:solidFill>
              </a:uFill>
              <a:latin typeface="Calibri"/>
            </a:rPr>
            <a:t>Generate OU Data Packs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500040</xdr:colOff>
      <xdr:row>27</xdr:row>
      <xdr:rowOff>0</xdr:rowOff>
    </xdr:from>
    <xdr:to>
      <xdr:col>5</xdr:col>
      <xdr:colOff>582840</xdr:colOff>
      <xdr:row>31</xdr:row>
      <xdr:rowOff>154080</xdr:rowOff>
    </xdr:to>
    <xdr:sp>
      <xdr:nvSpPr>
        <xdr:cNvPr id="8" name="CustomShape 1"/>
        <xdr:cNvSpPr/>
      </xdr:nvSpPr>
      <xdr:spPr>
        <a:xfrm>
          <a:off x="2023920" y="5143320"/>
          <a:ext cx="2368800" cy="916200"/>
        </a:xfrm>
        <a:prstGeom prst="roundRect">
          <a:avLst>
            <a:gd name="adj" fmla="val 16667"/>
          </a:avLst>
        </a:prstGeom>
        <a:noFill/>
        <a:ln>
          <a:noFill/>
        </a:ln>
      </xdr:spPr>
      <xdr:style>
        <a:lnRef idx="2">
          <a:schemeClr val="accent5">
            <a:shade val="50000"/>
          </a:schemeClr>
        </a:lnRef>
        <a:fillRef idx="1">
          <a:schemeClr val="accent5"/>
        </a:fillRef>
        <a:effectRef idx="0">
          <a:schemeClr val="accent5"/>
        </a:effectRef>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Calibri"/>
            </a:rPr>
            <a:t>RUN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452520</xdr:colOff>
      <xdr:row>25</xdr:row>
      <xdr:rowOff>142920</xdr:rowOff>
    </xdr:from>
    <xdr:to>
      <xdr:col>10</xdr:col>
      <xdr:colOff>380520</xdr:colOff>
      <xdr:row>32</xdr:row>
      <xdr:rowOff>165960</xdr:rowOff>
    </xdr:to>
    <xdr:sp>
      <xdr:nvSpPr>
        <xdr:cNvPr id="9" name="CustomShape 1"/>
        <xdr:cNvSpPr/>
      </xdr:nvSpPr>
      <xdr:spPr>
        <a:xfrm>
          <a:off x="5024520" y="4905360"/>
          <a:ext cx="2975760" cy="1356480"/>
        </a:xfrm>
        <a:prstGeom prst="rect">
          <a:avLst/>
        </a:prstGeom>
        <a:noFill/>
        <a:ln>
          <a:solidFill>
            <a:srgbClr val="ffffff"/>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6</xdr:col>
      <xdr:colOff>511920</xdr:colOff>
      <xdr:row>24</xdr:row>
      <xdr:rowOff>166680</xdr:rowOff>
    </xdr:from>
    <xdr:to>
      <xdr:col>10</xdr:col>
      <xdr:colOff>130320</xdr:colOff>
      <xdr:row>26</xdr:row>
      <xdr:rowOff>106560</xdr:rowOff>
    </xdr:to>
    <xdr:sp>
      <xdr:nvSpPr>
        <xdr:cNvPr id="10" name="CustomShape 1"/>
        <xdr:cNvSpPr/>
      </xdr:nvSpPr>
      <xdr:spPr>
        <a:xfrm>
          <a:off x="5083920" y="4738680"/>
          <a:ext cx="2666160" cy="320760"/>
        </a:xfrm>
        <a:prstGeom prst="rect">
          <a:avLst/>
        </a:prstGeom>
        <a:solidFill>
          <a:srgbClr val="ffffff"/>
        </a:solidFill>
        <a:ln w="9360">
          <a:noFill/>
        </a:ln>
      </xdr:spPr>
      <xdr:style>
        <a:lnRef idx="0"/>
        <a:fillRef idx="0"/>
        <a:effectRef idx="0"/>
        <a:fontRef idx="minor"/>
      </xdr:style>
      <xdr:txBody>
        <a:bodyPr lIns="90000" rIns="90000" tIns="45000" bIns="45000" anchor="ctr"/>
        <a:p>
          <a:pPr>
            <a:lnSpc>
              <a:spcPct val="100000"/>
            </a:lnSpc>
          </a:pPr>
          <a:r>
            <a:rPr b="0" lang="en-US" sz="1200" spc="-1" strike="noStrike">
              <a:solidFill>
                <a:srgbClr val="808080"/>
              </a:solidFill>
              <a:uFill>
                <a:solidFill>
                  <a:srgbClr val="ffffff"/>
                </a:solidFill>
              </a:uFill>
              <a:latin typeface="Calibri"/>
            </a:rPr>
            <a:t>Save New Version of the Tool</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71640</xdr:colOff>
      <xdr:row>27</xdr:row>
      <xdr:rowOff>0</xdr:rowOff>
    </xdr:from>
    <xdr:to>
      <xdr:col>10</xdr:col>
      <xdr:colOff>154440</xdr:colOff>
      <xdr:row>31</xdr:row>
      <xdr:rowOff>154080</xdr:rowOff>
    </xdr:to>
    <xdr:sp>
      <xdr:nvSpPr>
        <xdr:cNvPr id="11" name="CustomShape 1"/>
        <xdr:cNvSpPr/>
      </xdr:nvSpPr>
      <xdr:spPr>
        <a:xfrm>
          <a:off x="5405400" y="5143320"/>
          <a:ext cx="2368800" cy="916200"/>
        </a:xfrm>
        <a:prstGeom prst="roundRect">
          <a:avLst>
            <a:gd name="adj" fmla="val 16667"/>
          </a:avLst>
        </a:prstGeom>
        <a:noFill/>
        <a:ln>
          <a:noFill/>
        </a:ln>
      </xdr:spPr>
      <xdr:style>
        <a:lnRef idx="2">
          <a:schemeClr val="accent4">
            <a:shade val="50000"/>
          </a:schemeClr>
        </a:lnRef>
        <a:fillRef idx="1">
          <a:schemeClr val="accent4"/>
        </a:fillRef>
        <a:effectRef idx="0">
          <a:schemeClr val="accent4"/>
        </a:effectRef>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Calibri"/>
            </a:rPr>
            <a:t>SAVE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607320</xdr:colOff>
      <xdr:row>2</xdr:row>
      <xdr:rowOff>71640</xdr:rowOff>
    </xdr:from>
    <xdr:to>
      <xdr:col>20</xdr:col>
      <xdr:colOff>568080</xdr:colOff>
      <xdr:row>8</xdr:row>
      <xdr:rowOff>190080</xdr:rowOff>
    </xdr:to>
    <xdr:pic>
      <xdr:nvPicPr>
        <xdr:cNvPr id="12" name="Picture 16" descr=""/>
        <xdr:cNvPicPr/>
      </xdr:nvPicPr>
      <xdr:blipFill>
        <a:blip r:embed="rId2"/>
        <a:stretch/>
      </xdr:blipFill>
      <xdr:spPr>
        <a:xfrm>
          <a:off x="12037320" y="452520"/>
          <a:ext cx="3770640" cy="1261440"/>
        </a:xfrm>
        <a:prstGeom prst="rect">
          <a:avLst/>
        </a:prstGeom>
        <a:ln>
          <a:noFill/>
        </a:ln>
      </xdr:spPr>
    </xdr:pic>
    <xdr:clientData/>
  </xdr:twoCellAnchor>
  <xdr:twoCellAnchor editAs="oneCell">
    <xdr:from>
      <xdr:col>11</xdr:col>
      <xdr:colOff>35640</xdr:colOff>
      <xdr:row>25</xdr:row>
      <xdr:rowOff>142920</xdr:rowOff>
    </xdr:from>
    <xdr:to>
      <xdr:col>14</xdr:col>
      <xdr:colOff>570600</xdr:colOff>
      <xdr:row>32</xdr:row>
      <xdr:rowOff>165960</xdr:rowOff>
    </xdr:to>
    <xdr:sp>
      <xdr:nvSpPr>
        <xdr:cNvPr id="13" name="CustomShape 1"/>
        <xdr:cNvSpPr/>
      </xdr:nvSpPr>
      <xdr:spPr>
        <a:xfrm>
          <a:off x="8417520" y="4905360"/>
          <a:ext cx="2820960" cy="1356480"/>
        </a:xfrm>
        <a:prstGeom prst="rect">
          <a:avLst/>
        </a:prstGeom>
        <a:noFill/>
        <a:ln>
          <a:solidFill>
            <a:srgbClr val="ffffff"/>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11</xdr:col>
      <xdr:colOff>95400</xdr:colOff>
      <xdr:row>24</xdr:row>
      <xdr:rowOff>166680</xdr:rowOff>
    </xdr:from>
    <xdr:to>
      <xdr:col>14</xdr:col>
      <xdr:colOff>201960</xdr:colOff>
      <xdr:row>26</xdr:row>
      <xdr:rowOff>106560</xdr:rowOff>
    </xdr:to>
    <xdr:sp>
      <xdr:nvSpPr>
        <xdr:cNvPr id="14" name="CustomShape 1"/>
        <xdr:cNvSpPr/>
      </xdr:nvSpPr>
      <xdr:spPr>
        <a:xfrm>
          <a:off x="8477280" y="4738680"/>
          <a:ext cx="2392560" cy="320760"/>
        </a:xfrm>
        <a:prstGeom prst="rect">
          <a:avLst/>
        </a:prstGeom>
        <a:solidFill>
          <a:srgbClr val="ffffff"/>
        </a:solidFill>
        <a:ln w="9360">
          <a:noFill/>
        </a:ln>
      </xdr:spPr>
      <xdr:style>
        <a:lnRef idx="0"/>
        <a:fillRef idx="0"/>
        <a:effectRef idx="0"/>
        <a:fontRef idx="minor"/>
      </xdr:style>
      <xdr:txBody>
        <a:bodyPr lIns="90000" rIns="90000" tIns="45000" bIns="45000" anchor="ctr"/>
        <a:p>
          <a:pPr>
            <a:lnSpc>
              <a:spcPct val="100000"/>
            </a:lnSpc>
          </a:pPr>
          <a:r>
            <a:rPr b="0" lang="en-US" sz="1200" spc="-1" strike="noStrike">
              <a:solidFill>
                <a:srgbClr val="808080"/>
              </a:solidFill>
              <a:uFill>
                <a:solidFill>
                  <a:srgbClr val="ffffff"/>
                </a:solidFill>
              </a:uFill>
              <a:latin typeface="Calibri"/>
            </a:rPr>
            <a:t>Initial Setup (paths/folders)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262080</xdr:colOff>
      <xdr:row>27</xdr:row>
      <xdr:rowOff>0</xdr:rowOff>
    </xdr:from>
    <xdr:to>
      <xdr:col>14</xdr:col>
      <xdr:colOff>344880</xdr:colOff>
      <xdr:row>31</xdr:row>
      <xdr:rowOff>154080</xdr:rowOff>
    </xdr:to>
    <xdr:sp>
      <xdr:nvSpPr>
        <xdr:cNvPr id="15" name="CustomShape 1"/>
        <xdr:cNvSpPr/>
      </xdr:nvSpPr>
      <xdr:spPr>
        <a:xfrm>
          <a:off x="8643960" y="5143320"/>
          <a:ext cx="2368800" cy="916200"/>
        </a:xfrm>
        <a:prstGeom prst="roundRect">
          <a:avLst>
            <a:gd name="adj" fmla="val 16667"/>
          </a:avLst>
        </a:prstGeom>
        <a:noFill/>
        <a:ln>
          <a:noFill/>
        </a:ln>
      </xdr:spPr>
      <xdr:style>
        <a:lnRef idx="2">
          <a:schemeClr val="accent4">
            <a:shade val="50000"/>
          </a:schemeClr>
        </a:lnRef>
        <a:fillRef idx="1">
          <a:schemeClr val="accent4"/>
        </a:fillRef>
        <a:effectRef idx="0">
          <a:schemeClr val="accent4"/>
        </a:effectRef>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Calibri"/>
            </a:rPr>
            <a:t>SETUP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35"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36"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37"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691200</xdr:colOff>
      <xdr:row>3</xdr:row>
      <xdr:rowOff>799560</xdr:rowOff>
    </xdr:to>
    <xdr:sp>
      <xdr:nvSpPr>
        <xdr:cNvPr id="38" name="CustomShape 1"/>
        <xdr:cNvSpPr/>
      </xdr:nvSpPr>
      <xdr:spPr>
        <a:xfrm>
          <a:off x="3438360" y="485640"/>
          <a:ext cx="268200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691200</xdr:colOff>
      <xdr:row>3</xdr:row>
      <xdr:rowOff>799560</xdr:rowOff>
    </xdr:to>
    <xdr:sp>
      <xdr:nvSpPr>
        <xdr:cNvPr id="39" name="CustomShape 1"/>
        <xdr:cNvSpPr/>
      </xdr:nvSpPr>
      <xdr:spPr>
        <a:xfrm>
          <a:off x="3438360" y="485640"/>
          <a:ext cx="268200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40"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41"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42"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43"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44"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691200</xdr:colOff>
      <xdr:row>3</xdr:row>
      <xdr:rowOff>799560</xdr:rowOff>
    </xdr:to>
    <xdr:sp>
      <xdr:nvSpPr>
        <xdr:cNvPr id="45" name="CustomShape 1"/>
        <xdr:cNvSpPr/>
      </xdr:nvSpPr>
      <xdr:spPr>
        <a:xfrm>
          <a:off x="3438360" y="485640"/>
          <a:ext cx="268200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691200</xdr:colOff>
      <xdr:row>3</xdr:row>
      <xdr:rowOff>799560</xdr:rowOff>
    </xdr:to>
    <xdr:sp>
      <xdr:nvSpPr>
        <xdr:cNvPr id="46" name="CustomShape 1"/>
        <xdr:cNvSpPr/>
      </xdr:nvSpPr>
      <xdr:spPr>
        <a:xfrm>
          <a:off x="3438360" y="485640"/>
          <a:ext cx="268200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3</xdr:row>
      <xdr:rowOff>0</xdr:rowOff>
    </xdr:from>
    <xdr:to>
      <xdr:col>4</xdr:col>
      <xdr:colOff>694440</xdr:colOff>
      <xdr:row>3</xdr:row>
      <xdr:rowOff>990000</xdr:rowOff>
    </xdr:to>
    <xdr:sp>
      <xdr:nvSpPr>
        <xdr:cNvPr id="47" name="CustomShape 1"/>
        <xdr:cNvSpPr/>
      </xdr:nvSpPr>
      <xdr:spPr>
        <a:xfrm>
          <a:off x="3438360" y="676080"/>
          <a:ext cx="268524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Disaggs that were already figured out in the Data Pack and don't require any further allocation.</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19080</xdr:colOff>
      <xdr:row>0</xdr:row>
      <xdr:rowOff>257040</xdr:rowOff>
    </xdr:from>
    <xdr:to>
      <xdr:col>3</xdr:col>
      <xdr:colOff>713520</xdr:colOff>
      <xdr:row>3</xdr:row>
      <xdr:rowOff>932760</xdr:rowOff>
    </xdr:to>
    <xdr:sp>
      <xdr:nvSpPr>
        <xdr:cNvPr id="48" name="CustomShape 1"/>
        <xdr:cNvSpPr/>
      </xdr:nvSpPr>
      <xdr:spPr>
        <a:xfrm>
          <a:off x="1466640" y="257040"/>
          <a:ext cx="2685240" cy="13518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PLHIV data from the Data Pack or other source should be copied and pasted into this tab manually below the gray bar in row 6. Please use actual PSNUs rather than clusters here.</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343080</xdr:colOff>
      <xdr:row>0</xdr:row>
      <xdr:rowOff>181080</xdr:rowOff>
    </xdr:from>
    <xdr:to>
      <xdr:col>8</xdr:col>
      <xdr:colOff>351720</xdr:colOff>
      <xdr:row>7</xdr:row>
      <xdr:rowOff>43560</xdr:rowOff>
    </xdr:to>
    <xdr:sp>
      <xdr:nvSpPr>
        <xdr:cNvPr id="49" name="CustomShape 1"/>
        <xdr:cNvSpPr/>
      </xdr:nvSpPr>
      <xdr:spPr>
        <a:xfrm>
          <a:off x="9686880" y="181080"/>
          <a:ext cx="2828160" cy="14472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The mechanism change list will be used to allocate targets down to the site level in DATIM by using the closing mechanism's distribution; otherwise no specific, historic distribution would exist in the system.</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133200</xdr:colOff>
      <xdr:row>10</xdr:row>
      <xdr:rowOff>42840</xdr:rowOff>
    </xdr:from>
    <xdr:to>
      <xdr:col>22</xdr:col>
      <xdr:colOff>463320</xdr:colOff>
      <xdr:row>16</xdr:row>
      <xdr:rowOff>23040</xdr:rowOff>
    </xdr:to>
    <xdr:sp>
      <xdr:nvSpPr>
        <xdr:cNvPr id="16" name="CustomShape 1"/>
        <xdr:cNvSpPr/>
      </xdr:nvSpPr>
      <xdr:spPr>
        <a:xfrm>
          <a:off x="133200" y="1947600"/>
          <a:ext cx="17093880" cy="112320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INTERAGENCY COLLABORATIVE FOR</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216360</xdr:colOff>
      <xdr:row>22</xdr:row>
      <xdr:rowOff>2880</xdr:rowOff>
    </xdr:from>
    <xdr:to>
      <xdr:col>5</xdr:col>
      <xdr:colOff>511200</xdr:colOff>
      <xdr:row>25</xdr:row>
      <xdr:rowOff>75600</xdr:rowOff>
    </xdr:to>
    <xdr:sp>
      <xdr:nvSpPr>
        <xdr:cNvPr id="17" name="CustomShape 1"/>
        <xdr:cNvSpPr/>
      </xdr:nvSpPr>
      <xdr:spPr>
        <a:xfrm>
          <a:off x="216360" y="4193640"/>
          <a:ext cx="4104720" cy="644400"/>
        </a:xfrm>
        <a:prstGeom prst="rect">
          <a:avLst/>
        </a:prstGeom>
        <a:noFill/>
        <a:ln w="9360">
          <a:noFill/>
        </a:ln>
      </xdr:spPr>
      <xdr:style>
        <a:lnRef idx="0"/>
        <a:fillRef idx="0"/>
        <a:effectRef idx="0"/>
        <a:fontRef idx="minor"/>
      </xdr:style>
      <xdr:txBody>
        <a:bodyPr lIns="90000" rIns="90000" tIns="45000" bIns="45000"/>
        <a:p>
          <a:r>
            <a:rPr b="0" lang="en-US" sz="1200" spc="-1" strike="noStrike">
              <a:solidFill>
                <a:srgbClr val="808080"/>
              </a:solidFill>
              <a:uFill>
                <a:solidFill>
                  <a:srgbClr val="ffffff"/>
                </a:solidFill>
              </a:uFill>
              <a:latin typeface="Calibri"/>
            </a:rPr>
            <a:t>Based on COP 16 and COP 17 Data Packs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133200</xdr:colOff>
      <xdr:row>18</xdr:row>
      <xdr:rowOff>2160</xdr:rowOff>
    </xdr:from>
    <xdr:to>
      <xdr:col>22</xdr:col>
      <xdr:colOff>570600</xdr:colOff>
      <xdr:row>21</xdr:row>
      <xdr:rowOff>150480</xdr:rowOff>
    </xdr:to>
    <xdr:sp>
      <xdr:nvSpPr>
        <xdr:cNvPr id="18" name="CustomShape 1"/>
        <xdr:cNvSpPr/>
      </xdr:nvSpPr>
      <xdr:spPr>
        <a:xfrm>
          <a:off x="133200" y="3431160"/>
          <a:ext cx="17201160" cy="719640"/>
        </a:xfrm>
        <a:prstGeom prst="rect">
          <a:avLst/>
        </a:prstGeom>
        <a:noFill/>
        <a:ln w="9360">
          <a:noFill/>
        </a:ln>
      </xdr:spPr>
      <xdr:style>
        <a:lnRef idx="0"/>
        <a:fillRef idx="0"/>
        <a:effectRef idx="0"/>
        <a:fontRef idx="minor"/>
      </xdr:style>
      <xdr:txBody>
        <a:bodyPr lIns="90000" rIns="90000" tIns="45000" bIns="45000"/>
        <a:p>
          <a:pPr>
            <a:lnSpc>
              <a:spcPct val="100000"/>
            </a:lnSpc>
          </a:pPr>
          <a:r>
            <a:rPr b="0" lang="en-US" sz="4800" spc="-1" strike="noStrike">
              <a:solidFill>
                <a:srgbClr val="808080"/>
              </a:solidFill>
              <a:uFill>
                <a:solidFill>
                  <a:srgbClr val="ffffff"/>
                </a:solidFill>
              </a:uFill>
              <a:latin typeface="Calibri"/>
            </a:rPr>
            <a:t>COP 18 DISAGGREGATE ALLOCATION TOOL</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285840</xdr:colOff>
      <xdr:row>0</xdr:row>
      <xdr:rowOff>114480</xdr:rowOff>
    </xdr:from>
    <xdr:to>
      <xdr:col>3</xdr:col>
      <xdr:colOff>72360</xdr:colOff>
      <xdr:row>10</xdr:row>
      <xdr:rowOff>147240</xdr:rowOff>
    </xdr:to>
    <xdr:pic>
      <xdr:nvPicPr>
        <xdr:cNvPr id="19" name="Picture 4" descr=""/>
        <xdr:cNvPicPr/>
      </xdr:nvPicPr>
      <xdr:blipFill>
        <a:blip r:embed="rId1"/>
        <a:stretch/>
      </xdr:blipFill>
      <xdr:spPr>
        <a:xfrm>
          <a:off x="285840" y="114480"/>
          <a:ext cx="2072520" cy="1937520"/>
        </a:xfrm>
        <a:prstGeom prst="rect">
          <a:avLst/>
        </a:prstGeom>
        <a:ln>
          <a:noFill/>
        </a:ln>
      </xdr:spPr>
    </xdr:pic>
    <xdr:clientData/>
  </xdr:twoCellAnchor>
  <xdr:twoCellAnchor editAs="oneCell">
    <xdr:from>
      <xdr:col>0</xdr:col>
      <xdr:colOff>142920</xdr:colOff>
      <xdr:row>13</xdr:row>
      <xdr:rowOff>129600</xdr:rowOff>
    </xdr:from>
    <xdr:to>
      <xdr:col>22</xdr:col>
      <xdr:colOff>473040</xdr:colOff>
      <xdr:row>19</xdr:row>
      <xdr:rowOff>106200</xdr:rowOff>
    </xdr:to>
    <xdr:sp>
      <xdr:nvSpPr>
        <xdr:cNvPr id="20" name="CustomShape 1"/>
        <xdr:cNvSpPr/>
      </xdr:nvSpPr>
      <xdr:spPr>
        <a:xfrm>
          <a:off x="142920" y="2606040"/>
          <a:ext cx="17093880" cy="111960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PROGRAM IMPROVEMENT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18</xdr:col>
      <xdr:colOff>297000</xdr:colOff>
      <xdr:row>21</xdr:row>
      <xdr:rowOff>115200</xdr:rowOff>
    </xdr:from>
    <xdr:to>
      <xdr:col>21</xdr:col>
      <xdr:colOff>586800</xdr:colOff>
      <xdr:row>23</xdr:row>
      <xdr:rowOff>114480</xdr:rowOff>
    </xdr:to>
    <xdr:sp>
      <xdr:nvSpPr>
        <xdr:cNvPr id="21" name="CustomShape 1"/>
        <xdr:cNvSpPr/>
      </xdr:nvSpPr>
      <xdr:spPr>
        <a:xfrm>
          <a:off x="14013000" y="4115520"/>
          <a:ext cx="2575800" cy="380160"/>
        </a:xfrm>
        <a:prstGeom prst="rect">
          <a:avLst/>
        </a:prstGeom>
        <a:noFill/>
        <a:ln w="9360">
          <a:noFill/>
        </a:ln>
      </xdr:spPr>
      <xdr:style>
        <a:lnRef idx="0"/>
        <a:fillRef idx="0"/>
        <a:effectRef idx="0"/>
        <a:fontRef idx="minor"/>
      </xdr:style>
      <xdr:txBody>
        <a:bodyPr lIns="90000" rIns="90000" tIns="45000" bIns="45000" anchor="b"/>
        <a:p>
          <a:pPr algn="r">
            <a:lnSpc>
              <a:spcPct val="100000"/>
            </a:lnSpc>
          </a:pPr>
          <a:r>
            <a:rPr b="0" lang="en-US" sz="1400" spc="-1" strike="noStrike">
              <a:solidFill>
                <a:srgbClr val="808080"/>
              </a:solidFill>
              <a:uFill>
                <a:solidFill>
                  <a:srgbClr val="ffffff"/>
                </a:solidFill>
              </a:uFill>
              <a:latin typeface="Calibri"/>
            </a:rPr>
            <a:t>generated: March 6</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380880</xdr:colOff>
      <xdr:row>23</xdr:row>
      <xdr:rowOff>169560</xdr:rowOff>
    </xdr:from>
    <xdr:to>
      <xdr:col>24</xdr:col>
      <xdr:colOff>449280</xdr:colOff>
      <xdr:row>29</xdr:row>
      <xdr:rowOff>154080</xdr:rowOff>
    </xdr:to>
    <xdr:sp>
      <xdr:nvSpPr>
        <xdr:cNvPr id="22" name="CustomShape 1"/>
        <xdr:cNvSpPr/>
      </xdr:nvSpPr>
      <xdr:spPr>
        <a:xfrm>
          <a:off x="380880" y="4550760"/>
          <a:ext cx="18356400" cy="1127520"/>
        </a:xfrm>
        <a:prstGeom prst="rect">
          <a:avLst/>
        </a:prstGeom>
        <a:noFill/>
        <a:ln w="9360">
          <a:noFill/>
        </a:ln>
      </xdr:spPr>
      <xdr:style>
        <a:lnRef idx="0"/>
        <a:fillRef idx="0"/>
        <a:effectRef idx="0"/>
        <a:fontRef idx="minor"/>
      </xdr:style>
      <xdr:txBody>
        <a:bodyPr lIns="90000" rIns="90000" tIns="45000" bIns="45000"/>
        <a:p>
          <a:pPr>
            <a:lnSpc>
              <a:spcPct val="100000"/>
            </a:lnSpc>
          </a:pPr>
          <a:r>
            <a:rPr b="1" lang="en-US" sz="6600" spc="-1" strike="noStrike">
              <a:solidFill>
                <a:srgbClr val="689c9a"/>
              </a:solidFill>
              <a:uFill>
                <a:solidFill>
                  <a:srgbClr val="ffffff"/>
                </a:solidFill>
              </a:uFill>
              <a:latin typeface="Calibri"/>
            </a:rPr>
            <a:t>OU</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309600</xdr:colOff>
      <xdr:row>24</xdr:row>
      <xdr:rowOff>168120</xdr:rowOff>
    </xdr:from>
    <xdr:to>
      <xdr:col>0</xdr:col>
      <xdr:colOff>400320</xdr:colOff>
      <xdr:row>28</xdr:row>
      <xdr:rowOff>155520</xdr:rowOff>
    </xdr:to>
    <xdr:sp>
      <xdr:nvSpPr>
        <xdr:cNvPr id="23" name="CustomShape 1"/>
        <xdr:cNvSpPr/>
      </xdr:nvSpPr>
      <xdr:spPr>
        <a:xfrm>
          <a:off x="309600" y="4740120"/>
          <a:ext cx="90720" cy="749160"/>
        </a:xfrm>
        <a:prstGeom prst="roundRect">
          <a:avLst>
            <a:gd name="adj" fmla="val 16667"/>
          </a:avLst>
        </a:prstGeom>
        <a:solidFill>
          <a:srgbClr val="ffffff"/>
        </a:solidFill>
        <a:ln>
          <a:noFill/>
        </a:ln>
      </xdr:spPr>
      <xdr:style>
        <a:lnRef idx="2">
          <a:schemeClr val="accent2">
            <a:shade val="50000"/>
          </a:schemeClr>
        </a:lnRef>
        <a:fillRef idx="1">
          <a:schemeClr val="accent2"/>
        </a:fillRef>
        <a:effectRef idx="0">
          <a:schemeClr val="accent2"/>
        </a:effectRef>
        <a:fontRef idx="minor"/>
      </xdr:style>
    </xdr:sp>
    <xdr:clientData/>
  </xdr:twoCellAnchor>
  <xdr:twoCellAnchor editAs="oneCell">
    <xdr:from>
      <xdr:col>19</xdr:col>
      <xdr:colOff>309600</xdr:colOff>
      <xdr:row>38</xdr:row>
      <xdr:rowOff>11880</xdr:rowOff>
    </xdr:from>
    <xdr:to>
      <xdr:col>20</xdr:col>
      <xdr:colOff>601920</xdr:colOff>
      <xdr:row>39</xdr:row>
      <xdr:rowOff>168120</xdr:rowOff>
    </xdr:to>
    <xdr:pic>
      <xdr:nvPicPr>
        <xdr:cNvPr id="24" name="Picture 9" descr=""/>
        <xdr:cNvPicPr/>
      </xdr:nvPicPr>
      <xdr:blipFill>
        <a:blip r:embed="rId2"/>
        <a:stretch/>
      </xdr:blipFill>
      <xdr:spPr>
        <a:xfrm>
          <a:off x="14787360" y="7250760"/>
          <a:ext cx="1054440" cy="346680"/>
        </a:xfrm>
        <a:prstGeom prst="rect">
          <a:avLst/>
        </a:prstGeom>
        <a:ln>
          <a:noFill/>
        </a:ln>
      </xdr:spPr>
    </xdr:pic>
    <xdr:clientData/>
  </xdr:twoCellAnchor>
  <xdr:twoCellAnchor editAs="oneCell">
    <xdr:from>
      <xdr:col>0</xdr:col>
      <xdr:colOff>216720</xdr:colOff>
      <xdr:row>22</xdr:row>
      <xdr:rowOff>181440</xdr:rowOff>
    </xdr:from>
    <xdr:to>
      <xdr:col>9</xdr:col>
      <xdr:colOff>392040</xdr:colOff>
      <xdr:row>24</xdr:row>
      <xdr:rowOff>180720</xdr:rowOff>
    </xdr:to>
    <xdr:sp>
      <xdr:nvSpPr>
        <xdr:cNvPr id="25" name="CustomShape 1"/>
        <xdr:cNvSpPr/>
      </xdr:nvSpPr>
      <xdr:spPr>
        <a:xfrm>
          <a:off x="216720" y="4372200"/>
          <a:ext cx="7033320" cy="380520"/>
        </a:xfrm>
        <a:prstGeom prst="rect">
          <a:avLst/>
        </a:prstGeom>
        <a:noFill/>
        <a:ln w="9360">
          <a:noFill/>
        </a:ln>
      </xdr:spPr>
      <xdr:style>
        <a:lnRef idx="0"/>
        <a:fillRef idx="0"/>
        <a:effectRef idx="0"/>
        <a:fontRef idx="minor"/>
      </xdr:style>
      <xdr:txBody>
        <a:bodyPr lIns="90000" rIns="90000" tIns="45000" bIns="45000"/>
        <a:p>
          <a:pPr>
            <a:lnSpc>
              <a:spcPct val="100000"/>
            </a:lnSpc>
          </a:pPr>
          <a:r>
            <a:rPr b="0" lang="en-US" sz="1200" spc="-1" strike="noStrike">
              <a:solidFill>
                <a:srgbClr val="808080"/>
              </a:solidFill>
              <a:uFill>
                <a:solidFill>
                  <a:srgbClr val="ffffff"/>
                </a:solidFill>
              </a:uFill>
              <a:latin typeface="Calibri"/>
            </a:rPr>
            <a:t>Data Sources:  ICPI Fact View FY17Q4v2_1 [PSNU, PSNU by IM]</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16</xdr:col>
      <xdr:colOff>16200</xdr:colOff>
      <xdr:row>2</xdr:row>
      <xdr:rowOff>71280</xdr:rowOff>
    </xdr:from>
    <xdr:to>
      <xdr:col>20</xdr:col>
      <xdr:colOff>583920</xdr:colOff>
      <xdr:row>8</xdr:row>
      <xdr:rowOff>189720</xdr:rowOff>
    </xdr:to>
    <xdr:pic>
      <xdr:nvPicPr>
        <xdr:cNvPr id="26" name="Picture 11" descr=""/>
        <xdr:cNvPicPr/>
      </xdr:nvPicPr>
      <xdr:blipFill>
        <a:blip r:embed="rId3"/>
        <a:stretch/>
      </xdr:blipFill>
      <xdr:spPr>
        <a:xfrm>
          <a:off x="12207960" y="452160"/>
          <a:ext cx="3615840" cy="12614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1162080</xdr:colOff>
      <xdr:row>2</xdr:row>
      <xdr:rowOff>914400</xdr:rowOff>
    </xdr:from>
    <xdr:to>
      <xdr:col>3</xdr:col>
      <xdr:colOff>437400</xdr:colOff>
      <xdr:row>5</xdr:row>
      <xdr:rowOff>94680</xdr:rowOff>
    </xdr:to>
    <xdr:sp>
      <xdr:nvSpPr>
        <xdr:cNvPr id="27" name="CustomShape 1"/>
        <xdr:cNvSpPr/>
      </xdr:nvSpPr>
      <xdr:spPr>
        <a:xfrm flipH="1">
          <a:off x="3552840" y="1400040"/>
          <a:ext cx="1265760" cy="894600"/>
        </a:xfrm>
        <a:custGeom>
          <a:avLst/>
          <a:gdLst/>
          <a:ahLst/>
          <a:rect l="l" t="t" r="r" b="b"/>
          <a:pathLst>
            <a:path w="21600" h="21600">
              <a:moveTo>
                <a:pt x="0" y="0"/>
              </a:moveTo>
              <a:lnTo>
                <a:pt x="21600" y="21600"/>
              </a:lnTo>
            </a:path>
          </a:pathLst>
        </a:custGeom>
        <a:noFill/>
        <a:ln w="19080">
          <a:solidFill>
            <a:srgbClr val="ffffff"/>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oneCell">
    <xdr:from>
      <xdr:col>1</xdr:col>
      <xdr:colOff>409680</xdr:colOff>
      <xdr:row>2</xdr:row>
      <xdr:rowOff>666720</xdr:rowOff>
    </xdr:from>
    <xdr:to>
      <xdr:col>1</xdr:col>
      <xdr:colOff>410040</xdr:colOff>
      <xdr:row>4</xdr:row>
      <xdr:rowOff>147960</xdr:rowOff>
    </xdr:to>
    <xdr:sp>
      <xdr:nvSpPr>
        <xdr:cNvPr id="28" name="CustomShape 1"/>
        <xdr:cNvSpPr/>
      </xdr:nvSpPr>
      <xdr:spPr>
        <a:xfrm>
          <a:off x="1600200" y="1152360"/>
          <a:ext cx="360" cy="1005120"/>
        </a:xfrm>
        <a:custGeom>
          <a:avLst/>
          <a:gdLst/>
          <a:ahLst/>
          <a:rect l="l" t="t" r="r" b="b"/>
          <a:pathLst>
            <a:path w="21600" h="21600">
              <a:moveTo>
                <a:pt x="0" y="0"/>
              </a:moveTo>
              <a:lnTo>
                <a:pt x="21600" y="21600"/>
              </a:lnTo>
            </a:path>
          </a:pathLst>
        </a:custGeom>
        <a:noFill/>
        <a:ln w="19080">
          <a:solidFill>
            <a:srgbClr val="ffffff"/>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142920</xdr:colOff>
      <xdr:row>2</xdr:row>
      <xdr:rowOff>399960</xdr:rowOff>
    </xdr:from>
    <xdr:to>
      <xdr:col>2</xdr:col>
      <xdr:colOff>1409040</xdr:colOff>
      <xdr:row>2</xdr:row>
      <xdr:rowOff>989640</xdr:rowOff>
    </xdr:to>
    <xdr:sp>
      <xdr:nvSpPr>
        <xdr:cNvPr id="29" name="CustomShape 1"/>
        <xdr:cNvSpPr/>
      </xdr:nvSpPr>
      <xdr:spPr>
        <a:xfrm>
          <a:off x="1333440" y="885600"/>
          <a:ext cx="2466360" cy="58968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a:solidFill>
                <a:srgbClr val="808080"/>
              </a:solidFill>
              <a:uFill>
                <a:solidFill>
                  <a:srgbClr val="ffffff"/>
                </a:solidFill>
              </a:uFill>
              <a:latin typeface="Calibri Light"/>
            </a:rPr>
            <a:t>Do not adjust this row. This forms the basis of the DP Target lookups on the indicator tabs.</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3</xdr:col>
      <xdr:colOff>38160</xdr:colOff>
      <xdr:row>1</xdr:row>
      <xdr:rowOff>47520</xdr:rowOff>
    </xdr:from>
    <xdr:to>
      <xdr:col>5</xdr:col>
      <xdr:colOff>9000</xdr:colOff>
      <xdr:row>2</xdr:row>
      <xdr:rowOff>989640</xdr:rowOff>
    </xdr:to>
    <xdr:sp>
      <xdr:nvSpPr>
        <xdr:cNvPr id="30" name="CustomShape 1"/>
        <xdr:cNvSpPr/>
      </xdr:nvSpPr>
      <xdr:spPr>
        <a:xfrm>
          <a:off x="4419360" y="342720"/>
          <a:ext cx="2933280" cy="113256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Values from the Data Pack's Allocation by SNUxIM tab should be copied and pasted below the gray bar in row 6 - Copy and Paste as Values.</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31"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20520</xdr:colOff>
      <xdr:row>0</xdr:row>
      <xdr:rowOff>0</xdr:rowOff>
    </xdr:from>
    <xdr:to>
      <xdr:col>9</xdr:col>
      <xdr:colOff>272520</xdr:colOff>
      <xdr:row>8</xdr:row>
      <xdr:rowOff>45720</xdr:rowOff>
    </xdr:to>
    <xdr:sp>
      <xdr:nvSpPr>
        <xdr:cNvPr id="32" name="CustomShape 1"/>
        <xdr:cNvSpPr/>
      </xdr:nvSpPr>
      <xdr:spPr>
        <a:xfrm>
          <a:off x="782280" y="0"/>
          <a:ext cx="6348240" cy="1569600"/>
        </a:xfrm>
        <a:prstGeom prst="rect">
          <a:avLst/>
        </a:prstGeom>
        <a:noFill/>
        <a:ln>
          <a:noFill/>
        </a:ln>
      </xdr:spPr>
      <xdr:style>
        <a:lnRef idx="0"/>
        <a:fillRef idx="0"/>
        <a:effectRef idx="0"/>
        <a:fontRef idx="minor"/>
      </xdr:style>
      <xdr:txBody>
        <a:bodyPr wrap="none" lIns="90000" rIns="90000" tIns="45000" bIns="45000"/>
        <a:p>
          <a:pPr algn="ctr">
            <a:lnSpc>
              <a:spcPct val="100000"/>
            </a:lnSpc>
          </a:pPr>
          <a:r>
            <a:rPr b="1" lang="en-US" sz="5000" spc="-1" strike="noStrike">
              <a:solidFill>
                <a:srgbClr val="95c5c3"/>
              </a:solidFill>
              <a:uFill>
                <a:solidFill>
                  <a:srgbClr val="ffffff"/>
                </a:solidFill>
              </a:uFill>
              <a:latin typeface="Verdana"/>
            </a:rPr>
            <a:t>DO NOT EDIT </a:t>
          </a:r>
          <a:endParaRPr b="0" lang="en-US" sz="1200" spc="-1" strike="noStrike">
            <a:solidFill>
              <a:srgbClr val="000000"/>
            </a:solidFill>
            <a:uFill>
              <a:solidFill>
                <a:srgbClr val="ffffff"/>
              </a:solidFill>
            </a:uFill>
            <a:latin typeface="Times New Roman"/>
          </a:endParaRPr>
        </a:p>
        <a:p>
          <a:pPr algn="ctr">
            <a:lnSpc>
              <a:spcPct val="100000"/>
            </a:lnSpc>
          </a:pPr>
          <a:r>
            <a:rPr b="1" lang="en-US" sz="5000" spc="-1" strike="noStrike">
              <a:solidFill>
                <a:srgbClr val="95c5c3"/>
              </a:solidFill>
              <a:uFill>
                <a:solidFill>
                  <a:srgbClr val="ffffff"/>
                </a:solidFill>
              </a:uFill>
              <a:latin typeface="Verdana"/>
            </a:rPr>
            <a:t> </a:t>
          </a:r>
          <a:r>
            <a:rPr b="1" lang="en-US" sz="5000" spc="-1" strike="noStrike">
              <a:solidFill>
                <a:srgbClr val="95c5c3"/>
              </a:solidFill>
              <a:uFill>
                <a:solidFill>
                  <a:srgbClr val="ffffff"/>
                </a:solidFill>
              </a:uFill>
              <a:latin typeface="Verdana"/>
            </a:rPr>
            <a:t>For Esri use only</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33"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692280</xdr:colOff>
      <xdr:row>3</xdr:row>
      <xdr:rowOff>799560</xdr:rowOff>
    </xdr:to>
    <xdr:sp>
      <xdr:nvSpPr>
        <xdr:cNvPr id="34" name="CustomShape 1"/>
        <xdr:cNvSpPr/>
      </xdr:nvSpPr>
      <xdr:spPr>
        <a:xfrm>
          <a:off x="3438360" y="485640"/>
          <a:ext cx="2683080" cy="990000"/>
        </a:xfrm>
        <a:prstGeom prst="rect">
          <a:avLst/>
        </a:prstGeom>
        <a:solidFill>
          <a:srgbClr val="ffffff"/>
        </a:solidFill>
        <a:ln w="19080">
          <a:solidFill>
            <a:srgbClr val="ffffff"/>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tables/table1.xml><?xml version="1.0" encoding="utf-8"?>
<table xmlns="http://schemas.openxmlformats.org/spreadsheetml/2006/main" id="1" name="gend_gbv_T" displayName="gend_gbv_T" ref="C6:CI7" headerRowCount="1" totalsRowCount="0" totalsRowShown="0">
  <autoFilter ref="C6:CI7"/>
  <tableColumns count="85">
    <tableColumn id="1" name="psnu"/>
    <tableColumn id="2" name="psnuuid"/>
    <tableColumn id="3" name="priority"/>
    <tableColumn id="4" name="mechid"/>
    <tableColumn id="5" name="mechname"/>
    <tableColumn id="6" name="type"/>
    <tableColumn id="7" name="psnu_type"/>
    <tableColumn id="8" name="A_gend_gbv_u10_f_pev"/>
    <tableColumn id="9" name="A_gend_gbv_u10_f_sv"/>
    <tableColumn id="10" name="A_gend_gbv_u10_m_pev"/>
    <tableColumn id="11" name="A_gend_gbv_u10_m_sv"/>
    <tableColumn id="12" name="A_gend_gbv_1014_f_pev"/>
    <tableColumn id="13" name="A_gend_gbv_1014_f_sv"/>
    <tableColumn id="14" name="A_gend_gbv_1014_m_pev"/>
    <tableColumn id="15" name="A_gend_gbv_1014_m_sv"/>
    <tableColumn id="16" name="A_gend_gbv_1519_f_pev"/>
    <tableColumn id="17" name="A_gend_gbv_1519_f_sv"/>
    <tableColumn id="18" name="A_gend_gbv_1519_m_pev"/>
    <tableColumn id="19" name="A_gend_gbv_1519_m_sv"/>
    <tableColumn id="20" name="A_gend_gbv_2024_f_pev"/>
    <tableColumn id="21" name="A_gend_gbv_2024_f_sv"/>
    <tableColumn id="22" name="A_gend_gbv_2024_m_pev"/>
    <tableColumn id="23" name="A_gend_gbv_2024_m_sv"/>
    <tableColumn id="24" name="A_gend_gbv_2529_f_pev"/>
    <tableColumn id="25" name="A_gend_gbv_2529_f_sv"/>
    <tableColumn id="26" name="A_gend_gbv_2529_m_pev"/>
    <tableColumn id="27" name="A_gend_gbv_2529_m_sv"/>
    <tableColumn id="28" name="A_gend_gbv_3034_f_pev"/>
    <tableColumn id="29" name="A_gend_gbv_3034_f_sv"/>
    <tableColumn id="30" name="A_gend_gbv_3034_m_pev"/>
    <tableColumn id="31" name="A_gend_gbv_3034_m_sv"/>
    <tableColumn id="32" name="A_gend_gbv_3539_f_pev"/>
    <tableColumn id="33" name="A_gend_gbv_3539_f_sv"/>
    <tableColumn id="34" name="A_gend_gbv_3539_m_pev"/>
    <tableColumn id="35" name="A_gend_gbv_3539_m_sv"/>
    <tableColumn id="36" name="A_gend_gbv_4049_f_pev"/>
    <tableColumn id="37" name="A_gend_gbv_4049_f_sv"/>
    <tableColumn id="38" name="A_gend_gbv_4049_m_pev"/>
    <tableColumn id="39" name="A_gend_gbv_4049_m_sv"/>
    <tableColumn id="40" name="A_gend_gbv_o50_f_pev"/>
    <tableColumn id="41" name="A_gend_gbv_o50_f_sv"/>
    <tableColumn id="42" name="A_gend_gbv_o50_m_pev"/>
    <tableColumn id="43" name="A_gend_gbv_o50_m_sv"/>
    <tableColumn id="44" name="A_gend_gbv_pep"/>
    <tableColumn id="45" name="A_check1"/>
    <tableColumn id="46" name="D_gend_gbv_fy19"/>
    <tableColumn id="47" name="gend_gbv_u10_f_pev"/>
    <tableColumn id="48" name="gend_gbv_u10_f_sv"/>
    <tableColumn id="49" name="gend_gbv_u10_m_pev"/>
    <tableColumn id="50" name="gend_gbv_u10_m_sv"/>
    <tableColumn id="51" name="gend_gbv_1014_f_pev"/>
    <tableColumn id="52" name="gend_gbv_1014_f_sv"/>
    <tableColumn id="53" name="gend_gbv_1014_m_pev"/>
    <tableColumn id="54" name="gend_gbv_1014_m_sv"/>
    <tableColumn id="55" name="gend_gbv_1519_f_pev"/>
    <tableColumn id="56" name="gend_gbv_1519_f_sv"/>
    <tableColumn id="57" name="gend_gbv_1519_m_pev"/>
    <tableColumn id="58" name="gend_gbv_1519_m_sv"/>
    <tableColumn id="59" name="gend_gbv_2024_f_pev"/>
    <tableColumn id="60" name="gend_gbv_2024_f_sv"/>
    <tableColumn id="61" name="gend_gbv_2024_m_pev"/>
    <tableColumn id="62" name="gend_gbv_2024_m_sv"/>
    <tableColumn id="63" name="gend_gbv_2529_f_pev"/>
    <tableColumn id="64" name="gend_gbv_2529_f_sv"/>
    <tableColumn id="65" name="gend_gbv_2529_m_pev"/>
    <tableColumn id="66" name="gend_gbv_2529_m_sv"/>
    <tableColumn id="67" name="gend_gbv_3034_f_pev"/>
    <tableColumn id="68" name="gend_gbv_3034_f_sv"/>
    <tableColumn id="69" name="gend_gbv_3034_m_pev"/>
    <tableColumn id="70" name="gend_gbv_3034_m_sv"/>
    <tableColumn id="71" name="gend_gbv_3539_f_pev"/>
    <tableColumn id="72" name="gend_gbv_3539_f_sv"/>
    <tableColumn id="73" name="gend_gbv_3539_m_pev"/>
    <tableColumn id="74" name="gend_gbv_3539_m_sv"/>
    <tableColumn id="75" name="gend_gbv_4049_f_pev"/>
    <tableColumn id="76" name="gend_gbv_4049_f_sv"/>
    <tableColumn id="77" name="gend_gbv_4049_m_pev"/>
    <tableColumn id="78" name="gend_gbv_4049_m_sv"/>
    <tableColumn id="79" name="gend_gbv_o50_f_pev"/>
    <tableColumn id="80" name="gend_gbv_o50_f_sv"/>
    <tableColumn id="81" name="gend_gbv_o50_m_pev"/>
    <tableColumn id="82" name="gend_gbv_o50_m_sv"/>
    <tableColumn id="83" name="gend_gbv_pep"/>
    <tableColumn id="84" name="gend_gbv_pev"/>
    <tableColumn id="85" name="gend_gbv_sv"/>
  </tableColumns>
</table>
</file>

<file path=xl/tables/table10.xml><?xml version="1.0" encoding="utf-8"?>
<table xmlns="http://schemas.openxmlformats.org/spreadsheetml/2006/main" id="10" name="targets" displayName="targets" ref="B6:HX7" headerRowCount="1" totalsRowCount="0" totalsRowShown="0">
  <autoFilter ref="B6:HX7"/>
  <tableColumns count="231">
    <tableColumn id="1" name="psnu_type_mechid"/>
    <tableColumn id="2" name="Dsnulist"/>
    <tableColumn id="3" name="D_priority"/>
    <tableColumn id="4" name="D_mechanismid"/>
    <tableColumn id="5" name="D_indicatortype"/>
    <tableColumn id="6" name="D_tx_ret_D_pct"/>
    <tableColumn id="7" name="D_tx_ret_u15_D_pct"/>
    <tableColumn id="8" name="D_tx_ret_pct"/>
    <tableColumn id="9" name="D_tx_ret_u15_pct"/>
    <tableColumn id="10" name="D_tx_new_pct"/>
    <tableColumn id="11" name="D_tx_new_u15_pct"/>
    <tableColumn id="12" name="D_tx_curr_pct"/>
    <tableColumn id="13" name="D_tx_curr_u15_pct"/>
    <tableColumn id="14" name="D_tx_pvls_D_pct"/>
    <tableColumn id="15" name="D_pmtct_stat_D_pct"/>
    <tableColumn id="16" name="D_pmtct_stat_pct"/>
    <tableColumn id="17" name="D_pmtct_stat_newpos_pct"/>
    <tableColumn id="18" name="D_pmtct_stat_newneg_pct"/>
    <tableColumn id="19" name="D_pmtct_stat_known_pct"/>
    <tableColumn id="20" name="D_pmtct_art_pct"/>
    <tableColumn id="21" name="D_pmtct_art_new_pct"/>
    <tableColumn id="22" name="D_pmtct_art_already_pct"/>
    <tableColumn id="23" name="D_pmtct_eid_pct"/>
    <tableColumn id="24" name="D_pmtct_eid_u2mo_pct"/>
    <tableColumn id="25" name="D_pmtct_eid_o2mo_pct"/>
    <tableColumn id="26" name="D_tb_stat_D_pct"/>
    <tableColumn id="27" name="D_tb_stat_pct"/>
    <tableColumn id="28" name="D_tb_stat_newpos_pct"/>
    <tableColumn id="29" name="D_tb_stat_newneg_pct"/>
    <tableColumn id="30" name="D_tb_stat_known_pct"/>
    <tableColumn id="31" name="D_tb_art_pct"/>
    <tableColumn id="32" name="D_tb_art_new_pct"/>
    <tableColumn id="33" name="D_tb_art_already_pct"/>
    <tableColumn id="34" name="D_tx_tb_D_pct"/>
    <tableColumn id="35" name="D_tb_prev_D_pct"/>
    <tableColumn id="36" name="D_tb_prev_pct"/>
    <tableColumn id="37" name="D_hts_tst_pos_vmmc_pct"/>
    <tableColumn id="38" name="D_hts_tst_pmtctanc_pct"/>
    <tableColumn id="39" name="D_hts_tst_tbclinic_pct"/>
    <tableColumn id="40" name="D_hts_tst_vmmc_pct"/>
    <tableColumn id="41" name="D_hts_tst_indexmod_o15_pct"/>
    <tableColumn id="42" name="D_hts_tst_mobilemod_o15_pct"/>
    <tableColumn id="43" name="D_hts_tst_vctmod_o15_pct"/>
    <tableColumn id="44" name="D_hts_tst_othermod_o15_pct"/>
    <tableColumn id="45" name="D_hts_tst_index_o15_pct"/>
    <tableColumn id="46" name="D_hts_tst_sti_o15_pct"/>
    <tableColumn id="47" name="D_hts_tst_inpat_o15_pct"/>
    <tableColumn id="48" name="D_hts_tst_emergency_o15_pct"/>
    <tableColumn id="49" name="D_hts_tst_vct_o15_pct"/>
    <tableColumn id="50" name="D_hts_tst_otherpitc_o15_pct"/>
    <tableColumn id="51" name="D_hts_tst_pos_indexmod_o15_pct"/>
    <tableColumn id="52" name="D_hts_tst_pos_mobilemod_o15_pct"/>
    <tableColumn id="53" name="D_hts_tst_pos_vctmod_o15_pct"/>
    <tableColumn id="54" name="D_hts_tst_pos_othermod_o15_pct"/>
    <tableColumn id="55" name="D_hts_tst_pos_index_o15_pct"/>
    <tableColumn id="56" name="D_hts_tst_pos_sti_o15_pct"/>
    <tableColumn id="57" name="D_hts_tst_pos_inpat_o15_pct"/>
    <tableColumn id="58" name="D_hts_tst_pos_emergency_o15_pct"/>
    <tableColumn id="59" name="D_hts_tst_pos_vct_o15_pct"/>
    <tableColumn id="60" name="D_hts_tst_pos_otherpitc_o15_pct"/>
    <tableColumn id="61" name="D_hts_tst_indexmod_u15_pct"/>
    <tableColumn id="62" name="D_hts_tst_mobilemod_u15_pct"/>
    <tableColumn id="63" name="D_hts_tst_vctmod_u15_pct"/>
    <tableColumn id="64" name="D_hts_tst_othermod_u15_pct"/>
    <tableColumn id="65" name="D_hts_tst_index_u15_pct"/>
    <tableColumn id="66" name="D_hts_tst_sti_u15_pct"/>
    <tableColumn id="67" name="D_hts_tst_inpat_u15_pct"/>
    <tableColumn id="68" name="D_hts_tst_emergency_u15_pct"/>
    <tableColumn id="69" name="D_hts_tst_vct_u15_pct"/>
    <tableColumn id="70" name="D_hts_tst_pediatric_u15_pct"/>
    <tableColumn id="71" name="D_hts_tst_malnutrition_u15_pct"/>
    <tableColumn id="72" name="D_hts_tst_otherpitc_u15_pct"/>
    <tableColumn id="73" name="D_hts_tst_pos_indexmod_u15_pct"/>
    <tableColumn id="74" name="D_hts_tst_pos_mobilemod_u15_pct"/>
    <tableColumn id="75" name="D_hts_tst_pos_vctmod_u15_pct"/>
    <tableColumn id="76" name="D_hts_tst_pos_othermod_u15_pct"/>
    <tableColumn id="77" name="D_hts_tst_pos_index_u15_pct"/>
    <tableColumn id="78" name="D_hts_tst_pos_sti_u15_pct"/>
    <tableColumn id="79" name="D_hts_tst_pos_inpat_u15_pct"/>
    <tableColumn id="80" name="D_hts_tst_pos_emergency_u15_pct"/>
    <tableColumn id="81" name="D_hts_tst_pos_vct_u15_pct"/>
    <tableColumn id="82" name="D_hts_tst_pos_pediatric_u15_pct"/>
    <tableColumn id="83" name="D_hts_tst_pos_malnutrition_u15_pct"/>
    <tableColumn id="84" name="D_hts_tst_pos_otherpitc_u15_pct"/>
    <tableColumn id="85" name="D_hts_tst_keypop_pct"/>
    <tableColumn id="86" name="D_hts_self_pct"/>
    <tableColumn id="87" name="D_vmmc_circ_pct"/>
    <tableColumn id="88" name="D_vmmc_circ_1529_pct"/>
    <tableColumn id="89" name="D_ovc_serv_pct"/>
    <tableColumn id="90" name="D_ovc_serv_grad_pct"/>
    <tableColumn id="91" name="D_ovc_serv_active_pct"/>
    <tableColumn id="92" name="D_ovc_serv_u18_pct"/>
    <tableColumn id="93" name="D_ovc_hivstat_pct"/>
    <tableColumn id="94" name="D_ovc_serv_edu_pct"/>
    <tableColumn id="95" name="D_ovc_serv_care_pct"/>
    <tableColumn id="96" name="D_ovc_serv_sp_pct"/>
    <tableColumn id="97" name="D_ovc_serv_econ_pct"/>
    <tableColumn id="98" name="D_ovc_serv_oth_pct"/>
    <tableColumn id="99" name="D_kp_prev_msm_sw_D_pct"/>
    <tableColumn id="100" name="D_kp_prev_msm_sw_pct"/>
    <tableColumn id="101" name="D_kp_prev_msm_not_sw_D_pct"/>
    <tableColumn id="102" name="D_kp_prev_msm_not_sw_pct"/>
    <tableColumn id="103" name="D_kp_prev_tg_sw_D_pct"/>
    <tableColumn id="104" name="D_kp_prev_tg_sw_pct"/>
    <tableColumn id="105" name="D_kp_prev_tg_not_sw_D_pct"/>
    <tableColumn id="106" name="D_kp_prev_tg_not_sw_pct"/>
    <tableColumn id="107" name="D_kp_prev_fsw_D_pct"/>
    <tableColumn id="108" name="D_kp_prev_fsw_pct"/>
    <tableColumn id="109" name="D_kp_prev_pwid_m_D_pct"/>
    <tableColumn id="110" name="D_kp_prev_pwid_m_pct"/>
    <tableColumn id="111" name="D_kp_prev_pwid_f_D_pct"/>
    <tableColumn id="112" name="D_kp_prev_pwid_f_pct"/>
    <tableColumn id="113" name="D_kp_prev_prison_D_pct"/>
    <tableColumn id="114" name="D_kp_prev_prison_pct"/>
    <tableColumn id="115" name="D_pp_prev_pct"/>
    <tableColumn id="116" name="D_kp_mat_pct"/>
    <tableColumn id="117" name="D_gend_gbv_pct"/>
    <tableColumn id="118" name="D_prep_new_pct"/>
    <tableColumn id="119" name="D_tx_ret_D_fy19"/>
    <tableColumn id="120" name="D_tx_ret_u15_D_fy19"/>
    <tableColumn id="121" name="D_tx_ret_fy19"/>
    <tableColumn id="122" name="D_tx_ret_u15_fy19"/>
    <tableColumn id="123" name="D_tx_new_fy19"/>
    <tableColumn id="124" name="D_tx_new_u15_fy19"/>
    <tableColumn id="125" name="D_tx_curr_fy19"/>
    <tableColumn id="126" name="D_tx_curr_u15_fy19"/>
    <tableColumn id="127" name="D_tx_pvls_D_fy19"/>
    <tableColumn id="128" name="D_pmtct_stat_D_fy19"/>
    <tableColumn id="129" name="D_pmtct_stat_fy19"/>
    <tableColumn id="130" name="D_pmtct_stat_newpos_fy19"/>
    <tableColumn id="131" name="D_pmtct_stat_newneg_fy19"/>
    <tableColumn id="132" name="D_pmtct_stat_known_fy19"/>
    <tableColumn id="133" name="D_pmtct_art_fy19"/>
    <tableColumn id="134" name="D_pmtct_art_new_fy19"/>
    <tableColumn id="135" name="D_pmtct_art_already_fy19"/>
    <tableColumn id="136" name="D_pmtct_eid_fy19"/>
    <tableColumn id="137" name="D_pmtct_eid_u2mo_fy19 "/>
    <tableColumn id="138" name="D_pmtct_eid_o2mo_fy19"/>
    <tableColumn id="139" name="D_tb_stat_D_fy19"/>
    <tableColumn id="140" name="D_tb_stat_fy19"/>
    <tableColumn id="141" name="D_tb_stat_newpos_fy19"/>
    <tableColumn id="142" name="D_tb_stat_newneg_fy19"/>
    <tableColumn id="143" name="D_tb_stat_known_fy19"/>
    <tableColumn id="144" name="D_tb_art_fy19"/>
    <tableColumn id="145" name="D_tb_art_new_fy19"/>
    <tableColumn id="146" name="D_tb_art_already_fy19"/>
    <tableColumn id="147" name="D_tx_tb_D_fy19"/>
    <tableColumn id="148" name="D_tb_prev_D_fy19"/>
    <tableColumn id="149" name="D_tb_prev_fy19"/>
    <tableColumn id="150" name="D_hts_tst_pos_vmmc_fy19"/>
    <tableColumn id="151" name="D_hts_tst_pmtctanc_fy19"/>
    <tableColumn id="152" name="D_hts_tst_tbclinic_fy19"/>
    <tableColumn id="153" name="D_hts_tst_vmmc_fy19"/>
    <tableColumn id="154" name="D_hts_tst_indexmod_o15_fy19"/>
    <tableColumn id="155" name="D_hts_tst_mobilemod_o15_fy19"/>
    <tableColumn id="156" name="D_hts_tst_vctmod_o15_fy19"/>
    <tableColumn id="157" name="D_hts_tst_othermod_o15_fy19"/>
    <tableColumn id="158" name="D_hts_tst_index_o15_fy19"/>
    <tableColumn id="159" name="D_hts_tst_sti_o15_fy19"/>
    <tableColumn id="160" name="D_hts_tst_inpat_o15_fy19"/>
    <tableColumn id="161" name="D_hts_tst_emergency_o15_fy19"/>
    <tableColumn id="162" name="D_hts_tst_vct_o15_fy19"/>
    <tableColumn id="163" name="D_hts_tst_otherpitc_o15_fy19"/>
    <tableColumn id="164" name="D_hts_tst_pos_indexmod_o15_fy19"/>
    <tableColumn id="165" name="D_hts_tst_pos_mobilemod_o15_fy19"/>
    <tableColumn id="166" name="D_hts_tst_pos_vctmod_o15_fy19"/>
    <tableColumn id="167" name="D_hts_tst_pos_othermod_o15_fy19"/>
    <tableColumn id="168" name="D_hts_tst_pos_index_o15_fy19"/>
    <tableColumn id="169" name="D_hts_tst_pos_sti_o15_fy19"/>
    <tableColumn id="170" name="D_hts_tst_pos_inpat_o15_fy19"/>
    <tableColumn id="171" name="D_hts_tst_pos_emergency_o15_fy19"/>
    <tableColumn id="172" name="D_hts_tst_pos_vct_o15_fy19"/>
    <tableColumn id="173" name="D_hts_tst_pos_otherpitc_o15_fy19"/>
    <tableColumn id="174" name="D_hts_tst_indexmod_u15_fy19"/>
    <tableColumn id="175" name="D_hts_tst_mobilemod_u15_fy19"/>
    <tableColumn id="176" name="D_hts_tst_vctmod_u15_fy19"/>
    <tableColumn id="177" name="D_hts_tst_othermod_u15_fy19"/>
    <tableColumn id="178" name="D_hts_tst_index_u15_fy19"/>
    <tableColumn id="179" name="D_hts_tst_sti_u15_fy19"/>
    <tableColumn id="180" name="D_hts_tst_inpat_u15_fy19"/>
    <tableColumn id="181" name="D_hts_tst_emergency_u15_fy19"/>
    <tableColumn id="182" name="D_hts_tst_vct_u15_fy19"/>
    <tableColumn id="183" name="D_hts_tst_pediatric_u15_fy19"/>
    <tableColumn id="184" name="D_hts_tst_malnutrition_u15_fy19"/>
    <tableColumn id="185" name="D_hts_tst_otherpitc_u15_fy19"/>
    <tableColumn id="186" name="D_hts_tst_pos_indexmod_u15_fy19"/>
    <tableColumn id="187" name="D_hts_tst_pos_mobilemod_u15_fy19"/>
    <tableColumn id="188" name="D_hts_tst_pos_vctmod_u15_fy19"/>
    <tableColumn id="189" name="D_hts_tst_pos_othermod_u15_fy19"/>
    <tableColumn id="190" name="D_hts_tst_pos_index_u15_fy19"/>
    <tableColumn id="191" name="D_hts_tst_pos_sti_u15_fy19"/>
    <tableColumn id="192" name="D_hts_tst_pos_inpat_u15_fy19"/>
    <tableColumn id="193" name="D_hts_tst_pos_emergency_u15_fy19"/>
    <tableColumn id="194" name="D_hts_tst_pos_vct_u15_fy19"/>
    <tableColumn id="195" name="D_hts_tst_pos_pediatric_u15_fy19"/>
    <tableColumn id="196" name="D_hts_tst_pos_malnutrition_u15_fy19"/>
    <tableColumn id="197" name="D_hts_tst_pos_otherpitc_u15_fy19"/>
    <tableColumn id="198" name="D_hts_tst_keypop_fy19"/>
    <tableColumn id="199" name="D_hts_self_fy19"/>
    <tableColumn id="200" name="D_vmmc_circ_fy19"/>
    <tableColumn id="201" name="D_vmmc_circ_1529_fy19"/>
    <tableColumn id="202" name="D_ovc_serv_fy19"/>
    <tableColumn id="203" name="D_ovc_serv_grad_fy19"/>
    <tableColumn id="204" name="D_ovc_serv_active_fy19"/>
    <tableColumn id="205" name="D_ovc_serv_u18_fy19"/>
    <tableColumn id="206" name="ovc_hivstat"/>
    <tableColumn id="207" name="D_ovc_serv_edu_fy19"/>
    <tableColumn id="208" name="D_ovc_serv_care_fy19"/>
    <tableColumn id="209" name="D_ovc_serv_sp_fy19"/>
    <tableColumn id="210" name="D_ovc_serv_econ_fy19"/>
    <tableColumn id="211" name="D_ovc_serv_oth_fy19"/>
    <tableColumn id="212" name="D_kp_prev_msm_sw_D_fy19"/>
    <tableColumn id="213" name="kp_prev_msm_sw"/>
    <tableColumn id="214" name="D_kp_prev_msm_not_sw_D_fy19"/>
    <tableColumn id="215" name="kp_prev_msm_notsw"/>
    <tableColumn id="216" name="D_kp_prev_tg_sw_D_fy19"/>
    <tableColumn id="217" name="kp_prev_tg_sw"/>
    <tableColumn id="218" name="D_kp_prev_tg_not_sw_D_fy19"/>
    <tableColumn id="219" name="kp_prev_tg_notsw"/>
    <tableColumn id="220" name="D_kp_prev_fsw_D_fy19"/>
    <tableColumn id="221" name="kp_prev_fsw"/>
    <tableColumn id="222" name="D_kp_prev_pwid_m_D_fy19"/>
    <tableColumn id="223" name="kp_prev_m_pwid"/>
    <tableColumn id="224" name="D_kp_prev_pwid_f_D_fy19"/>
    <tableColumn id="225" name="kp_prev_f_pwid"/>
    <tableColumn id="226" name="D_kp_prev_prison_D_fy19"/>
    <tableColumn id="227" name="kp_prev_prison"/>
    <tableColumn id="228" name="D_pp_prev_fy19"/>
    <tableColumn id="229" name="D_kp_mat_fy19"/>
    <tableColumn id="230" name="D_gend_gbv_fy19"/>
    <tableColumn id="231" name="D_prep_new_fy19"/>
  </tableColumns>
</table>
</file>

<file path=xl/tables/table11.xml><?xml version="1.0" encoding="utf-8"?>
<table xmlns="http://schemas.openxmlformats.org/spreadsheetml/2006/main" id="11" name="tb_art_T" displayName="tb_art_T" ref="C6:U7" headerRowCount="1" totalsRowCount="0" totalsRowShown="0">
  <autoFilter ref="C6:U7"/>
  <tableColumns count="19">
    <tableColumn id="1" name="psnu"/>
    <tableColumn id="2" name="psnuuid"/>
    <tableColumn id="3" name="priority"/>
    <tableColumn id="4" name="mechid"/>
    <tableColumn id="5" name="mechname"/>
    <tableColumn id="6" name="type"/>
    <tableColumn id="7" name="psnu_type"/>
    <tableColumn id="8" name="A_tb_art_u15_f_pos"/>
    <tableColumn id="9" name="A_tb_art_u15_m_pos"/>
    <tableColumn id="10" name="A_tb_art_o15_f_pos"/>
    <tableColumn id="11" name="A_tb_art_o15_m_pos"/>
    <tableColumn id="12" name="A_check1"/>
    <tableColumn id="13" name="D_tb_art_fy19"/>
    <tableColumn id="14" name="D_tb_art_new_fy19"/>
    <tableColumn id="15" name="D_tb_art_already_fy19"/>
    <tableColumn id="16" name="tb_art_u15_f_pos"/>
    <tableColumn id="17" name="tb_art_u15_m_pos"/>
    <tableColumn id="18" name="tb_art_o15_f_pos"/>
    <tableColumn id="19" name="tb_art_o15_m_pos"/>
  </tableColumns>
</table>
</file>

<file path=xl/tables/table12.xml><?xml version="1.0" encoding="utf-8"?>
<table xmlns="http://schemas.openxmlformats.org/spreadsheetml/2006/main" id="12" name="tb_prev_T" displayName="tb_prev_T" ref="C6:AU7" headerRowCount="1" totalsRowCount="0" totalsRowShown="0">
  <autoFilter ref="C6:AU7"/>
  <tableColumns count="45">
    <tableColumn id="1" name="psnu"/>
    <tableColumn id="2" name="psnuuid"/>
    <tableColumn id="3" name="priority"/>
    <tableColumn id="4" name="mechid"/>
    <tableColumn id="5" name="mechname"/>
    <tableColumn id="6" name="type"/>
    <tableColumn id="7" name="psnu_type"/>
    <tableColumn id="8" name="A_tb_prev_D_u15_f_pos"/>
    <tableColumn id="9" name="A_tb_prev_D_u15_m_pos"/>
    <tableColumn id="10" name="A_tb_prev_D_o15_f_pos"/>
    <tableColumn id="11" name="A_tb_prev_D_o15_m_pos"/>
    <tableColumn id="12" name="A_tb_prev_D_alt_tpt_life_already_pos"/>
    <tableColumn id="13" name="A_tb_prev_D_ipt_life_already_pos"/>
    <tableColumn id="14" name="A_tb_prev_D_alt_tpt_life_new_pos"/>
    <tableColumn id="15" name="A_tb_prev_D_ipt_life_new_pos"/>
    <tableColumn id="16" name="A_tb_prev_u15_f_pos"/>
    <tableColumn id="17" name="A_tb_prev_u15_m_pos"/>
    <tableColumn id="18" name="A_tb_prev_o15_f_pos"/>
    <tableColumn id="19" name="A_tb_prev_o15_m_pos"/>
    <tableColumn id="20" name="A_tb_prev_alt_tpt_life_already_pos"/>
    <tableColumn id="21" name="A_tb_prev_ipt_life_already_pos"/>
    <tableColumn id="22" name="A_tb_prev_alt_tpt_life_new_pos"/>
    <tableColumn id="23" name="A_tb_prev_ipt_life_new_pos"/>
    <tableColumn id="24" name="A_check1"/>
    <tableColumn id="25" name="A_check2"/>
    <tableColumn id="26" name="A_check3"/>
    <tableColumn id="27" name="A_check4"/>
    <tableColumn id="28" name="D_tb_prev_D_fy19"/>
    <tableColumn id="29" name="D_tb_prev_fy19"/>
    <tableColumn id="30" name="tb_prev_D_u15_f_pos"/>
    <tableColumn id="31" name="tb_prev_D_u15_m_pos"/>
    <tableColumn id="32" name="tb_prev_D_o15_f_pos"/>
    <tableColumn id="33" name="tb_prev_D_o15_m_pos"/>
    <tableColumn id="34" name="tb_prev_D_alt_tpt_life_already_pos"/>
    <tableColumn id="35" name="tb_prev_D_ipt_life_already_pos"/>
    <tableColumn id="36" name="tb_prev_D_alt_tpt_life_new_pos"/>
    <tableColumn id="37" name="tb_prev_D_ipt_life_new_pos"/>
    <tableColumn id="38" name="tb_prev_u15_f_pos"/>
    <tableColumn id="39" name="tb_prev_u15_m_pos"/>
    <tableColumn id="40" name="tb_prev_o15_f_pos"/>
    <tableColumn id="41" name="tb_prev_o15_m_pos"/>
    <tableColumn id="42" name="tb_prev_alt_tpt_life_already_pos"/>
    <tableColumn id="43" name="tb_prev_ipt_life_already_pos"/>
    <tableColumn id="44" name="tb_prev_alt_tpt_life_new_pos"/>
    <tableColumn id="45" name="tb_prev_ipt_life_new_pos"/>
  </tableColumns>
</table>
</file>

<file path=xl/tables/table13.xml><?xml version="1.0" encoding="utf-8"?>
<table xmlns="http://schemas.openxmlformats.org/spreadsheetml/2006/main" id="13" name="tb_stat_T" displayName="tb_stat_T" ref="C6:AC7" headerRowCount="1" totalsRowCount="0" totalsRowShown="0">
  <autoFilter ref="C6:AC7"/>
  <tableColumns count="27">
    <tableColumn id="1" name="psnu"/>
    <tableColumn id="2" name="psnuuid"/>
    <tableColumn id="3" name="priority"/>
    <tableColumn id="4" name="mechid"/>
    <tableColumn id="5" name="mechname"/>
    <tableColumn id="6" name="type"/>
    <tableColumn id="7" name="psnu_type"/>
    <tableColumn id="8" name="A_tb_stat_D_u15_f"/>
    <tableColumn id="9" name="A_tb_stat_D_u15_m"/>
    <tableColumn id="10" name="A_tb_stat_D_o15_f"/>
    <tableColumn id="11" name="A_tb_stat_D_o15_m"/>
    <tableColumn id="12" name="A_tb_stat_u15_f"/>
    <tableColumn id="13" name="A_tb_stat_u15_m"/>
    <tableColumn id="14" name="A_tb_stat_o15_f"/>
    <tableColumn id="15" name="A_tb_stat_o15_m"/>
    <tableColumn id="16" name="A_check1"/>
    <tableColumn id="17" name="A_check2"/>
    <tableColumn id="18" name="D_tb_stat_D_fy19"/>
    <tableColumn id="19" name="D_tb_stat_fy19"/>
    <tableColumn id="20" name="tb_stat_D_u15_f"/>
    <tableColumn id="21" name="tb_stat_D_u15_m"/>
    <tableColumn id="22" name="tb_stat_D_o15_f"/>
    <tableColumn id="23" name="tb_stat_D_o15_m"/>
    <tableColumn id="24" name="tb_stat_u15_f_newneg"/>
    <tableColumn id="25" name="tb_stat_u15_m_newneg"/>
    <tableColumn id="26" name="tb_stat_o15_f_newneg"/>
    <tableColumn id="27" name="tb_stat_o15_m_newneg"/>
  </tableColumns>
</table>
</file>

<file path=xl/tables/table14.xml><?xml version="1.0" encoding="utf-8"?>
<table xmlns="http://schemas.openxmlformats.org/spreadsheetml/2006/main" id="14" name="tx_curr_T" displayName="tx_curr_T" ref="C6:AX7" headerRowCount="1" totalsRowCount="0" totalsRowShown="0">
  <autoFilter ref="C6:AX7"/>
  <tableColumns count="48">
    <tableColumn id="1" name="psnu"/>
    <tableColumn id="2" name="psnuuid"/>
    <tableColumn id="3" name="priority"/>
    <tableColumn id="4" name="mechid"/>
    <tableColumn id="5" name="mechname"/>
    <tableColumn id="6" name="type"/>
    <tableColumn id="7" name="psnu_type"/>
    <tableColumn id="8" name="A_tx_curr_u1_unk_pos"/>
    <tableColumn id="9" name="A_tx_curr_0109_unk_pos"/>
    <tableColumn id="10" name="A_tx_curr_1014_f_pos"/>
    <tableColumn id="11" name="A_tx_curr_1014_m_pos"/>
    <tableColumn id="12" name="A_tx_curr_1519_f_pos"/>
    <tableColumn id="13" name="A_tx_curr_1519_m_pos"/>
    <tableColumn id="14" name="A_tx_curr_2024_f_pos"/>
    <tableColumn id="15" name="A_tx_curr_2024_m_pos"/>
    <tableColumn id="16" name="A_tx_curr_2529_f_pos"/>
    <tableColumn id="17" name="A_tx_curr_2529_m_pos"/>
    <tableColumn id="18" name="A_tx_curr_3034_f_pos"/>
    <tableColumn id="19" name="A_tx_curr_3034_m_pos"/>
    <tableColumn id="20" name="A_tx_curr_3539_f_pos"/>
    <tableColumn id="21" name="A_tx_curr_3539_m_pos"/>
    <tableColumn id="22" name="A_tx_curr_4049_f_pos"/>
    <tableColumn id="23" name="A_tx_curr_4049_m_pos"/>
    <tableColumn id="24" name="A_tx_curr_o50_f_pos"/>
    <tableColumn id="25" name="A_tx_curr_o50_m_pos"/>
    <tableColumn id="26" name="A_check1"/>
    <tableColumn id="27" name="A_check2"/>
    <tableColumn id="28" name="D_tx_curr_fy19"/>
    <tableColumn id="29" name="D_tx_curr_u15_fy19"/>
    <tableColumn id="30" name="D_tx_curr_o15_fy19"/>
    <tableColumn id="31" name="tx_curr_u1_unk_pos"/>
    <tableColumn id="32" name="tx_curr_0109_unk_pos"/>
    <tableColumn id="33" name="tx_curr_1014_f_pos"/>
    <tableColumn id="34" name="tx_curr_1014_m_pos"/>
    <tableColumn id="35" name="tx_curr_1519_f_pos"/>
    <tableColumn id="36" name="tx_curr_1519_m_pos"/>
    <tableColumn id="37" name="tx_curr_2024_f_pos"/>
    <tableColumn id="38" name="tx_curr_2024_m_pos"/>
    <tableColumn id="39" name="tx_curr_2529_f_pos"/>
    <tableColumn id="40" name="tx_curr_2529_m_pos"/>
    <tableColumn id="41" name="tx_curr_3034_f_pos"/>
    <tableColumn id="42" name="tx_curr_3034_m_pos"/>
    <tableColumn id="43" name="tx_curr_3539_f_pos"/>
    <tableColumn id="44" name="tx_curr_3539_m_pos"/>
    <tableColumn id="45" name="tx_curr_4049_f_pos"/>
    <tableColumn id="46" name="tx_curr_4049_m_pos"/>
    <tableColumn id="47" name="tx_curr_o50_f_pos"/>
    <tableColumn id="48" name="tx_curr_o50_m_pos"/>
  </tableColumns>
</table>
</file>

<file path=xl/tables/table15.xml><?xml version="1.0" encoding="utf-8"?>
<table xmlns="http://schemas.openxmlformats.org/spreadsheetml/2006/main" id="15" name="tx_new_T" displayName="tx_new_T" ref="C6:BN7" headerRowCount="1" totalsRowCount="0" totalsRowShown="0">
  <autoFilter ref="C6:BN7"/>
  <tableColumns count="64">
    <tableColumn id="1" name="psnu"/>
    <tableColumn id="2" name="psnuuid"/>
    <tableColumn id="3" name="priority"/>
    <tableColumn id="4" name="mechid"/>
    <tableColumn id="5" name="mechname"/>
    <tableColumn id="6" name="type"/>
    <tableColumn id="7" name="psnu_type"/>
    <tableColumn id="8" name="A_tx_new_u01_unk_pos"/>
    <tableColumn id="9" name="A_tx_new_0109_unk_pos"/>
    <tableColumn id="10" name="A_tx_new_1014_f_pos"/>
    <tableColumn id="11" name="A_tx_new_1014_m_pos"/>
    <tableColumn id="12" name="A_tx_new_1519_f_pos"/>
    <tableColumn id="13" name="A_tx_new_1519_m_pos"/>
    <tableColumn id="14" name="A_tx_new_2024_f_pos"/>
    <tableColumn id="15" name="A_tx_new_2024_m_pos"/>
    <tableColumn id="16" name="A_tx_new_2529_f_pos"/>
    <tableColumn id="17" name="A_tx_new_2529_m_pos"/>
    <tableColumn id="18" name="A_tx_new_3034_f_pos"/>
    <tableColumn id="19" name="A_tx_new_3034_m_pos"/>
    <tableColumn id="20" name="A_tx_new_3539_f_pos"/>
    <tableColumn id="21" name="A_tx_new_3539_m_pos"/>
    <tableColumn id="22" name="A_tx_new_4049_f_pos"/>
    <tableColumn id="23" name="A_tx_new_4049_m_pos"/>
    <tableColumn id="24" name="A_tx_new_o50_f_pos"/>
    <tableColumn id="25" name="A_tx_new_o50_m_pos"/>
    <tableColumn id="26" name="A_tx_new_fsw_pos"/>
    <tableColumn id="27" name="A_tx_new_msm_pos"/>
    <tableColumn id="28" name="A_tx_new_prison_pos"/>
    <tableColumn id="29" name="A_tx_new_pwid_pos"/>
    <tableColumn id="30" name="A_tx_new_tg_pos"/>
    <tableColumn id="31" name="A_tx_new_bf_pos"/>
    <tableColumn id="32" name="A_tx_new_preg_pos"/>
    <tableColumn id="33" name="A_check1"/>
    <tableColumn id="34" name="A_check2"/>
    <tableColumn id="35" name="A_check3"/>
    <tableColumn id="36" name="A_check4"/>
    <tableColumn id="37" name="D_tx_new_fy19"/>
    <tableColumn id="38" name="D_tx_new_u15_fy19"/>
    <tableColumn id="39" name="D_tx_new_o15_fy19"/>
    <tableColumn id="40" name="tx_new_u01_unk_pos"/>
    <tableColumn id="41" name="tx_new_0109_unk_pos"/>
    <tableColumn id="42" name="tx_new_1014_f_pos"/>
    <tableColumn id="43" name="tx_new_1014_m_pos"/>
    <tableColumn id="44" name="tx_new_1519_f_pos"/>
    <tableColumn id="45" name="tx_new_1519_m_pos"/>
    <tableColumn id="46" name="tx_new_2024_f_pos"/>
    <tableColumn id="47" name="tx_new_2024_m_pos"/>
    <tableColumn id="48" name="tx_new_2529_f_pos"/>
    <tableColumn id="49" name="tx_new_2529_m_pos"/>
    <tableColumn id="50" name="tx_new_3034_f_pos"/>
    <tableColumn id="51" name="tx_new_3034_m_pos"/>
    <tableColumn id="52" name="tx_new_3539_f_pos"/>
    <tableColumn id="53" name="tx_new_3539_m_pos"/>
    <tableColumn id="54" name="tx_new_4049_f_pos"/>
    <tableColumn id="55" name="tx_new_4049_m_pos"/>
    <tableColumn id="56" name="tx_new_o50_f_pos"/>
    <tableColumn id="57" name="tx_new_o50_m_pos"/>
    <tableColumn id="58" name="tx_new_fsw_pos"/>
    <tableColumn id="59" name="tx_new_msm_pos"/>
    <tableColumn id="60" name="tx_new_prison_pos"/>
    <tableColumn id="61" name="tx_new_pwid_pos"/>
    <tableColumn id="62" name="tx_new_tg_pos"/>
    <tableColumn id="63" name="tx_new_bf_pos"/>
    <tableColumn id="64" name="tx_new_preg_pos"/>
  </tableColumns>
</table>
</file>

<file path=xl/tables/table16.xml><?xml version="1.0" encoding="utf-8"?>
<table xmlns="http://schemas.openxmlformats.org/spreadsheetml/2006/main" id="16" name="tx_pvls_T" displayName="tx_pvls_T" ref="C6:AP7" headerRowCount="1" totalsRowCount="0" totalsRowShown="0">
  <autoFilter ref="C6:AP7"/>
  <tableColumns count="40">
    <tableColumn id="1" name="psnu"/>
    <tableColumn id="2" name="psnuuid"/>
    <tableColumn id="3" name="priority"/>
    <tableColumn id="4" name="mechid"/>
    <tableColumn id="5" name="mechname"/>
    <tableColumn id="6" name="type"/>
    <tableColumn id="7" name="psnu_type"/>
    <tableColumn id="8" name="A_tx_pvls_D_u15_f_rtn"/>
    <tableColumn id="9" name="A_tx_pvls_D_u15_f_targeted"/>
    <tableColumn id="10" name="A_tx_pvls_D_u15_f_undoctest"/>
    <tableColumn id="11" name="A_tx_pvls_D_u15_m_rtn"/>
    <tableColumn id="12" name="A_tx_pvls_D_u15_m_targeted"/>
    <tableColumn id="13" name="A_tx_pvls_D_u15_m_undoctest"/>
    <tableColumn id="14" name="A_tx_pvls_D_o15_f_rtn"/>
    <tableColumn id="15" name="A_tx_pvls_D_o15_f_targeted"/>
    <tableColumn id="16" name="A_tx_pvls_D_o15_f_undoctest"/>
    <tableColumn id="17" name="A_tx_pvls_D_o15_m_rtn"/>
    <tableColumn id="18" name="A_tx_pvls_D_o15_m_targeted"/>
    <tableColumn id="19" name="A_tx_pvls_D_o15_m_undoctest"/>
    <tableColumn id="20" name="A_tx_pvls_D_rtn_pos"/>
    <tableColumn id="21" name="A_tx_pvls_D_targeted_pos"/>
    <tableColumn id="22" name="A_tx_pvls_D_undoctest_pos"/>
    <tableColumn id="23" name="A_check1"/>
    <tableColumn id="24" name="A_check2"/>
    <tableColumn id="25" name="D_tx_pvls_D_fy19"/>
    <tableColumn id="26" name="tx_pvls_D_u15_f_rtn"/>
    <tableColumn id="27" name="tx_pvls_D_u15_f_targeted"/>
    <tableColumn id="28" name="tx_pvls_D_u15_f_undoctest"/>
    <tableColumn id="29" name="tx_pvls_D_u15_m_rtn"/>
    <tableColumn id="30" name="tx_pvls_D_u15_m_targeted"/>
    <tableColumn id="31" name="tx_pvls_D_u15_m_undoctest"/>
    <tableColumn id="32" name="tx_pvls_D_o15_f_rtn"/>
    <tableColumn id="33" name="tx_pvls_D_o15_f_targeted"/>
    <tableColumn id="34" name="tx_pvls_D_o15_f_undoctest"/>
    <tableColumn id="35" name="tx_pvls_D_o15_m_rtn"/>
    <tableColumn id="36" name="tx_pvls_D_o15_m_targeted"/>
    <tableColumn id="37" name="tx_pvls_D_o15_m_undoctest"/>
    <tableColumn id="38" name="tx_pvls_D_rtn_pos"/>
    <tableColumn id="39" name="tx_pvls_D_targeted_pos"/>
    <tableColumn id="40" name="tx_pvls_D_undoctest_pos"/>
  </tableColumns>
</table>
</file>

<file path=xl/tables/table17.xml><?xml version="1.0" encoding="utf-8"?>
<table xmlns="http://schemas.openxmlformats.org/spreadsheetml/2006/main" id="17" name="tx_ret_T" displayName="tx_ret_T" ref="C6:AS7" headerRowCount="1" totalsRowCount="0" totalsRowShown="0">
  <autoFilter ref="C6:AS7"/>
  <tableColumns count="43">
    <tableColumn id="1" name="psnu"/>
    <tableColumn id="2" name="psnuuid"/>
    <tableColumn id="3" name="priority"/>
    <tableColumn id="4" name="mechid"/>
    <tableColumn id="5" name="mechname"/>
    <tableColumn id="6" name="type"/>
    <tableColumn id="7" name="psnu_type"/>
    <tableColumn id="8" name="A_tx_ret_D_u15_f_pos"/>
    <tableColumn id="9" name="A_tx_ret_D_u15_m_pos"/>
    <tableColumn id="10" name="A_tx_ret_D_o15_f_pos"/>
    <tableColumn id="11" name="A_tx_ret_D_o15_m_pos"/>
    <tableColumn id="12" name="A_tx_ret_D_bf_pos"/>
    <tableColumn id="13" name="A_tx_ret_D_preg_pos"/>
    <tableColumn id="14" name="A_tx_ret_u15_f_pos"/>
    <tableColumn id="15" name="A_tx_ret_u15_m_pos"/>
    <tableColumn id="16" name="A_tx_ret_o15_f_pos"/>
    <tableColumn id="17" name="A_tx_ret_o15_m_pos"/>
    <tableColumn id="18" name="A_tx_ret_bf_pos"/>
    <tableColumn id="19" name="A_tx_ret_preg_pos"/>
    <tableColumn id="20" name="A_check1"/>
    <tableColumn id="21" name="A_check2"/>
    <tableColumn id="22" name="A_check3"/>
    <tableColumn id="23" name="A_check4"/>
    <tableColumn id="24" name="A_check5"/>
    <tableColumn id="25" name="A_check6"/>
    <tableColumn id="26" name="D_tx_ret_D_fy19"/>
    <tableColumn id="27" name="D_tx_ret_u15_D_fy19"/>
    <tableColumn id="28" name="D_tx_ret_o15_D_fy19"/>
    <tableColumn id="29" name="D_tx_ret_fy19"/>
    <tableColumn id="30" name="D_tx_ret_u15_fy19"/>
    <tableColumn id="31" name="D_tx_ret_o15_fy19"/>
    <tableColumn id="32" name="tx_ret_D_u15_f_pos"/>
    <tableColumn id="33" name="tx_ret_D_u15_m_pos"/>
    <tableColumn id="34" name="tx_ret_D_o15_f_pos"/>
    <tableColumn id="35" name="tx_ret_D_o15_m_pos"/>
    <tableColumn id="36" name="tx_ret_D_bf_pos"/>
    <tableColumn id="37" name="tx_ret_D_preg_pos"/>
    <tableColumn id="38" name="tx_ret_u15_f_pos"/>
    <tableColumn id="39" name="tx_ret_u15_m_pos"/>
    <tableColumn id="40" name="tx_ret_o15_f_pos"/>
    <tableColumn id="41" name="tx_ret_o15_m_pos"/>
    <tableColumn id="42" name="tx_ret_bf_pos"/>
    <tableColumn id="43" name="tx_ret_preg_pos"/>
  </tableColumns>
</table>
</file>

<file path=xl/tables/table18.xml><?xml version="1.0" encoding="utf-8"?>
<table xmlns="http://schemas.openxmlformats.org/spreadsheetml/2006/main" id="18" name="tx_tb_T" displayName="tx_tb_T" ref="C6:AL7" headerRowCount="1" totalsRowCount="0" totalsRowShown="0">
  <autoFilter ref="C6:AL7"/>
  <tableColumns count="36">
    <tableColumn id="1" name="psnu"/>
    <tableColumn id="2" name="psnuuid"/>
    <tableColumn id="3" name="priority"/>
    <tableColumn id="4" name="mechid"/>
    <tableColumn id="5" name="mechname"/>
    <tableColumn id="6" name="type"/>
    <tableColumn id="7" name="psnu_type"/>
    <tableColumn id="8" name="A_tx_tb_D_u15_f_pos"/>
    <tableColumn id="9" name="A_tx_tb_D_u15_m_pos"/>
    <tableColumn id="10" name="A_tx_tb_D_o15_f_pos"/>
    <tableColumn id="11" name="A_tx_tb_D_o15_m_pos"/>
    <tableColumn id="12" name="A_tx_tb_D_sent_pos"/>
    <tableColumn id="13" name="A_tx_tb_D_oth_pos2"/>
    <tableColumn id="14" name="A_tx_tb_D_smear_pos"/>
    <tableColumn id="15" name="A_tx_tb_D_xpert_pos"/>
    <tableColumn id="16" name="A_tx_tb_D_life_already_scrn_neg_pos"/>
    <tableColumn id="17" name="A_tx_tb_D_life_already_scrn_pos_pos"/>
    <tableColumn id="18" name="A_tx_tb_D_life_new_scrn_neg_pos"/>
    <tableColumn id="19" name="A_tx_tb_D_life_new_scrn_pos_pos"/>
    <tableColumn id="20" name="A_check1"/>
    <tableColumn id="21" name="A_check2"/>
    <tableColumn id="22" name="A_check3"/>
    <tableColumn id="23" name="A_check4"/>
    <tableColumn id="24" name="D_tx_tb_D_fy19"/>
    <tableColumn id="25" name="tx_tb_D_u15_f_pos2"/>
    <tableColumn id="26" name="tx_tb_D_u15_m_pos"/>
    <tableColumn id="27" name="tx_tb_D_o15_f_pos"/>
    <tableColumn id="28" name="tx_tb_D_o15_m_pos"/>
    <tableColumn id="29" name="tx_tb_D_sent_pos"/>
    <tableColumn id="30" name="tx_tb_D_oth_pos"/>
    <tableColumn id="31" name="tx_tb_D_smear_pos"/>
    <tableColumn id="32" name="tx_tb_D_xpert_pos"/>
    <tableColumn id="33" name="tx_tb_D_life_already_scrn_neg_pos"/>
    <tableColumn id="34" name="tx_tb_D_life_already_scrn_pos_pos"/>
    <tableColumn id="35" name="tx_tb_D_life_new_scrn_neg_pos"/>
    <tableColumn id="36" name="tx_tb_D_life_new_scrn_pos_pos"/>
  </tableColumns>
</table>
</file>

<file path=xl/tables/table19.xml><?xml version="1.0" encoding="utf-8"?>
<table xmlns="http://schemas.openxmlformats.org/spreadsheetml/2006/main" id="19" name="vmmc_circ_T" displayName="vmmc_circ_T" ref="C6:AM7" headerRowCount="1" totalsRowCount="0" totalsRowShown="0">
  <autoFilter ref="C6:AM7"/>
  <tableColumns count="37">
    <tableColumn id="1" name="psnu"/>
    <tableColumn id="2" name="psnuuid"/>
    <tableColumn id="3" name="priority"/>
    <tableColumn id="4" name="mechid"/>
    <tableColumn id="5" name="mechname"/>
    <tableColumn id="6" name="type"/>
    <tableColumn id="7" name="psnu_type"/>
    <tableColumn id="8" name="A_vmmc_circ_1519_m"/>
    <tableColumn id="9" name="A_vmmc_circ_2024_m"/>
    <tableColumn id="10" name="A_vmmc_circ_2529_m"/>
    <tableColumn id="11" name="A_vmmc_circ_u02mo_m"/>
    <tableColumn id="12" name="A_vmmc_circ_02mo9_m"/>
    <tableColumn id="13" name="A_vmmc_circ_1014_m"/>
    <tableColumn id="14" name="A_vmmc_circ_3034_m"/>
    <tableColumn id="15" name="A_vmmc_circ_3539_m"/>
    <tableColumn id="16" name="A_vmmc_circ_4049_m"/>
    <tableColumn id="17" name="A_vmmc_circ_o50_m"/>
    <tableColumn id="18" name="A_vmmc_circ_device_m"/>
    <tableColumn id="19" name="A_vmmc_circ_surg_m"/>
    <tableColumn id="20" name="A_check1"/>
    <tableColumn id="21" name="A_check2"/>
    <tableColumn id="22" name="A_check3"/>
    <tableColumn id="23" name="D_vmmc_circ_fy19"/>
    <tableColumn id="24" name="D_vmmc_circ_1529_fy19"/>
    <tableColumn id="25" name="D_vmmc_circ_othage_fy19"/>
    <tableColumn id="26" name="vmmc_circ_1519_m"/>
    <tableColumn id="27" name="vmmc_circ_2024_m"/>
    <tableColumn id="28" name="vmmc_circ_2529_m"/>
    <tableColumn id="29" name="vmmc_circ_u02mo_m"/>
    <tableColumn id="30" name="vmmc_circ_02mo9_m"/>
    <tableColumn id="31" name="vmmc_circ_1014_m"/>
    <tableColumn id="32" name="vmmc_circ_3034_m"/>
    <tableColumn id="33" name="vmmc_circ_3539_m"/>
    <tableColumn id="34" name="vmmc_circ_4049_m"/>
    <tableColumn id="35" name="vmmc_circ_o50_m"/>
    <tableColumn id="36" name="vmmc_circ_device_m"/>
    <tableColumn id="37" name="vmmc_circ_surg_m"/>
  </tableColumns>
</table>
</file>

<file path=xl/tables/table2.xml><?xml version="1.0" encoding="utf-8"?>
<table xmlns="http://schemas.openxmlformats.org/spreadsheetml/2006/main" id="2" name="hts_self_T" displayName="hts_self_T" ref="C6:DA7" headerRowCount="1" totalsRowCount="0" totalsRowShown="0">
  <autoFilter ref="C6:DA7"/>
  <tableColumns count="103">
    <tableColumn id="1" name="psnu"/>
    <tableColumn id="2" name="psnuuid"/>
    <tableColumn id="3" name="priority"/>
    <tableColumn id="4" name="mechid"/>
    <tableColumn id="5" name="mechname"/>
    <tableColumn id="6" name="type"/>
    <tableColumn id="7" name="psnu_type"/>
    <tableColumn id="8" name="A_hts_self_1014_f_direct"/>
    <tableColumn id="9" name="A_hts_self_1014_f_unasst"/>
    <tableColumn id="10" name="A_hts_self_1014_m_direct"/>
    <tableColumn id="11" name="A_hts_self_1014_m_unasst"/>
    <tableColumn id="12" name="A_hts_self_1519_f_direct"/>
    <tableColumn id="13" name="A_hts_self_1519_f_unasst"/>
    <tableColumn id="14" name="A_hts_self_1519_m_direct"/>
    <tableColumn id="15" name="A_hts_self_1519_m_unasst"/>
    <tableColumn id="16" name="A_hts_self_2024_f_direct"/>
    <tableColumn id="17" name="A_hts_self_2024_f_unasst"/>
    <tableColumn id="18" name="A_hts_self_2024_m_direct"/>
    <tableColumn id="19" name="A_hts_self_2024_m_unasst"/>
    <tableColumn id="20" name="A_hts_self_2529_f_direct"/>
    <tableColumn id="21" name="A_hts_self_2529_f_unasst"/>
    <tableColumn id="22" name="A_hts_self_2529_m_direct"/>
    <tableColumn id="23" name="A_hts_self_2529_m_unasst"/>
    <tableColumn id="24" name="A_hts_self_3034_f_direct"/>
    <tableColumn id="25" name="A_hts_self_3034_f_unasst"/>
    <tableColumn id="26" name="A_hts_self_3034_m_direct"/>
    <tableColumn id="27" name="A_hts_self_3034_m_unasst"/>
    <tableColumn id="28" name="A_hts_self_3539_f_direct"/>
    <tableColumn id="29" name="A_hts_self_3539_f_unasst"/>
    <tableColumn id="30" name="A_hts_self_3539_m_direct"/>
    <tableColumn id="31" name="A_hts_self_3539_m_unasst"/>
    <tableColumn id="32" name="A_hts_self_4049_f_direct"/>
    <tableColumn id="33" name="A_hts_self_4049_f_unasst"/>
    <tableColumn id="34" name="A_hts_self_4049_m_direct"/>
    <tableColumn id="35" name="A_hts_self_4049_m_unasst"/>
    <tableColumn id="36" name="A_hts_self_o50_f_direct"/>
    <tableColumn id="37" name="A_hts_self_o50_f_unasst"/>
    <tableColumn id="38" name="A_hts_self_o50_m_direct"/>
    <tableColumn id="39" name="A_hts_self_o50_m_unasst"/>
    <tableColumn id="40" name="A_hts_self_unasst_oth"/>
    <tableColumn id="41" name="A_hts_self_unasst_self"/>
    <tableColumn id="42" name="A_hts_self_unasst_partner"/>
    <tableColumn id="43" name="A_hts_self_fsw_direct"/>
    <tableColumn id="44" name="A_hts_self_fsw_unasst"/>
    <tableColumn id="45" name="A_hts_self_msm_direct"/>
    <tableColumn id="46" name="A_hts_self_msm_unasst"/>
    <tableColumn id="47" name="A_hts_self_prison_direct"/>
    <tableColumn id="48" name="A_hts_self_prison_unasst"/>
    <tableColumn id="49" name="A_hts_self_pwid_direct"/>
    <tableColumn id="50" name="A_hts_self_pwid_unasst"/>
    <tableColumn id="51" name="A_hts_self_tg_direct"/>
    <tableColumn id="52" name="A_hts_self_tg_unasst"/>
    <tableColumn id="53" name="A_check1"/>
    <tableColumn id="54" name="A_check2"/>
    <tableColumn id="55" name="A_check3"/>
    <tableColumn id="56" name="D_hts_self_fy19"/>
    <tableColumn id="57" name="hts_self_1014_f_direct"/>
    <tableColumn id="58" name="hts_self_1014_f_unasst"/>
    <tableColumn id="59" name="hts_self_1014_m_direct"/>
    <tableColumn id="60" name="hts_self_1014_m_unasst"/>
    <tableColumn id="61" name="hts_self_1519_f_direct"/>
    <tableColumn id="62" name="hts_self_1519_f_unasst"/>
    <tableColumn id="63" name="hts_self_1519_m_direct"/>
    <tableColumn id="64" name="hts_self_1519_m_unasst"/>
    <tableColumn id="65" name="hts_self_2024_f_direct"/>
    <tableColumn id="66" name="hts_self_2024_f_unasst"/>
    <tableColumn id="67" name="hts_self_2024_m_direct"/>
    <tableColumn id="68" name="hts_self_2024_m_unasst"/>
    <tableColumn id="69" name="hts_self_2529_f_direct"/>
    <tableColumn id="70" name="hts_self_2529_f_unasst"/>
    <tableColumn id="71" name="hts_self_2529_m_direct"/>
    <tableColumn id="72" name="hts_self_2529_m_unasst"/>
    <tableColumn id="73" name="hts_self_3034_f_direct"/>
    <tableColumn id="74" name="hts_self_3034_f_unasst"/>
    <tableColumn id="75" name="hts_self_3034_m_direct"/>
    <tableColumn id="76" name="hts_self_3034_m_unasst"/>
    <tableColumn id="77" name="hts_self_3539_f_direct"/>
    <tableColumn id="78" name="hts_self_3539_f_unasst"/>
    <tableColumn id="79" name="hts_self_3539_m_direct"/>
    <tableColumn id="80" name="hts_self_3539_m_unasst"/>
    <tableColumn id="81" name="hts_self_4049_f_direct"/>
    <tableColumn id="82" name="hts_self_4049_f_unasst"/>
    <tableColumn id="83" name="hts_self_4049_m_direct"/>
    <tableColumn id="84" name="hts_self_4049_m_unasst"/>
    <tableColumn id="85" name="hts_self_o50_f_direct"/>
    <tableColumn id="86" name="hts_self_o50_f_unasst"/>
    <tableColumn id="87" name="hts_self_o50_m_direct"/>
    <tableColumn id="88" name="hts_self_o50_m_unasst"/>
    <tableColumn id="89" name="hts_self_direct"/>
    <tableColumn id="90" name="hts_self_unasst"/>
    <tableColumn id="91" name="hts_self_unasst_oth"/>
    <tableColumn id="92" name="hts_self_unasst_self"/>
    <tableColumn id="93" name="hts_self_unasst_partner"/>
    <tableColumn id="94" name="hts_self_fsw_direct"/>
    <tableColumn id="95" name="hts_self_fsw_unasst"/>
    <tableColumn id="96" name="hts_self_msm_direct"/>
    <tableColumn id="97" name="hts_self_msm_unasst"/>
    <tableColumn id="98" name="hts_self_prison_direct"/>
    <tableColumn id="99" name="hts_self_prison_unasst"/>
    <tableColumn id="100" name="hts_self_pwid_direct"/>
    <tableColumn id="101" name="hts_self_pwid_unasst"/>
    <tableColumn id="102" name="hts_self_tg_direct"/>
    <tableColumn id="103" name="hts_self_tg_unasst"/>
  </tableColumns>
</table>
</file>

<file path=xl/tables/table3.xml><?xml version="1.0" encoding="utf-8"?>
<table xmlns="http://schemas.openxmlformats.org/spreadsheetml/2006/main" id="3" name="impatt" displayName="impatt" ref="C6:F7" headerRowCount="1" totalsRowCount="0" totalsRowShown="0">
  <autoFilter ref="C6:F7"/>
  <tableColumns count="4">
    <tableColumn id="1" name="psnu"/>
    <tableColumn id="2" name="psnuuid"/>
    <tableColumn id="3" name="snu_priotization_fy19"/>
    <tableColumn id="4" name="plhiv_fy19"/>
  </tableColumns>
</table>
</file>

<file path=xl/tables/table4.xml><?xml version="1.0" encoding="utf-8"?>
<table xmlns="http://schemas.openxmlformats.org/spreadsheetml/2006/main" id="4" name="mech_followons" displayName="mech_followons" ref="C4:E5" headerRowCount="1" totalsRowCount="0" totalsRowShown="0">
  <tableColumns count="3">
    <tableColumn id="1" name="Closing Out"/>
    <tableColumn id="2" name="Follow on"/>
    <tableColumn id="3" name="Notes"/>
  </tableColumns>
</table>
</file>

<file path=xl/tables/table5.xml><?xml version="1.0" encoding="utf-8"?>
<table xmlns="http://schemas.openxmlformats.org/spreadsheetml/2006/main" id="5" name="oth_T" displayName="oth_T" ref="C6:X7" headerRowCount="1" totalsRowCount="0" totalsRowShown="0">
  <autoFilter ref="C6:X7"/>
  <tableColumns count="22">
    <tableColumn id="1" name="psnu"/>
    <tableColumn id="2" name="psnuuid"/>
    <tableColumn id="3" name="priority"/>
    <tableColumn id="4" name="mechid"/>
    <tableColumn id="5" name="mechname"/>
    <tableColumn id="6" name="type"/>
    <tableColumn id="7" name="psnu_type"/>
    <tableColumn id="8" name="kp_prev_f_pwid"/>
    <tableColumn id="9" name="kp_prev_fsw"/>
    <tableColumn id="10" name="kp_prev_m_pwid"/>
    <tableColumn id="11" name="kp_prev_msm_notsw"/>
    <tableColumn id="12" name="kp_prev_msm_sw"/>
    <tableColumn id="13" name="kp_prev_prison"/>
    <tableColumn id="14" name="kp_prev_tg_notsw"/>
    <tableColumn id="15" name="kp_prev_tg_sw"/>
    <tableColumn id="16" name="kp_mat_f"/>
    <tableColumn id="17" name="kp_mat_m"/>
    <tableColumn id="18" name="ovc_hivstat"/>
    <tableColumn id="19" name="D_pmtct_art_already_fy19"/>
    <tableColumn id="20" name="D_pmtct_art_new_fy19"/>
    <tableColumn id="21" name="D_pmtct_eid_u2mo_fy19 "/>
    <tableColumn id="22" name="D_pmtct_eid_o2mo_fy19"/>
  </tableColumns>
</table>
</file>

<file path=xl/tables/table6.xml><?xml version="1.0" encoding="utf-8"?>
<table xmlns="http://schemas.openxmlformats.org/spreadsheetml/2006/main" id="6" name="ovc_serv_T" displayName="ovc_serv_T" ref="C6:ER7" headerRowCount="1" totalsRowCount="0" totalsRowShown="0">
  <autoFilter ref="C6:ER7"/>
  <tableColumns count="146">
    <tableColumn id="1" name="psnu"/>
    <tableColumn id="2" name="psnuuid"/>
    <tableColumn id="3" name="priority"/>
    <tableColumn id="4" name="mechid"/>
    <tableColumn id="5" name="mechname"/>
    <tableColumn id="6" name="type"/>
    <tableColumn id="7" name="psnu_type"/>
    <tableColumn id="8" name="A_ovc_serv_u1_unk"/>
    <tableColumn id="9" name="A_ovc_serv_0109_unk"/>
    <tableColumn id="10" name="A_ovc_serv_1014_f"/>
    <tableColumn id="11" name="A_ovc_serv_1014_m"/>
    <tableColumn id="12" name="A_ovc_serv_1517_f"/>
    <tableColumn id="13" name="A_ovc_serv_1517_m"/>
    <tableColumn id="14" name="A_ovc_serv_1824_f"/>
    <tableColumn id="15" name="A_ovc_serv_1824_m"/>
    <tableColumn id="16" name="A_ovc_serv_o25_f"/>
    <tableColumn id="17" name="A_ovc_serv_o25_m"/>
    <tableColumn id="18" name="A_ovc_serv_u1_unk_econ"/>
    <tableColumn id="19" name="A_ovc_serv_0109_unk_econ"/>
    <tableColumn id="20" name="A_ovc_serv_1014_f_econ"/>
    <tableColumn id="21" name="A_ovc_serv_1014_m_econ"/>
    <tableColumn id="22" name="A_ovc_serv_1517_f_econ"/>
    <tableColumn id="23" name="A_ovc_serv_1517_m_econ"/>
    <tableColumn id="24" name="A_ovc_serv_1824_f_econ"/>
    <tableColumn id="25" name="A_ovc_serv_1824_m_econ"/>
    <tableColumn id="26" name="A_ovc_serv_o25_f_econ"/>
    <tableColumn id="27" name="A_ovc_serv_o25_m_econ"/>
    <tableColumn id="28" name="A_ovc_serv_u1_unk_edu"/>
    <tableColumn id="29" name="A_ovc_serv_0109_unk_edu"/>
    <tableColumn id="30" name="A_ovc_serv_1014_f_edu"/>
    <tableColumn id="31" name="A_ovc_serv_1014_m_edu"/>
    <tableColumn id="32" name="A_ovc_serv_1517_f_edu"/>
    <tableColumn id="33" name="A_ovc_serv_1517_m_edu"/>
    <tableColumn id="34" name="A_ovc_serv_1824_f_edu"/>
    <tableColumn id="35" name="A_ovc_serv_1824_m_edu"/>
    <tableColumn id="36" name="A_ovc_serv_o25_f_edu"/>
    <tableColumn id="37" name="A_ovc_serv_o25_m_edu"/>
    <tableColumn id="38" name="A_ovc_serv_u1_unk_oth"/>
    <tableColumn id="39" name="A_ovc_serv_0109_unk_oth"/>
    <tableColumn id="40" name="A_ovc_serv_1014_f_oth"/>
    <tableColumn id="41" name="A_ovc_serv_1014_m_oth"/>
    <tableColumn id="42" name="A_ovc_serv_1517_f_oth"/>
    <tableColumn id="43" name="A_ovc_serv_1517_m_oth"/>
    <tableColumn id="44" name="A_ovc_serv_1824_f_oth"/>
    <tableColumn id="45" name="A_ovc_serv_1824_m_oth"/>
    <tableColumn id="46" name="A_ovc_serv_o25_f_oth"/>
    <tableColumn id="47" name="A_ovc_serv_o25_m_oth"/>
    <tableColumn id="48" name="A_ovc_serv_u1_unk_care"/>
    <tableColumn id="49" name="A_ovc_serv_0109_unk_care"/>
    <tableColumn id="50" name="A_ovc_serv_1014_f_care"/>
    <tableColumn id="51" name="A_ovc_serv_1014_m_care"/>
    <tableColumn id="52" name="A_ovc_serv_1517_f_care"/>
    <tableColumn id="53" name="A_ovc_serv_1517_m_care"/>
    <tableColumn id="54" name="A_ovc_serv_1824_f_care"/>
    <tableColumn id="55" name="A_ovc_serv_1824_m_care"/>
    <tableColumn id="56" name="A_ovc_serv_o25_f_care"/>
    <tableColumn id="57" name="A_ovc_serv_o25_m_care"/>
    <tableColumn id="58" name="A_ovc_serv_u1_unk_sp"/>
    <tableColumn id="59" name="A_ovc_serv_0109_unk_sp"/>
    <tableColumn id="60" name="A_ovc_serv_1014_f_sp"/>
    <tableColumn id="61" name="A_ovc_serv_1014_m_sp"/>
    <tableColumn id="62" name="A_ovc_serv_1517_f_sp"/>
    <tableColumn id="63" name="A_ovc_serv_1517_m_sp"/>
    <tableColumn id="64" name="A_ovc_serv_1824_f_sp"/>
    <tableColumn id="65" name="A_ovc_serv_1824_m_sp"/>
    <tableColumn id="66" name="A_ovc_serv_o25_f_sp"/>
    <tableColumn id="67" name="A_ovc_serv_o25_m_sp"/>
    <tableColumn id="68" name="A_check1"/>
    <tableColumn id="69" name="A_check2"/>
    <tableColumn id="70" name="A_check3"/>
    <tableColumn id="71" name="A_check4"/>
    <tableColumn id="72" name="A_check5"/>
    <tableColumn id="73" name="A_check6"/>
    <tableColumn id="74" name="A_check7"/>
    <tableColumn id="75" name="D_ovc_serv_fy19"/>
    <tableColumn id="76" name="D_ovc_serv_u18_fy19"/>
    <tableColumn id="77" name="D_ovc_serv_o18_fy19"/>
    <tableColumn id="78" name="D_ovc_serv_edu_fy19"/>
    <tableColumn id="79" name="D_ovc_serv_care_fy19"/>
    <tableColumn id="80" name="D_ovc_serv_sp_fy19"/>
    <tableColumn id="81" name="D_ovc_serv_econ_fy19"/>
    <tableColumn id="82" name="D_ovc_serv_oth_fy19"/>
    <tableColumn id="83" name="D_ovc_serv_grad_fy19"/>
    <tableColumn id="84" name="D_ovc_serv_trans_fy19"/>
    <tableColumn id="85" name="D_ovc_serv_exited_fy19"/>
    <tableColumn id="86" name="D_ovc_serv_active_fy19"/>
    <tableColumn id="87" name="ovc_serv_u1_unk"/>
    <tableColumn id="88" name="ovc_serv_0109_unk"/>
    <tableColumn id="89" name="ovc_serv_1014_f"/>
    <tableColumn id="90" name="ovc_serv_1014_m"/>
    <tableColumn id="91" name="ovc_serv_1517_f"/>
    <tableColumn id="92" name="ovc_serv_1517_m"/>
    <tableColumn id="93" name="ovc_serv_1824_f"/>
    <tableColumn id="94" name="ovc_serv_1824_m"/>
    <tableColumn id="95" name="ovc_serv_o25_f"/>
    <tableColumn id="96" name="ovc_serv_o25_m"/>
    <tableColumn id="97" name="ovc_serv_u1_unk_econ"/>
    <tableColumn id="98" name="ovc_serv_0109_unk_econ"/>
    <tableColumn id="99" name="ovc_serv_1014_f_econ"/>
    <tableColumn id="100" name="ovc_serv_1014_m_econ"/>
    <tableColumn id="101" name="ovc_serv_1517_f_econ"/>
    <tableColumn id="102" name="ovc_serv_1517_m_econ"/>
    <tableColumn id="103" name="ovc_serv_1824_f_econ"/>
    <tableColumn id="104" name="ovc_serv_1824_m_econ"/>
    <tableColumn id="105" name="ovc_serv_o25_f_econ"/>
    <tableColumn id="106" name="ovc_serv_o25_m_econ"/>
    <tableColumn id="107" name="ovc_serv_u1_unk_edu"/>
    <tableColumn id="108" name="ovc_serv_0109_unk_edu"/>
    <tableColumn id="109" name="ovc_serv_1014_f_edu"/>
    <tableColumn id="110" name="ovc_serv_1014_m_edu"/>
    <tableColumn id="111" name="ovc_serv_1517_f_edu"/>
    <tableColumn id="112" name="ovc_serv_1517_m_edu"/>
    <tableColumn id="113" name="ovc_serv_1824_f_edu"/>
    <tableColumn id="114" name="ovc_serv_1824_m_edu"/>
    <tableColumn id="115" name="ovc_serv_o25_f_edu"/>
    <tableColumn id="116" name="ovc_serv_o25_m_edu"/>
    <tableColumn id="117" name="ovc_serv_u1_unk_oth"/>
    <tableColumn id="118" name="ovc_serv_0109_unk_oth"/>
    <tableColumn id="119" name="ovc_serv_1014_f_oth"/>
    <tableColumn id="120" name="ovc_serv_1014_m_oth"/>
    <tableColumn id="121" name="ovc_serv_1517_f_oth"/>
    <tableColumn id="122" name="ovc_serv_1517_m_oth"/>
    <tableColumn id="123" name="ovc_serv_1824_f_oth"/>
    <tableColumn id="124" name="ovc_serv_1824_m_oth"/>
    <tableColumn id="125" name="ovc_serv_o25_f_oth"/>
    <tableColumn id="126" name="ovc_serv_o25_m_oth"/>
    <tableColumn id="127" name="ovc_serv_u1_unk_care"/>
    <tableColumn id="128" name="ovc_serv_0109_unk_care"/>
    <tableColumn id="129" name="ovc_serv_1014_f_care"/>
    <tableColumn id="130" name="ovc_serv_1014_m_care"/>
    <tableColumn id="131" name="ovc_serv_1517_f_care"/>
    <tableColumn id="132" name="ovc_serv_1517_m_care"/>
    <tableColumn id="133" name="ovc_serv_1824_f_care"/>
    <tableColumn id="134" name="ovc_serv_1824_m_care"/>
    <tableColumn id="135" name="ovc_serv_o25_f_care"/>
    <tableColumn id="136" name="ovc_serv_o25_m_care"/>
    <tableColumn id="137" name="ovc_serv_u1_unk_sp"/>
    <tableColumn id="138" name="ovc_serv_0109_unk_sp"/>
    <tableColumn id="139" name="ovc_serv_1014_f_sp"/>
    <tableColumn id="140" name="ovc_serv_1014_m_sp"/>
    <tableColumn id="141" name="ovc_serv_1517_f_sp"/>
    <tableColumn id="142" name="ovc_serv_1517_m_sp"/>
    <tableColumn id="143" name="ovc_serv_1824_f_sp"/>
    <tableColumn id="144" name="ovc_serv_1824_m_sp"/>
    <tableColumn id="145" name="ovc_serv_o25_f_sp"/>
    <tableColumn id="146" name="ovc_serv_o25_m_sp"/>
  </tableColumns>
</table>
</file>

<file path=xl/tables/table7.xml><?xml version="1.0" encoding="utf-8"?>
<table xmlns="http://schemas.openxmlformats.org/spreadsheetml/2006/main" id="7" name="pmtct_stat_T" displayName="pmtct_stat_T" ref="C6:CU7" headerRowCount="1" totalsRowCount="0" totalsRowShown="0">
  <autoFilter ref="C6:CU7"/>
  <tableColumns count="97">
    <tableColumn id="1" name="psnu"/>
    <tableColumn id="2" name="psnuuid"/>
    <tableColumn id="3" name="priority"/>
    <tableColumn id="4" name="mechid"/>
    <tableColumn id="5" name="mechname"/>
    <tableColumn id="6" name="type"/>
    <tableColumn id="7" name="psnu_type"/>
    <tableColumn id="8" name="A_pmtct_stat_D_u10_f"/>
    <tableColumn id="9" name="A_pmtct_stat_D_1014_f"/>
    <tableColumn id="10" name="A_pmtct_stat_D_1519_f"/>
    <tableColumn id="11" name="A_pmtct_stat_D_2024_f"/>
    <tableColumn id="12" name="A_pmtct_stat_D_2529_f"/>
    <tableColumn id="13" name="A_pmtct_stat_D_3034_f"/>
    <tableColumn id="14" name="A_pmtct_stat_D_3539_f"/>
    <tableColumn id="15" name="A_pmtct_stat_D_4049_f"/>
    <tableColumn id="16" name="A_pmtct_stat_D_o50_f"/>
    <tableColumn id="17" name="A_pmtct_stat_u10_f_known"/>
    <tableColumn id="18" name="A_pmtct_stat_1014_f_known"/>
    <tableColumn id="19" name="A_pmtct_stat_1519_f_known"/>
    <tableColumn id="20" name="A_pmtct_stat_2024_f_known"/>
    <tableColumn id="21" name="A_pmtct_stat_2529_f_known"/>
    <tableColumn id="22" name="A_pmtct_stat_3034_f_known"/>
    <tableColumn id="23" name="A_pmtct_stat_3539_f_known"/>
    <tableColumn id="24" name="A_pmtct_stat_4049_f_known"/>
    <tableColumn id="25" name="A_pmtct_stat_o50_f_known"/>
    <tableColumn id="26" name="A_pmtct_stat_u10_f_newneg"/>
    <tableColumn id="27" name="A_pmtct_stat_1014_f_newneg"/>
    <tableColumn id="28" name="A_pmtct_stat_1519_f_newneg"/>
    <tableColumn id="29" name="A_pmtct_stat_2024_f_newneg"/>
    <tableColumn id="30" name="A_pmtct_stat_2529_f_newneg"/>
    <tableColumn id="31" name="A_pmtct_stat_3034_f_newneg"/>
    <tableColumn id="32" name="A_pmtct_stat_3539_f_newneg"/>
    <tableColumn id="33" name="A_pmtct_stat_4049_f_newneg"/>
    <tableColumn id="34" name="A_pmtct_stat_o50_f_newneg"/>
    <tableColumn id="35" name="A_pmtct_stat_u10_f_newpos"/>
    <tableColumn id="36" name="A_pmtct_stat_1014_f_newpos"/>
    <tableColumn id="37" name="A_pmtct_stat_1519_f_newpos"/>
    <tableColumn id="38" name="A_pmtct_stat_2024_f_newpos"/>
    <tableColumn id="39" name="A_pmtct_stat_2529_f_newpos"/>
    <tableColumn id="40" name="A_pmtct_stat_3034_f_newpos"/>
    <tableColumn id="41" name="A_pmtct_stat_3539_f_newpos"/>
    <tableColumn id="42" name="A_pmtct_stat_4049_f_newpos"/>
    <tableColumn id="43" name="A_pmtct_stat_o50_f_newpos"/>
    <tableColumn id="44" name="A_check1"/>
    <tableColumn id="45" name="A_check2"/>
    <tableColumn id="46" name="A_check3"/>
    <tableColumn id="47" name="A_check4"/>
    <tableColumn id="48" name="D_pmtct_stat_D_fy19"/>
    <tableColumn id="49" name="D_pmtct_stat_fy19"/>
    <tableColumn id="50" name="D_pmtct_stat_known_fy19"/>
    <tableColumn id="51" name="D_pmtct_stat_newneg_fy19"/>
    <tableColumn id="52" name="D_pmtct_stat_newpos_fy19"/>
    <tableColumn id="53" name="pmtct_stat_D_u10_f"/>
    <tableColumn id="54" name="pmtct_stat_D_1014_f"/>
    <tableColumn id="55" name="pmtct_stat_D_1519_f"/>
    <tableColumn id="56" name="pmtct_stat_D_2024_f"/>
    <tableColumn id="57" name="pmtct_stat_D_2529_f"/>
    <tableColumn id="58" name="pmtct_stat_D_3034_f"/>
    <tableColumn id="59" name="pmtct_stat_D_3539_f"/>
    <tableColumn id="60" name="pmtct_stat_D_4049_f"/>
    <tableColumn id="61" name="pmtct_stat_D_o50_f"/>
    <tableColumn id="62" name="pmtct_stat_u10_f"/>
    <tableColumn id="63" name="pmtct_stat_1014_f"/>
    <tableColumn id="64" name="pmtct_stat_1519_f"/>
    <tableColumn id="65" name="pmtct_stat_2024_f"/>
    <tableColumn id="66" name="pmtct_stat_2529_f"/>
    <tableColumn id="67" name="pmtct_stat_3034_f"/>
    <tableColumn id="68" name="pmtct_stat_3539_f"/>
    <tableColumn id="69" name="pmtct_stat_4049_f"/>
    <tableColumn id="70" name="pmtct_stat_o50_f"/>
    <tableColumn id="71" name="pmtct_stat_u10_f_known"/>
    <tableColumn id="72" name="pmtct_stat_1014_f_known"/>
    <tableColumn id="73" name="pmtct_stat_1519_f_known"/>
    <tableColumn id="74" name="pmtct_stat_2024_f_known"/>
    <tableColumn id="75" name="pmtct_stat_2529_f_known"/>
    <tableColumn id="76" name="pmtct_stat_3034_f_known"/>
    <tableColumn id="77" name="pmtct_stat_3539_f_known"/>
    <tableColumn id="78" name="pmtct_stat_4049_f_known"/>
    <tableColumn id="79" name="pmtct_stat_o50_f_known"/>
    <tableColumn id="80" name="pmtct_stat_u10_f_newneg"/>
    <tableColumn id="81" name="pmtct_stat_1014_f_newneg"/>
    <tableColumn id="82" name="pmtct_stat_1519_f_newneg"/>
    <tableColumn id="83" name="pmtct_stat_2024_f_newneg"/>
    <tableColumn id="84" name="pmtct_stat_2529_f_newneg"/>
    <tableColumn id="85" name="pmtct_stat_3034_f_newneg"/>
    <tableColumn id="86" name="pmtct_stat_3539_f_newneg"/>
    <tableColumn id="87" name="pmtct_stat_4049_f_newneg"/>
    <tableColumn id="88" name="pmtct_stat_o50_f_newneg"/>
    <tableColumn id="89" name="pmtct_stat_u10_f_newpos"/>
    <tableColumn id="90" name="pmtct_stat_1014_f_newpos"/>
    <tableColumn id="91" name="pmtct_stat_1519_f_newpos"/>
    <tableColumn id="92" name="pmtct_stat_2024_f_newpos"/>
    <tableColumn id="93" name="pmtct_stat_2529_f_newpos"/>
    <tableColumn id="94" name="pmtct_stat_3034_f_newpos"/>
    <tableColumn id="95" name="pmtct_stat_3539_f_newpos"/>
    <tableColumn id="96" name="pmtct_stat_4049_f_newpos"/>
    <tableColumn id="97" name="pmtct_stat_o50_f_newpos"/>
  </tableColumns>
</table>
</file>

<file path=xl/tables/table8.xml><?xml version="1.0" encoding="utf-8"?>
<table xmlns="http://schemas.openxmlformats.org/spreadsheetml/2006/main" id="8" name="pp_prev_T" displayName="pp_prev_T" ref="C6:AQ7" headerRowCount="1" totalsRowCount="0" totalsRowShown="0">
  <autoFilter ref="C6:AQ7"/>
  <tableColumns count="41">
    <tableColumn id="1" name="psnu"/>
    <tableColumn id="2" name="psnuuid"/>
    <tableColumn id="3" name="priority"/>
    <tableColumn id="4" name="mechid"/>
    <tableColumn id="5" name="mechname"/>
    <tableColumn id="6" name="type"/>
    <tableColumn id="7" name="psnu_type"/>
    <tableColumn id="8" name="A_pp_prev_1014_f"/>
    <tableColumn id="9" name="A_pp_prev_1014_m"/>
    <tableColumn id="10" name="A_pp_prev_1519_f"/>
    <tableColumn id="11" name="A_pp_prev_1519_m"/>
    <tableColumn id="12" name="A_pp_prev_2024_f"/>
    <tableColumn id="13" name="A_pp_prev_2024_m"/>
    <tableColumn id="14" name="A_pp_prev_2529_f"/>
    <tableColumn id="15" name="A_pp_prev_2529_m"/>
    <tableColumn id="16" name="A_pp_prev_3034_f"/>
    <tableColumn id="17" name="A_pp_prev_3034_m"/>
    <tableColumn id="18" name="A_pp_prev_3539_f"/>
    <tableColumn id="19" name="A_pp_prev_3539_m"/>
    <tableColumn id="20" name="A_pp_prev_4049_f"/>
    <tableColumn id="21" name="A_pp_prev_4049_m"/>
    <tableColumn id="22" name="A_pp_prev_o50_f"/>
    <tableColumn id="23" name="A_pp_prev_o50_m"/>
    <tableColumn id="24" name="A_check1"/>
    <tableColumn id="25" name="D_pp_prev_fy19"/>
    <tableColumn id="26" name="pp_prev_1014_f"/>
    <tableColumn id="27" name="pp_prev_1014_m"/>
    <tableColumn id="28" name="pp_prev_1519_f"/>
    <tableColumn id="29" name="pp_prev_1519_m"/>
    <tableColumn id="30" name="pp_prev_2024_f"/>
    <tableColumn id="31" name="pp_prev_2024_m"/>
    <tableColumn id="32" name="pp_prev_2529_f"/>
    <tableColumn id="33" name="pp_prev_2529_m"/>
    <tableColumn id="34" name="pp_prev_3034_f"/>
    <tableColumn id="35" name="pp_prev_3034_m"/>
    <tableColumn id="36" name="pp_prev_3539_f"/>
    <tableColumn id="37" name="pp_prev_3539_m"/>
    <tableColumn id="38" name="pp_prev_4049_f"/>
    <tableColumn id="39" name="pp_prev_4049_m"/>
    <tableColumn id="40" name="pp_prev_o50_f"/>
    <tableColumn id="41" name="pp_prev_o50_m"/>
  </tableColumns>
</table>
</file>

<file path=xl/tables/table9.xml><?xml version="1.0" encoding="utf-8"?>
<table xmlns="http://schemas.openxmlformats.org/spreadsheetml/2006/main" id="9" name="prep_new_T" displayName="prep_new_T" ref="C6:AV7" headerRowCount="1" totalsRowCount="0" totalsRowShown="0">
  <autoFilter ref="C6:AV7"/>
  <tableColumns count="46">
    <tableColumn id="1" name="psnu"/>
    <tableColumn id="2" name="psnuuid"/>
    <tableColumn id="3" name="priority"/>
    <tableColumn id="4" name="mechid"/>
    <tableColumn id="5" name="mechname"/>
    <tableColumn id="6" name="type"/>
    <tableColumn id="7" name="psnu_type"/>
    <tableColumn id="8" name="A_prep_new_1519_f"/>
    <tableColumn id="9" name="A_prep_new_1519_m"/>
    <tableColumn id="10" name="A_prep_new_2024_f"/>
    <tableColumn id="11" name="A_prep_new_2024_m"/>
    <tableColumn id="12" name="A_prep_new_2529_f"/>
    <tableColumn id="13" name="A_prep_new_2529_m"/>
    <tableColumn id="14" name="A_prep_new_3034_f"/>
    <tableColumn id="15" name="A_prep_new_3034_m"/>
    <tableColumn id="16" name="A_prep_new_3539_f"/>
    <tableColumn id="17" name="A_prep_new_3539_m"/>
    <tableColumn id="18" name="A_prep_new_4049_f"/>
    <tableColumn id="19" name="A_prep_new_4049_m"/>
    <tableColumn id="20" name="A_prep_new_o50_f"/>
    <tableColumn id="21" name="A_prep_new_o50_m"/>
    <tableColumn id="22" name="A_prep_new_fsw"/>
    <tableColumn id="23" name="A_prep_new_msm"/>
    <tableColumn id="24" name="A_prep_new_oth_kp"/>
    <tableColumn id="25" name="A_prep_new_tg"/>
    <tableColumn id="26" name="A_check1"/>
    <tableColumn id="27" name="A_check2"/>
    <tableColumn id="28" name="D_prep_new_fy19"/>
    <tableColumn id="29" name="prep_new_1519_f"/>
    <tableColumn id="30" name="prep_new_1519_m"/>
    <tableColumn id="31" name="prep_new_2024_f"/>
    <tableColumn id="32" name="prep_new_2024_m"/>
    <tableColumn id="33" name="prep_new_2529_f"/>
    <tableColumn id="34" name="prep_new_2529_m"/>
    <tableColumn id="35" name="prep_new_3034_f"/>
    <tableColumn id="36" name="prep_new_3034_m"/>
    <tableColumn id="37" name="prep_new_3539_f"/>
    <tableColumn id="38" name="prep_new_3539_m"/>
    <tableColumn id="39" name="prep_new_4049_f"/>
    <tableColumn id="40" name="prep_new_4049_m"/>
    <tableColumn id="41" name="prep_new_o50_f"/>
    <tableColumn id="42" name="prep_new_o50_m"/>
    <tableColumn id="43" name="prep_new_fsw"/>
    <tableColumn id="44" name="prep_new_msm"/>
    <tableColumn id="45" name="prep_new_oth_kp"/>
    <tableColumn id="46" name="prep_new_tg"/>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6.xml"/>
</Relationships>
</file>

<file path=xl/worksheets/_rels/sheet11.xml.rels><?xml version="1.0" encoding="UTF-8"?>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7.xml"/>
</Relationships>
</file>

<file path=xl/worksheets/_rels/sheet12.xml.rels><?xml version="1.0" encoding="UTF-8"?>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8.xml"/>
</Relationships>
</file>

<file path=xl/worksheets/_rels/sheet13.xml.rels><?xml version="1.0" encoding="UTF-8"?>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9.xml"/>
</Relationships>
</file>

<file path=xl/worksheets/_rels/sheet14.xml.rels><?xml version="1.0" encoding="UTF-8"?>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3.xml"/>
</Relationships>
</file>

<file path=xl/worksheets/_rels/sheet15.xml.rels><?xml version="1.0" encoding="UTF-8"?>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1.xml"/>
</Relationships>
</file>

<file path=xl/worksheets/_rels/sheet16.xml.rels><?xml version="1.0" encoding="UTF-8"?>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2.xml"/>
</Relationships>
</file>

<file path=xl/worksheets/_rels/sheet17.xml.rels><?xml version="1.0" encoding="UTF-8"?>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
</Relationships>
</file>

<file path=xl/worksheets/_rels/sheet18.xml.rels><?xml version="1.0" encoding="UTF-8"?>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
</Relationships>
</file>

<file path=xl/worksheets/_rels/sheet19.xml.rels><?xml version="1.0" encoding="UTF-8"?>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
</Relationships>
</file>

<file path=xl/worksheets/_rels/sheet21.xml.rels><?xml version="1.0" encoding="UTF-8"?>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
</Relationships>
</file>

<file path=xl/worksheets/_rels/sheet22.xml.rels><?xml version="1.0" encoding="UTF-8"?>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
</Relationships>
</file>

<file path=xl/worksheets/_rels/sheet23.xml.rels><?xml version="1.0" encoding="UTF-8"?>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5.xml"/>
</Relationships>
</file>

<file path=xl/worksheets/_rels/sheet24.xml.rels><?xml version="1.0" encoding="UTF-8"?>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3.xml"/>
</Relationships>
</file>

<file path=xl/worksheets/_rels/sheet25.xml.rels><?xml version="1.0" encoding="UTF-8"?>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4.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10.xml"/>
</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1.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tabColor rgb="FFB1A089"/>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D38" activeCellId="0" sqref="D38"/>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R11"/>
  <sheetViews>
    <sheetView windowProtection="true" showFormulas="false" showGridLines="false" showRowColHeaders="true" showZeros="true" rightToLeft="false" tabSelected="false" showOutlineSymbols="true" defaultGridColor="true" view="normal" topLeftCell="I1" colorId="64" zoomScale="85" zoomScaleNormal="85" zoomScalePageLayoutView="100" workbookViewId="0">
      <pane xSplit="0" ySplit="4" topLeftCell="A5" activePane="bottomLeft" state="frozen"/>
      <selection pane="topLeft" activeCell="I1" activeCellId="0" sqref="I1"/>
      <selection pane="bottomLeft" activeCell="C4" activeCellId="0" sqref="C4"/>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76" min="10" style="33" width="11.5708502024291"/>
    <col collapsed="false" hidden="false" max="96" min="77" style="0" width="11.5708502024291"/>
    <col collapsed="false" hidden="false" max="97" min="97" style="0" width="8.57085020242915"/>
    <col collapsed="false" hidden="false" max="138" min="98" style="0" width="11.5708502024291"/>
    <col collapsed="false" hidden="false" max="148" min="139" style="0" width="11.6761133603239"/>
    <col collapsed="false" hidden="false" max="1025" min="149" style="0" width="8.57085020242915"/>
  </cols>
  <sheetData>
    <row r="1" s="33" customFormat="true" ht="23.25" hidden="false" customHeight="false" outlineLevel="0" collapsed="false">
      <c r="A1" s="34"/>
      <c r="C1" s="77" t="s">
        <v>192</v>
      </c>
      <c r="D1" s="35"/>
      <c r="J1" s="88" t="s">
        <v>1157</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37" t="s">
        <v>1158</v>
      </c>
      <c r="BS1" s="78"/>
      <c r="BT1" s="78"/>
      <c r="BU1" s="78"/>
      <c r="BV1" s="78"/>
      <c r="BW1" s="78"/>
      <c r="BX1" s="78"/>
      <c r="BY1" s="37" t="s">
        <v>1159</v>
      </c>
      <c r="BZ1" s="55"/>
      <c r="CA1" s="55"/>
      <c r="CB1" s="55"/>
      <c r="CC1" s="55"/>
      <c r="CD1" s="55"/>
      <c r="CE1" s="55"/>
      <c r="CF1" s="55"/>
      <c r="CG1" s="55"/>
      <c r="CH1" s="55"/>
      <c r="CI1" s="55"/>
      <c r="CJ1" s="55"/>
      <c r="CK1" s="37" t="s">
        <v>1160</v>
      </c>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row>
    <row r="2" s="35" customFormat="true" ht="15" hidden="false" customHeight="false" outlineLevel="0" collapsed="false">
      <c r="A2" s="34"/>
      <c r="B2" s="35" t="s">
        <v>808</v>
      </c>
      <c r="C2" s="35" t="s">
        <v>808</v>
      </c>
      <c r="D2" s="35" t="s">
        <v>808</v>
      </c>
      <c r="E2" s="35" t="s">
        <v>808</v>
      </c>
      <c r="F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c r="AV2" s="35" t="s">
        <v>808</v>
      </c>
      <c r="AW2" s="35" t="s">
        <v>808</v>
      </c>
      <c r="AX2" s="35" t="s">
        <v>808</v>
      </c>
      <c r="AY2" s="35" t="s">
        <v>808</v>
      </c>
      <c r="AZ2" s="35" t="s">
        <v>808</v>
      </c>
      <c r="BA2" s="35" t="s">
        <v>808</v>
      </c>
      <c r="BB2" s="35" t="s">
        <v>808</v>
      </c>
      <c r="BC2" s="35" t="s">
        <v>808</v>
      </c>
      <c r="BD2" s="35" t="s">
        <v>808</v>
      </c>
      <c r="BE2" s="35" t="s">
        <v>808</v>
      </c>
      <c r="BF2" s="35" t="s">
        <v>808</v>
      </c>
      <c r="BG2" s="35" t="s">
        <v>808</v>
      </c>
      <c r="BH2" s="35" t="s">
        <v>808</v>
      </c>
      <c r="BI2" s="35" t="s">
        <v>808</v>
      </c>
      <c r="BJ2" s="35" t="s">
        <v>808</v>
      </c>
      <c r="BK2" s="35" t="s">
        <v>808</v>
      </c>
      <c r="BL2" s="35" t="s">
        <v>808</v>
      </c>
      <c r="BM2" s="35" t="s">
        <v>808</v>
      </c>
      <c r="BN2" s="35" t="s">
        <v>808</v>
      </c>
      <c r="BO2" s="35" t="s">
        <v>808</v>
      </c>
      <c r="BP2" s="35" t="s">
        <v>808</v>
      </c>
      <c r="BQ2" s="35" t="s">
        <v>808</v>
      </c>
      <c r="BR2" s="35" t="s">
        <v>808</v>
      </c>
      <c r="BS2" s="35" t="s">
        <v>808</v>
      </c>
      <c r="BT2" s="35" t="s">
        <v>808</v>
      </c>
      <c r="BU2" s="35" t="s">
        <v>808</v>
      </c>
      <c r="BV2" s="35" t="s">
        <v>808</v>
      </c>
      <c r="BW2" s="35" t="s">
        <v>808</v>
      </c>
      <c r="BX2" s="35" t="s">
        <v>808</v>
      </c>
      <c r="BY2" s="35" t="s">
        <v>808</v>
      </c>
      <c r="BZ2" s="35" t="s">
        <v>808</v>
      </c>
      <c r="CA2" s="35" t="s">
        <v>808</v>
      </c>
      <c r="CB2" s="35" t="s">
        <v>808</v>
      </c>
      <c r="CC2" s="35" t="s">
        <v>808</v>
      </c>
      <c r="CD2" s="35" t="s">
        <v>808</v>
      </c>
      <c r="CE2" s="35" t="s">
        <v>808</v>
      </c>
      <c r="CF2" s="35" t="s">
        <v>808</v>
      </c>
      <c r="CG2" s="35" t="s">
        <v>808</v>
      </c>
      <c r="CH2" s="35" t="s">
        <v>808</v>
      </c>
      <c r="CI2" s="35" t="s">
        <v>808</v>
      </c>
      <c r="CJ2" s="35" t="s">
        <v>808</v>
      </c>
      <c r="CK2" s="35" t="s">
        <v>808</v>
      </c>
      <c r="CL2" s="35" t="s">
        <v>808</v>
      </c>
      <c r="CM2" s="35" t="s">
        <v>808</v>
      </c>
      <c r="CN2" s="35" t="s">
        <v>808</v>
      </c>
      <c r="CO2" s="35" t="s">
        <v>808</v>
      </c>
      <c r="CP2" s="35" t="s">
        <v>808</v>
      </c>
      <c r="CQ2" s="35" t="s">
        <v>808</v>
      </c>
      <c r="CR2" s="35" t="s">
        <v>808</v>
      </c>
      <c r="CS2" s="35" t="s">
        <v>808</v>
      </c>
      <c r="CT2" s="35" t="s">
        <v>808</v>
      </c>
      <c r="CU2" s="35" t="s">
        <v>808</v>
      </c>
      <c r="CV2" s="35" t="s">
        <v>808</v>
      </c>
      <c r="CW2" s="35" t="s">
        <v>808</v>
      </c>
      <c r="CX2" s="35" t="s">
        <v>808</v>
      </c>
      <c r="CY2" s="35" t="s">
        <v>808</v>
      </c>
      <c r="CZ2" s="35" t="s">
        <v>808</v>
      </c>
      <c r="DA2" s="35" t="s">
        <v>808</v>
      </c>
      <c r="DB2" s="35" t="s">
        <v>808</v>
      </c>
      <c r="DC2" s="35" t="s">
        <v>808</v>
      </c>
      <c r="DD2" s="35" t="s">
        <v>808</v>
      </c>
      <c r="DE2" s="35" t="s">
        <v>808</v>
      </c>
      <c r="DF2" s="35" t="s">
        <v>808</v>
      </c>
      <c r="DG2" s="35" t="s">
        <v>808</v>
      </c>
      <c r="DH2" s="35" t="s">
        <v>808</v>
      </c>
      <c r="DI2" s="35" t="s">
        <v>808</v>
      </c>
      <c r="DJ2" s="35" t="s">
        <v>808</v>
      </c>
      <c r="DK2" s="35" t="s">
        <v>808</v>
      </c>
      <c r="DL2" s="35" t="s">
        <v>808</v>
      </c>
      <c r="DM2" s="35" t="s">
        <v>808</v>
      </c>
      <c r="DN2" s="35" t="s">
        <v>808</v>
      </c>
      <c r="DO2" s="35" t="s">
        <v>808</v>
      </c>
      <c r="DP2" s="35" t="s">
        <v>808</v>
      </c>
      <c r="DQ2" s="35" t="s">
        <v>808</v>
      </c>
      <c r="DR2" s="35" t="s">
        <v>808</v>
      </c>
      <c r="DS2" s="35" t="s">
        <v>808</v>
      </c>
      <c r="DT2" s="35" t="s">
        <v>808</v>
      </c>
      <c r="DU2" s="35" t="s">
        <v>808</v>
      </c>
      <c r="DV2" s="35" t="s">
        <v>808</v>
      </c>
      <c r="DW2" s="35" t="s">
        <v>808</v>
      </c>
      <c r="DX2" s="35" t="s">
        <v>808</v>
      </c>
      <c r="DY2" s="35" t="s">
        <v>808</v>
      </c>
      <c r="DZ2" s="35" t="s">
        <v>808</v>
      </c>
      <c r="EA2" s="35" t="s">
        <v>808</v>
      </c>
      <c r="EB2" s="35" t="s">
        <v>808</v>
      </c>
      <c r="EC2" s="35" t="s">
        <v>808</v>
      </c>
      <c r="ED2" s="35" t="s">
        <v>808</v>
      </c>
      <c r="EE2" s="35" t="s">
        <v>808</v>
      </c>
      <c r="EF2" s="35" t="s">
        <v>808</v>
      </c>
      <c r="EG2" s="35" t="s">
        <v>808</v>
      </c>
      <c r="EH2" s="35" t="s">
        <v>808</v>
      </c>
      <c r="EI2" s="35" t="s">
        <v>808</v>
      </c>
      <c r="EJ2" s="35" t="s">
        <v>808</v>
      </c>
      <c r="EK2" s="35" t="s">
        <v>808</v>
      </c>
      <c r="EL2" s="35" t="s">
        <v>808</v>
      </c>
      <c r="EM2" s="35" t="s">
        <v>808</v>
      </c>
      <c r="EN2" s="35" t="s">
        <v>808</v>
      </c>
      <c r="EO2" s="35" t="s">
        <v>808</v>
      </c>
      <c r="EP2" s="35" t="s">
        <v>808</v>
      </c>
      <c r="EQ2" s="35" t="s">
        <v>808</v>
      </c>
      <c r="ER2" s="35" t="s">
        <v>808</v>
      </c>
    </row>
    <row r="3" s="4" customFormat="true" ht="15" hidden="false" customHeight="false" outlineLevel="0" collapsed="false">
      <c r="A3" s="38"/>
      <c r="C3" s="35" t="s">
        <v>808</v>
      </c>
      <c r="D3" s="35"/>
      <c r="E3" s="39"/>
      <c r="F3" s="39"/>
      <c r="G3" s="39"/>
      <c r="H3" s="40"/>
      <c r="I3" s="40"/>
      <c r="J3" s="57" t="s">
        <v>195</v>
      </c>
      <c r="K3" s="58"/>
      <c r="L3" s="58"/>
      <c r="M3" s="58"/>
      <c r="N3" s="58"/>
      <c r="O3" s="58"/>
      <c r="P3" s="57" t="s">
        <v>212</v>
      </c>
      <c r="Q3" s="58"/>
      <c r="R3" s="58"/>
      <c r="S3" s="58"/>
      <c r="T3" s="57" t="s">
        <v>1269</v>
      </c>
      <c r="U3" s="58"/>
      <c r="V3" s="58"/>
      <c r="W3" s="58"/>
      <c r="X3" s="58"/>
      <c r="Y3" s="58"/>
      <c r="Z3" s="58"/>
      <c r="AA3" s="58"/>
      <c r="AB3" s="58"/>
      <c r="AC3" s="58"/>
      <c r="AD3" s="57" t="s">
        <v>1270</v>
      </c>
      <c r="AE3" s="58"/>
      <c r="AF3" s="58"/>
      <c r="AG3" s="58"/>
      <c r="AH3" s="58"/>
      <c r="AI3" s="58"/>
      <c r="AJ3" s="58"/>
      <c r="AK3" s="58"/>
      <c r="AL3" s="58"/>
      <c r="AM3" s="58"/>
      <c r="AN3" s="57" t="s">
        <v>1271</v>
      </c>
      <c r="AO3" s="58"/>
      <c r="AP3" s="58"/>
      <c r="AQ3" s="58"/>
      <c r="AR3" s="58"/>
      <c r="AS3" s="58"/>
      <c r="AT3" s="58"/>
      <c r="AU3" s="58"/>
      <c r="AV3" s="58"/>
      <c r="AW3" s="58"/>
      <c r="AX3" s="57" t="s">
        <v>1272</v>
      </c>
      <c r="AY3" s="58"/>
      <c r="AZ3" s="80"/>
      <c r="BA3" s="80"/>
      <c r="BB3" s="80"/>
      <c r="BC3" s="80"/>
      <c r="BD3" s="80"/>
      <c r="BE3" s="80"/>
      <c r="BF3" s="80"/>
      <c r="BG3" s="80"/>
      <c r="BH3" s="57" t="s">
        <v>1273</v>
      </c>
      <c r="BI3" s="80"/>
      <c r="BJ3" s="80"/>
      <c r="BK3" s="80"/>
      <c r="BL3" s="80"/>
      <c r="BM3" s="80"/>
      <c r="BN3" s="80"/>
      <c r="BO3" s="80"/>
      <c r="BP3" s="80"/>
      <c r="BQ3" s="81"/>
      <c r="BR3" s="82" t="s">
        <v>1161</v>
      </c>
      <c r="BS3" s="89"/>
      <c r="BT3" s="89"/>
      <c r="BU3" s="89"/>
      <c r="BV3" s="89"/>
      <c r="BW3" s="89"/>
      <c r="BX3" s="89"/>
      <c r="BY3" s="61" t="s">
        <v>1162</v>
      </c>
      <c r="BZ3" s="90"/>
      <c r="CA3" s="90"/>
      <c r="CB3" s="90"/>
      <c r="CC3" s="90"/>
      <c r="CD3" s="90"/>
      <c r="CE3" s="90"/>
      <c r="CF3" s="90"/>
      <c r="CG3" s="90"/>
      <c r="CH3" s="90"/>
      <c r="CI3" s="90"/>
      <c r="CJ3" s="90"/>
      <c r="CK3" s="62" t="s">
        <v>195</v>
      </c>
      <c r="CL3" s="63"/>
      <c r="CM3" s="63"/>
      <c r="CN3" s="63"/>
      <c r="CO3" s="63"/>
      <c r="CP3" s="63"/>
      <c r="CQ3" s="62" t="s">
        <v>212</v>
      </c>
      <c r="CR3" s="63"/>
      <c r="CS3" s="63"/>
      <c r="CT3" s="63"/>
      <c r="CU3" s="62" t="s">
        <v>222</v>
      </c>
      <c r="CV3" s="63"/>
      <c r="CW3" s="63"/>
      <c r="CX3" s="63"/>
      <c r="CY3" s="63"/>
      <c r="CZ3" s="63"/>
      <c r="DA3" s="63"/>
      <c r="DB3" s="63"/>
      <c r="DC3" s="63"/>
      <c r="DD3" s="63"/>
      <c r="DE3" s="62" t="s">
        <v>245</v>
      </c>
      <c r="DF3" s="63"/>
      <c r="DG3" s="63"/>
      <c r="DH3" s="63"/>
      <c r="DI3" s="63"/>
      <c r="DJ3" s="63"/>
      <c r="DK3" s="63"/>
      <c r="DL3" s="63"/>
      <c r="DM3" s="63"/>
      <c r="DN3" s="63"/>
      <c r="DO3" s="62" t="s">
        <v>267</v>
      </c>
      <c r="DP3" s="63"/>
      <c r="DQ3" s="63"/>
      <c r="DR3" s="63"/>
      <c r="DS3" s="63"/>
      <c r="DT3" s="63"/>
      <c r="DU3" s="63"/>
      <c r="DV3" s="63"/>
      <c r="DW3" s="63"/>
      <c r="DX3" s="63"/>
      <c r="DY3" s="62" t="s">
        <v>289</v>
      </c>
      <c r="DZ3" s="63"/>
      <c r="EA3" s="83"/>
      <c r="EB3" s="83"/>
      <c r="EC3" s="83"/>
      <c r="ED3" s="83"/>
      <c r="EE3" s="83"/>
      <c r="EF3" s="83"/>
      <c r="EG3" s="83"/>
      <c r="EH3" s="83"/>
      <c r="EI3" s="62" t="s">
        <v>311</v>
      </c>
      <c r="EJ3" s="83"/>
      <c r="EK3" s="83"/>
      <c r="EL3" s="83"/>
      <c r="EM3" s="83"/>
      <c r="EN3" s="83"/>
      <c r="EO3" s="83"/>
      <c r="EP3" s="83"/>
      <c r="EQ3" s="83"/>
      <c r="ER3" s="84"/>
    </row>
    <row r="4" s="33" customFormat="true" ht="135.75" hidden="false" customHeight="true" outlineLevel="0" collapsed="false">
      <c r="A4" s="38"/>
      <c r="C4" s="44" t="s">
        <v>910</v>
      </c>
      <c r="D4" s="44" t="s">
        <v>1164</v>
      </c>
      <c r="E4" s="44" t="s">
        <v>911</v>
      </c>
      <c r="F4" s="44" t="s">
        <v>912</v>
      </c>
      <c r="G4" s="44" t="s">
        <v>1165</v>
      </c>
      <c r="H4" s="44" t="s">
        <v>913</v>
      </c>
      <c r="I4" s="44" t="s">
        <v>1166</v>
      </c>
      <c r="J4" s="66" t="s">
        <v>196</v>
      </c>
      <c r="K4" s="67" t="s">
        <v>199</v>
      </c>
      <c r="L4" s="67" t="s">
        <v>202</v>
      </c>
      <c r="M4" s="67" t="s">
        <v>204</v>
      </c>
      <c r="N4" s="67" t="s">
        <v>207</v>
      </c>
      <c r="O4" s="67" t="s">
        <v>209</v>
      </c>
      <c r="P4" s="66" t="s">
        <v>213</v>
      </c>
      <c r="Q4" s="67" t="s">
        <v>215</v>
      </c>
      <c r="R4" s="67" t="s">
        <v>218</v>
      </c>
      <c r="S4" s="67" t="s">
        <v>220</v>
      </c>
      <c r="T4" s="66" t="s">
        <v>1274</v>
      </c>
      <c r="U4" s="67" t="s">
        <v>1275</v>
      </c>
      <c r="V4" s="67" t="s">
        <v>1276</v>
      </c>
      <c r="W4" s="67" t="s">
        <v>1277</v>
      </c>
      <c r="X4" s="67" t="s">
        <v>1278</v>
      </c>
      <c r="Y4" s="67" t="s">
        <v>1279</v>
      </c>
      <c r="Z4" s="67" t="s">
        <v>1280</v>
      </c>
      <c r="AA4" s="67" t="s">
        <v>1281</v>
      </c>
      <c r="AB4" s="67" t="s">
        <v>1282</v>
      </c>
      <c r="AC4" s="67" t="s">
        <v>1283</v>
      </c>
      <c r="AD4" s="66" t="s">
        <v>1284</v>
      </c>
      <c r="AE4" s="67" t="s">
        <v>1285</v>
      </c>
      <c r="AF4" s="67" t="s">
        <v>1286</v>
      </c>
      <c r="AG4" s="67" t="s">
        <v>1287</v>
      </c>
      <c r="AH4" s="67" t="s">
        <v>1288</v>
      </c>
      <c r="AI4" s="67" t="s">
        <v>1289</v>
      </c>
      <c r="AJ4" s="67" t="s">
        <v>1290</v>
      </c>
      <c r="AK4" s="67" t="s">
        <v>1291</v>
      </c>
      <c r="AL4" s="67" t="s">
        <v>1292</v>
      </c>
      <c r="AM4" s="67" t="s">
        <v>1293</v>
      </c>
      <c r="AN4" s="66" t="s">
        <v>1294</v>
      </c>
      <c r="AO4" s="67" t="s">
        <v>1295</v>
      </c>
      <c r="AP4" s="67" t="s">
        <v>1296</v>
      </c>
      <c r="AQ4" s="67" t="s">
        <v>1297</v>
      </c>
      <c r="AR4" s="67" t="s">
        <v>1298</v>
      </c>
      <c r="AS4" s="67" t="s">
        <v>1299</v>
      </c>
      <c r="AT4" s="67" t="s">
        <v>1300</v>
      </c>
      <c r="AU4" s="67" t="s">
        <v>1301</v>
      </c>
      <c r="AV4" s="67" t="s">
        <v>1302</v>
      </c>
      <c r="AW4" s="67" t="s">
        <v>1303</v>
      </c>
      <c r="AX4" s="66" t="s">
        <v>1304</v>
      </c>
      <c r="AY4" s="67" t="s">
        <v>1305</v>
      </c>
      <c r="AZ4" s="67" t="s">
        <v>1306</v>
      </c>
      <c r="BA4" s="67" t="s">
        <v>1307</v>
      </c>
      <c r="BB4" s="67" t="s">
        <v>1308</v>
      </c>
      <c r="BC4" s="67" t="s">
        <v>1309</v>
      </c>
      <c r="BD4" s="67" t="s">
        <v>1310</v>
      </c>
      <c r="BE4" s="67" t="s">
        <v>1311</v>
      </c>
      <c r="BF4" s="67" t="s">
        <v>1312</v>
      </c>
      <c r="BG4" s="67" t="s">
        <v>1313</v>
      </c>
      <c r="BH4" s="66" t="s">
        <v>1314</v>
      </c>
      <c r="BI4" s="67" t="s">
        <v>1315</v>
      </c>
      <c r="BJ4" s="67" t="s">
        <v>1316</v>
      </c>
      <c r="BK4" s="67" t="s">
        <v>1317</v>
      </c>
      <c r="BL4" s="67" t="s">
        <v>1318</v>
      </c>
      <c r="BM4" s="67" t="s">
        <v>1319</v>
      </c>
      <c r="BN4" s="67" t="s">
        <v>1320</v>
      </c>
      <c r="BO4" s="67" t="s">
        <v>1321</v>
      </c>
      <c r="BP4" s="67" t="s">
        <v>1322</v>
      </c>
      <c r="BQ4" s="85" t="s">
        <v>1323</v>
      </c>
      <c r="BR4" s="86" t="s">
        <v>195</v>
      </c>
      <c r="BS4" s="86" t="s">
        <v>212</v>
      </c>
      <c r="BT4" s="86" t="s">
        <v>1269</v>
      </c>
      <c r="BU4" s="86" t="s">
        <v>1324</v>
      </c>
      <c r="BV4" s="86" t="s">
        <v>1325</v>
      </c>
      <c r="BW4" s="86" t="s">
        <v>1326</v>
      </c>
      <c r="BX4" s="86" t="s">
        <v>1327</v>
      </c>
      <c r="BY4" s="45" t="s">
        <v>192</v>
      </c>
      <c r="BZ4" s="46" t="s">
        <v>886</v>
      </c>
      <c r="CA4" s="46" t="s">
        <v>1328</v>
      </c>
      <c r="CB4" s="46" t="s">
        <v>888</v>
      </c>
      <c r="CC4" s="46" t="s">
        <v>889</v>
      </c>
      <c r="CD4" s="46" t="s">
        <v>890</v>
      </c>
      <c r="CE4" s="46" t="s">
        <v>891</v>
      </c>
      <c r="CF4" s="46" t="s">
        <v>892</v>
      </c>
      <c r="CG4" s="46" t="s">
        <v>1329</v>
      </c>
      <c r="CH4" s="46" t="s">
        <v>1330</v>
      </c>
      <c r="CI4" s="46" t="s">
        <v>1331</v>
      </c>
      <c r="CJ4" s="46" t="s">
        <v>1332</v>
      </c>
      <c r="CK4" s="70" t="s">
        <v>196</v>
      </c>
      <c r="CL4" s="71" t="s">
        <v>199</v>
      </c>
      <c r="CM4" s="71" t="s">
        <v>202</v>
      </c>
      <c r="CN4" s="71" t="s">
        <v>204</v>
      </c>
      <c r="CO4" s="71" t="s">
        <v>207</v>
      </c>
      <c r="CP4" s="71" t="s">
        <v>209</v>
      </c>
      <c r="CQ4" s="70" t="s">
        <v>213</v>
      </c>
      <c r="CR4" s="71" t="s">
        <v>215</v>
      </c>
      <c r="CS4" s="71" t="s">
        <v>218</v>
      </c>
      <c r="CT4" s="71" t="s">
        <v>220</v>
      </c>
      <c r="CU4" s="70" t="s">
        <v>1274</v>
      </c>
      <c r="CV4" s="71" t="s">
        <v>1275</v>
      </c>
      <c r="CW4" s="71" t="s">
        <v>1276</v>
      </c>
      <c r="CX4" s="71" t="s">
        <v>1277</v>
      </c>
      <c r="CY4" s="71" t="s">
        <v>1278</v>
      </c>
      <c r="CZ4" s="71" t="s">
        <v>1279</v>
      </c>
      <c r="DA4" s="71" t="s">
        <v>1280</v>
      </c>
      <c r="DB4" s="71" t="s">
        <v>1281</v>
      </c>
      <c r="DC4" s="71" t="s">
        <v>1282</v>
      </c>
      <c r="DD4" s="71" t="s">
        <v>1283</v>
      </c>
      <c r="DE4" s="70" t="s">
        <v>1284</v>
      </c>
      <c r="DF4" s="71" t="s">
        <v>1285</v>
      </c>
      <c r="DG4" s="71" t="s">
        <v>1286</v>
      </c>
      <c r="DH4" s="71" t="s">
        <v>1287</v>
      </c>
      <c r="DI4" s="71" t="s">
        <v>1288</v>
      </c>
      <c r="DJ4" s="71" t="s">
        <v>1289</v>
      </c>
      <c r="DK4" s="71" t="s">
        <v>1290</v>
      </c>
      <c r="DL4" s="71" t="s">
        <v>1291</v>
      </c>
      <c r="DM4" s="71" t="s">
        <v>1292</v>
      </c>
      <c r="DN4" s="71" t="s">
        <v>1293</v>
      </c>
      <c r="DO4" s="70" t="s">
        <v>1294</v>
      </c>
      <c r="DP4" s="71" t="s">
        <v>1295</v>
      </c>
      <c r="DQ4" s="71" t="s">
        <v>1296</v>
      </c>
      <c r="DR4" s="71" t="s">
        <v>1297</v>
      </c>
      <c r="DS4" s="71" t="s">
        <v>1298</v>
      </c>
      <c r="DT4" s="71" t="s">
        <v>1299</v>
      </c>
      <c r="DU4" s="71" t="s">
        <v>1300</v>
      </c>
      <c r="DV4" s="71" t="s">
        <v>1301</v>
      </c>
      <c r="DW4" s="71" t="s">
        <v>1302</v>
      </c>
      <c r="DX4" s="71" t="s">
        <v>1303</v>
      </c>
      <c r="DY4" s="70" t="s">
        <v>1304</v>
      </c>
      <c r="DZ4" s="71" t="s">
        <v>1305</v>
      </c>
      <c r="EA4" s="71" t="s">
        <v>1306</v>
      </c>
      <c r="EB4" s="71" t="s">
        <v>1307</v>
      </c>
      <c r="EC4" s="71" t="s">
        <v>1308</v>
      </c>
      <c r="ED4" s="71" t="s">
        <v>1309</v>
      </c>
      <c r="EE4" s="71" t="s">
        <v>1310</v>
      </c>
      <c r="EF4" s="71" t="s">
        <v>1311</v>
      </c>
      <c r="EG4" s="71" t="s">
        <v>1312</v>
      </c>
      <c r="EH4" s="71" t="s">
        <v>1313</v>
      </c>
      <c r="EI4" s="70" t="s">
        <v>1314</v>
      </c>
      <c r="EJ4" s="71" t="s">
        <v>1315</v>
      </c>
      <c r="EK4" s="71" t="s">
        <v>1316</v>
      </c>
      <c r="EL4" s="71" t="s">
        <v>1317</v>
      </c>
      <c r="EM4" s="71" t="s">
        <v>1318</v>
      </c>
      <c r="EN4" s="71" t="s">
        <v>1319</v>
      </c>
      <c r="EO4" s="71" t="s">
        <v>1320</v>
      </c>
      <c r="EP4" s="71" t="s">
        <v>1321</v>
      </c>
      <c r="EQ4" s="71" t="s">
        <v>1322</v>
      </c>
      <c r="ER4" s="73" t="s">
        <v>1323</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74" t="n">
        <f aca="false">SUBTOTAL(109,ovc_serv_T[D_ovc_serv_fy19])</f>
        <v>0</v>
      </c>
      <c r="BZ5" s="74" t="n">
        <f aca="false">SUBTOTAL(109,ovc_serv_T[D_ovc_serv_u18_fy19])</f>
        <v>0</v>
      </c>
      <c r="CA5" s="74" t="n">
        <f aca="false">SUBTOTAL(109,ovc_serv_T[D_ovc_serv_o18_fy19])</f>
        <v>0</v>
      </c>
      <c r="CB5" s="74" t="n">
        <f aca="false">SUBTOTAL(109,ovc_serv_T[D_ovc_serv_edu_fy19])</f>
        <v>0</v>
      </c>
      <c r="CC5" s="74" t="n">
        <f aca="false">SUBTOTAL(109,ovc_serv_T[D_ovc_serv_care_fy19])</f>
        <v>0</v>
      </c>
      <c r="CD5" s="74" t="n">
        <f aca="false">SUBTOTAL(109,ovc_serv_T[D_ovc_serv_sp_fy19])</f>
        <v>0</v>
      </c>
      <c r="CE5" s="74" t="n">
        <f aca="false">SUBTOTAL(109,ovc_serv_T[D_ovc_serv_econ_fy19])</f>
        <v>0</v>
      </c>
      <c r="CF5" s="74" t="n">
        <f aca="false">SUBTOTAL(109,ovc_serv_T[D_ovc_serv_oth_fy19])</f>
        <v>0</v>
      </c>
      <c r="CG5" s="74" t="n">
        <f aca="false">SUBTOTAL(109,ovc_serv_T[D_ovc_serv_grad_fy19])</f>
        <v>0</v>
      </c>
      <c r="CH5" s="74" t="n">
        <f aca="false">SUBTOTAL(109,ovc_serv_T[D_ovc_serv_trans_fy19])</f>
        <v>0</v>
      </c>
      <c r="CI5" s="74" t="n">
        <f aca="false">SUBTOTAL(109,ovc_serv_T[D_ovc_serv_exited_fy19])</f>
        <v>0</v>
      </c>
      <c r="CJ5" s="74" t="n">
        <f aca="false">SUBTOTAL(109,ovc_serv_T[D_ovc_serv_active_fy19])</f>
        <v>0</v>
      </c>
      <c r="CK5" s="74" t="n">
        <f aca="false">SUBTOTAL(109,ovc_serv_T[ovc_serv_u1_unk])</f>
        <v>0</v>
      </c>
      <c r="CL5" s="74" t="n">
        <f aca="false">SUBTOTAL(109,ovc_serv_T[ovc_serv_0109_unk])</f>
        <v>0</v>
      </c>
      <c r="CM5" s="74" t="n">
        <f aca="false">SUBTOTAL(109,ovc_serv_T[ovc_serv_1014_f])</f>
        <v>0</v>
      </c>
      <c r="CN5" s="74" t="n">
        <f aca="false">SUBTOTAL(109,ovc_serv_T[ovc_serv_1014_m])</f>
        <v>0</v>
      </c>
      <c r="CO5" s="74" t="n">
        <f aca="false">SUBTOTAL(109,ovc_serv_T[ovc_serv_1517_f])</f>
        <v>0</v>
      </c>
      <c r="CP5" s="74" t="n">
        <f aca="false">SUBTOTAL(109,ovc_serv_T[ovc_serv_1517_m])</f>
        <v>0</v>
      </c>
      <c r="CQ5" s="74" t="n">
        <f aca="false">SUBTOTAL(109,ovc_serv_T[ovc_serv_1824_f])</f>
        <v>0</v>
      </c>
      <c r="CR5" s="74" t="n">
        <f aca="false">SUBTOTAL(109,ovc_serv_T[ovc_serv_1824_m])</f>
        <v>0</v>
      </c>
      <c r="CS5" s="74" t="n">
        <f aca="false">SUBTOTAL(109,ovc_serv_T[ovc_serv_o25_f])</f>
        <v>0</v>
      </c>
      <c r="CT5" s="74" t="n">
        <f aca="false">SUBTOTAL(109,ovc_serv_T[ovc_serv_o25_m])</f>
        <v>0</v>
      </c>
      <c r="CU5" s="74" t="n">
        <f aca="false">SUBTOTAL(109,ovc_serv_T[ovc_serv_u1_unk_econ])</f>
        <v>0</v>
      </c>
      <c r="CV5" s="74" t="n">
        <f aca="false">SUBTOTAL(109,ovc_serv_T[ovc_serv_0109_unk_econ])</f>
        <v>0</v>
      </c>
      <c r="CW5" s="74" t="n">
        <f aca="false">SUBTOTAL(109,ovc_serv_T[ovc_serv_1014_f_econ])</f>
        <v>0</v>
      </c>
      <c r="CX5" s="74" t="n">
        <f aca="false">SUBTOTAL(109,ovc_serv_T[ovc_serv_1014_m_econ])</f>
        <v>0</v>
      </c>
      <c r="CY5" s="74" t="n">
        <f aca="false">SUBTOTAL(109,ovc_serv_T[ovc_serv_1517_f_econ])</f>
        <v>0</v>
      </c>
      <c r="CZ5" s="74" t="n">
        <f aca="false">SUBTOTAL(109,ovc_serv_T[ovc_serv_1517_m_econ])</f>
        <v>0</v>
      </c>
      <c r="DA5" s="74" t="n">
        <f aca="false">SUBTOTAL(109,ovc_serv_T[ovc_serv_1824_f_econ])</f>
        <v>0</v>
      </c>
      <c r="DB5" s="74" t="n">
        <f aca="false">SUBTOTAL(109,ovc_serv_T[ovc_serv_1824_m_econ])</f>
        <v>0</v>
      </c>
      <c r="DC5" s="74" t="n">
        <f aca="false">SUBTOTAL(109,ovc_serv_T[ovc_serv_o25_f_econ])</f>
        <v>0</v>
      </c>
      <c r="DD5" s="74" t="n">
        <f aca="false">SUBTOTAL(109,ovc_serv_T[ovc_serv_o25_m_econ])</f>
        <v>0</v>
      </c>
      <c r="DE5" s="74" t="n">
        <f aca="false">SUBTOTAL(109,ovc_serv_T[ovc_serv_u1_unk_edu])</f>
        <v>0</v>
      </c>
      <c r="DF5" s="74" t="n">
        <f aca="false">SUBTOTAL(109,ovc_serv_T[ovc_serv_0109_unk_edu])</f>
        <v>0</v>
      </c>
      <c r="DG5" s="74" t="n">
        <f aca="false">SUBTOTAL(109,ovc_serv_T[ovc_serv_1014_f_edu])</f>
        <v>0</v>
      </c>
      <c r="DH5" s="74" t="n">
        <f aca="false">SUBTOTAL(109,ovc_serv_T[ovc_serv_1014_m_edu])</f>
        <v>0</v>
      </c>
      <c r="DI5" s="74" t="n">
        <f aca="false">SUBTOTAL(109,ovc_serv_T[ovc_serv_1517_f_edu])</f>
        <v>0</v>
      </c>
      <c r="DJ5" s="74" t="n">
        <f aca="false">SUBTOTAL(109,ovc_serv_T[ovc_serv_1517_m_edu])</f>
        <v>0</v>
      </c>
      <c r="DK5" s="74" t="n">
        <f aca="false">SUBTOTAL(109,ovc_serv_T[ovc_serv_1824_f_edu])</f>
        <v>0</v>
      </c>
      <c r="DL5" s="74" t="n">
        <f aca="false">SUBTOTAL(109,ovc_serv_T[ovc_serv_1824_m_edu])</f>
        <v>0</v>
      </c>
      <c r="DM5" s="74" t="n">
        <f aca="false">SUBTOTAL(109,ovc_serv_T[ovc_serv_o25_f_edu])</f>
        <v>0</v>
      </c>
      <c r="DN5" s="74" t="n">
        <f aca="false">SUBTOTAL(109,ovc_serv_T[ovc_serv_o25_m_edu])</f>
        <v>0</v>
      </c>
      <c r="DO5" s="74" t="n">
        <f aca="false">SUBTOTAL(109,ovc_serv_T[ovc_serv_u1_unk_oth])</f>
        <v>0</v>
      </c>
      <c r="DP5" s="74" t="n">
        <f aca="false">SUBTOTAL(109,ovc_serv_T[ovc_serv_0109_unk_oth])</f>
        <v>0</v>
      </c>
      <c r="DQ5" s="74" t="n">
        <f aca="false">SUBTOTAL(109,ovc_serv_T[ovc_serv_1014_f_oth])</f>
        <v>0</v>
      </c>
      <c r="DR5" s="74" t="n">
        <f aca="false">SUBTOTAL(109,ovc_serv_T[ovc_serv_1014_m_oth])</f>
        <v>0</v>
      </c>
      <c r="DS5" s="74" t="n">
        <f aca="false">SUBTOTAL(109,ovc_serv_T[ovc_serv_1517_f_oth])</f>
        <v>0</v>
      </c>
      <c r="DT5" s="74" t="n">
        <f aca="false">SUBTOTAL(109,ovc_serv_T[ovc_serv_1517_m_oth])</f>
        <v>0</v>
      </c>
      <c r="DU5" s="74" t="n">
        <f aca="false">SUBTOTAL(109,ovc_serv_T[ovc_serv_1824_f_oth])</f>
        <v>0</v>
      </c>
      <c r="DV5" s="74" t="n">
        <f aca="false">SUBTOTAL(109,ovc_serv_T[ovc_serv_1824_m_oth])</f>
        <v>0</v>
      </c>
      <c r="DW5" s="74" t="n">
        <f aca="false">SUBTOTAL(109,ovc_serv_T[ovc_serv_o25_f_oth])</f>
        <v>0</v>
      </c>
      <c r="DX5" s="74" t="n">
        <f aca="false">SUBTOTAL(109,ovc_serv_T[ovc_serv_o25_m_oth])</f>
        <v>0</v>
      </c>
      <c r="DY5" s="74" t="n">
        <f aca="false">SUBTOTAL(109,ovc_serv_T[ovc_serv_u1_unk_care])</f>
        <v>0</v>
      </c>
      <c r="DZ5" s="74" t="n">
        <f aca="false">SUBTOTAL(109,ovc_serv_T[ovc_serv_0109_unk_care])</f>
        <v>0</v>
      </c>
      <c r="EA5" s="74" t="n">
        <f aca="false">SUBTOTAL(109,ovc_serv_T[ovc_serv_1014_f_care])</f>
        <v>0</v>
      </c>
      <c r="EB5" s="74" t="n">
        <f aca="false">SUBTOTAL(109,ovc_serv_T[ovc_serv_1014_m_care])</f>
        <v>0</v>
      </c>
      <c r="EC5" s="74" t="n">
        <f aca="false">SUBTOTAL(109,ovc_serv_T[ovc_serv_1517_f_care])</f>
        <v>0</v>
      </c>
      <c r="ED5" s="74" t="n">
        <f aca="false">SUBTOTAL(109,ovc_serv_T[ovc_serv_1517_m_care])</f>
        <v>0</v>
      </c>
      <c r="EE5" s="74" t="n">
        <f aca="false">SUBTOTAL(109,ovc_serv_T[ovc_serv_1824_f_care])</f>
        <v>0</v>
      </c>
      <c r="EF5" s="74" t="n">
        <f aca="false">SUBTOTAL(109,ovc_serv_T[ovc_serv_1824_m_care])</f>
        <v>0</v>
      </c>
      <c r="EG5" s="74" t="n">
        <f aca="false">SUBTOTAL(109,ovc_serv_T[ovc_serv_o25_f_care])</f>
        <v>0</v>
      </c>
      <c r="EH5" s="74" t="n">
        <f aca="false">SUBTOTAL(109,ovc_serv_T[ovc_serv_o25_m_care])</f>
        <v>0</v>
      </c>
      <c r="EI5" s="74" t="n">
        <f aca="false">SUBTOTAL(109,ovc_serv_T[ovc_serv_u1_unk_sp])</f>
        <v>0</v>
      </c>
      <c r="EJ5" s="74" t="n">
        <f aca="false">SUBTOTAL(109,ovc_serv_T[ovc_serv_0109_unk_sp])</f>
        <v>0</v>
      </c>
      <c r="EK5" s="74" t="n">
        <f aca="false">SUBTOTAL(109,ovc_serv_T[ovc_serv_1014_f_sp])</f>
        <v>0</v>
      </c>
      <c r="EL5" s="74" t="n">
        <f aca="false">SUBTOTAL(109,ovc_serv_T[ovc_serv_1014_m_sp])</f>
        <v>0</v>
      </c>
      <c r="EM5" s="74" t="n">
        <f aca="false">SUBTOTAL(109,ovc_serv_T[ovc_serv_1517_f_sp])</f>
        <v>0</v>
      </c>
      <c r="EN5" s="74" t="n">
        <f aca="false">SUBTOTAL(109,ovc_serv_T[ovc_serv_1517_m_sp])</f>
        <v>0</v>
      </c>
      <c r="EO5" s="74" t="n">
        <f aca="false">SUBTOTAL(109,ovc_serv_T[ovc_serv_1824_f_sp])</f>
        <v>0</v>
      </c>
      <c r="EP5" s="74" t="n">
        <f aca="false">SUBTOTAL(109,ovc_serv_T[ovc_serv_1824_m_sp])</f>
        <v>0</v>
      </c>
      <c r="EQ5" s="74" t="n">
        <f aca="false">SUBTOTAL(109,ovc_serv_T[ovc_serv_o25_f_sp])</f>
        <v>0</v>
      </c>
      <c r="ER5" s="74" t="n">
        <f aca="false">SUBTOTAL(109,ovc_serv_T[ovc_serv_o25_m_sp])</f>
        <v>0</v>
      </c>
    </row>
    <row r="6" customFormat="false" ht="15" hidden="false" customHeight="false" outlineLevel="0" collapsed="false">
      <c r="A6" s="48"/>
      <c r="C6" s="50" t="s">
        <v>1168</v>
      </c>
      <c r="D6" s="50" t="s">
        <v>1169</v>
      </c>
      <c r="E6" s="50" t="s">
        <v>1170</v>
      </c>
      <c r="F6" s="50" t="s">
        <v>1171</v>
      </c>
      <c r="G6" s="50" t="s">
        <v>1172</v>
      </c>
      <c r="H6" s="50" t="s">
        <v>1173</v>
      </c>
      <c r="I6" s="50" t="s">
        <v>1174</v>
      </c>
      <c r="J6" s="50" t="s">
        <v>197</v>
      </c>
      <c r="K6" s="50" t="s">
        <v>200</v>
      </c>
      <c r="L6" s="50" t="s">
        <v>203</v>
      </c>
      <c r="M6" s="50" t="s">
        <v>205</v>
      </c>
      <c r="N6" s="50" t="s">
        <v>208</v>
      </c>
      <c r="O6" s="50" t="s">
        <v>210</v>
      </c>
      <c r="P6" s="50" t="s">
        <v>214</v>
      </c>
      <c r="Q6" s="50" t="s">
        <v>216</v>
      </c>
      <c r="R6" s="50" t="s">
        <v>219</v>
      </c>
      <c r="S6" s="50" t="s">
        <v>221</v>
      </c>
      <c r="T6" s="50" t="s">
        <v>224</v>
      </c>
      <c r="U6" s="50" t="s">
        <v>226</v>
      </c>
      <c r="V6" s="50" t="s">
        <v>230</v>
      </c>
      <c r="W6" s="50" t="s">
        <v>232</v>
      </c>
      <c r="X6" s="50" t="s">
        <v>234</v>
      </c>
      <c r="Y6" s="50" t="s">
        <v>236</v>
      </c>
      <c r="Z6" s="50" t="s">
        <v>238</v>
      </c>
      <c r="AA6" s="50" t="s">
        <v>240</v>
      </c>
      <c r="AB6" s="50" t="s">
        <v>242</v>
      </c>
      <c r="AC6" s="50" t="s">
        <v>244</v>
      </c>
      <c r="AD6" s="50" t="s">
        <v>247</v>
      </c>
      <c r="AE6" s="50" t="s">
        <v>249</v>
      </c>
      <c r="AF6" s="50" t="s">
        <v>252</v>
      </c>
      <c r="AG6" s="50" t="s">
        <v>254</v>
      </c>
      <c r="AH6" s="50" t="s">
        <v>256</v>
      </c>
      <c r="AI6" s="50" t="s">
        <v>258</v>
      </c>
      <c r="AJ6" s="50" t="s">
        <v>260</v>
      </c>
      <c r="AK6" s="50" t="s">
        <v>262</v>
      </c>
      <c r="AL6" s="50" t="s">
        <v>264</v>
      </c>
      <c r="AM6" s="50" t="s">
        <v>266</v>
      </c>
      <c r="AN6" s="50" t="s">
        <v>269</v>
      </c>
      <c r="AO6" s="50" t="s">
        <v>271</v>
      </c>
      <c r="AP6" s="50" t="s">
        <v>274</v>
      </c>
      <c r="AQ6" s="50" t="s">
        <v>276</v>
      </c>
      <c r="AR6" s="50" t="s">
        <v>278</v>
      </c>
      <c r="AS6" s="50" t="s">
        <v>280</v>
      </c>
      <c r="AT6" s="50" t="s">
        <v>282</v>
      </c>
      <c r="AU6" s="50" t="s">
        <v>284</v>
      </c>
      <c r="AV6" s="50" t="s">
        <v>286</v>
      </c>
      <c r="AW6" s="50" t="s">
        <v>288</v>
      </c>
      <c r="AX6" s="50" t="s">
        <v>291</v>
      </c>
      <c r="AY6" s="50" t="s">
        <v>293</v>
      </c>
      <c r="AZ6" s="50" t="s">
        <v>296</v>
      </c>
      <c r="BA6" s="50" t="s">
        <v>298</v>
      </c>
      <c r="BB6" s="50" t="s">
        <v>300</v>
      </c>
      <c r="BC6" s="50" t="s">
        <v>302</v>
      </c>
      <c r="BD6" s="50" t="s">
        <v>304</v>
      </c>
      <c r="BE6" s="50" t="s">
        <v>306</v>
      </c>
      <c r="BF6" s="50" t="s">
        <v>308</v>
      </c>
      <c r="BG6" s="50" t="s">
        <v>310</v>
      </c>
      <c r="BH6" s="50" t="s">
        <v>313</v>
      </c>
      <c r="BI6" s="50" t="s">
        <v>315</v>
      </c>
      <c r="BJ6" s="50" t="s">
        <v>318</v>
      </c>
      <c r="BK6" s="50" t="s">
        <v>320</v>
      </c>
      <c r="BL6" s="50" t="s">
        <v>322</v>
      </c>
      <c r="BM6" s="50" t="s">
        <v>324</v>
      </c>
      <c r="BN6" s="50" t="s">
        <v>326</v>
      </c>
      <c r="BO6" s="50" t="s">
        <v>328</v>
      </c>
      <c r="BP6" s="50" t="s">
        <v>330</v>
      </c>
      <c r="BQ6" s="50" t="s">
        <v>332</v>
      </c>
      <c r="BR6" s="50" t="s">
        <v>1175</v>
      </c>
      <c r="BS6" s="50" t="s">
        <v>1220</v>
      </c>
      <c r="BT6" s="50" t="s">
        <v>1221</v>
      </c>
      <c r="BU6" s="50" t="s">
        <v>1333</v>
      </c>
      <c r="BV6" s="50" t="s">
        <v>1334</v>
      </c>
      <c r="BW6" s="50" t="s">
        <v>1335</v>
      </c>
      <c r="BX6" s="50" t="s">
        <v>1336</v>
      </c>
      <c r="BY6" s="50" t="s">
        <v>1110</v>
      </c>
      <c r="BZ6" s="50" t="s">
        <v>1113</v>
      </c>
      <c r="CA6" s="50" t="s">
        <v>1337</v>
      </c>
      <c r="CB6" s="50" t="s">
        <v>1115</v>
      </c>
      <c r="CC6" s="50" t="s">
        <v>1116</v>
      </c>
      <c r="CD6" s="50" t="s">
        <v>1117</v>
      </c>
      <c r="CE6" s="50" t="s">
        <v>1118</v>
      </c>
      <c r="CF6" s="50" t="s">
        <v>1119</v>
      </c>
      <c r="CG6" s="50" t="s">
        <v>1111</v>
      </c>
      <c r="CH6" s="50" t="s">
        <v>1338</v>
      </c>
      <c r="CI6" s="50" t="s">
        <v>1339</v>
      </c>
      <c r="CJ6" s="50" t="s">
        <v>1112</v>
      </c>
      <c r="CK6" s="50" t="s">
        <v>1340</v>
      </c>
      <c r="CL6" s="50" t="s">
        <v>1341</v>
      </c>
      <c r="CM6" s="50" t="s">
        <v>1342</v>
      </c>
      <c r="CN6" s="50" t="s">
        <v>1343</v>
      </c>
      <c r="CO6" s="50" t="s">
        <v>1344</v>
      </c>
      <c r="CP6" s="50" t="s">
        <v>1345</v>
      </c>
      <c r="CQ6" s="50" t="s">
        <v>1346</v>
      </c>
      <c r="CR6" s="50" t="s">
        <v>1347</v>
      </c>
      <c r="CS6" s="50" t="s">
        <v>1348</v>
      </c>
      <c r="CT6" s="50" t="s">
        <v>1349</v>
      </c>
      <c r="CU6" s="50" t="s">
        <v>1350</v>
      </c>
      <c r="CV6" s="50" t="s">
        <v>1351</v>
      </c>
      <c r="CW6" s="50" t="s">
        <v>1352</v>
      </c>
      <c r="CX6" s="50" t="s">
        <v>1353</v>
      </c>
      <c r="CY6" s="50" t="s">
        <v>1354</v>
      </c>
      <c r="CZ6" s="50" t="s">
        <v>1355</v>
      </c>
      <c r="DA6" s="50" t="s">
        <v>1356</v>
      </c>
      <c r="DB6" s="50" t="s">
        <v>1357</v>
      </c>
      <c r="DC6" s="50" t="s">
        <v>1358</v>
      </c>
      <c r="DD6" s="50" t="s">
        <v>1359</v>
      </c>
      <c r="DE6" s="50" t="s">
        <v>1360</v>
      </c>
      <c r="DF6" s="50" t="s">
        <v>1361</v>
      </c>
      <c r="DG6" s="50" t="s">
        <v>1362</v>
      </c>
      <c r="DH6" s="50" t="s">
        <v>1363</v>
      </c>
      <c r="DI6" s="50" t="s">
        <v>1364</v>
      </c>
      <c r="DJ6" s="50" t="s">
        <v>1365</v>
      </c>
      <c r="DK6" s="50" t="s">
        <v>1366</v>
      </c>
      <c r="DL6" s="50" t="s">
        <v>1367</v>
      </c>
      <c r="DM6" s="50" t="s">
        <v>1368</v>
      </c>
      <c r="DN6" s="50" t="s">
        <v>1369</v>
      </c>
      <c r="DO6" s="50" t="s">
        <v>1370</v>
      </c>
      <c r="DP6" s="50" t="s">
        <v>1371</v>
      </c>
      <c r="DQ6" s="50" t="s">
        <v>1372</v>
      </c>
      <c r="DR6" s="50" t="s">
        <v>1373</v>
      </c>
      <c r="DS6" s="50" t="s">
        <v>1374</v>
      </c>
      <c r="DT6" s="50" t="s">
        <v>1375</v>
      </c>
      <c r="DU6" s="50" t="s">
        <v>1376</v>
      </c>
      <c r="DV6" s="50" t="s">
        <v>1377</v>
      </c>
      <c r="DW6" s="50" t="s">
        <v>1378</v>
      </c>
      <c r="DX6" s="50" t="s">
        <v>1379</v>
      </c>
      <c r="DY6" s="50" t="s">
        <v>1380</v>
      </c>
      <c r="DZ6" s="50" t="s">
        <v>1381</v>
      </c>
      <c r="EA6" s="50" t="s">
        <v>1382</v>
      </c>
      <c r="EB6" s="50" t="s">
        <v>1383</v>
      </c>
      <c r="EC6" s="50" t="s">
        <v>1384</v>
      </c>
      <c r="ED6" s="50" t="s">
        <v>1385</v>
      </c>
      <c r="EE6" s="50" t="s">
        <v>1386</v>
      </c>
      <c r="EF6" s="50" t="s">
        <v>1387</v>
      </c>
      <c r="EG6" s="50" t="s">
        <v>1388</v>
      </c>
      <c r="EH6" s="50" t="s">
        <v>1389</v>
      </c>
      <c r="EI6" s="50" t="s">
        <v>1390</v>
      </c>
      <c r="EJ6" s="50" t="s">
        <v>1391</v>
      </c>
      <c r="EK6" s="50" t="s">
        <v>1392</v>
      </c>
      <c r="EL6" s="50" t="s">
        <v>1393</v>
      </c>
      <c r="EM6" s="50" t="s">
        <v>1394</v>
      </c>
      <c r="EN6" s="50" t="s">
        <v>1395</v>
      </c>
      <c r="EO6" s="50" t="s">
        <v>1396</v>
      </c>
      <c r="EP6" s="50" t="s">
        <v>1397</v>
      </c>
      <c r="EQ6" s="50" t="s">
        <v>1398</v>
      </c>
      <c r="ER6" s="50" t="s">
        <v>1399</v>
      </c>
    </row>
    <row r="7" customFormat="false" ht="15" hidden="false" customHeight="false" outlineLevel="0" collapsed="false">
      <c r="A7" s="51"/>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75" t="n">
        <f aca="false">SUM(ovc_serv_T[[#This Row],[A_ovc_serv_u1_unk]:[A_ovc_serv_1517_m]])</f>
        <v>0</v>
      </c>
      <c r="BS7" s="75" t="n">
        <f aca="false">SUM(ovc_serv_T[[#This Row],[A_ovc_serv_1824_f]:[A_ovc_serv_o25_m]])</f>
        <v>0</v>
      </c>
      <c r="BT7" s="75" t="n">
        <f aca="false">SUM(ovc_serv_T[[#This Row],[A_ovc_serv_u1_unk_econ]:[A_ovc_serv_o25_m_econ]])</f>
        <v>0</v>
      </c>
      <c r="BU7" s="75" t="n">
        <f aca="false">SUM(ovc_serv_T[[#This Row],[A_ovc_serv_u1_unk_edu]:[A_ovc_serv_o25_m_edu]])</f>
        <v>0</v>
      </c>
      <c r="BV7" s="75" t="n">
        <f aca="false">SUM(ovc_serv_T[[#This Row],[A_ovc_serv_u1_unk_oth]:[A_ovc_serv_o25_m_oth]])</f>
        <v>0</v>
      </c>
      <c r="BW7" s="75" t="n">
        <f aca="false">SUM(ovc_serv_T[[#This Row],[A_ovc_serv_u1_unk_care]:[A_ovc_serv_o25_m_care]])</f>
        <v>0</v>
      </c>
      <c r="BX7" s="75" t="n">
        <f aca="false">SUM(ovc_serv_T[[#This Row],[A_ovc_serv_u1_unk_sp]:[A_ovc_serv_o25_m_sp]])</f>
        <v>0</v>
      </c>
      <c r="BY7" s="49"/>
      <c r="BZ7" s="49"/>
      <c r="CA7" s="49"/>
      <c r="CB7" s="49"/>
      <c r="CC7" s="49"/>
      <c r="CD7" s="49"/>
      <c r="CE7" s="49"/>
      <c r="CF7" s="49"/>
      <c r="CG7" s="49"/>
      <c r="CH7" s="49"/>
      <c r="CI7" s="49"/>
      <c r="CJ7" s="49"/>
      <c r="CK7" s="49" t="n">
        <f aca="false">ovc_serv_T[[D_ovc_serv_u18_fy19]:[D_ovc_serv_u18_fy19]]*ovc_serv_T[A_ovc_serv_u1_unk]</f>
        <v>0</v>
      </c>
      <c r="CL7" s="49" t="n">
        <f aca="false">ovc_serv_T[[D_ovc_serv_u18_fy19]:[D_ovc_serv_u18_fy19]]*ovc_serv_T[A_ovc_serv_0109_unk]</f>
        <v>0</v>
      </c>
      <c r="CM7" s="49" t="n">
        <f aca="false">ovc_serv_T[[D_ovc_serv_u18_fy19]:[D_ovc_serv_u18_fy19]]*ovc_serv_T[A_ovc_serv_1014_f]</f>
        <v>0</v>
      </c>
      <c r="CN7" s="49" t="n">
        <f aca="false">ovc_serv_T[[D_ovc_serv_u18_fy19]:[D_ovc_serv_u18_fy19]]*ovc_serv_T[A_ovc_serv_1014_m]</f>
        <v>0</v>
      </c>
      <c r="CO7" s="49" t="n">
        <f aca="false">ovc_serv_T[[D_ovc_serv_u18_fy19]:[D_ovc_serv_u18_fy19]]*ovc_serv_T[A_ovc_serv_1517_f]</f>
        <v>0</v>
      </c>
      <c r="CP7" s="49" t="n">
        <f aca="false">ovc_serv_T[[D_ovc_serv_u18_fy19]:[D_ovc_serv_u18_fy19]]*ovc_serv_T[A_ovc_serv_1517_m]</f>
        <v>0</v>
      </c>
      <c r="CQ7" s="49" t="n">
        <f aca="false">ovc_serv_T[[D_ovc_serv_o18_fy19]:[D_ovc_serv_o18_fy19]]*ovc_serv_T[A_ovc_serv_1824_f]</f>
        <v>0</v>
      </c>
      <c r="CR7" s="49" t="n">
        <f aca="false">ovc_serv_T[[D_ovc_serv_o18_fy19]:[D_ovc_serv_o18_fy19]]*ovc_serv_T[A_ovc_serv_1824_m]</f>
        <v>0</v>
      </c>
      <c r="CS7" s="49" t="n">
        <f aca="false">ovc_serv_T[[D_ovc_serv_o18_fy19]:[D_ovc_serv_o18_fy19]]*ovc_serv_T[A_ovc_serv_o25_f]</f>
        <v>0</v>
      </c>
      <c r="CT7" s="49" t="n">
        <f aca="false">ovc_serv_T[[D_ovc_serv_o18_fy19]:[D_ovc_serv_o18_fy19]]*ovc_serv_T[A_ovc_serv_o25_m]</f>
        <v>0</v>
      </c>
      <c r="CU7" s="49" t="n">
        <f aca="false">ovc_serv_T[[D_ovc_serv_econ_fy19]:[D_ovc_serv_econ_fy19]]*ovc_serv_T[A_ovc_serv_u1_unk_econ]</f>
        <v>0</v>
      </c>
      <c r="CV7" s="49" t="n">
        <f aca="false">ovc_serv_T[[D_ovc_serv_econ_fy19]:[D_ovc_serv_econ_fy19]]*ovc_serv_T[A_ovc_serv_0109_unk_econ]</f>
        <v>0</v>
      </c>
      <c r="CW7" s="49" t="n">
        <f aca="false">ovc_serv_T[[D_ovc_serv_econ_fy19]:[D_ovc_serv_econ_fy19]]*ovc_serv_T[A_ovc_serv_1014_f_econ]</f>
        <v>0</v>
      </c>
      <c r="CX7" s="49" t="n">
        <f aca="false">ovc_serv_T[[D_ovc_serv_econ_fy19]:[D_ovc_serv_econ_fy19]]*ovc_serv_T[A_ovc_serv_1014_m_econ]</f>
        <v>0</v>
      </c>
      <c r="CY7" s="49" t="n">
        <f aca="false">ovc_serv_T[[D_ovc_serv_econ_fy19]:[D_ovc_serv_econ_fy19]]*ovc_serv_T[A_ovc_serv_1517_f_econ]</f>
        <v>0</v>
      </c>
      <c r="CZ7" s="49" t="n">
        <f aca="false">ovc_serv_T[[D_ovc_serv_econ_fy19]:[D_ovc_serv_econ_fy19]]*ovc_serv_T[A_ovc_serv_1517_m_econ]</f>
        <v>0</v>
      </c>
      <c r="DA7" s="49" t="n">
        <f aca="false">ovc_serv_T[[D_ovc_serv_econ_fy19]:[D_ovc_serv_econ_fy19]]*ovc_serv_T[A_ovc_serv_1824_f_econ]</f>
        <v>0</v>
      </c>
      <c r="DB7" s="49" t="n">
        <f aca="false">ovc_serv_T[[D_ovc_serv_econ_fy19]:[D_ovc_serv_econ_fy19]]*ovc_serv_T[A_ovc_serv_1824_m_econ]</f>
        <v>0</v>
      </c>
      <c r="DC7" s="49" t="n">
        <f aca="false">ovc_serv_T[[D_ovc_serv_econ_fy19]:[D_ovc_serv_econ_fy19]]*ovc_serv_T[A_ovc_serv_o25_f_econ]</f>
        <v>0</v>
      </c>
      <c r="DD7" s="49" t="n">
        <f aca="false">ovc_serv_T[[D_ovc_serv_econ_fy19]:[D_ovc_serv_econ_fy19]]*ovc_serv_T[A_ovc_serv_o25_m_econ]</f>
        <v>0</v>
      </c>
      <c r="DE7" s="49" t="n">
        <f aca="false">ovc_serv_T[[D_ovc_serv_edu_fy19]:[D_ovc_serv_edu_fy19]]*ovc_serv_T[A_ovc_serv_u1_unk_edu]</f>
        <v>0</v>
      </c>
      <c r="DF7" s="49" t="n">
        <f aca="false">ovc_serv_T[[D_ovc_serv_edu_fy19]:[D_ovc_serv_edu_fy19]]*ovc_serv_T[A_ovc_serv_0109_unk_edu]</f>
        <v>0</v>
      </c>
      <c r="DG7" s="49" t="n">
        <f aca="false">ovc_serv_T[[D_ovc_serv_edu_fy19]:[D_ovc_serv_edu_fy19]]*ovc_serv_T[A_ovc_serv_1014_f_edu]</f>
        <v>0</v>
      </c>
      <c r="DH7" s="49" t="n">
        <f aca="false">ovc_serv_T[[D_ovc_serv_edu_fy19]:[D_ovc_serv_edu_fy19]]*ovc_serv_T[A_ovc_serv_1014_m_edu]</f>
        <v>0</v>
      </c>
      <c r="DI7" s="49" t="n">
        <f aca="false">ovc_serv_T[[D_ovc_serv_edu_fy19]:[D_ovc_serv_edu_fy19]]*ovc_serv_T[A_ovc_serv_1517_f_edu]</f>
        <v>0</v>
      </c>
      <c r="DJ7" s="49" t="n">
        <f aca="false">ovc_serv_T[[D_ovc_serv_edu_fy19]:[D_ovc_serv_edu_fy19]]*ovc_serv_T[A_ovc_serv_1517_m_edu]</f>
        <v>0</v>
      </c>
      <c r="DK7" s="49" t="n">
        <f aca="false">ovc_serv_T[[D_ovc_serv_edu_fy19]:[D_ovc_serv_edu_fy19]]*ovc_serv_T[A_ovc_serv_1824_f_edu]</f>
        <v>0</v>
      </c>
      <c r="DL7" s="49" t="n">
        <f aca="false">ovc_serv_T[[D_ovc_serv_edu_fy19]:[D_ovc_serv_edu_fy19]]*ovc_serv_T[A_ovc_serv_1824_m_edu]</f>
        <v>0</v>
      </c>
      <c r="DM7" s="49" t="n">
        <f aca="false">ovc_serv_T[[D_ovc_serv_edu_fy19]:[D_ovc_serv_edu_fy19]]*ovc_serv_T[A_ovc_serv_o25_f_edu]</f>
        <v>0</v>
      </c>
      <c r="DN7" s="49" t="n">
        <f aca="false">ovc_serv_T[[D_ovc_serv_edu_fy19]:[D_ovc_serv_edu_fy19]]*ovc_serv_T[A_ovc_serv_o25_m_edu]</f>
        <v>0</v>
      </c>
      <c r="DO7" s="49" t="n">
        <f aca="false">ovc_serv_T[[D_ovc_serv_oth_fy19]:[D_ovc_serv_oth_fy19]]*ovc_serv_T[A_ovc_serv_u1_unk_oth]</f>
        <v>0</v>
      </c>
      <c r="DP7" s="49" t="n">
        <f aca="false">ovc_serv_T[[D_ovc_serv_oth_fy19]:[D_ovc_serv_oth_fy19]]*ovc_serv_T[A_ovc_serv_0109_unk_oth]</f>
        <v>0</v>
      </c>
      <c r="DQ7" s="49" t="n">
        <f aca="false">ovc_serv_T[[D_ovc_serv_oth_fy19]:[D_ovc_serv_oth_fy19]]*ovc_serv_T[A_ovc_serv_1014_f_oth]</f>
        <v>0</v>
      </c>
      <c r="DR7" s="49" t="n">
        <f aca="false">ovc_serv_T[[D_ovc_serv_oth_fy19]:[D_ovc_serv_oth_fy19]]*ovc_serv_T[A_ovc_serv_1014_m_oth]</f>
        <v>0</v>
      </c>
      <c r="DS7" s="49" t="n">
        <f aca="false">ovc_serv_T[[D_ovc_serv_oth_fy19]:[D_ovc_serv_oth_fy19]]*ovc_serv_T[A_ovc_serv_1517_f_oth]</f>
        <v>0</v>
      </c>
      <c r="DT7" s="49" t="n">
        <f aca="false">ovc_serv_T[[D_ovc_serv_oth_fy19]:[D_ovc_serv_oth_fy19]]*ovc_serv_T[A_ovc_serv_1517_m_oth]</f>
        <v>0</v>
      </c>
      <c r="DU7" s="49" t="n">
        <f aca="false">ovc_serv_T[[D_ovc_serv_oth_fy19]:[D_ovc_serv_oth_fy19]]*ovc_serv_T[A_ovc_serv_1824_f_oth]</f>
        <v>0</v>
      </c>
      <c r="DV7" s="49" t="n">
        <f aca="false">ovc_serv_T[[D_ovc_serv_oth_fy19]:[D_ovc_serv_oth_fy19]]*ovc_serv_T[A_ovc_serv_1824_m_oth]</f>
        <v>0</v>
      </c>
      <c r="DW7" s="49" t="n">
        <f aca="false">ovc_serv_T[[D_ovc_serv_oth_fy19]:[D_ovc_serv_oth_fy19]]*ovc_serv_T[A_ovc_serv_o25_f_oth]</f>
        <v>0</v>
      </c>
      <c r="DX7" s="49" t="n">
        <f aca="false">ovc_serv_T[[D_ovc_serv_oth_fy19]:[D_ovc_serv_oth_fy19]]*ovc_serv_T[A_ovc_serv_o25_m_oth]</f>
        <v>0</v>
      </c>
      <c r="DY7" s="49" t="n">
        <f aca="false">ovc_serv_T[[D_ovc_serv_care_fy19]:[D_ovc_serv_care_fy19]]*ovc_serv_T[A_ovc_serv_u1_unk_care]</f>
        <v>0</v>
      </c>
      <c r="DZ7" s="49" t="n">
        <f aca="false">ovc_serv_T[[D_ovc_serv_care_fy19]:[D_ovc_serv_care_fy19]]*ovc_serv_T[A_ovc_serv_0109_unk_care]</f>
        <v>0</v>
      </c>
      <c r="EA7" s="49" t="n">
        <f aca="false">ovc_serv_T[[D_ovc_serv_care_fy19]:[D_ovc_serv_care_fy19]]*ovc_serv_T[A_ovc_serv_1014_f_care]</f>
        <v>0</v>
      </c>
      <c r="EB7" s="49" t="n">
        <f aca="false">ovc_serv_T[[D_ovc_serv_care_fy19]:[D_ovc_serv_care_fy19]]*ovc_serv_T[A_ovc_serv_1014_m_care]</f>
        <v>0</v>
      </c>
      <c r="EC7" s="49" t="n">
        <f aca="false">ovc_serv_T[[D_ovc_serv_care_fy19]:[D_ovc_serv_care_fy19]]*ovc_serv_T[A_ovc_serv_1517_f_care]</f>
        <v>0</v>
      </c>
      <c r="ED7" s="49" t="n">
        <f aca="false">ovc_serv_T[[D_ovc_serv_care_fy19]:[D_ovc_serv_care_fy19]]*ovc_serv_T[A_ovc_serv_1517_m_care]</f>
        <v>0</v>
      </c>
      <c r="EE7" s="49" t="n">
        <f aca="false">ovc_serv_T[[D_ovc_serv_care_fy19]:[D_ovc_serv_care_fy19]]*ovc_serv_T[A_ovc_serv_1824_f_care]</f>
        <v>0</v>
      </c>
      <c r="EF7" s="49" t="n">
        <f aca="false">ovc_serv_T[[D_ovc_serv_care_fy19]:[D_ovc_serv_care_fy19]]*ovc_serv_T[A_ovc_serv_1824_m_care]</f>
        <v>0</v>
      </c>
      <c r="EG7" s="49" t="n">
        <f aca="false">ovc_serv_T[[D_ovc_serv_care_fy19]:[D_ovc_serv_care_fy19]]*ovc_serv_T[A_ovc_serv_o25_f_care]</f>
        <v>0</v>
      </c>
      <c r="EH7" s="49" t="n">
        <f aca="false">ovc_serv_T[[D_ovc_serv_care_fy19]:[D_ovc_serv_care_fy19]]*ovc_serv_T[A_ovc_serv_o25_m_care]</f>
        <v>0</v>
      </c>
      <c r="EI7" s="49" t="n">
        <f aca="false">ovc_serv_T[[D_ovc_serv_sp_fy19]:[D_ovc_serv_sp_fy19]]*ovc_serv_T[A_ovc_serv_u1_unk_sp]</f>
        <v>0</v>
      </c>
      <c r="EJ7" s="49" t="n">
        <f aca="false">ovc_serv_T[[D_ovc_serv_sp_fy19]:[D_ovc_serv_sp_fy19]]*ovc_serv_T[A_ovc_serv_0109_unk_sp]</f>
        <v>0</v>
      </c>
      <c r="EK7" s="49" t="n">
        <f aca="false">ovc_serv_T[[D_ovc_serv_sp_fy19]:[D_ovc_serv_sp_fy19]]*ovc_serv_T[A_ovc_serv_1014_f_sp]</f>
        <v>0</v>
      </c>
      <c r="EL7" s="49" t="n">
        <f aca="false">ovc_serv_T[[D_ovc_serv_sp_fy19]:[D_ovc_serv_sp_fy19]]*ovc_serv_T[A_ovc_serv_1014_m_sp]</f>
        <v>0</v>
      </c>
      <c r="EM7" s="49" t="n">
        <f aca="false">ovc_serv_T[[D_ovc_serv_sp_fy19]:[D_ovc_serv_sp_fy19]]*ovc_serv_T[A_ovc_serv_1517_f_sp]</f>
        <v>0</v>
      </c>
      <c r="EN7" s="49" t="n">
        <f aca="false">ovc_serv_T[[D_ovc_serv_sp_fy19]:[D_ovc_serv_sp_fy19]]*ovc_serv_T[A_ovc_serv_1517_m_sp]</f>
        <v>0</v>
      </c>
      <c r="EO7" s="49" t="n">
        <f aca="false">ovc_serv_T[[D_ovc_serv_sp_fy19]:[D_ovc_serv_sp_fy19]]*ovc_serv_T[A_ovc_serv_1824_f_sp]</f>
        <v>0</v>
      </c>
      <c r="EP7" s="49" t="n">
        <f aca="false">ovc_serv_T[[D_ovc_serv_sp_fy19]:[D_ovc_serv_sp_fy19]]*ovc_serv_T[A_ovc_serv_1824_m_sp]</f>
        <v>0</v>
      </c>
      <c r="EQ7" s="49" t="n">
        <f aca="false">ovc_serv_T[[D_ovc_serv_sp_fy19]:[D_ovc_serv_sp_fy19]]*ovc_serv_T[A_ovc_serv_o25_f_sp]</f>
        <v>0</v>
      </c>
      <c r="ER7" s="49" t="n">
        <f aca="false">ovc_serv_T[[D_ovc_serv_sp_fy19]:[D_ovc_serv_sp_fy19]]*ovc_serv_T[A_ovc_serv_o25_m_sp]</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row>
  </sheetData>
  <mergeCells count="1">
    <mergeCell ref="A1:A2"/>
  </mergeCells>
  <conditionalFormatting sqref="J7:BX7">
    <cfRule type="expression" priority="2" aboveAverage="0" equalAverage="0" bottom="0" percent="0" rank="0" text="" dxfId="0">
      <formula>$BY7=0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V7" activeCellId="0" sqref="CV7"/>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49" min="10" style="33" width="11.5708502024291"/>
    <col collapsed="false" hidden="false" max="56" min="50" style="0" width="11.5708502024291"/>
    <col collapsed="false" hidden="false" max="57" min="57" style="0" width="12.6396761133603"/>
    <col collapsed="false" hidden="false" max="58" min="58" style="0" width="12.748987854251"/>
    <col collapsed="false" hidden="false" max="59" min="59" style="0" width="12.3198380566802"/>
    <col collapsed="false" hidden="false" max="81" min="60" style="0" width="13.1740890688259"/>
    <col collapsed="false" hidden="false" max="86" min="82" style="0" width="11.5708502024291"/>
    <col collapsed="false" hidden="false" max="99" min="87" style="0" width="13.1740890688259"/>
    <col collapsed="false" hidden="false" max="1025" min="100" style="0" width="8.57085020242915"/>
  </cols>
  <sheetData>
    <row r="1" s="33" customFormat="true" ht="23.25" hidden="false" customHeight="false" outlineLevel="0" collapsed="false">
      <c r="A1" s="34"/>
      <c r="C1" s="77" t="s">
        <v>345</v>
      </c>
      <c r="D1" s="35"/>
      <c r="J1" s="88" t="s">
        <v>1157</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37" t="s">
        <v>1158</v>
      </c>
      <c r="AU1" s="78"/>
      <c r="AV1" s="78"/>
      <c r="AW1" s="78"/>
      <c r="AX1" s="37" t="s">
        <v>1159</v>
      </c>
      <c r="AY1" s="55"/>
      <c r="AZ1" s="55"/>
      <c r="BA1" s="55"/>
      <c r="BB1" s="56"/>
      <c r="BC1" s="55" t="s">
        <v>1160</v>
      </c>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row>
    <row r="2" s="35" customFormat="true" ht="15" hidden="false" customHeight="false" outlineLevel="0" collapsed="false">
      <c r="A2" s="34"/>
      <c r="B2" s="35" t="s">
        <v>808</v>
      </c>
      <c r="C2" s="35" t="s">
        <v>808</v>
      </c>
      <c r="D2" s="35" t="s">
        <v>808</v>
      </c>
      <c r="E2" s="35" t="s">
        <v>808</v>
      </c>
      <c r="F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c r="AV2" s="35" t="s">
        <v>808</v>
      </c>
      <c r="AW2" s="35" t="s">
        <v>808</v>
      </c>
      <c r="AX2" s="35" t="s">
        <v>808</v>
      </c>
      <c r="AY2" s="35" t="s">
        <v>808</v>
      </c>
      <c r="AZ2" s="35" t="s">
        <v>808</v>
      </c>
      <c r="BA2" s="35" t="s">
        <v>808</v>
      </c>
      <c r="BB2" s="35" t="s">
        <v>808</v>
      </c>
      <c r="BC2" s="35" t="s">
        <v>808</v>
      </c>
      <c r="BD2" s="35" t="s">
        <v>808</v>
      </c>
      <c r="BE2" s="35" t="s">
        <v>808</v>
      </c>
      <c r="BF2" s="35" t="s">
        <v>808</v>
      </c>
      <c r="BG2" s="35" t="s">
        <v>808</v>
      </c>
      <c r="BH2" s="35" t="s">
        <v>808</v>
      </c>
      <c r="BI2" s="35" t="s">
        <v>808</v>
      </c>
      <c r="BJ2" s="35" t="s">
        <v>808</v>
      </c>
      <c r="BK2" s="35" t="s">
        <v>808</v>
      </c>
      <c r="BL2" s="35" t="s">
        <v>808</v>
      </c>
      <c r="BM2" s="35" t="s">
        <v>808</v>
      </c>
      <c r="BN2" s="35" t="s">
        <v>808</v>
      </c>
      <c r="BO2" s="35" t="s">
        <v>808</v>
      </c>
      <c r="BP2" s="35" t="s">
        <v>808</v>
      </c>
      <c r="BQ2" s="35" t="s">
        <v>808</v>
      </c>
      <c r="BR2" s="35" t="s">
        <v>808</v>
      </c>
      <c r="BS2" s="35" t="s">
        <v>808</v>
      </c>
      <c r="BT2" s="35" t="s">
        <v>808</v>
      </c>
      <c r="BU2" s="35" t="s">
        <v>808</v>
      </c>
      <c r="BV2" s="35" t="s">
        <v>808</v>
      </c>
      <c r="BW2" s="35" t="s">
        <v>808</v>
      </c>
      <c r="BX2" s="35" t="s">
        <v>808</v>
      </c>
      <c r="BY2" s="35" t="s">
        <v>808</v>
      </c>
      <c r="BZ2" s="35" t="s">
        <v>808</v>
      </c>
      <c r="CA2" s="35" t="s">
        <v>808</v>
      </c>
      <c r="CB2" s="35" t="s">
        <v>808</v>
      </c>
      <c r="CC2" s="35" t="s">
        <v>808</v>
      </c>
      <c r="CD2" s="35" t="s">
        <v>808</v>
      </c>
      <c r="CE2" s="35" t="s">
        <v>808</v>
      </c>
      <c r="CF2" s="35" t="s">
        <v>808</v>
      </c>
      <c r="CG2" s="35" t="s">
        <v>808</v>
      </c>
      <c r="CH2" s="35" t="s">
        <v>808</v>
      </c>
      <c r="CI2" s="35" t="s">
        <v>808</v>
      </c>
      <c r="CJ2" s="35" t="s">
        <v>808</v>
      </c>
      <c r="CK2" s="35" t="s">
        <v>808</v>
      </c>
      <c r="CL2" s="35" t="s">
        <v>808</v>
      </c>
      <c r="CM2" s="35" t="s">
        <v>808</v>
      </c>
      <c r="CN2" s="35" t="s">
        <v>808</v>
      </c>
      <c r="CO2" s="35" t="s">
        <v>808</v>
      </c>
      <c r="CP2" s="35" t="s">
        <v>808</v>
      </c>
      <c r="CQ2" s="35" t="s">
        <v>808</v>
      </c>
      <c r="CR2" s="35" t="s">
        <v>808</v>
      </c>
      <c r="CS2" s="35" t="s">
        <v>808</v>
      </c>
      <c r="CT2" s="35" t="s">
        <v>808</v>
      </c>
      <c r="CU2" s="35" t="s">
        <v>808</v>
      </c>
    </row>
    <row r="3" s="4" customFormat="true" ht="15" hidden="false" customHeight="false" outlineLevel="0" collapsed="false">
      <c r="A3" s="38"/>
      <c r="C3" s="35" t="s">
        <v>808</v>
      </c>
      <c r="D3" s="35"/>
      <c r="E3" s="39"/>
      <c r="F3" s="39"/>
      <c r="G3" s="39"/>
      <c r="H3" s="40"/>
      <c r="I3" s="40"/>
      <c r="J3" s="57" t="s">
        <v>347</v>
      </c>
      <c r="K3" s="58"/>
      <c r="L3" s="58"/>
      <c r="M3" s="58"/>
      <c r="N3" s="58"/>
      <c r="O3" s="58"/>
      <c r="P3" s="58"/>
      <c r="Q3" s="58"/>
      <c r="R3" s="58"/>
      <c r="S3" s="57" t="s">
        <v>1400</v>
      </c>
      <c r="T3" s="58"/>
      <c r="U3" s="58"/>
      <c r="V3" s="58"/>
      <c r="W3" s="58"/>
      <c r="X3" s="58"/>
      <c r="Y3" s="58"/>
      <c r="Z3" s="58"/>
      <c r="AA3" s="58"/>
      <c r="AB3" s="57" t="s">
        <v>1401</v>
      </c>
      <c r="AC3" s="58"/>
      <c r="AD3" s="58"/>
      <c r="AE3" s="58"/>
      <c r="AF3" s="58"/>
      <c r="AG3" s="58"/>
      <c r="AH3" s="58"/>
      <c r="AI3" s="58"/>
      <c r="AJ3" s="79"/>
      <c r="AK3" s="58" t="s">
        <v>1402</v>
      </c>
      <c r="AL3" s="58"/>
      <c r="AM3" s="58"/>
      <c r="AN3" s="58"/>
      <c r="AO3" s="58"/>
      <c r="AP3" s="58"/>
      <c r="AQ3" s="58"/>
      <c r="AR3" s="58"/>
      <c r="AS3" s="79"/>
      <c r="AT3" s="60"/>
      <c r="AU3" s="91"/>
      <c r="AV3" s="91"/>
      <c r="AW3" s="92"/>
      <c r="AX3" s="90" t="s">
        <v>1403</v>
      </c>
      <c r="AY3" s="90"/>
      <c r="AZ3" s="90"/>
      <c r="BA3" s="90"/>
      <c r="BB3" s="90"/>
      <c r="BC3" s="62" t="s">
        <v>347</v>
      </c>
      <c r="BD3" s="63"/>
      <c r="BE3" s="63"/>
      <c r="BF3" s="63"/>
      <c r="BG3" s="63"/>
      <c r="BH3" s="63"/>
      <c r="BI3" s="63"/>
      <c r="BJ3" s="63"/>
      <c r="BK3" s="63"/>
      <c r="BL3" s="62" t="s">
        <v>427</v>
      </c>
      <c r="BM3" s="63"/>
      <c r="BN3" s="63"/>
      <c r="BO3" s="63"/>
      <c r="BP3" s="63"/>
      <c r="BQ3" s="63"/>
      <c r="BR3" s="63"/>
      <c r="BS3" s="63"/>
      <c r="BT3" s="63"/>
      <c r="BU3" s="62" t="s">
        <v>1400</v>
      </c>
      <c r="BV3" s="63"/>
      <c r="BW3" s="63"/>
      <c r="BX3" s="63"/>
      <c r="BY3" s="63"/>
      <c r="BZ3" s="63"/>
      <c r="CA3" s="63"/>
      <c r="CB3" s="63"/>
      <c r="CC3" s="63"/>
      <c r="CD3" s="62" t="s">
        <v>1401</v>
      </c>
      <c r="CE3" s="63"/>
      <c r="CF3" s="63"/>
      <c r="CG3" s="63"/>
      <c r="CH3" s="63"/>
      <c r="CI3" s="63"/>
      <c r="CJ3" s="63"/>
      <c r="CK3" s="63"/>
      <c r="CL3" s="63"/>
      <c r="CM3" s="62" t="s">
        <v>1402</v>
      </c>
      <c r="CN3" s="63"/>
      <c r="CO3" s="63"/>
      <c r="CP3" s="63"/>
      <c r="CQ3" s="63"/>
      <c r="CR3" s="63"/>
      <c r="CS3" s="63"/>
      <c r="CT3" s="63"/>
      <c r="CU3" s="65"/>
    </row>
    <row r="4" s="33" customFormat="true" ht="135.75" hidden="false" customHeight="true" outlineLevel="0" collapsed="false">
      <c r="A4" s="38"/>
      <c r="C4" s="44" t="s">
        <v>910</v>
      </c>
      <c r="D4" s="44" t="s">
        <v>1164</v>
      </c>
      <c r="E4" s="44" t="s">
        <v>911</v>
      </c>
      <c r="F4" s="44" t="s">
        <v>912</v>
      </c>
      <c r="G4" s="44" t="s">
        <v>1165</v>
      </c>
      <c r="H4" s="44" t="s">
        <v>913</v>
      </c>
      <c r="I4" s="44" t="s">
        <v>1166</v>
      </c>
      <c r="J4" s="66" t="s">
        <v>348</v>
      </c>
      <c r="K4" s="67" t="s">
        <v>202</v>
      </c>
      <c r="L4" s="67" t="s">
        <v>351</v>
      </c>
      <c r="M4" s="67" t="s">
        <v>353</v>
      </c>
      <c r="N4" s="67" t="s">
        <v>355</v>
      </c>
      <c r="O4" s="67" t="s">
        <v>357</v>
      </c>
      <c r="P4" s="67" t="s">
        <v>359</v>
      </c>
      <c r="Q4" s="67" t="s">
        <v>361</v>
      </c>
      <c r="R4" s="67" t="s">
        <v>363</v>
      </c>
      <c r="S4" s="66" t="s">
        <v>368</v>
      </c>
      <c r="T4" s="67" t="s">
        <v>370</v>
      </c>
      <c r="U4" s="67" t="s">
        <v>372</v>
      </c>
      <c r="V4" s="67" t="s">
        <v>374</v>
      </c>
      <c r="W4" s="67" t="s">
        <v>376</v>
      </c>
      <c r="X4" s="67" t="s">
        <v>378</v>
      </c>
      <c r="Y4" s="67" t="s">
        <v>380</v>
      </c>
      <c r="Z4" s="67" t="s">
        <v>382</v>
      </c>
      <c r="AA4" s="67" t="s">
        <v>384</v>
      </c>
      <c r="AB4" s="66" t="s">
        <v>388</v>
      </c>
      <c r="AC4" s="67" t="s">
        <v>390</v>
      </c>
      <c r="AD4" s="67" t="s">
        <v>392</v>
      </c>
      <c r="AE4" s="67" t="s">
        <v>394</v>
      </c>
      <c r="AF4" s="67" t="s">
        <v>397</v>
      </c>
      <c r="AG4" s="67" t="s">
        <v>399</v>
      </c>
      <c r="AH4" s="67" t="s">
        <v>401</v>
      </c>
      <c r="AI4" s="67" t="s">
        <v>403</v>
      </c>
      <c r="AJ4" s="85" t="s">
        <v>405</v>
      </c>
      <c r="AK4" s="67" t="s">
        <v>408</v>
      </c>
      <c r="AL4" s="67" t="s">
        <v>410</v>
      </c>
      <c r="AM4" s="67" t="s">
        <v>412</v>
      </c>
      <c r="AN4" s="67" t="s">
        <v>414</v>
      </c>
      <c r="AO4" s="67" t="s">
        <v>416</v>
      </c>
      <c r="AP4" s="67" t="s">
        <v>418</v>
      </c>
      <c r="AQ4" s="67" t="s">
        <v>420</v>
      </c>
      <c r="AR4" s="67" t="s">
        <v>422</v>
      </c>
      <c r="AS4" s="85" t="s">
        <v>424</v>
      </c>
      <c r="AT4" s="69" t="s">
        <v>347</v>
      </c>
      <c r="AU4" s="86" t="s">
        <v>1400</v>
      </c>
      <c r="AV4" s="86" t="s">
        <v>1401</v>
      </c>
      <c r="AW4" s="93" t="s">
        <v>1402</v>
      </c>
      <c r="AX4" s="46" t="s">
        <v>817</v>
      </c>
      <c r="AY4" s="46" t="s">
        <v>345</v>
      </c>
      <c r="AZ4" s="46" t="s">
        <v>1404</v>
      </c>
      <c r="BA4" s="46" t="s">
        <v>1405</v>
      </c>
      <c r="BB4" s="46" t="s">
        <v>1406</v>
      </c>
      <c r="BC4" s="70" t="s">
        <v>348</v>
      </c>
      <c r="BD4" s="71" t="s">
        <v>202</v>
      </c>
      <c r="BE4" s="71" t="s">
        <v>351</v>
      </c>
      <c r="BF4" s="71" t="s">
        <v>353</v>
      </c>
      <c r="BG4" s="71" t="s">
        <v>355</v>
      </c>
      <c r="BH4" s="71" t="s">
        <v>357</v>
      </c>
      <c r="BI4" s="71" t="s">
        <v>359</v>
      </c>
      <c r="BJ4" s="71" t="s">
        <v>361</v>
      </c>
      <c r="BK4" s="71" t="s">
        <v>363</v>
      </c>
      <c r="BL4" s="70" t="s">
        <v>348</v>
      </c>
      <c r="BM4" s="71" t="s">
        <v>202</v>
      </c>
      <c r="BN4" s="71" t="s">
        <v>351</v>
      </c>
      <c r="BO4" s="71" t="s">
        <v>353</v>
      </c>
      <c r="BP4" s="71" t="s">
        <v>355</v>
      </c>
      <c r="BQ4" s="71" t="s">
        <v>357</v>
      </c>
      <c r="BR4" s="71" t="s">
        <v>359</v>
      </c>
      <c r="BS4" s="71" t="s">
        <v>361</v>
      </c>
      <c r="BT4" s="71" t="s">
        <v>363</v>
      </c>
      <c r="BU4" s="70" t="s">
        <v>368</v>
      </c>
      <c r="BV4" s="71" t="s">
        <v>370</v>
      </c>
      <c r="BW4" s="71" t="s">
        <v>372</v>
      </c>
      <c r="BX4" s="71" t="s">
        <v>374</v>
      </c>
      <c r="BY4" s="71" t="s">
        <v>376</v>
      </c>
      <c r="BZ4" s="71" t="s">
        <v>378</v>
      </c>
      <c r="CA4" s="71" t="s">
        <v>380</v>
      </c>
      <c r="CB4" s="71" t="s">
        <v>382</v>
      </c>
      <c r="CC4" s="71" t="s">
        <v>384</v>
      </c>
      <c r="CD4" s="70" t="s">
        <v>388</v>
      </c>
      <c r="CE4" s="71" t="s">
        <v>390</v>
      </c>
      <c r="CF4" s="71" t="s">
        <v>392</v>
      </c>
      <c r="CG4" s="71" t="s">
        <v>394</v>
      </c>
      <c r="CH4" s="71" t="s">
        <v>397</v>
      </c>
      <c r="CI4" s="71" t="s">
        <v>399</v>
      </c>
      <c r="CJ4" s="71" t="s">
        <v>401</v>
      </c>
      <c r="CK4" s="71" t="s">
        <v>403</v>
      </c>
      <c r="CL4" s="71" t="s">
        <v>405</v>
      </c>
      <c r="CM4" s="70" t="s">
        <v>408</v>
      </c>
      <c r="CN4" s="71" t="s">
        <v>410</v>
      </c>
      <c r="CO4" s="71" t="s">
        <v>412</v>
      </c>
      <c r="CP4" s="71" t="s">
        <v>414</v>
      </c>
      <c r="CQ4" s="71" t="s">
        <v>416</v>
      </c>
      <c r="CR4" s="71" t="s">
        <v>418</v>
      </c>
      <c r="CS4" s="71" t="s">
        <v>420</v>
      </c>
      <c r="CT4" s="71" t="s">
        <v>422</v>
      </c>
      <c r="CU4" s="73" t="s">
        <v>424</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74" t="n">
        <f aca="false">SUBTOTAL(109,pmtct_stat_T[D_pmtct_stat_D_fy19])</f>
        <v>0</v>
      </c>
      <c r="AY5" s="74" t="n">
        <f aca="false">SUBTOTAL(109,pmtct_stat_T[D_pmtct_stat_fy19])</f>
        <v>0</v>
      </c>
      <c r="AZ5" s="74" t="n">
        <f aca="false">SUBTOTAL(109,pmtct_stat_T[D_pmtct_stat_known_fy19])</f>
        <v>0</v>
      </c>
      <c r="BA5" s="74" t="n">
        <f aca="false">SUBTOTAL(109,pmtct_stat_T[D_pmtct_stat_newneg_fy19])</f>
        <v>0</v>
      </c>
      <c r="BB5" s="74" t="n">
        <f aca="false">SUBTOTAL(109,pmtct_stat_T[D_pmtct_stat_newpos_fy19])</f>
        <v>0</v>
      </c>
      <c r="BC5" s="74" t="n">
        <f aca="false">SUBTOTAL(109,pmtct_stat_T[pmtct_stat_D_u10_f])</f>
        <v>0</v>
      </c>
      <c r="BD5" s="74" t="n">
        <f aca="false">SUBTOTAL(109,pmtct_stat_T[pmtct_stat_D_1014_f])</f>
        <v>0</v>
      </c>
      <c r="BE5" s="74" t="n">
        <f aca="false">SUBTOTAL(109,pmtct_stat_T[pmtct_stat_D_1519_f])</f>
        <v>0</v>
      </c>
      <c r="BF5" s="74" t="n">
        <f aca="false">SUBTOTAL(109,pmtct_stat_T[pmtct_stat_D_2024_f])</f>
        <v>0</v>
      </c>
      <c r="BG5" s="74" t="n">
        <f aca="false">SUBTOTAL(109,pmtct_stat_T[pmtct_stat_D_2529_f])</f>
        <v>0</v>
      </c>
      <c r="BH5" s="74" t="n">
        <f aca="false">SUBTOTAL(109,pmtct_stat_T[pmtct_stat_D_3034_f])</f>
        <v>0</v>
      </c>
      <c r="BI5" s="74" t="n">
        <f aca="false">SUBTOTAL(109,pmtct_stat_T[pmtct_stat_D_3539_f])</f>
        <v>0</v>
      </c>
      <c r="BJ5" s="74" t="n">
        <f aca="false">SUBTOTAL(109,pmtct_stat_T[pmtct_stat_D_4049_f])</f>
        <v>0</v>
      </c>
      <c r="BK5" s="74" t="n">
        <f aca="false">SUBTOTAL(109,pmtct_stat_T[pmtct_stat_D_o50_f])</f>
        <v>0</v>
      </c>
      <c r="BL5" s="74" t="n">
        <f aca="false">SUBTOTAL(109,pmtct_stat_T[pmtct_stat_u10_f])</f>
        <v>0</v>
      </c>
      <c r="BM5" s="74" t="n">
        <f aca="false">SUBTOTAL(109,pmtct_stat_T[pmtct_stat_1014_f])</f>
        <v>0</v>
      </c>
      <c r="BN5" s="74" t="n">
        <f aca="false">SUBTOTAL(109,pmtct_stat_T[pmtct_stat_1519_f])</f>
        <v>0</v>
      </c>
      <c r="BO5" s="74" t="n">
        <f aca="false">SUBTOTAL(109,pmtct_stat_T[pmtct_stat_2024_f])</f>
        <v>0</v>
      </c>
      <c r="BP5" s="74" t="n">
        <f aca="false">SUBTOTAL(109,pmtct_stat_T[pmtct_stat_2529_f])</f>
        <v>0</v>
      </c>
      <c r="BQ5" s="74" t="n">
        <f aca="false">SUBTOTAL(109,pmtct_stat_T[pmtct_stat_3034_f])</f>
        <v>0</v>
      </c>
      <c r="BR5" s="74" t="n">
        <f aca="false">SUBTOTAL(109,pmtct_stat_T[pmtct_stat_3539_f])</f>
        <v>0</v>
      </c>
      <c r="BS5" s="74" t="n">
        <f aca="false">SUBTOTAL(109,pmtct_stat_T[pmtct_stat_4049_f])</f>
        <v>0</v>
      </c>
      <c r="BT5" s="74" t="n">
        <f aca="false">SUBTOTAL(109,pmtct_stat_T[pmtct_stat_o50_f])</f>
        <v>0</v>
      </c>
      <c r="BU5" s="74" t="n">
        <f aca="false">SUBTOTAL(109,pmtct_stat_T[pmtct_stat_u10_f_known])</f>
        <v>0</v>
      </c>
      <c r="BV5" s="74" t="n">
        <f aca="false">SUBTOTAL(109,pmtct_stat_T[pmtct_stat_1014_f_known])</f>
        <v>0</v>
      </c>
      <c r="BW5" s="74" t="n">
        <f aca="false">SUBTOTAL(109,pmtct_stat_T[pmtct_stat_1519_f_known])</f>
        <v>0</v>
      </c>
      <c r="BX5" s="74" t="n">
        <f aca="false">SUBTOTAL(109,pmtct_stat_T[pmtct_stat_2024_f_known])</f>
        <v>0</v>
      </c>
      <c r="BY5" s="74" t="n">
        <f aca="false">SUBTOTAL(109,pmtct_stat_T[pmtct_stat_2529_f_known])</f>
        <v>0</v>
      </c>
      <c r="BZ5" s="74" t="n">
        <f aca="false">SUBTOTAL(109,pmtct_stat_T[pmtct_stat_3034_f_known])</f>
        <v>0</v>
      </c>
      <c r="CA5" s="74" t="n">
        <f aca="false">SUBTOTAL(109,pmtct_stat_T[pmtct_stat_3539_f_known])</f>
        <v>0</v>
      </c>
      <c r="CB5" s="74" t="n">
        <f aca="false">SUBTOTAL(109,pmtct_stat_T[pmtct_stat_4049_f_known])</f>
        <v>0</v>
      </c>
      <c r="CC5" s="74" t="n">
        <f aca="false">SUBTOTAL(109,pmtct_stat_T[pmtct_stat_o50_f_known])</f>
        <v>0</v>
      </c>
      <c r="CD5" s="74" t="n">
        <f aca="false">SUBTOTAL(109,pmtct_stat_T[pmtct_stat_u10_f_newneg])</f>
        <v>0</v>
      </c>
      <c r="CE5" s="74" t="n">
        <f aca="false">SUBTOTAL(109,pmtct_stat_T[pmtct_stat_1014_f_newneg])</f>
        <v>0</v>
      </c>
      <c r="CF5" s="74" t="n">
        <f aca="false">SUBTOTAL(109,pmtct_stat_T[pmtct_stat_1519_f_newneg])</f>
        <v>0</v>
      </c>
      <c r="CG5" s="74" t="n">
        <f aca="false">SUBTOTAL(109,pmtct_stat_T[pmtct_stat_2024_f_newneg])</f>
        <v>0</v>
      </c>
      <c r="CH5" s="74" t="n">
        <f aca="false">SUBTOTAL(109,pmtct_stat_T[pmtct_stat_2529_f_newneg])</f>
        <v>0</v>
      </c>
      <c r="CI5" s="74" t="n">
        <f aca="false">SUBTOTAL(109,pmtct_stat_T[pmtct_stat_3034_f_newneg])</f>
        <v>0</v>
      </c>
      <c r="CJ5" s="74" t="n">
        <f aca="false">SUBTOTAL(109,pmtct_stat_T[pmtct_stat_3539_f_newneg])</f>
        <v>0</v>
      </c>
      <c r="CK5" s="74" t="n">
        <f aca="false">SUBTOTAL(109,pmtct_stat_T[pmtct_stat_4049_f_newneg])</f>
        <v>0</v>
      </c>
      <c r="CL5" s="74" t="n">
        <f aca="false">SUBTOTAL(109,pmtct_stat_T[pmtct_stat_o50_f_newneg])</f>
        <v>0</v>
      </c>
      <c r="CM5" s="74" t="n">
        <f aca="false">SUBTOTAL(109,pmtct_stat_T[pmtct_stat_u10_f_newpos])</f>
        <v>0</v>
      </c>
      <c r="CN5" s="74" t="n">
        <f aca="false">SUBTOTAL(109,pmtct_stat_T[pmtct_stat_1014_f_newpos])</f>
        <v>0</v>
      </c>
      <c r="CO5" s="74" t="n">
        <f aca="false">SUBTOTAL(109,pmtct_stat_T[pmtct_stat_1519_f_newpos])</f>
        <v>0</v>
      </c>
      <c r="CP5" s="74" t="n">
        <f aca="false">SUBTOTAL(109,pmtct_stat_T[pmtct_stat_2024_f_newpos])</f>
        <v>0</v>
      </c>
      <c r="CQ5" s="74" t="n">
        <f aca="false">SUBTOTAL(109,pmtct_stat_T[pmtct_stat_2529_f_newpos])</f>
        <v>0</v>
      </c>
      <c r="CR5" s="74" t="n">
        <f aca="false">SUBTOTAL(109,pmtct_stat_T[pmtct_stat_3034_f_newpos])</f>
        <v>0</v>
      </c>
      <c r="CS5" s="74" t="n">
        <f aca="false">SUBTOTAL(109,pmtct_stat_T[pmtct_stat_3539_f_newpos])</f>
        <v>0</v>
      </c>
      <c r="CT5" s="74" t="n">
        <f aca="false">SUBTOTAL(109,pmtct_stat_T[pmtct_stat_4049_f_newpos])</f>
        <v>0</v>
      </c>
      <c r="CU5" s="74" t="n">
        <f aca="false">SUBTOTAL(109,pmtct_stat_T[pmtct_stat_o50_f_newpos])</f>
        <v>0</v>
      </c>
    </row>
    <row r="6" customFormat="false" ht="15" hidden="false" customHeight="false" outlineLevel="0" collapsed="false">
      <c r="A6" s="48"/>
      <c r="C6" s="50" t="s">
        <v>1168</v>
      </c>
      <c r="D6" s="50" t="s">
        <v>1169</v>
      </c>
      <c r="E6" s="50" t="s">
        <v>1170</v>
      </c>
      <c r="F6" s="50" t="s">
        <v>1171</v>
      </c>
      <c r="G6" s="50" t="s">
        <v>1172</v>
      </c>
      <c r="H6" s="50" t="s">
        <v>1173</v>
      </c>
      <c r="I6" s="50" t="s">
        <v>1174</v>
      </c>
      <c r="J6" s="50" t="s">
        <v>349</v>
      </c>
      <c r="K6" s="50" t="s">
        <v>350</v>
      </c>
      <c r="L6" s="50" t="s">
        <v>352</v>
      </c>
      <c r="M6" s="50" t="s">
        <v>354</v>
      </c>
      <c r="N6" s="50" t="s">
        <v>356</v>
      </c>
      <c r="O6" s="50" t="s">
        <v>358</v>
      </c>
      <c r="P6" s="50" t="s">
        <v>360</v>
      </c>
      <c r="Q6" s="50" t="s">
        <v>362</v>
      </c>
      <c r="R6" s="50" t="s">
        <v>364</v>
      </c>
      <c r="S6" s="50" t="s">
        <v>369</v>
      </c>
      <c r="T6" s="50" t="s">
        <v>371</v>
      </c>
      <c r="U6" s="50" t="s">
        <v>373</v>
      </c>
      <c r="V6" s="50" t="s">
        <v>375</v>
      </c>
      <c r="W6" s="50" t="s">
        <v>377</v>
      </c>
      <c r="X6" s="50" t="s">
        <v>379</v>
      </c>
      <c r="Y6" s="50" t="s">
        <v>381</v>
      </c>
      <c r="Z6" s="50" t="s">
        <v>383</v>
      </c>
      <c r="AA6" s="50" t="s">
        <v>385</v>
      </c>
      <c r="AB6" s="50" t="s">
        <v>389</v>
      </c>
      <c r="AC6" s="50" t="s">
        <v>391</v>
      </c>
      <c r="AD6" s="50" t="s">
        <v>393</v>
      </c>
      <c r="AE6" s="50" t="s">
        <v>395</v>
      </c>
      <c r="AF6" s="50" t="s">
        <v>398</v>
      </c>
      <c r="AG6" s="50" t="s">
        <v>400</v>
      </c>
      <c r="AH6" s="50" t="s">
        <v>402</v>
      </c>
      <c r="AI6" s="50" t="s">
        <v>404</v>
      </c>
      <c r="AJ6" s="50" t="s">
        <v>406</v>
      </c>
      <c r="AK6" s="50" t="s">
        <v>409</v>
      </c>
      <c r="AL6" s="50" t="s">
        <v>411</v>
      </c>
      <c r="AM6" s="50" t="s">
        <v>413</v>
      </c>
      <c r="AN6" s="50" t="s">
        <v>415</v>
      </c>
      <c r="AO6" s="50" t="s">
        <v>417</v>
      </c>
      <c r="AP6" s="50" t="s">
        <v>419</v>
      </c>
      <c r="AQ6" s="50" t="s">
        <v>421</v>
      </c>
      <c r="AR6" s="50" t="s">
        <v>423</v>
      </c>
      <c r="AS6" s="50" t="s">
        <v>425</v>
      </c>
      <c r="AT6" s="50" t="s">
        <v>1175</v>
      </c>
      <c r="AU6" s="50" t="s">
        <v>1220</v>
      </c>
      <c r="AV6" s="50" t="s">
        <v>1221</v>
      </c>
      <c r="AW6" s="50" t="s">
        <v>1333</v>
      </c>
      <c r="AX6" s="50" t="s">
        <v>1036</v>
      </c>
      <c r="AY6" s="50" t="s">
        <v>1037</v>
      </c>
      <c r="AZ6" s="50" t="s">
        <v>1040</v>
      </c>
      <c r="BA6" s="50" t="s">
        <v>1039</v>
      </c>
      <c r="BB6" s="50" t="s">
        <v>1038</v>
      </c>
      <c r="BC6" s="50" t="s">
        <v>1407</v>
      </c>
      <c r="BD6" s="50" t="s">
        <v>1408</v>
      </c>
      <c r="BE6" s="50" t="s">
        <v>1409</v>
      </c>
      <c r="BF6" s="50" t="s">
        <v>1410</v>
      </c>
      <c r="BG6" s="50" t="s">
        <v>1411</v>
      </c>
      <c r="BH6" s="50" t="s">
        <v>1412</v>
      </c>
      <c r="BI6" s="50" t="s">
        <v>1413</v>
      </c>
      <c r="BJ6" s="50" t="s">
        <v>1414</v>
      </c>
      <c r="BK6" s="50" t="s">
        <v>1415</v>
      </c>
      <c r="BL6" s="50" t="s">
        <v>1416</v>
      </c>
      <c r="BM6" s="50" t="s">
        <v>1417</v>
      </c>
      <c r="BN6" s="50" t="s">
        <v>1418</v>
      </c>
      <c r="BO6" s="50" t="s">
        <v>1419</v>
      </c>
      <c r="BP6" s="50" t="s">
        <v>1420</v>
      </c>
      <c r="BQ6" s="50" t="s">
        <v>1421</v>
      </c>
      <c r="BR6" s="50" t="s">
        <v>1422</v>
      </c>
      <c r="BS6" s="50" t="s">
        <v>1423</v>
      </c>
      <c r="BT6" s="50" t="s">
        <v>1424</v>
      </c>
      <c r="BU6" s="50" t="s">
        <v>1425</v>
      </c>
      <c r="BV6" s="50" t="s">
        <v>1426</v>
      </c>
      <c r="BW6" s="50" t="s">
        <v>1427</v>
      </c>
      <c r="BX6" s="50" t="s">
        <v>1428</v>
      </c>
      <c r="BY6" s="50" t="s">
        <v>1429</v>
      </c>
      <c r="BZ6" s="50" t="s">
        <v>1430</v>
      </c>
      <c r="CA6" s="50" t="s">
        <v>1431</v>
      </c>
      <c r="CB6" s="50" t="s">
        <v>1432</v>
      </c>
      <c r="CC6" s="50" t="s">
        <v>1433</v>
      </c>
      <c r="CD6" s="50" t="s">
        <v>1434</v>
      </c>
      <c r="CE6" s="50" t="s">
        <v>1435</v>
      </c>
      <c r="CF6" s="50" t="s">
        <v>1436</v>
      </c>
      <c r="CG6" s="50" t="s">
        <v>1437</v>
      </c>
      <c r="CH6" s="50" t="s">
        <v>1438</v>
      </c>
      <c r="CI6" s="50" t="s">
        <v>1439</v>
      </c>
      <c r="CJ6" s="50" t="s">
        <v>1440</v>
      </c>
      <c r="CK6" s="50" t="s">
        <v>1441</v>
      </c>
      <c r="CL6" s="50" t="s">
        <v>1442</v>
      </c>
      <c r="CM6" s="50" t="s">
        <v>1443</v>
      </c>
      <c r="CN6" s="50" t="s">
        <v>1444</v>
      </c>
      <c r="CO6" s="50" t="s">
        <v>1445</v>
      </c>
      <c r="CP6" s="50" t="s">
        <v>1446</v>
      </c>
      <c r="CQ6" s="50" t="s">
        <v>1447</v>
      </c>
      <c r="CR6" s="50" t="s">
        <v>1448</v>
      </c>
      <c r="CS6" s="50" t="s">
        <v>1449</v>
      </c>
      <c r="CT6" s="50" t="s">
        <v>1450</v>
      </c>
      <c r="CU6" s="50" t="s">
        <v>1451</v>
      </c>
    </row>
    <row r="7" customFormat="false" ht="15" hidden="false" customHeight="false" outlineLevel="0" collapsed="false">
      <c r="A7" s="51"/>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75" t="n">
        <f aca="false">SUM(pmtct_stat_T[[#This Row],[A_pmtct_stat_D_u10_f]:[A_pmtct_stat_D_o50_f]])</f>
        <v>0</v>
      </c>
      <c r="AU7" s="75" t="n">
        <f aca="false">SUM(pmtct_stat_T[[#This Row],[A_pmtct_stat_u10_f_known]:[A_pmtct_stat_o50_f_known]])</f>
        <v>0</v>
      </c>
      <c r="AV7" s="75" t="n">
        <f aca="false">SUM(pmtct_stat_T[[#This Row],[A_pmtct_stat_u10_f_newneg]:[A_pmtct_stat_o50_f_newneg]])</f>
        <v>0</v>
      </c>
      <c r="AW7" s="75" t="n">
        <f aca="false">SUM(pmtct_stat_T[[#This Row],[A_pmtct_stat_u10_f_newpos]:[A_pmtct_stat_o50_f_newpos]])</f>
        <v>0</v>
      </c>
      <c r="AX7" s="49"/>
      <c r="AY7" s="49"/>
      <c r="AZ7" s="49"/>
      <c r="BA7" s="49"/>
      <c r="BB7" s="49"/>
      <c r="BC7" s="49" t="n">
        <f aca="false">pmtct_stat_T[[D_pmtct_stat_D_fy19]:[D_pmtct_stat_D_fy19]]*pmtct_stat_T[A_pmtct_stat_D_u10_f]</f>
        <v>0</v>
      </c>
      <c r="BD7" s="49" t="n">
        <f aca="false">pmtct_stat_T[[D_pmtct_stat_D_fy19]:[D_pmtct_stat_D_fy19]]*pmtct_stat_T[A_pmtct_stat_D_1014_f]</f>
        <v>0</v>
      </c>
      <c r="BE7" s="49" t="n">
        <f aca="false">pmtct_stat_T[[D_pmtct_stat_D_fy19]:[D_pmtct_stat_D_fy19]]*pmtct_stat_T[A_pmtct_stat_D_1519_f]</f>
        <v>0</v>
      </c>
      <c r="BF7" s="49" t="n">
        <f aca="false">pmtct_stat_T[[D_pmtct_stat_D_fy19]:[D_pmtct_stat_D_fy19]]*pmtct_stat_T[A_pmtct_stat_D_2024_f]</f>
        <v>0</v>
      </c>
      <c r="BG7" s="49" t="n">
        <f aca="false">pmtct_stat_T[[D_pmtct_stat_D_fy19]:[D_pmtct_stat_D_fy19]]*pmtct_stat_T[A_pmtct_stat_D_2529_f]</f>
        <v>0</v>
      </c>
      <c r="BH7" s="49" t="n">
        <f aca="false">pmtct_stat_T[[D_pmtct_stat_D_fy19]:[D_pmtct_stat_D_fy19]]*pmtct_stat_T[A_pmtct_stat_D_3034_f]</f>
        <v>0</v>
      </c>
      <c r="BI7" s="49" t="n">
        <f aca="false">pmtct_stat_T[[D_pmtct_stat_D_fy19]:[D_pmtct_stat_D_fy19]]*pmtct_stat_T[A_pmtct_stat_D_3539_f]</f>
        <v>0</v>
      </c>
      <c r="BJ7" s="49" t="n">
        <f aca="false">pmtct_stat_T[[D_pmtct_stat_D_fy19]:[D_pmtct_stat_D_fy19]]*pmtct_stat_T[A_pmtct_stat_D_4049_f]</f>
        <v>0</v>
      </c>
      <c r="BK7" s="49" t="n">
        <f aca="false">pmtct_stat_T[[D_pmtct_stat_D_fy19]:[D_pmtct_stat_D_fy19]]*pmtct_stat_T[A_pmtct_stat_D_o50_f]</f>
        <v>0</v>
      </c>
      <c r="BL7" s="49" t="n">
        <f aca="false">SUMIF($BU$4:$CU$4,"*&lt;10",$BU7:$CU7)</f>
        <v>0</v>
      </c>
      <c r="BM7" s="49" t="n">
        <f aca="false">SUMIF($BU$4:$CU$4,"*10-14",$BU7:$CU7)</f>
        <v>0</v>
      </c>
      <c r="BN7" s="49" t="n">
        <f aca="false">SUMIF($BU$4:$CU$4,"*15-19",$BU7:$CU7)</f>
        <v>0</v>
      </c>
      <c r="BO7" s="49" t="n">
        <f aca="false">SUMIF($BU$4:$CU$4,"*20-24",$BU7:$CU7)</f>
        <v>0</v>
      </c>
      <c r="BP7" s="49" t="n">
        <f aca="false">SUMIF($BU$4:$CU$4,"*25-29",$BU7:$CU7)</f>
        <v>0</v>
      </c>
      <c r="BQ7" s="49" t="n">
        <f aca="false">SUMIF($BU$4:$CU$4,"*30-34",$BU7:$CU7)</f>
        <v>0</v>
      </c>
      <c r="BR7" s="49" t="n">
        <f aca="false">SUMIF($BU$4:$CU$4,"*35-39",$BU7:$CU7)</f>
        <v>0</v>
      </c>
      <c r="BS7" s="49" t="n">
        <f aca="false">SUMIF($BU$4:$CU$4,"*40-49",$BU7:$CU7)</f>
        <v>0</v>
      </c>
      <c r="BT7" s="49" t="n">
        <f aca="false">SUMIF($BU$4:$CU$4,"*50+",$BU7:$CU7)</f>
        <v>0</v>
      </c>
      <c r="BU7" s="49" t="n">
        <f aca="false">pmtct_stat_T[[D_pmtct_stat_known_fy19]:[D_pmtct_stat_known_fy19]]*pmtct_stat_T[A_pmtct_stat_u10_f_known]</f>
        <v>0</v>
      </c>
      <c r="BV7" s="49" t="n">
        <f aca="false">pmtct_stat_T[[D_pmtct_stat_known_fy19]:[D_pmtct_stat_known_fy19]]*pmtct_stat_T[A_pmtct_stat_1014_f_known]</f>
        <v>0</v>
      </c>
      <c r="BW7" s="49" t="n">
        <f aca="false">pmtct_stat_T[[D_pmtct_stat_known_fy19]:[D_pmtct_stat_known_fy19]]*pmtct_stat_T[A_pmtct_stat_1519_f_known]</f>
        <v>0</v>
      </c>
      <c r="BX7" s="49" t="n">
        <f aca="false">pmtct_stat_T[[D_pmtct_stat_known_fy19]:[D_pmtct_stat_known_fy19]]*pmtct_stat_T[A_pmtct_stat_2024_f_known]</f>
        <v>0</v>
      </c>
      <c r="BY7" s="49" t="n">
        <f aca="false">pmtct_stat_T[[D_pmtct_stat_known_fy19]:[D_pmtct_stat_known_fy19]]*pmtct_stat_T[A_pmtct_stat_2529_f_known]</f>
        <v>0</v>
      </c>
      <c r="BZ7" s="49" t="n">
        <f aca="false">pmtct_stat_T[[D_pmtct_stat_known_fy19]:[D_pmtct_stat_known_fy19]]*pmtct_stat_T[A_pmtct_stat_3034_f_known]</f>
        <v>0</v>
      </c>
      <c r="CA7" s="49" t="n">
        <f aca="false">pmtct_stat_T[[D_pmtct_stat_known_fy19]:[D_pmtct_stat_known_fy19]]*pmtct_stat_T[A_pmtct_stat_3539_f_known]</f>
        <v>0</v>
      </c>
      <c r="CB7" s="49" t="n">
        <f aca="false">pmtct_stat_T[[D_pmtct_stat_known_fy19]:[D_pmtct_stat_known_fy19]]*pmtct_stat_T[A_pmtct_stat_4049_f_known]</f>
        <v>0</v>
      </c>
      <c r="CC7" s="49" t="n">
        <f aca="false">pmtct_stat_T[[D_pmtct_stat_known_fy19]:[D_pmtct_stat_known_fy19]]*pmtct_stat_T[A_pmtct_stat_o50_f_known]</f>
        <v>0</v>
      </c>
      <c r="CD7" s="49" t="n">
        <f aca="false">pmtct_stat_T[[D_pmtct_stat_newneg_fy19]:[D_pmtct_stat_newneg_fy19]]*pmtct_stat_T[A_pmtct_stat_u10_f_newneg]</f>
        <v>0</v>
      </c>
      <c r="CE7" s="49" t="n">
        <f aca="false">pmtct_stat_T[[D_pmtct_stat_newneg_fy19]:[D_pmtct_stat_newneg_fy19]]*pmtct_stat_T[A_pmtct_stat_1014_f_newneg]</f>
        <v>0</v>
      </c>
      <c r="CF7" s="49" t="n">
        <f aca="false">pmtct_stat_T[[D_pmtct_stat_newneg_fy19]:[D_pmtct_stat_newneg_fy19]]*pmtct_stat_T[A_pmtct_stat_1519_f_newneg]</f>
        <v>0</v>
      </c>
      <c r="CG7" s="49" t="n">
        <f aca="false">pmtct_stat_T[[D_pmtct_stat_newneg_fy19]:[D_pmtct_stat_newneg_fy19]]*pmtct_stat_T[A_pmtct_stat_2024_f_newneg]</f>
        <v>0</v>
      </c>
      <c r="CH7" s="49" t="n">
        <f aca="false">pmtct_stat_T[[D_pmtct_stat_newneg_fy19]:[D_pmtct_stat_newneg_fy19]]*pmtct_stat_T[A_pmtct_stat_2529_f_newneg]</f>
        <v>0</v>
      </c>
      <c r="CI7" s="49" t="n">
        <f aca="false">pmtct_stat_T[[D_pmtct_stat_newneg_fy19]:[D_pmtct_stat_newneg_fy19]]*pmtct_stat_T[A_pmtct_stat_3034_f_newneg]</f>
        <v>0</v>
      </c>
      <c r="CJ7" s="49" t="n">
        <f aca="false">pmtct_stat_T[[D_pmtct_stat_newneg_fy19]:[D_pmtct_stat_newneg_fy19]]*pmtct_stat_T[A_pmtct_stat_3539_f_newneg]</f>
        <v>0</v>
      </c>
      <c r="CK7" s="49" t="n">
        <f aca="false">pmtct_stat_T[[D_pmtct_stat_newneg_fy19]:[D_pmtct_stat_newneg_fy19]]*pmtct_stat_T[A_pmtct_stat_4049_f_newneg]</f>
        <v>0</v>
      </c>
      <c r="CL7" s="49" t="n">
        <f aca="false">pmtct_stat_T[[D_pmtct_stat_newneg_fy19]:[D_pmtct_stat_newneg_fy19]]*pmtct_stat_T[A_pmtct_stat_o50_f_newneg]</f>
        <v>0</v>
      </c>
      <c r="CM7" s="49" t="n">
        <f aca="false">pmtct_stat_T[[D_pmtct_stat_newpos_fy19]:[D_pmtct_stat_newpos_fy19]]*pmtct_stat_T[A_pmtct_stat_u10_f_newpos]</f>
        <v>0</v>
      </c>
      <c r="CN7" s="49" t="n">
        <f aca="false">pmtct_stat_T[[D_pmtct_stat_newpos_fy19]:[D_pmtct_stat_newpos_fy19]]*pmtct_stat_T[A_pmtct_stat_1014_f_newpos]</f>
        <v>0</v>
      </c>
      <c r="CO7" s="49" t="n">
        <f aca="false">pmtct_stat_T[[D_pmtct_stat_newpos_fy19]:[D_pmtct_stat_newpos_fy19]]*pmtct_stat_T[A_pmtct_stat_1519_f_newpos]</f>
        <v>0</v>
      </c>
      <c r="CP7" s="49" t="n">
        <f aca="false">pmtct_stat_T[[D_pmtct_stat_newpos_fy19]:[D_pmtct_stat_newpos_fy19]]*pmtct_stat_T[A_pmtct_stat_2024_f_newpos]</f>
        <v>0</v>
      </c>
      <c r="CQ7" s="49" t="n">
        <f aca="false">pmtct_stat_T[[D_pmtct_stat_newpos_fy19]:[D_pmtct_stat_newpos_fy19]]*pmtct_stat_T[A_pmtct_stat_2529_f_newpos]</f>
        <v>0</v>
      </c>
      <c r="CR7" s="49" t="n">
        <f aca="false">pmtct_stat_T[[D_pmtct_stat_newpos_fy19]:[D_pmtct_stat_newpos_fy19]]*pmtct_stat_T[A_pmtct_stat_3034_f_newpos]</f>
        <v>0</v>
      </c>
      <c r="CS7" s="49" t="n">
        <f aca="false">pmtct_stat_T[[D_pmtct_stat_newpos_fy19]:[D_pmtct_stat_newpos_fy19]]*pmtct_stat_T[A_pmtct_stat_3539_f_newpos]</f>
        <v>0</v>
      </c>
      <c r="CT7" s="49" t="n">
        <f aca="false">pmtct_stat_T[[D_pmtct_stat_newpos_fy19]:[D_pmtct_stat_newpos_fy19]]*pmtct_stat_T[A_pmtct_stat_4049_f_newpos]</f>
        <v>0</v>
      </c>
      <c r="CU7" s="49" t="n">
        <f aca="false">pmtct_stat_T[[D_pmtct_stat_newpos_fy19]:[D_pmtct_stat_newpos_fy19]]*pmtct_stat_T[A_pmtct_stat_o50_f_newpos]</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row>
  </sheetData>
  <mergeCells count="1">
    <mergeCell ref="A1:A2"/>
  </mergeCells>
  <conditionalFormatting sqref="J7:R7">
    <cfRule type="expression" priority="2" aboveAverage="0" equalAverage="0" bottom="0" percent="0" rank="0" text="" dxfId="0">
      <formula>$AX7=0</formula>
    </cfRule>
  </conditionalFormatting>
  <conditionalFormatting sqref="S7:AW7">
    <cfRule type="expression" priority="3" aboveAverage="0" equalAverage="0" bottom="0" percent="0" rank="0" text="" dxfId="0">
      <formula>$AY7=0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Q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F4" activeCellId="0" sqref="F4"/>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26" min="10" style="33" width="11.4615384615385"/>
    <col collapsed="false" hidden="false" max="27" min="27" style="33" width="11.5708502024291"/>
    <col collapsed="false" hidden="false" max="29" min="28" style="0" width="11.5708502024291"/>
    <col collapsed="false" hidden="false" max="30" min="30" style="0" width="12.6396761133603"/>
    <col collapsed="false" hidden="false" max="31" min="31" style="0" width="12.748987854251"/>
    <col collapsed="false" hidden="false" max="32" min="32" style="0" width="12.3198380566802"/>
    <col collapsed="false" hidden="false" max="43" min="33" style="0" width="13.1740890688259"/>
    <col collapsed="false" hidden="false" max="1025" min="44" style="0" width="8.57085020242915"/>
  </cols>
  <sheetData>
    <row r="1" s="33" customFormat="true" ht="23.25" hidden="false" customHeight="false" outlineLevel="0" collapsed="false">
      <c r="A1" s="34"/>
      <c r="C1" s="77" t="s">
        <v>426</v>
      </c>
      <c r="D1" s="35"/>
      <c r="J1" s="37" t="s">
        <v>1157</v>
      </c>
      <c r="K1" s="78"/>
      <c r="L1" s="78"/>
      <c r="M1" s="78"/>
      <c r="N1" s="78"/>
      <c r="O1" s="78"/>
      <c r="P1" s="78"/>
      <c r="Q1" s="78"/>
      <c r="R1" s="78"/>
      <c r="S1" s="78"/>
      <c r="T1" s="78"/>
      <c r="U1" s="78"/>
      <c r="V1" s="78"/>
      <c r="W1" s="78"/>
      <c r="X1" s="78"/>
      <c r="Y1" s="78"/>
      <c r="Z1" s="36" t="s">
        <v>1158</v>
      </c>
      <c r="AA1" s="36" t="s">
        <v>1159</v>
      </c>
      <c r="AB1" s="55" t="s">
        <v>1160</v>
      </c>
      <c r="AC1" s="55"/>
      <c r="AD1" s="55"/>
      <c r="AE1" s="55"/>
      <c r="AF1" s="55"/>
      <c r="AG1" s="55"/>
      <c r="AH1" s="55"/>
      <c r="AI1" s="55"/>
      <c r="AJ1" s="55"/>
      <c r="AK1" s="55"/>
      <c r="AL1" s="55"/>
      <c r="AM1" s="55"/>
      <c r="AN1" s="55"/>
      <c r="AO1" s="55"/>
      <c r="AP1" s="55"/>
      <c r="AQ1" s="55"/>
    </row>
    <row r="2" s="35" customFormat="true" ht="15" hidden="false" customHeight="false" outlineLevel="0" collapsed="false">
      <c r="A2" s="34"/>
      <c r="B2" s="35" t="s">
        <v>808</v>
      </c>
      <c r="C2" s="35" t="s">
        <v>808</v>
      </c>
      <c r="D2" s="35" t="s">
        <v>808</v>
      </c>
      <c r="E2" s="35" t="s">
        <v>808</v>
      </c>
      <c r="F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row>
    <row r="3" s="4" customFormat="true" ht="15" hidden="false" customHeight="false" outlineLevel="0" collapsed="false">
      <c r="A3" s="38"/>
      <c r="C3" s="35" t="s">
        <v>808</v>
      </c>
      <c r="D3" s="35"/>
      <c r="E3" s="39"/>
      <c r="F3" s="39"/>
      <c r="G3" s="39"/>
      <c r="H3" s="40"/>
      <c r="I3" s="40"/>
      <c r="J3" s="57" t="s">
        <v>427</v>
      </c>
      <c r="K3" s="58"/>
      <c r="L3" s="58"/>
      <c r="M3" s="58"/>
      <c r="N3" s="58"/>
      <c r="O3" s="58"/>
      <c r="P3" s="58"/>
      <c r="Q3" s="58"/>
      <c r="R3" s="58"/>
      <c r="S3" s="58"/>
      <c r="T3" s="58"/>
      <c r="U3" s="58"/>
      <c r="V3" s="58"/>
      <c r="W3" s="58"/>
      <c r="X3" s="58"/>
      <c r="Y3" s="58"/>
      <c r="Z3" s="94" t="s">
        <v>1161</v>
      </c>
      <c r="AA3" s="61" t="s">
        <v>1162</v>
      </c>
      <c r="AB3" s="62" t="s">
        <v>427</v>
      </c>
      <c r="AC3" s="63"/>
      <c r="AD3" s="63"/>
      <c r="AE3" s="63"/>
      <c r="AF3" s="63"/>
      <c r="AG3" s="63"/>
      <c r="AH3" s="63"/>
      <c r="AI3" s="63"/>
      <c r="AJ3" s="63"/>
      <c r="AK3" s="63"/>
      <c r="AL3" s="63"/>
      <c r="AM3" s="63"/>
      <c r="AN3" s="63"/>
      <c r="AO3" s="63"/>
      <c r="AP3" s="63"/>
      <c r="AQ3" s="65"/>
    </row>
    <row r="4" s="33" customFormat="true" ht="135.75" hidden="false" customHeight="true" outlineLevel="0" collapsed="false">
      <c r="A4" s="38"/>
      <c r="C4" s="44" t="s">
        <v>910</v>
      </c>
      <c r="D4" s="44" t="s">
        <v>1164</v>
      </c>
      <c r="E4" s="44" t="s">
        <v>911</v>
      </c>
      <c r="F4" s="44" t="s">
        <v>912</v>
      </c>
      <c r="G4" s="44" t="s">
        <v>1165</v>
      </c>
      <c r="H4" s="44" t="s">
        <v>913</v>
      </c>
      <c r="I4" s="44" t="s">
        <v>1166</v>
      </c>
      <c r="J4" s="66" t="s">
        <v>202</v>
      </c>
      <c r="K4" s="67" t="s">
        <v>204</v>
      </c>
      <c r="L4" s="67" t="s">
        <v>351</v>
      </c>
      <c r="M4" s="67" t="s">
        <v>431</v>
      </c>
      <c r="N4" s="67" t="s">
        <v>353</v>
      </c>
      <c r="O4" s="67" t="s">
        <v>434</v>
      </c>
      <c r="P4" s="67" t="s">
        <v>355</v>
      </c>
      <c r="Q4" s="67" t="s">
        <v>437</v>
      </c>
      <c r="R4" s="67" t="s">
        <v>357</v>
      </c>
      <c r="S4" s="67" t="s">
        <v>440</v>
      </c>
      <c r="T4" s="67" t="s">
        <v>359</v>
      </c>
      <c r="U4" s="67" t="s">
        <v>443</v>
      </c>
      <c r="V4" s="67" t="s">
        <v>361</v>
      </c>
      <c r="W4" s="67" t="s">
        <v>446</v>
      </c>
      <c r="X4" s="67" t="s">
        <v>363</v>
      </c>
      <c r="Y4" s="67" t="s">
        <v>449</v>
      </c>
      <c r="Z4" s="95" t="s">
        <v>427</v>
      </c>
      <c r="AA4" s="45" t="s">
        <v>426</v>
      </c>
      <c r="AB4" s="70" t="s">
        <v>202</v>
      </c>
      <c r="AC4" s="71" t="s">
        <v>204</v>
      </c>
      <c r="AD4" s="71" t="s">
        <v>351</v>
      </c>
      <c r="AE4" s="71" t="s">
        <v>431</v>
      </c>
      <c r="AF4" s="71" t="s">
        <v>353</v>
      </c>
      <c r="AG4" s="71" t="s">
        <v>434</v>
      </c>
      <c r="AH4" s="71" t="s">
        <v>355</v>
      </c>
      <c r="AI4" s="71" t="s">
        <v>437</v>
      </c>
      <c r="AJ4" s="71" t="s">
        <v>357</v>
      </c>
      <c r="AK4" s="71" t="s">
        <v>440</v>
      </c>
      <c r="AL4" s="71" t="s">
        <v>359</v>
      </c>
      <c r="AM4" s="71" t="s">
        <v>443</v>
      </c>
      <c r="AN4" s="71" t="s">
        <v>361</v>
      </c>
      <c r="AO4" s="71" t="s">
        <v>446</v>
      </c>
      <c r="AP4" s="71" t="s">
        <v>363</v>
      </c>
      <c r="AQ4" s="73" t="s">
        <v>449</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49"/>
      <c r="AB5" s="49"/>
      <c r="AC5" s="49"/>
      <c r="AD5" s="49"/>
      <c r="AE5" s="49"/>
      <c r="AF5" s="49"/>
      <c r="AG5" s="49"/>
      <c r="AH5" s="49"/>
      <c r="AI5" s="49"/>
      <c r="AJ5" s="49"/>
      <c r="AK5" s="49"/>
      <c r="AL5" s="49"/>
      <c r="AM5" s="49"/>
      <c r="AN5" s="49"/>
      <c r="AO5" s="49"/>
      <c r="AP5" s="49"/>
      <c r="AQ5" s="49"/>
    </row>
    <row r="6" customFormat="false" ht="15" hidden="false" customHeight="false" outlineLevel="0" collapsed="false">
      <c r="A6" s="48"/>
      <c r="C6" s="50" t="s">
        <v>1168</v>
      </c>
      <c r="D6" s="50" t="s">
        <v>1169</v>
      </c>
      <c r="E6" s="50" t="s">
        <v>1170</v>
      </c>
      <c r="F6" s="50" t="s">
        <v>1171</v>
      </c>
      <c r="G6" s="50" t="s">
        <v>1172</v>
      </c>
      <c r="H6" s="50" t="s">
        <v>1173</v>
      </c>
      <c r="I6" s="50" t="s">
        <v>1174</v>
      </c>
      <c r="J6" s="50" t="s">
        <v>428</v>
      </c>
      <c r="K6" s="50" t="s">
        <v>429</v>
      </c>
      <c r="L6" s="50" t="s">
        <v>430</v>
      </c>
      <c r="M6" s="50" t="s">
        <v>432</v>
      </c>
      <c r="N6" s="50" t="s">
        <v>433</v>
      </c>
      <c r="O6" s="50" t="s">
        <v>435</v>
      </c>
      <c r="P6" s="50" t="s">
        <v>436</v>
      </c>
      <c r="Q6" s="50" t="s">
        <v>438</v>
      </c>
      <c r="R6" s="50" t="s">
        <v>439</v>
      </c>
      <c r="S6" s="50" t="s">
        <v>441</v>
      </c>
      <c r="T6" s="50" t="s">
        <v>442</v>
      </c>
      <c r="U6" s="50" t="s">
        <v>444</v>
      </c>
      <c r="V6" s="50" t="s">
        <v>445</v>
      </c>
      <c r="W6" s="50" t="s">
        <v>447</v>
      </c>
      <c r="X6" s="50" t="s">
        <v>448</v>
      </c>
      <c r="Y6" s="50" t="s">
        <v>450</v>
      </c>
      <c r="Z6" s="50" t="s">
        <v>1175</v>
      </c>
      <c r="AA6" s="50" t="s">
        <v>1136</v>
      </c>
      <c r="AB6" s="50" t="s">
        <v>1452</v>
      </c>
      <c r="AC6" s="50" t="s">
        <v>1453</v>
      </c>
      <c r="AD6" s="50" t="s">
        <v>1454</v>
      </c>
      <c r="AE6" s="50" t="s">
        <v>1455</v>
      </c>
      <c r="AF6" s="50" t="s">
        <v>1456</v>
      </c>
      <c r="AG6" s="50" t="s">
        <v>1457</v>
      </c>
      <c r="AH6" s="50" t="s">
        <v>1458</v>
      </c>
      <c r="AI6" s="50" t="s">
        <v>1459</v>
      </c>
      <c r="AJ6" s="50" t="s">
        <v>1460</v>
      </c>
      <c r="AK6" s="50" t="s">
        <v>1461</v>
      </c>
      <c r="AL6" s="50" t="s">
        <v>1462</v>
      </c>
      <c r="AM6" s="50" t="s">
        <v>1463</v>
      </c>
      <c r="AN6" s="50" t="s">
        <v>1464</v>
      </c>
      <c r="AO6" s="50" t="s">
        <v>1465</v>
      </c>
      <c r="AP6" s="50" t="s">
        <v>1466</v>
      </c>
      <c r="AQ6" s="50" t="s">
        <v>1467</v>
      </c>
    </row>
    <row r="7" customFormat="false" ht="15" hidden="false" customHeight="false" outlineLevel="0" collapsed="false">
      <c r="A7" s="51"/>
      <c r="J7" s="53"/>
      <c r="K7" s="53"/>
      <c r="L7" s="53"/>
      <c r="M7" s="53"/>
      <c r="N7" s="53"/>
      <c r="O7" s="53"/>
      <c r="P7" s="53"/>
      <c r="Q7" s="53"/>
      <c r="R7" s="53"/>
      <c r="S7" s="53"/>
      <c r="T7" s="53"/>
      <c r="U7" s="53"/>
      <c r="V7" s="53"/>
      <c r="W7" s="53"/>
      <c r="X7" s="53"/>
      <c r="Y7" s="53"/>
      <c r="Z7" s="75" t="n">
        <f aca="false">SUM(pp_prev_T[[#This Row],[A_pp_prev_1014_f]:[A_pp_prev_o50_m]])</f>
        <v>0</v>
      </c>
      <c r="AA7" s="49"/>
      <c r="AB7" s="49" t="n">
        <f aca="false">pp_prev_T[[D_pp_prev_fy19]:[D_pp_prev_fy19]]*pp_prev_T[A_pp_prev_1014_f]</f>
        <v>0</v>
      </c>
      <c r="AC7" s="49" t="n">
        <f aca="false">pp_prev_T[[D_pp_prev_fy19]:[D_pp_prev_fy19]]*pp_prev_T[A_pp_prev_1014_m]</f>
        <v>0</v>
      </c>
      <c r="AD7" s="49" t="n">
        <f aca="false">pp_prev_T[[D_pp_prev_fy19]:[D_pp_prev_fy19]]*pp_prev_T[A_pp_prev_1519_f]</f>
        <v>0</v>
      </c>
      <c r="AE7" s="49" t="n">
        <f aca="false">pp_prev_T[[D_pp_prev_fy19]:[D_pp_prev_fy19]]*pp_prev_T[A_pp_prev_1519_m]</f>
        <v>0</v>
      </c>
      <c r="AF7" s="49" t="n">
        <f aca="false">pp_prev_T[[D_pp_prev_fy19]:[D_pp_prev_fy19]]*pp_prev_T[A_pp_prev_2024_f]</f>
        <v>0</v>
      </c>
      <c r="AG7" s="49" t="n">
        <f aca="false">pp_prev_T[[D_pp_prev_fy19]:[D_pp_prev_fy19]]*pp_prev_T[A_pp_prev_2024_m]</f>
        <v>0</v>
      </c>
      <c r="AH7" s="49" t="n">
        <f aca="false">pp_prev_T[[D_pp_prev_fy19]:[D_pp_prev_fy19]]*pp_prev_T[A_pp_prev_2529_f]</f>
        <v>0</v>
      </c>
      <c r="AI7" s="49" t="n">
        <f aca="false">pp_prev_T[[D_pp_prev_fy19]:[D_pp_prev_fy19]]*pp_prev_T[A_pp_prev_2529_m]</f>
        <v>0</v>
      </c>
      <c r="AJ7" s="49" t="n">
        <f aca="false">pp_prev_T[[D_pp_prev_fy19]:[D_pp_prev_fy19]]*pp_prev_T[A_pp_prev_3034_f]</f>
        <v>0</v>
      </c>
      <c r="AK7" s="49" t="n">
        <f aca="false">pp_prev_T[[D_pp_prev_fy19]:[D_pp_prev_fy19]]*pp_prev_T[A_pp_prev_3034_m]</f>
        <v>0</v>
      </c>
      <c r="AL7" s="49" t="n">
        <f aca="false">pp_prev_T[[D_pp_prev_fy19]:[D_pp_prev_fy19]]*pp_prev_T[A_pp_prev_3539_f]</f>
        <v>0</v>
      </c>
      <c r="AM7" s="49" t="n">
        <f aca="false">pp_prev_T[[D_pp_prev_fy19]:[D_pp_prev_fy19]]*pp_prev_T[A_pp_prev_3539_m]</f>
        <v>0</v>
      </c>
      <c r="AN7" s="49" t="n">
        <f aca="false">pp_prev_T[[D_pp_prev_fy19]:[D_pp_prev_fy19]]*pp_prev_T[A_pp_prev_4049_f]</f>
        <v>0</v>
      </c>
      <c r="AO7" s="49" t="n">
        <f aca="false">pp_prev_T[[D_pp_prev_fy19]:[D_pp_prev_fy19]]*pp_prev_T[A_pp_prev_4049_m]</f>
        <v>0</v>
      </c>
      <c r="AP7" s="49" t="n">
        <f aca="false">pp_prev_T[[D_pp_prev_fy19]:[D_pp_prev_fy19]]*pp_prev_T[A_pp_prev_o50_f]</f>
        <v>0</v>
      </c>
      <c r="AQ7" s="49" t="n">
        <f aca="false">pp_prev_T[[D_pp_prev_fy19]:[D_pp_prev_fy19]]*pp_prev_T[A_pp_prev_o50_m]</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row>
  </sheetData>
  <mergeCells count="1">
    <mergeCell ref="A1:A2"/>
  </mergeCells>
  <conditionalFormatting sqref="J7:Z7">
    <cfRule type="expression" priority="2" aboveAverage="0" equalAverage="0" bottom="0" percent="0" rank="0" text="" dxfId="0">
      <formula>AA7=0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V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AC7" activeCellId="0" sqref="AC7"/>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29" min="10" style="33" width="11.5708502024291"/>
    <col collapsed="false" hidden="false" max="32" min="30" style="0" width="11.5708502024291"/>
    <col collapsed="false" hidden="false" max="33" min="33" style="0" width="12.6396761133603"/>
    <col collapsed="false" hidden="false" max="34" min="34" style="0" width="12.748987854251"/>
    <col collapsed="false" hidden="false" max="35" min="35" style="0" width="12.3198380566802"/>
    <col collapsed="false" hidden="false" max="48" min="36" style="0" width="13.1740890688259"/>
    <col collapsed="false" hidden="false" max="1025" min="49" style="0" width="8.57085020242915"/>
  </cols>
  <sheetData>
    <row r="1" s="33" customFormat="true" ht="23.25" hidden="false" customHeight="false" outlineLevel="0" collapsed="false">
      <c r="A1" s="34"/>
      <c r="C1" s="77" t="s">
        <v>451</v>
      </c>
      <c r="D1" s="35"/>
      <c r="J1" s="37" t="s">
        <v>1157</v>
      </c>
      <c r="K1" s="78"/>
      <c r="L1" s="78"/>
      <c r="M1" s="78"/>
      <c r="N1" s="78"/>
      <c r="O1" s="78"/>
      <c r="P1" s="78"/>
      <c r="Q1" s="78"/>
      <c r="R1" s="78"/>
      <c r="S1" s="78"/>
      <c r="T1" s="78"/>
      <c r="U1" s="78"/>
      <c r="V1" s="78"/>
      <c r="W1" s="78"/>
      <c r="X1" s="78"/>
      <c r="Y1" s="78"/>
      <c r="Z1" s="78"/>
      <c r="AA1" s="78"/>
      <c r="AB1" s="37" t="s">
        <v>1158</v>
      </c>
      <c r="AC1" s="78"/>
      <c r="AD1" s="37" t="s">
        <v>1159</v>
      </c>
      <c r="AE1" s="37" t="s">
        <v>1160</v>
      </c>
      <c r="AF1" s="55"/>
      <c r="AG1" s="55"/>
      <c r="AH1" s="55"/>
      <c r="AI1" s="55"/>
      <c r="AJ1" s="55"/>
      <c r="AK1" s="55"/>
      <c r="AL1" s="55"/>
      <c r="AM1" s="55"/>
      <c r="AN1" s="55"/>
      <c r="AO1" s="55"/>
      <c r="AP1" s="55"/>
      <c r="AQ1" s="55"/>
      <c r="AR1" s="55"/>
      <c r="AS1" s="55"/>
      <c r="AT1" s="55"/>
      <c r="AU1" s="55"/>
      <c r="AV1" s="55"/>
    </row>
    <row r="2" s="35" customFormat="true" ht="15" hidden="false" customHeight="false" outlineLevel="0" collapsed="false">
      <c r="A2" s="34"/>
      <c r="B2" s="35" t="s">
        <v>808</v>
      </c>
      <c r="C2" s="35" t="s">
        <v>808</v>
      </c>
      <c r="D2" s="35" t="s">
        <v>808</v>
      </c>
      <c r="E2" s="35" t="s">
        <v>808</v>
      </c>
      <c r="F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c r="AV2" s="35" t="s">
        <v>808</v>
      </c>
    </row>
    <row r="3" s="4" customFormat="true" ht="15" hidden="false" customHeight="false" outlineLevel="0" collapsed="false">
      <c r="A3" s="38"/>
      <c r="C3" s="35" t="s">
        <v>808</v>
      </c>
      <c r="D3" s="35"/>
      <c r="E3" s="39"/>
      <c r="F3" s="39"/>
      <c r="G3" s="39"/>
      <c r="H3" s="40"/>
      <c r="I3" s="40"/>
      <c r="J3" s="57" t="s">
        <v>427</v>
      </c>
      <c r="K3" s="58"/>
      <c r="L3" s="58"/>
      <c r="M3" s="58"/>
      <c r="N3" s="58"/>
      <c r="O3" s="58"/>
      <c r="P3" s="58"/>
      <c r="Q3" s="58"/>
      <c r="R3" s="58"/>
      <c r="S3" s="58"/>
      <c r="T3" s="58"/>
      <c r="U3" s="58"/>
      <c r="V3" s="58"/>
      <c r="W3" s="58"/>
      <c r="X3" s="57" t="s">
        <v>1468</v>
      </c>
      <c r="Y3" s="58"/>
      <c r="Z3" s="58"/>
      <c r="AA3" s="58"/>
      <c r="AB3" s="60" t="s">
        <v>1161</v>
      </c>
      <c r="AC3" s="92"/>
      <c r="AD3" s="61" t="s">
        <v>1162</v>
      </c>
      <c r="AE3" s="62" t="s">
        <v>427</v>
      </c>
      <c r="AF3" s="63"/>
      <c r="AG3" s="63"/>
      <c r="AH3" s="63"/>
      <c r="AI3" s="63"/>
      <c r="AJ3" s="63"/>
      <c r="AK3" s="63"/>
      <c r="AL3" s="63"/>
      <c r="AM3" s="63"/>
      <c r="AN3" s="63"/>
      <c r="AO3" s="63"/>
      <c r="AP3" s="63"/>
      <c r="AQ3" s="63"/>
      <c r="AR3" s="63"/>
      <c r="AS3" s="62" t="s">
        <v>468</v>
      </c>
      <c r="AT3" s="63"/>
      <c r="AU3" s="63"/>
      <c r="AV3" s="65"/>
    </row>
    <row r="4" s="33" customFormat="true" ht="135.75" hidden="false" customHeight="true" outlineLevel="0" collapsed="false">
      <c r="A4" s="38"/>
      <c r="C4" s="44" t="s">
        <v>910</v>
      </c>
      <c r="D4" s="44" t="s">
        <v>1164</v>
      </c>
      <c r="E4" s="44" t="s">
        <v>911</v>
      </c>
      <c r="F4" s="44" t="s">
        <v>912</v>
      </c>
      <c r="G4" s="44" t="s">
        <v>1165</v>
      </c>
      <c r="H4" s="44" t="s">
        <v>913</v>
      </c>
      <c r="I4" s="44" t="s">
        <v>1166</v>
      </c>
      <c r="J4" s="66" t="s">
        <v>351</v>
      </c>
      <c r="K4" s="67" t="s">
        <v>431</v>
      </c>
      <c r="L4" s="67" t="s">
        <v>353</v>
      </c>
      <c r="M4" s="67" t="s">
        <v>434</v>
      </c>
      <c r="N4" s="67" t="s">
        <v>355</v>
      </c>
      <c r="O4" s="67" t="s">
        <v>437</v>
      </c>
      <c r="P4" s="67" t="s">
        <v>357</v>
      </c>
      <c r="Q4" s="67" t="s">
        <v>440</v>
      </c>
      <c r="R4" s="67" t="s">
        <v>359</v>
      </c>
      <c r="S4" s="67" t="s">
        <v>443</v>
      </c>
      <c r="T4" s="67" t="s">
        <v>361</v>
      </c>
      <c r="U4" s="67" t="s">
        <v>446</v>
      </c>
      <c r="V4" s="67" t="s">
        <v>363</v>
      </c>
      <c r="W4" s="67" t="s">
        <v>449</v>
      </c>
      <c r="X4" s="66" t="s">
        <v>467</v>
      </c>
      <c r="Y4" s="67" t="s">
        <v>470</v>
      </c>
      <c r="Z4" s="67" t="s">
        <v>472</v>
      </c>
      <c r="AA4" s="67" t="s">
        <v>474</v>
      </c>
      <c r="AB4" s="69" t="s">
        <v>427</v>
      </c>
      <c r="AC4" s="93" t="s">
        <v>1468</v>
      </c>
      <c r="AD4" s="45" t="s">
        <v>451</v>
      </c>
      <c r="AE4" s="70" t="s">
        <v>351</v>
      </c>
      <c r="AF4" s="71" t="s">
        <v>431</v>
      </c>
      <c r="AG4" s="71" t="s">
        <v>353</v>
      </c>
      <c r="AH4" s="71" t="s">
        <v>434</v>
      </c>
      <c r="AI4" s="71" t="s">
        <v>355</v>
      </c>
      <c r="AJ4" s="71" t="s">
        <v>437</v>
      </c>
      <c r="AK4" s="71" t="s">
        <v>357</v>
      </c>
      <c r="AL4" s="71" t="s">
        <v>440</v>
      </c>
      <c r="AM4" s="71" t="s">
        <v>359</v>
      </c>
      <c r="AN4" s="71" t="s">
        <v>443</v>
      </c>
      <c r="AO4" s="71" t="s">
        <v>361</v>
      </c>
      <c r="AP4" s="71" t="s">
        <v>446</v>
      </c>
      <c r="AQ4" s="71" t="s">
        <v>363</v>
      </c>
      <c r="AR4" s="71" t="s">
        <v>449</v>
      </c>
      <c r="AS4" s="70" t="s">
        <v>467</v>
      </c>
      <c r="AT4" s="71" t="s">
        <v>470</v>
      </c>
      <c r="AU4" s="71" t="s">
        <v>472</v>
      </c>
      <c r="AV4" s="73" t="s">
        <v>474</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53"/>
      <c r="AB5" s="53"/>
      <c r="AC5" s="53"/>
      <c r="AD5" s="49" t="n">
        <f aca="false">SUBTOTAL(109,prep_new_T[D_prep_new_fy19])</f>
        <v>0</v>
      </c>
      <c r="AE5" s="49" t="n">
        <f aca="false">SUBTOTAL(109,prep_new_T[prep_new_1519_f])</f>
        <v>0</v>
      </c>
      <c r="AF5" s="49" t="n">
        <f aca="false">SUBTOTAL(109,prep_new_T[prep_new_1519_m])</f>
        <v>0</v>
      </c>
      <c r="AG5" s="49" t="n">
        <f aca="false">SUBTOTAL(109,prep_new_T[prep_new_2024_f])</f>
        <v>0</v>
      </c>
      <c r="AH5" s="49" t="n">
        <f aca="false">SUBTOTAL(109,prep_new_T[prep_new_2024_m])</f>
        <v>0</v>
      </c>
      <c r="AI5" s="49" t="n">
        <f aca="false">SUBTOTAL(109,prep_new_T[prep_new_2529_f])</f>
        <v>0</v>
      </c>
      <c r="AJ5" s="49" t="n">
        <f aca="false">SUBTOTAL(109,prep_new_T[prep_new_2529_m])</f>
        <v>0</v>
      </c>
      <c r="AK5" s="49" t="n">
        <f aca="false">SUBTOTAL(109,prep_new_T[prep_new_3034_f])</f>
        <v>0</v>
      </c>
      <c r="AL5" s="49" t="n">
        <f aca="false">SUBTOTAL(109,prep_new_T[prep_new_3034_m])</f>
        <v>0</v>
      </c>
      <c r="AM5" s="49" t="n">
        <f aca="false">SUBTOTAL(109,prep_new_T[prep_new_3539_f])</f>
        <v>0</v>
      </c>
      <c r="AN5" s="49" t="n">
        <f aca="false">SUBTOTAL(109,prep_new_T[prep_new_3539_m])</f>
        <v>0</v>
      </c>
      <c r="AO5" s="49" t="n">
        <f aca="false">SUBTOTAL(109,prep_new_T[prep_new_4049_f])</f>
        <v>0</v>
      </c>
      <c r="AP5" s="49" t="n">
        <f aca="false">SUBTOTAL(109,prep_new_T[prep_new_4049_m])</f>
        <v>0</v>
      </c>
      <c r="AQ5" s="49" t="n">
        <f aca="false">SUBTOTAL(109,prep_new_T[prep_new_o50_f])</f>
        <v>0</v>
      </c>
      <c r="AR5" s="49" t="n">
        <f aca="false">SUBTOTAL(109,prep_new_T[prep_new_o50_m])</f>
        <v>0</v>
      </c>
      <c r="AS5" s="49" t="n">
        <f aca="false">SUBTOTAL(109,prep_new_T[prep_new_fsw])</f>
        <v>0</v>
      </c>
      <c r="AT5" s="49" t="n">
        <f aca="false">SUBTOTAL(109,prep_new_T[prep_new_msm])</f>
        <v>0</v>
      </c>
      <c r="AU5" s="49" t="n">
        <f aca="false">SUBTOTAL(109,prep_new_T[prep_new_oth_kp])</f>
        <v>0</v>
      </c>
      <c r="AV5" s="49" t="n">
        <f aca="false">SUBTOTAL(109,prep_new_T[prep_new_tg])</f>
        <v>0</v>
      </c>
    </row>
    <row r="6" customFormat="false" ht="15" hidden="false" customHeight="false" outlineLevel="0" collapsed="false">
      <c r="A6" s="48"/>
      <c r="C6" s="50" t="s">
        <v>1168</v>
      </c>
      <c r="D6" s="50" t="s">
        <v>1169</v>
      </c>
      <c r="E6" s="50" t="s">
        <v>1170</v>
      </c>
      <c r="F6" s="50" t="s">
        <v>1171</v>
      </c>
      <c r="G6" s="50" t="s">
        <v>1172</v>
      </c>
      <c r="H6" s="50" t="s">
        <v>1173</v>
      </c>
      <c r="I6" s="50" t="s">
        <v>1174</v>
      </c>
      <c r="J6" s="50" t="s">
        <v>452</v>
      </c>
      <c r="K6" s="50" t="s">
        <v>453</v>
      </c>
      <c r="L6" s="50" t="s">
        <v>454</v>
      </c>
      <c r="M6" s="50" t="s">
        <v>455</v>
      </c>
      <c r="N6" s="50" t="s">
        <v>456</v>
      </c>
      <c r="O6" s="50" t="s">
        <v>457</v>
      </c>
      <c r="P6" s="50" t="s">
        <v>458</v>
      </c>
      <c r="Q6" s="50" t="s">
        <v>459</v>
      </c>
      <c r="R6" s="50" t="s">
        <v>460</v>
      </c>
      <c r="S6" s="50" t="s">
        <v>461</v>
      </c>
      <c r="T6" s="50" t="s">
        <v>462</v>
      </c>
      <c r="U6" s="50" t="s">
        <v>463</v>
      </c>
      <c r="V6" s="50" t="s">
        <v>464</v>
      </c>
      <c r="W6" s="50" t="s">
        <v>465</v>
      </c>
      <c r="X6" s="50" t="s">
        <v>469</v>
      </c>
      <c r="Y6" s="50" t="s">
        <v>471</v>
      </c>
      <c r="Z6" s="50" t="s">
        <v>473</v>
      </c>
      <c r="AA6" s="50" t="s">
        <v>475</v>
      </c>
      <c r="AB6" s="50" t="s">
        <v>1175</v>
      </c>
      <c r="AC6" s="50" t="s">
        <v>1220</v>
      </c>
      <c r="AD6" s="50" t="s">
        <v>1139</v>
      </c>
      <c r="AE6" s="50" t="s">
        <v>1469</v>
      </c>
      <c r="AF6" s="50" t="s">
        <v>1470</v>
      </c>
      <c r="AG6" s="50" t="s">
        <v>1471</v>
      </c>
      <c r="AH6" s="50" t="s">
        <v>1472</v>
      </c>
      <c r="AI6" s="50" t="s">
        <v>1473</v>
      </c>
      <c r="AJ6" s="50" t="s">
        <v>1474</v>
      </c>
      <c r="AK6" s="50" t="s">
        <v>1475</v>
      </c>
      <c r="AL6" s="50" t="s">
        <v>1476</v>
      </c>
      <c r="AM6" s="50" t="s">
        <v>1477</v>
      </c>
      <c r="AN6" s="50" t="s">
        <v>1478</v>
      </c>
      <c r="AO6" s="50" t="s">
        <v>1479</v>
      </c>
      <c r="AP6" s="50" t="s">
        <v>1480</v>
      </c>
      <c r="AQ6" s="50" t="s">
        <v>1481</v>
      </c>
      <c r="AR6" s="50" t="s">
        <v>1482</v>
      </c>
      <c r="AS6" s="50" t="s">
        <v>1483</v>
      </c>
      <c r="AT6" s="50" t="s">
        <v>1484</v>
      </c>
      <c r="AU6" s="50" t="s">
        <v>1485</v>
      </c>
      <c r="AV6" s="50" t="s">
        <v>1486</v>
      </c>
    </row>
    <row r="7" customFormat="false" ht="15" hidden="false" customHeight="false" outlineLevel="0" collapsed="false">
      <c r="A7" s="51"/>
      <c r="J7" s="53"/>
      <c r="K7" s="53"/>
      <c r="L7" s="53"/>
      <c r="M7" s="53"/>
      <c r="N7" s="53"/>
      <c r="O7" s="53"/>
      <c r="P7" s="53"/>
      <c r="Q7" s="53"/>
      <c r="R7" s="53"/>
      <c r="S7" s="53"/>
      <c r="T7" s="53"/>
      <c r="U7" s="53"/>
      <c r="V7" s="53"/>
      <c r="W7" s="53"/>
      <c r="X7" s="53"/>
      <c r="Y7" s="53"/>
      <c r="Z7" s="53"/>
      <c r="AA7" s="53"/>
      <c r="AB7" s="75" t="n">
        <f aca="false">SUM(prep_new_T[[#This Row],[A_prep_new_1519_f]:[A_prep_new_o50_m]])</f>
        <v>0</v>
      </c>
      <c r="AC7" s="87" t="n">
        <f aca="false">SUM(prep_new_T[[#This Row],[A_prep_new_fsw]:[A_prep_new_tg]])</f>
        <v>0</v>
      </c>
      <c r="AD7" s="49"/>
      <c r="AE7" s="49" t="n">
        <f aca="false">prep_new_T[[D_prep_new_fy19]:[D_prep_new_fy19]]*prep_new_T[A_prep_new_1519_f]</f>
        <v>0</v>
      </c>
      <c r="AF7" s="49" t="n">
        <f aca="false">prep_new_T[[D_prep_new_fy19]:[D_prep_new_fy19]]*prep_new_T[A_prep_new_1519_m]</f>
        <v>0</v>
      </c>
      <c r="AG7" s="49" t="n">
        <f aca="false">prep_new_T[[D_prep_new_fy19]:[D_prep_new_fy19]]*prep_new_T[A_prep_new_2024_f]</f>
        <v>0</v>
      </c>
      <c r="AH7" s="49" t="n">
        <f aca="false">prep_new_T[[D_prep_new_fy19]:[D_prep_new_fy19]]*prep_new_T[A_prep_new_2024_m]</f>
        <v>0</v>
      </c>
      <c r="AI7" s="49" t="n">
        <f aca="false">prep_new_T[[D_prep_new_fy19]:[D_prep_new_fy19]]*prep_new_T[A_prep_new_2529_f]</f>
        <v>0</v>
      </c>
      <c r="AJ7" s="49" t="n">
        <f aca="false">prep_new_T[[D_prep_new_fy19]:[D_prep_new_fy19]]*prep_new_T[A_prep_new_2529_m]</f>
        <v>0</v>
      </c>
      <c r="AK7" s="49" t="n">
        <f aca="false">prep_new_T[[D_prep_new_fy19]:[D_prep_new_fy19]]*prep_new_T[A_prep_new_3034_f]</f>
        <v>0</v>
      </c>
      <c r="AL7" s="49" t="n">
        <f aca="false">prep_new_T[[D_prep_new_fy19]:[D_prep_new_fy19]]*prep_new_T[A_prep_new_3034_m]</f>
        <v>0</v>
      </c>
      <c r="AM7" s="49" t="n">
        <f aca="false">prep_new_T[[D_prep_new_fy19]:[D_prep_new_fy19]]*prep_new_T[A_prep_new_3539_f]</f>
        <v>0</v>
      </c>
      <c r="AN7" s="49" t="n">
        <f aca="false">prep_new_T[[D_prep_new_fy19]:[D_prep_new_fy19]]*prep_new_T[A_prep_new_3539_m]</f>
        <v>0</v>
      </c>
      <c r="AO7" s="49" t="n">
        <f aca="false">prep_new_T[[D_prep_new_fy19]:[D_prep_new_fy19]]*prep_new_T[A_prep_new_4049_f]</f>
        <v>0</v>
      </c>
      <c r="AP7" s="49" t="n">
        <f aca="false">prep_new_T[[D_prep_new_fy19]:[D_prep_new_fy19]]*prep_new_T[A_prep_new_4049_m]</f>
        <v>0</v>
      </c>
      <c r="AQ7" s="49" t="n">
        <f aca="false">prep_new_T[[D_prep_new_fy19]:[D_prep_new_fy19]]*prep_new_T[A_prep_new_o50_f]</f>
        <v>0</v>
      </c>
      <c r="AR7" s="49" t="n">
        <f aca="false">prep_new_T[[D_prep_new_fy19]:[D_prep_new_fy19]]*prep_new_T[A_prep_new_o50_m]</f>
        <v>0</v>
      </c>
      <c r="AS7" s="49" t="n">
        <f aca="false">prep_new_T[[D_prep_new_fy19]:[D_prep_new_fy19]]*prep_new_T[A_prep_new_fsw]</f>
        <v>0</v>
      </c>
      <c r="AT7" s="49" t="n">
        <f aca="false">prep_new_T[[D_prep_new_fy19]:[D_prep_new_fy19]]*prep_new_T[A_prep_new_msm]</f>
        <v>0</v>
      </c>
      <c r="AU7" s="49" t="n">
        <f aca="false">prep_new_T[[D_prep_new_fy19]:[D_prep_new_fy19]]*prep_new_T[A_prep_new_oth_kp]</f>
        <v>0</v>
      </c>
      <c r="AV7" s="49" t="n">
        <f aca="false">prep_new_T[[D_prep_new_fy19]:[D_prep_new_fy19]]*prep_new_T[A_prep_new_tg]</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row>
  </sheetData>
  <mergeCells count="1">
    <mergeCell ref="A1:A2"/>
  </mergeCells>
  <conditionalFormatting sqref="J7:AC7">
    <cfRule type="expression" priority="2" aboveAverage="0" equalAverage="0" bottom="0" percent="0" rank="0" text="" dxfId="0">
      <formula>$AD7=0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C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G4" activeCellId="0" sqref="G4"/>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19" min="10" style="33" width="11.5708502024291"/>
    <col collapsed="false" hidden="false" max="20" min="20" style="0" width="8.57085020242915"/>
    <col collapsed="false" hidden="false" max="21" min="21" style="0" width="11.5708502024291"/>
    <col collapsed="false" hidden="false" max="1025" min="22" style="0" width="8.57085020242915"/>
  </cols>
  <sheetData>
    <row r="1" s="33" customFormat="true" ht="23.25" hidden="false" customHeight="false" outlineLevel="0" collapsed="false">
      <c r="A1" s="34"/>
      <c r="C1" s="77" t="s">
        <v>476</v>
      </c>
      <c r="D1" s="35"/>
      <c r="J1" s="37" t="s">
        <v>1157</v>
      </c>
      <c r="K1" s="55"/>
      <c r="L1" s="55"/>
      <c r="M1" s="55"/>
      <c r="N1" s="55"/>
      <c r="O1" s="55"/>
      <c r="P1" s="55"/>
      <c r="Q1" s="55"/>
      <c r="R1" s="37" t="s">
        <v>1158</v>
      </c>
      <c r="S1" s="56"/>
      <c r="T1" s="37" t="s">
        <v>1159</v>
      </c>
      <c r="U1" s="55"/>
      <c r="V1" s="37" t="s">
        <v>1160</v>
      </c>
      <c r="W1" s="55"/>
      <c r="X1" s="55"/>
      <c r="Y1" s="55"/>
      <c r="Z1" s="55"/>
      <c r="AA1" s="55"/>
      <c r="AB1" s="55"/>
      <c r="AC1" s="55"/>
    </row>
    <row r="2" s="35" customFormat="true" ht="15" hidden="false" customHeight="false" outlineLevel="0" collapsed="false">
      <c r="A2" s="34"/>
      <c r="B2" s="35" t="s">
        <v>808</v>
      </c>
      <c r="C2" s="35" t="s">
        <v>808</v>
      </c>
      <c r="E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row>
    <row r="3" s="4" customFormat="true" ht="15" hidden="false" customHeight="false" outlineLevel="0" collapsed="false">
      <c r="A3" s="38"/>
      <c r="C3" s="35" t="s">
        <v>808</v>
      </c>
      <c r="D3" s="35"/>
      <c r="E3" s="39"/>
      <c r="F3" s="39"/>
      <c r="G3" s="39"/>
      <c r="H3" s="40"/>
      <c r="I3" s="40"/>
      <c r="J3" s="57" t="s">
        <v>1487</v>
      </c>
      <c r="K3" s="58"/>
      <c r="L3" s="58"/>
      <c r="M3" s="58"/>
      <c r="N3" s="57" t="s">
        <v>1488</v>
      </c>
      <c r="O3" s="58"/>
      <c r="P3" s="58"/>
      <c r="Q3" s="79"/>
      <c r="R3" s="91" t="s">
        <v>1161</v>
      </c>
      <c r="S3" s="91"/>
      <c r="T3" s="61" t="s">
        <v>1403</v>
      </c>
      <c r="U3" s="90"/>
      <c r="V3" s="62" t="s">
        <v>1487</v>
      </c>
      <c r="W3" s="63"/>
      <c r="X3" s="63"/>
      <c r="Y3" s="63"/>
      <c r="Z3" s="62" t="s">
        <v>1488</v>
      </c>
      <c r="AA3" s="63"/>
      <c r="AB3" s="63"/>
      <c r="AC3" s="65"/>
    </row>
    <row r="4" s="33" customFormat="true" ht="135.75" hidden="false" customHeight="true" outlineLevel="0" collapsed="false">
      <c r="A4" s="38"/>
      <c r="C4" s="44" t="s">
        <v>910</v>
      </c>
      <c r="D4" s="44" t="s">
        <v>1164</v>
      </c>
      <c r="E4" s="44" t="s">
        <v>911</v>
      </c>
      <c r="F4" s="44" t="s">
        <v>912</v>
      </c>
      <c r="G4" s="44" t="s">
        <v>1165</v>
      </c>
      <c r="H4" s="44" t="s">
        <v>913</v>
      </c>
      <c r="I4" s="44" t="s">
        <v>1166</v>
      </c>
      <c r="J4" s="66" t="s">
        <v>479</v>
      </c>
      <c r="K4" s="67" t="s">
        <v>481</v>
      </c>
      <c r="L4" s="67" t="s">
        <v>484</v>
      </c>
      <c r="M4" s="67" t="s">
        <v>486</v>
      </c>
      <c r="N4" s="66" t="s">
        <v>479</v>
      </c>
      <c r="O4" s="67" t="s">
        <v>481</v>
      </c>
      <c r="P4" s="67" t="s">
        <v>484</v>
      </c>
      <c r="Q4" s="85" t="s">
        <v>486</v>
      </c>
      <c r="R4" s="86" t="s">
        <v>1487</v>
      </c>
      <c r="S4" s="86" t="s">
        <v>1488</v>
      </c>
      <c r="T4" s="45" t="s">
        <v>1489</v>
      </c>
      <c r="U4" s="46" t="s">
        <v>1490</v>
      </c>
      <c r="V4" s="70" t="s">
        <v>479</v>
      </c>
      <c r="W4" s="71" t="s">
        <v>481</v>
      </c>
      <c r="X4" s="71" t="s">
        <v>484</v>
      </c>
      <c r="Y4" s="71" t="s">
        <v>486</v>
      </c>
      <c r="Z4" s="70" t="s">
        <v>479</v>
      </c>
      <c r="AA4" s="71" t="s">
        <v>481</v>
      </c>
      <c r="AB4" s="71" t="s">
        <v>484</v>
      </c>
      <c r="AC4" s="73" t="s">
        <v>486</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74" t="n">
        <f aca="false">SUBTOTAL(109,tb_stat_T[D_tb_stat_D_fy19])</f>
        <v>0</v>
      </c>
      <c r="U5" s="74" t="n">
        <f aca="false">SUBTOTAL(109,tb_stat_T[D_tb_stat_fy19])</f>
        <v>0</v>
      </c>
      <c r="V5" s="74" t="n">
        <f aca="false">SUBTOTAL(109,tb_stat_T[tb_stat_D_u15_f])</f>
        <v>0</v>
      </c>
      <c r="W5" s="74" t="n">
        <f aca="false">SUBTOTAL(109,tb_stat_T[tb_stat_D_u15_m])</f>
        <v>0</v>
      </c>
      <c r="X5" s="74" t="n">
        <f aca="false">SUBTOTAL(109,tb_stat_T[tb_stat_D_o15_f])</f>
        <v>0</v>
      </c>
      <c r="Y5" s="74" t="n">
        <f aca="false">SUBTOTAL(109,tb_stat_T[tb_stat_D_o15_m])</f>
        <v>0</v>
      </c>
      <c r="Z5" s="74" t="n">
        <f aca="false">SUBTOTAL(109,tb_stat_T[tb_stat_u15_f_newneg])</f>
        <v>0</v>
      </c>
      <c r="AA5" s="74" t="n">
        <f aca="false">SUBTOTAL(109,tb_stat_T[tb_stat_u15_m_newneg])</f>
        <v>0</v>
      </c>
      <c r="AB5" s="74" t="n">
        <f aca="false">SUBTOTAL(109,tb_stat_T[tb_stat_o15_f_newneg])</f>
        <v>0</v>
      </c>
      <c r="AC5" s="74" t="n">
        <f aca="false">SUBTOTAL(109,tb_stat_T[tb_stat_o15_m_newneg])</f>
        <v>0</v>
      </c>
    </row>
    <row r="6" customFormat="false" ht="15" hidden="false" customHeight="false" outlineLevel="0" collapsed="false">
      <c r="A6" s="48"/>
      <c r="C6" s="50" t="s">
        <v>1168</v>
      </c>
      <c r="D6" s="50" t="s">
        <v>1169</v>
      </c>
      <c r="E6" s="50" t="s">
        <v>1170</v>
      </c>
      <c r="F6" s="50" t="s">
        <v>1171</v>
      </c>
      <c r="G6" s="50" t="s">
        <v>1172</v>
      </c>
      <c r="H6" s="50" t="s">
        <v>1173</v>
      </c>
      <c r="I6" s="50" t="s">
        <v>1174</v>
      </c>
      <c r="J6" s="50" t="s">
        <v>480</v>
      </c>
      <c r="K6" s="50" t="s">
        <v>482</v>
      </c>
      <c r="L6" s="50" t="s">
        <v>485</v>
      </c>
      <c r="M6" s="50" t="s">
        <v>487</v>
      </c>
      <c r="N6" s="50" t="s">
        <v>490</v>
      </c>
      <c r="O6" s="50" t="s">
        <v>492</v>
      </c>
      <c r="P6" s="50" t="s">
        <v>494</v>
      </c>
      <c r="Q6" s="50" t="s">
        <v>496</v>
      </c>
      <c r="R6" s="50" t="s">
        <v>1175</v>
      </c>
      <c r="S6" s="50" t="s">
        <v>1220</v>
      </c>
      <c r="T6" s="50" t="s">
        <v>1047</v>
      </c>
      <c r="U6" s="50" t="s">
        <v>1048</v>
      </c>
      <c r="V6" s="50" t="s">
        <v>1491</v>
      </c>
      <c r="W6" s="50" t="s">
        <v>1492</v>
      </c>
      <c r="X6" s="50" t="s">
        <v>1493</v>
      </c>
      <c r="Y6" s="50" t="s">
        <v>1494</v>
      </c>
      <c r="Z6" s="50" t="s">
        <v>1495</v>
      </c>
      <c r="AA6" s="50" t="s">
        <v>1496</v>
      </c>
      <c r="AB6" s="50" t="s">
        <v>1497</v>
      </c>
      <c r="AC6" s="50" t="s">
        <v>1498</v>
      </c>
    </row>
    <row r="7" customFormat="false" ht="15" hidden="false" customHeight="false" outlineLevel="0" collapsed="false">
      <c r="A7" s="51"/>
      <c r="J7" s="53"/>
      <c r="K7" s="53"/>
      <c r="L7" s="53"/>
      <c r="M7" s="53"/>
      <c r="N7" s="53"/>
      <c r="O7" s="53"/>
      <c r="P7" s="53"/>
      <c r="Q7" s="53"/>
      <c r="R7" s="75" t="n">
        <f aca="false">SUM(tb_stat_T[[#This Row],[A_tb_stat_D_u15_f]:[A_tb_stat_D_o15_m]])</f>
        <v>0</v>
      </c>
      <c r="S7" s="75" t="n">
        <f aca="false">SUM(tb_stat_T[[#This Row],[A_tb_stat_u15_f]:[A_tb_stat_o15_m]])</f>
        <v>0</v>
      </c>
      <c r="T7" s="49"/>
      <c r="U7" s="49"/>
      <c r="V7" s="49" t="n">
        <f aca="false">tb_stat_T[[D_tb_stat_D_fy19]:[D_tb_stat_D_fy19]]*tb_stat_T[A_tb_stat_D_u15_f]</f>
        <v>0</v>
      </c>
      <c r="W7" s="49" t="n">
        <f aca="false">tb_stat_T[[D_tb_stat_D_fy19]:[D_tb_stat_D_fy19]]*tb_stat_T[A_tb_stat_D_u15_m]</f>
        <v>0</v>
      </c>
      <c r="X7" s="49" t="n">
        <f aca="false">tb_stat_T[[D_tb_stat_D_fy19]:[D_tb_stat_D_fy19]]*tb_stat_T[A_tb_stat_D_o15_f]</f>
        <v>0</v>
      </c>
      <c r="Y7" s="49" t="n">
        <f aca="false">tb_stat_T[[D_tb_stat_D_fy19]:[D_tb_stat_D_fy19]]*tb_stat_T[A_tb_stat_D_o15_m]</f>
        <v>0</v>
      </c>
      <c r="Z7" s="49" t="n">
        <f aca="false">tb_stat_T[[D_tb_stat_fy19]:[D_tb_stat_fy19]]*tb_stat_T[A_tb_stat_u15_f]</f>
        <v>0</v>
      </c>
      <c r="AA7" s="49" t="n">
        <f aca="false">tb_stat_T[[D_tb_stat_fy19]:[D_tb_stat_fy19]]*tb_stat_T[A_tb_stat_u15_m]</f>
        <v>0</v>
      </c>
      <c r="AB7" s="49" t="n">
        <f aca="false">tb_stat_T[[D_tb_stat_fy19]:[D_tb_stat_fy19]]*tb_stat_T[A_tb_stat_o15_f]</f>
        <v>0</v>
      </c>
      <c r="AC7" s="49" t="n">
        <f aca="false">tb_stat_T[[D_tb_stat_fy19]:[D_tb_stat_fy19]]*tb_stat_T[A_tb_stat_o15_m]</f>
        <v>0</v>
      </c>
    </row>
    <row r="8" customFormat="false" ht="15" hidden="false" customHeight="false" outlineLevel="0" collapsed="false">
      <c r="A8" s="76"/>
      <c r="C8" s="8"/>
      <c r="D8" s="8"/>
      <c r="E8" s="8"/>
      <c r="F8" s="8"/>
      <c r="G8" s="8"/>
      <c r="H8" s="8"/>
      <c r="I8" s="8"/>
      <c r="J8" s="8"/>
      <c r="K8" s="8"/>
      <c r="L8" s="8"/>
      <c r="M8" s="8"/>
      <c r="N8" s="8"/>
      <c r="O8" s="8"/>
      <c r="P8" s="8"/>
      <c r="Q8" s="8"/>
      <c r="R8" s="8"/>
      <c r="S8" s="8"/>
      <c r="U8" s="8"/>
      <c r="V8" s="8"/>
      <c r="W8" s="8"/>
      <c r="X8" s="8"/>
      <c r="Y8" s="8"/>
      <c r="Z8" s="8"/>
      <c r="AA8" s="8"/>
      <c r="AB8" s="8"/>
      <c r="AC8" s="8"/>
    </row>
    <row r="9" customFormat="false" ht="15" hidden="false" customHeight="false" outlineLevel="0" collapsed="false">
      <c r="A9" s="76"/>
      <c r="C9" s="8"/>
      <c r="D9" s="8"/>
      <c r="E9" s="8"/>
      <c r="F9" s="8"/>
      <c r="G9" s="8"/>
      <c r="H9" s="8"/>
      <c r="I9" s="8"/>
      <c r="J9" s="8"/>
      <c r="K9" s="8"/>
      <c r="L9" s="8"/>
      <c r="M9" s="8"/>
      <c r="N9" s="8"/>
      <c r="O9" s="8"/>
      <c r="P9" s="8"/>
      <c r="Q9" s="8"/>
      <c r="R9" s="8"/>
      <c r="S9" s="8"/>
      <c r="U9" s="8"/>
      <c r="V9" s="8"/>
      <c r="W9" s="8"/>
      <c r="X9" s="8"/>
      <c r="Y9" s="8"/>
      <c r="Z9" s="8"/>
      <c r="AA9" s="8"/>
      <c r="AB9" s="8"/>
      <c r="AC9" s="8"/>
    </row>
    <row r="10" customFormat="false" ht="15" hidden="false" customHeight="false" outlineLevel="0" collapsed="false">
      <c r="A10" s="76"/>
      <c r="C10" s="8"/>
      <c r="D10" s="8"/>
      <c r="E10" s="8"/>
      <c r="F10" s="8"/>
      <c r="G10" s="8"/>
      <c r="H10" s="0"/>
      <c r="I10" s="0"/>
      <c r="J10" s="0"/>
      <c r="K10" s="0"/>
      <c r="L10" s="0"/>
      <c r="M10" s="0"/>
      <c r="N10" s="0"/>
      <c r="O10" s="0"/>
      <c r="P10" s="0"/>
      <c r="Q10" s="0"/>
      <c r="R10" s="0"/>
      <c r="S10" s="0"/>
      <c r="U10" s="8"/>
      <c r="V10" s="8"/>
      <c r="W10" s="8"/>
      <c r="X10" s="8"/>
      <c r="Y10" s="8"/>
      <c r="Z10" s="8"/>
      <c r="AA10" s="8"/>
      <c r="AB10" s="8"/>
      <c r="AC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U11" s="8"/>
    </row>
  </sheetData>
  <mergeCells count="1">
    <mergeCell ref="A1:A2"/>
  </mergeCells>
  <conditionalFormatting sqref="J7:M7">
    <cfRule type="expression" priority="2" aboveAverage="0" equalAverage="0" bottom="0" percent="0" rank="0" text="" dxfId="0">
      <formula>$T7=0</formula>
    </cfRule>
  </conditionalFormatting>
  <conditionalFormatting sqref="N7:S7">
    <cfRule type="expression" priority="3" aboveAverage="0" equalAverage="0" bottom="0" percent="0" rank="0" text="" dxfId="0">
      <formula>$U7=0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K6" activeCellId="0" sqref="K6"/>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14" min="10" style="33" width="11.5708502024291"/>
    <col collapsed="false" hidden="false" max="18" min="15" style="0" width="11.5708502024291"/>
    <col collapsed="false" hidden="false" max="20" min="19" style="0" width="9.10526315789474"/>
    <col collapsed="false" hidden="false" max="21" min="21" style="0" width="11.5708502024291"/>
    <col collapsed="false" hidden="false" max="1025" min="22" style="0" width="9.10526315789474"/>
  </cols>
  <sheetData>
    <row r="1" s="33" customFormat="true" ht="23.25" hidden="false" customHeight="false" outlineLevel="0" collapsed="false">
      <c r="A1" s="34"/>
      <c r="C1" s="77" t="s">
        <v>497</v>
      </c>
      <c r="D1" s="35"/>
      <c r="J1" s="37" t="s">
        <v>1157</v>
      </c>
      <c r="K1" s="55"/>
      <c r="L1" s="55"/>
      <c r="M1" s="55"/>
      <c r="N1" s="37" t="s">
        <v>1158</v>
      </c>
      <c r="O1" s="37" t="s">
        <v>1159</v>
      </c>
      <c r="P1" s="55"/>
      <c r="Q1" s="55"/>
      <c r="R1" s="37" t="s">
        <v>1160</v>
      </c>
      <c r="S1" s="55"/>
      <c r="T1" s="55"/>
      <c r="U1" s="55"/>
    </row>
    <row r="2" s="35" customFormat="true" ht="15" hidden="false" customHeight="false" outlineLevel="0" collapsed="false">
      <c r="A2" s="34"/>
      <c r="B2" s="35" t="s">
        <v>808</v>
      </c>
      <c r="C2" s="35" t="s">
        <v>808</v>
      </c>
      <c r="E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row>
    <row r="3" s="4" customFormat="true" ht="15" hidden="false" customHeight="false" outlineLevel="0" collapsed="false">
      <c r="A3" s="38"/>
      <c r="C3" s="35" t="s">
        <v>808</v>
      </c>
      <c r="D3" s="35"/>
      <c r="E3" s="39"/>
      <c r="F3" s="39"/>
      <c r="G3" s="39"/>
      <c r="H3" s="40"/>
      <c r="I3" s="40"/>
      <c r="J3" s="57" t="s">
        <v>498</v>
      </c>
      <c r="K3" s="58"/>
      <c r="L3" s="58"/>
      <c r="M3" s="58"/>
      <c r="N3" s="94" t="s">
        <v>1161</v>
      </c>
      <c r="O3" s="90" t="s">
        <v>1403</v>
      </c>
      <c r="P3" s="90"/>
      <c r="Q3" s="90"/>
      <c r="R3" s="62" t="s">
        <v>498</v>
      </c>
      <c r="S3" s="63"/>
      <c r="T3" s="63"/>
      <c r="U3" s="65"/>
    </row>
    <row r="4" s="33" customFormat="true" ht="135.75" hidden="false" customHeight="true" outlineLevel="0" collapsed="false">
      <c r="A4" s="38"/>
      <c r="C4" s="44" t="s">
        <v>910</v>
      </c>
      <c r="D4" s="44" t="s">
        <v>1164</v>
      </c>
      <c r="E4" s="44" t="s">
        <v>911</v>
      </c>
      <c r="F4" s="44" t="s">
        <v>912</v>
      </c>
      <c r="G4" s="44" t="s">
        <v>1165</v>
      </c>
      <c r="H4" s="44" t="s">
        <v>913</v>
      </c>
      <c r="I4" s="44" t="s">
        <v>1166</v>
      </c>
      <c r="J4" s="66" t="s">
        <v>489</v>
      </c>
      <c r="K4" s="67" t="s">
        <v>491</v>
      </c>
      <c r="L4" s="67" t="s">
        <v>493</v>
      </c>
      <c r="M4" s="67" t="s">
        <v>495</v>
      </c>
      <c r="N4" s="95" t="s">
        <v>498</v>
      </c>
      <c r="O4" s="46" t="s">
        <v>1499</v>
      </c>
      <c r="P4" s="46" t="s">
        <v>1500</v>
      </c>
      <c r="Q4" s="46" t="s">
        <v>1501</v>
      </c>
      <c r="R4" s="70" t="s">
        <v>489</v>
      </c>
      <c r="S4" s="71" t="s">
        <v>491</v>
      </c>
      <c r="T4" s="71" t="s">
        <v>493</v>
      </c>
      <c r="U4" s="73" t="s">
        <v>495</v>
      </c>
    </row>
    <row r="5" customFormat="false" ht="15" hidden="false" customHeight="false" outlineLevel="0" collapsed="false">
      <c r="A5" s="48"/>
      <c r="C5" s="33" t="s">
        <v>1140</v>
      </c>
      <c r="D5" s="0"/>
      <c r="E5" s="0"/>
      <c r="F5" s="0"/>
      <c r="G5" s="0"/>
      <c r="H5" s="0"/>
      <c r="I5" s="0"/>
      <c r="J5" s="53"/>
      <c r="K5" s="53"/>
      <c r="L5" s="53"/>
      <c r="M5" s="53"/>
      <c r="N5" s="53"/>
      <c r="O5" s="74" t="n">
        <f aca="false">SUBTOTAL(109,tb_art_T[D_tb_art_fy19])</f>
        <v>0</v>
      </c>
      <c r="P5" s="74" t="n">
        <f aca="false">SUBTOTAL(109,tb_art_T[D_tb_art_new_fy19])</f>
        <v>0</v>
      </c>
      <c r="Q5" s="74" t="n">
        <f aca="false">SUBTOTAL(109,tb_art_T[D_tb_art_already_fy19])</f>
        <v>0</v>
      </c>
      <c r="R5" s="74" t="n">
        <f aca="false">SUBTOTAL(109,tb_art_T[tb_art_u15_f_pos])</f>
        <v>0</v>
      </c>
      <c r="S5" s="74" t="n">
        <f aca="false">SUBTOTAL(109,tb_art_T[tb_art_u15_m_pos])</f>
        <v>0</v>
      </c>
      <c r="T5" s="74" t="n">
        <f aca="false">SUBTOTAL(109,tb_art_T[tb_art_o15_f_pos])</f>
        <v>0</v>
      </c>
      <c r="U5" s="74" t="n">
        <f aca="false">SUBTOTAL(109,tb_art_T[tb_art_o15_m_pos])</f>
        <v>0</v>
      </c>
    </row>
    <row r="6" customFormat="false" ht="15" hidden="false" customHeight="false" outlineLevel="0" collapsed="false">
      <c r="A6" s="48"/>
      <c r="C6" s="50" t="s">
        <v>1168</v>
      </c>
      <c r="D6" s="50" t="s">
        <v>1169</v>
      </c>
      <c r="E6" s="50" t="s">
        <v>1170</v>
      </c>
      <c r="F6" s="50" t="s">
        <v>1171</v>
      </c>
      <c r="G6" s="50" t="s">
        <v>1172</v>
      </c>
      <c r="H6" s="50" t="s">
        <v>1173</v>
      </c>
      <c r="I6" s="50" t="s">
        <v>1174</v>
      </c>
      <c r="J6" s="50" t="s">
        <v>499</v>
      </c>
      <c r="K6" s="50" t="s">
        <v>500</v>
      </c>
      <c r="L6" s="50" t="s">
        <v>501</v>
      </c>
      <c r="M6" s="50" t="s">
        <v>502</v>
      </c>
      <c r="N6" s="50" t="s">
        <v>1175</v>
      </c>
      <c r="O6" s="50" t="s">
        <v>1052</v>
      </c>
      <c r="P6" s="50" t="s">
        <v>1053</v>
      </c>
      <c r="Q6" s="50" t="s">
        <v>1054</v>
      </c>
      <c r="R6" s="50" t="s">
        <v>1502</v>
      </c>
      <c r="S6" s="50" t="s">
        <v>1503</v>
      </c>
      <c r="T6" s="50" t="s">
        <v>1504</v>
      </c>
      <c r="U6" s="50" t="s">
        <v>1505</v>
      </c>
    </row>
    <row r="7" customFormat="false" ht="15" hidden="false" customHeight="false" outlineLevel="0" collapsed="false">
      <c r="A7" s="51"/>
      <c r="J7" s="53"/>
      <c r="K7" s="53"/>
      <c r="L7" s="53"/>
      <c r="M7" s="53"/>
      <c r="N7" s="75" t="n">
        <f aca="false">SUM(tb_art_T[[#This Row],[A_tb_art_u15_f_pos]:[A_tb_art_o15_m_pos]])</f>
        <v>0</v>
      </c>
      <c r="O7" s="49"/>
      <c r="P7" s="49"/>
      <c r="Q7" s="49"/>
      <c r="R7" s="49" t="n">
        <f aca="false">tb_art_T[[D_tb_art_fy19]:[D_tb_art_fy19]]*tb_art_T[A_tb_art_u15_f_pos]</f>
        <v>0</v>
      </c>
      <c r="S7" s="49" t="n">
        <f aca="false">tb_art_T[[D_tb_art_fy19]:[D_tb_art_fy19]]*tb_art_T[A_tb_art_u15_m_pos]</f>
        <v>0</v>
      </c>
      <c r="T7" s="49" t="n">
        <f aca="false">tb_art_T[[D_tb_art_fy19]:[D_tb_art_fy19]]*tb_art_T[A_tb_art_o15_f_pos]</f>
        <v>0</v>
      </c>
      <c r="U7" s="49" t="n">
        <f aca="false">tb_art_T[[D_tb_art_fy19]:[D_tb_art_fy19]]*tb_art_T[A_tb_art_o15_m_pos]</f>
        <v>0</v>
      </c>
    </row>
    <row r="8" customFormat="false" ht="15" hidden="false" customHeight="false" outlineLevel="0" collapsed="false">
      <c r="A8" s="76"/>
      <c r="C8" s="8"/>
      <c r="D8" s="8"/>
      <c r="E8" s="8"/>
      <c r="F8" s="8"/>
      <c r="G8" s="8"/>
      <c r="H8" s="8"/>
      <c r="I8" s="8"/>
      <c r="J8" s="8"/>
      <c r="K8" s="8"/>
      <c r="L8" s="8"/>
      <c r="M8" s="8"/>
      <c r="N8" s="8"/>
      <c r="O8" s="8"/>
      <c r="P8" s="8"/>
      <c r="Q8" s="8"/>
      <c r="R8" s="8"/>
      <c r="U8" s="8"/>
    </row>
    <row r="9" customFormat="false" ht="15" hidden="false" customHeight="false" outlineLevel="0" collapsed="false">
      <c r="A9" s="76"/>
      <c r="C9" s="8"/>
      <c r="D9" s="8"/>
      <c r="E9" s="8"/>
      <c r="F9" s="8"/>
      <c r="G9" s="8"/>
      <c r="H9" s="8"/>
      <c r="I9" s="8"/>
      <c r="J9" s="8"/>
      <c r="K9" s="8"/>
      <c r="L9" s="8"/>
      <c r="M9" s="8"/>
      <c r="N9" s="8"/>
      <c r="O9" s="8"/>
      <c r="P9" s="8"/>
      <c r="Q9" s="8"/>
      <c r="R9" s="8"/>
      <c r="U9" s="8"/>
    </row>
    <row r="10" customFormat="false" ht="15" hidden="false" customHeight="false" outlineLevel="0" collapsed="false">
      <c r="A10" s="76"/>
      <c r="C10" s="8"/>
      <c r="D10" s="8"/>
      <c r="E10" s="8"/>
      <c r="F10" s="8"/>
      <c r="G10" s="8"/>
      <c r="H10" s="0"/>
      <c r="I10" s="0"/>
      <c r="J10" s="0"/>
      <c r="K10" s="0"/>
      <c r="L10" s="0"/>
      <c r="M10" s="0"/>
      <c r="N10" s="0"/>
      <c r="O10" s="8"/>
      <c r="P10" s="8"/>
      <c r="Q10" s="8"/>
      <c r="R10" s="8"/>
      <c r="U10" s="8"/>
    </row>
    <row r="11" customFormat="false" ht="15" hidden="false" customHeight="false" outlineLevel="0" collapsed="false">
      <c r="A11" s="76"/>
      <c r="C11" s="8"/>
      <c r="D11" s="8"/>
      <c r="E11" s="8"/>
      <c r="F11" s="8"/>
      <c r="G11" s="8"/>
      <c r="H11" s="8"/>
      <c r="I11" s="8"/>
      <c r="J11" s="8"/>
      <c r="K11" s="8"/>
      <c r="L11" s="8"/>
      <c r="M11" s="8"/>
      <c r="N11" s="8"/>
      <c r="O11" s="8"/>
      <c r="P11" s="8"/>
      <c r="Q11" s="8"/>
      <c r="R11" s="8"/>
      <c r="U11" s="8"/>
    </row>
  </sheetData>
  <mergeCells count="1">
    <mergeCell ref="A1:A2"/>
  </mergeCells>
  <conditionalFormatting sqref="J7:N7">
    <cfRule type="expression" priority="2" aboveAverage="0" equalAverage="0" bottom="0" percent="0" rank="0" text="" dxfId="0">
      <formula>$O7=0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4" activeCellId="0" sqref="C4"/>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29" min="10" style="33" width="11.5708502024291"/>
    <col collapsed="false" hidden="false" max="31" min="30" style="0" width="11.5708502024291"/>
    <col collapsed="false" hidden="false" max="32" min="32" style="0" width="12.6396761133603"/>
    <col collapsed="false" hidden="false" max="33" min="33" style="0" width="12.748987854251"/>
    <col collapsed="false" hidden="false" max="34" min="34" style="0" width="12.3198380566802"/>
    <col collapsed="false" hidden="false" max="1025" min="35" style="0" width="9.10526315789474"/>
  </cols>
  <sheetData>
    <row r="1" s="33" customFormat="true" ht="23.25" hidden="false" customHeight="false" outlineLevel="0" collapsed="false">
      <c r="A1" s="34"/>
      <c r="C1" s="77" t="s">
        <v>509</v>
      </c>
      <c r="D1" s="35"/>
      <c r="J1" s="37" t="s">
        <v>1157</v>
      </c>
      <c r="K1" s="55"/>
      <c r="L1" s="55"/>
      <c r="M1" s="55"/>
      <c r="N1" s="55"/>
      <c r="O1" s="55"/>
      <c r="P1" s="55"/>
      <c r="Q1" s="55"/>
      <c r="R1" s="55"/>
      <c r="S1" s="55"/>
      <c r="T1" s="55"/>
      <c r="U1" s="55"/>
      <c r="V1" s="55"/>
      <c r="W1" s="55"/>
      <c r="X1" s="55"/>
      <c r="Y1" s="55"/>
      <c r="Z1" s="37" t="s">
        <v>1158</v>
      </c>
      <c r="AA1" s="55"/>
      <c r="AB1" s="55"/>
      <c r="AC1" s="55"/>
      <c r="AD1" s="37" t="s">
        <v>1159</v>
      </c>
      <c r="AE1" s="55"/>
      <c r="AF1" s="37" t="s">
        <v>1160</v>
      </c>
      <c r="AG1" s="55"/>
      <c r="AH1" s="55"/>
      <c r="AI1" s="55"/>
      <c r="AJ1" s="55"/>
      <c r="AK1" s="55"/>
      <c r="AL1" s="55"/>
      <c r="AM1" s="55"/>
      <c r="AN1" s="55"/>
      <c r="AO1" s="55"/>
      <c r="AP1" s="55"/>
      <c r="AQ1" s="55"/>
      <c r="AR1" s="55"/>
      <c r="AS1" s="55"/>
      <c r="AT1" s="55"/>
      <c r="AU1" s="55"/>
    </row>
    <row r="2" s="35" customFormat="true" ht="15" hidden="false" customHeight="false" outlineLevel="0" collapsed="false">
      <c r="A2" s="34"/>
      <c r="B2" s="35" t="s">
        <v>808</v>
      </c>
      <c r="C2" s="35" t="s">
        <v>808</v>
      </c>
      <c r="E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row>
    <row r="3" s="4" customFormat="true" ht="15" hidden="false" customHeight="false" outlineLevel="0" collapsed="false">
      <c r="A3" s="38"/>
      <c r="C3" s="35" t="s">
        <v>808</v>
      </c>
      <c r="D3" s="35"/>
      <c r="E3" s="39"/>
      <c r="F3" s="39"/>
      <c r="G3" s="39"/>
      <c r="H3" s="40"/>
      <c r="I3" s="40"/>
      <c r="J3" s="57" t="s">
        <v>510</v>
      </c>
      <c r="K3" s="58"/>
      <c r="L3" s="58"/>
      <c r="M3" s="58"/>
      <c r="N3" s="57" t="s">
        <v>515</v>
      </c>
      <c r="O3" s="58"/>
      <c r="P3" s="58"/>
      <c r="Q3" s="79"/>
      <c r="R3" s="57" t="s">
        <v>498</v>
      </c>
      <c r="S3" s="58"/>
      <c r="T3" s="58"/>
      <c r="U3" s="58"/>
      <c r="V3" s="57" t="s">
        <v>1506</v>
      </c>
      <c r="W3" s="58"/>
      <c r="X3" s="58"/>
      <c r="Y3" s="79"/>
      <c r="Z3" s="60" t="s">
        <v>1161</v>
      </c>
      <c r="AA3" s="91"/>
      <c r="AB3" s="91"/>
      <c r="AC3" s="92"/>
      <c r="AD3" s="90" t="s">
        <v>1403</v>
      </c>
      <c r="AE3" s="90"/>
      <c r="AF3" s="62" t="s">
        <v>510</v>
      </c>
      <c r="AG3" s="63"/>
      <c r="AH3" s="63"/>
      <c r="AI3" s="63"/>
      <c r="AJ3" s="62" t="s">
        <v>1507</v>
      </c>
      <c r="AK3" s="63"/>
      <c r="AL3" s="63"/>
      <c r="AM3" s="63"/>
      <c r="AN3" s="62" t="s">
        <v>498</v>
      </c>
      <c r="AO3" s="63"/>
      <c r="AP3" s="63"/>
      <c r="AQ3" s="63"/>
      <c r="AR3" s="62" t="s">
        <v>1508</v>
      </c>
      <c r="AS3" s="63"/>
      <c r="AT3" s="63"/>
      <c r="AU3" s="65"/>
    </row>
    <row r="4" s="33" customFormat="true" ht="135.75" hidden="false" customHeight="true" outlineLevel="0" collapsed="false">
      <c r="A4" s="38"/>
      <c r="C4" s="44" t="s">
        <v>910</v>
      </c>
      <c r="D4" s="44" t="s">
        <v>1164</v>
      </c>
      <c r="E4" s="44" t="s">
        <v>911</v>
      </c>
      <c r="F4" s="44" t="s">
        <v>912</v>
      </c>
      <c r="G4" s="44" t="s">
        <v>1165</v>
      </c>
      <c r="H4" s="44" t="s">
        <v>913</v>
      </c>
      <c r="I4" s="44" t="s">
        <v>1166</v>
      </c>
      <c r="J4" s="66" t="s">
        <v>489</v>
      </c>
      <c r="K4" s="67" t="s">
        <v>491</v>
      </c>
      <c r="L4" s="67" t="s">
        <v>493</v>
      </c>
      <c r="M4" s="67" t="s">
        <v>495</v>
      </c>
      <c r="N4" s="66" t="s">
        <v>516</v>
      </c>
      <c r="O4" s="67" t="s">
        <v>518</v>
      </c>
      <c r="P4" s="67" t="s">
        <v>520</v>
      </c>
      <c r="Q4" s="85" t="s">
        <v>522</v>
      </c>
      <c r="R4" s="66" t="s">
        <v>489</v>
      </c>
      <c r="S4" s="67" t="s">
        <v>491</v>
      </c>
      <c r="T4" s="67" t="s">
        <v>493</v>
      </c>
      <c r="U4" s="67" t="s">
        <v>495</v>
      </c>
      <c r="V4" s="66" t="s">
        <v>516</v>
      </c>
      <c r="W4" s="67" t="s">
        <v>518</v>
      </c>
      <c r="X4" s="67" t="s">
        <v>520</v>
      </c>
      <c r="Y4" s="85" t="s">
        <v>522</v>
      </c>
      <c r="Z4" s="69" t="s">
        <v>510</v>
      </c>
      <c r="AA4" s="86" t="s">
        <v>515</v>
      </c>
      <c r="AB4" s="86" t="s">
        <v>498</v>
      </c>
      <c r="AC4" s="93" t="s">
        <v>1506</v>
      </c>
      <c r="AD4" s="46" t="s">
        <v>1509</v>
      </c>
      <c r="AE4" s="46" t="s">
        <v>1510</v>
      </c>
      <c r="AF4" s="70" t="s">
        <v>489</v>
      </c>
      <c r="AG4" s="71" t="s">
        <v>491</v>
      </c>
      <c r="AH4" s="71" t="s">
        <v>493</v>
      </c>
      <c r="AI4" s="71" t="s">
        <v>495</v>
      </c>
      <c r="AJ4" s="70" t="s">
        <v>516</v>
      </c>
      <c r="AK4" s="71" t="s">
        <v>518</v>
      </c>
      <c r="AL4" s="71" t="s">
        <v>520</v>
      </c>
      <c r="AM4" s="71" t="s">
        <v>522</v>
      </c>
      <c r="AN4" s="70" t="s">
        <v>489</v>
      </c>
      <c r="AO4" s="71" t="s">
        <v>491</v>
      </c>
      <c r="AP4" s="71" t="s">
        <v>493</v>
      </c>
      <c r="AQ4" s="71" t="s">
        <v>495</v>
      </c>
      <c r="AR4" s="70" t="s">
        <v>516</v>
      </c>
      <c r="AS4" s="71" t="s">
        <v>518</v>
      </c>
      <c r="AT4" s="71" t="s">
        <v>520</v>
      </c>
      <c r="AU4" s="73" t="s">
        <v>522</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53"/>
      <c r="AB5" s="53"/>
      <c r="AC5" s="53"/>
      <c r="AD5" s="74" t="n">
        <f aca="false">SUBTOTAL(109,tb_prev_T[D_tb_prev_D_fy19])</f>
        <v>0</v>
      </c>
      <c r="AE5" s="74" t="n">
        <f aca="false">SUBTOTAL(109,tb_prev_T[D_tb_prev_fy19])</f>
        <v>0</v>
      </c>
      <c r="AF5" s="74" t="n">
        <f aca="false">SUBTOTAL(109,tb_prev_T[tb_prev_D_u15_f_pos])</f>
        <v>0</v>
      </c>
      <c r="AG5" s="74" t="n">
        <f aca="false">SUBTOTAL(109,tb_prev_T[tb_prev_D_u15_m_pos])</f>
        <v>0</v>
      </c>
      <c r="AH5" s="74" t="n">
        <f aca="false">SUBTOTAL(109,tb_prev_T[tb_prev_D_o15_f_pos])</f>
        <v>0</v>
      </c>
      <c r="AI5" s="74" t="n">
        <f aca="false">SUBTOTAL(109,tb_prev_T[tb_prev_D_o15_m_pos])</f>
        <v>0</v>
      </c>
      <c r="AJ5" s="74" t="n">
        <f aca="false">SUBTOTAL(109,tb_prev_T[tb_prev_D_alt_tpt_life_already_pos])</f>
        <v>0</v>
      </c>
      <c r="AK5" s="74" t="n">
        <f aca="false">SUBTOTAL(109,tb_prev_T[tb_prev_D_ipt_life_already_pos])</f>
        <v>0</v>
      </c>
      <c r="AL5" s="74" t="n">
        <f aca="false">SUBTOTAL(109,tb_prev_T[tb_prev_D_alt_tpt_life_new_pos])</f>
        <v>0</v>
      </c>
      <c r="AM5" s="74" t="n">
        <f aca="false">SUBTOTAL(109,tb_prev_T[tb_prev_D_ipt_life_new_pos])</f>
        <v>0</v>
      </c>
      <c r="AN5" s="74" t="n">
        <f aca="false">SUBTOTAL(109,tb_prev_T[tb_prev_u15_f_pos])</f>
        <v>0</v>
      </c>
      <c r="AO5" s="74" t="n">
        <f aca="false">SUBTOTAL(109,tb_prev_T[tb_prev_u15_m_pos])</f>
        <v>0</v>
      </c>
      <c r="AP5" s="74" t="n">
        <f aca="false">SUBTOTAL(109,tb_prev_T[tb_prev_o15_f_pos])</f>
        <v>0</v>
      </c>
      <c r="AQ5" s="74" t="n">
        <f aca="false">SUBTOTAL(109,tb_prev_T[tb_prev_o15_m_pos])</f>
        <v>0</v>
      </c>
      <c r="AR5" s="74" t="n">
        <f aca="false">SUBTOTAL(109,tb_prev_T[tb_prev_alt_tpt_life_already_pos])</f>
        <v>0</v>
      </c>
      <c r="AS5" s="74" t="n">
        <f aca="false">SUBTOTAL(109,tb_prev_T[tb_prev_ipt_life_already_pos])</f>
        <v>0</v>
      </c>
      <c r="AT5" s="74" t="n">
        <f aca="false">SUBTOTAL(109,tb_prev_T[tb_prev_alt_tpt_life_new_pos])</f>
        <v>0</v>
      </c>
      <c r="AU5" s="74" t="n">
        <f aca="false">SUBTOTAL(109,tb_prev_T[tb_prev_ipt_life_new_pos])</f>
        <v>0</v>
      </c>
    </row>
    <row r="6" customFormat="false" ht="15" hidden="false" customHeight="false" outlineLevel="0" collapsed="false">
      <c r="A6" s="48"/>
      <c r="C6" s="50" t="s">
        <v>1168</v>
      </c>
      <c r="D6" s="50" t="s">
        <v>1169</v>
      </c>
      <c r="E6" s="50" t="s">
        <v>1170</v>
      </c>
      <c r="F6" s="50" t="s">
        <v>1171</v>
      </c>
      <c r="G6" s="50" t="s">
        <v>1172</v>
      </c>
      <c r="H6" s="50" t="s">
        <v>1173</v>
      </c>
      <c r="I6" s="50" t="s">
        <v>1174</v>
      </c>
      <c r="J6" s="50" t="s">
        <v>511</v>
      </c>
      <c r="K6" s="50" t="s">
        <v>512</v>
      </c>
      <c r="L6" s="50" t="s">
        <v>513</v>
      </c>
      <c r="M6" s="50" t="s">
        <v>514</v>
      </c>
      <c r="N6" s="50" t="s">
        <v>517</v>
      </c>
      <c r="O6" s="50" t="s">
        <v>519</v>
      </c>
      <c r="P6" s="50" t="s">
        <v>521</v>
      </c>
      <c r="Q6" s="50" t="s">
        <v>523</v>
      </c>
      <c r="R6" s="50" t="s">
        <v>524</v>
      </c>
      <c r="S6" s="50" t="s">
        <v>525</v>
      </c>
      <c r="T6" s="50" t="s">
        <v>526</v>
      </c>
      <c r="U6" s="50" t="s">
        <v>527</v>
      </c>
      <c r="V6" s="50" t="s">
        <v>530</v>
      </c>
      <c r="W6" s="50" t="s">
        <v>531</v>
      </c>
      <c r="X6" s="50" t="s">
        <v>532</v>
      </c>
      <c r="Y6" s="50" t="s">
        <v>533</v>
      </c>
      <c r="Z6" s="50" t="s">
        <v>1175</v>
      </c>
      <c r="AA6" s="50" t="s">
        <v>1220</v>
      </c>
      <c r="AB6" s="50" t="s">
        <v>1221</v>
      </c>
      <c r="AC6" s="50" t="s">
        <v>1333</v>
      </c>
      <c r="AD6" s="50" t="s">
        <v>1056</v>
      </c>
      <c r="AE6" s="50" t="s">
        <v>1057</v>
      </c>
      <c r="AF6" s="50" t="s">
        <v>1511</v>
      </c>
      <c r="AG6" s="50" t="s">
        <v>1512</v>
      </c>
      <c r="AH6" s="50" t="s">
        <v>1513</v>
      </c>
      <c r="AI6" s="50" t="s">
        <v>1514</v>
      </c>
      <c r="AJ6" s="50" t="s">
        <v>1515</v>
      </c>
      <c r="AK6" s="50" t="s">
        <v>1516</v>
      </c>
      <c r="AL6" s="50" t="s">
        <v>1517</v>
      </c>
      <c r="AM6" s="50" t="s">
        <v>1518</v>
      </c>
      <c r="AN6" s="50" t="s">
        <v>1519</v>
      </c>
      <c r="AO6" s="50" t="s">
        <v>1520</v>
      </c>
      <c r="AP6" s="50" t="s">
        <v>1521</v>
      </c>
      <c r="AQ6" s="50" t="s">
        <v>1522</v>
      </c>
      <c r="AR6" s="50" t="s">
        <v>1523</v>
      </c>
      <c r="AS6" s="50" t="s">
        <v>1524</v>
      </c>
      <c r="AT6" s="50" t="s">
        <v>1525</v>
      </c>
      <c r="AU6" s="50" t="s">
        <v>1526</v>
      </c>
    </row>
    <row r="7" customFormat="false" ht="15" hidden="false" customHeight="false" outlineLevel="0" collapsed="false">
      <c r="A7" s="51"/>
      <c r="J7" s="53"/>
      <c r="K7" s="53"/>
      <c r="L7" s="53"/>
      <c r="M7" s="53"/>
      <c r="N7" s="53"/>
      <c r="O7" s="53"/>
      <c r="P7" s="53"/>
      <c r="Q7" s="53"/>
      <c r="R7" s="53"/>
      <c r="S7" s="53"/>
      <c r="T7" s="53"/>
      <c r="U7" s="53"/>
      <c r="V7" s="53"/>
      <c r="W7" s="53"/>
      <c r="X7" s="53"/>
      <c r="Y7" s="53"/>
      <c r="Z7" s="75" t="n">
        <f aca="false">SUM(tb_prev_T[[#This Row],[A_tb_prev_D_u15_f_pos]:[A_tb_prev_D_o15_m_pos]])</f>
        <v>0</v>
      </c>
      <c r="AA7" s="75" t="n">
        <f aca="false">SUM(tb_prev_T[[#This Row],[A_tb_prev_D_alt_tpt_life_already_pos]:[A_tb_prev_D_ipt_life_new_pos]])</f>
        <v>0</v>
      </c>
      <c r="AB7" s="75" t="n">
        <f aca="false">SUM(tb_prev_T[[#This Row],[A_tb_prev_u15_f_pos]:[A_tb_prev_o15_m_pos]])</f>
        <v>0</v>
      </c>
      <c r="AC7" s="75" t="n">
        <f aca="false">SUM(tb_prev_T[[#This Row],[A_tb_prev_alt_tpt_life_already_pos]:[A_tb_prev_ipt_life_new_pos]])</f>
        <v>0</v>
      </c>
      <c r="AD7" s="49"/>
      <c r="AE7" s="49"/>
      <c r="AF7" s="49" t="n">
        <f aca="false">tb_prev_T[[D_tb_prev_D_fy19]:[D_tb_prev_D_fy19]]*tb_prev_T[A_tb_prev_D_u15_f_pos]</f>
        <v>0</v>
      </c>
      <c r="AG7" s="49" t="n">
        <f aca="false">tb_prev_T[[D_tb_prev_D_fy19]:[D_tb_prev_D_fy19]]*tb_prev_T[A_tb_prev_D_u15_m_pos]</f>
        <v>0</v>
      </c>
      <c r="AH7" s="49" t="n">
        <f aca="false">tb_prev_T[[D_tb_prev_D_fy19]:[D_tb_prev_D_fy19]]*tb_prev_T[A_tb_prev_D_o15_f_pos]</f>
        <v>0</v>
      </c>
      <c r="AI7" s="49" t="n">
        <f aca="false">tb_prev_T[[D_tb_prev_D_fy19]:[D_tb_prev_D_fy19]]*tb_prev_T[A_tb_prev_D_o15_m_pos]</f>
        <v>0</v>
      </c>
      <c r="AJ7" s="49" t="n">
        <f aca="false">tb_prev_T[[D_tb_prev_D_fy19]:[D_tb_prev_D_fy19]]*tb_prev_T[A_tb_prev_D_alt_tpt_life_already_pos]</f>
        <v>0</v>
      </c>
      <c r="AK7" s="49" t="n">
        <f aca="false">tb_prev_T[[D_tb_prev_D_fy19]:[D_tb_prev_D_fy19]]*tb_prev_T[A_tb_prev_D_ipt_life_already_pos]</f>
        <v>0</v>
      </c>
      <c r="AL7" s="49" t="n">
        <f aca="false">tb_prev_T[[D_tb_prev_D_fy19]:[D_tb_prev_D_fy19]]*tb_prev_T[A_tb_prev_D_alt_tpt_life_new_pos]</f>
        <v>0</v>
      </c>
      <c r="AM7" s="49" t="n">
        <f aca="false">tb_prev_T[[D_tb_prev_D_fy19]:[D_tb_prev_D_fy19]]*tb_prev_T[A_tb_prev_D_ipt_life_new_pos]</f>
        <v>0</v>
      </c>
      <c r="AN7" s="49" t="n">
        <f aca="false">tb_prev_T[[D_tb_prev_fy19]:[D_tb_prev_fy19]]*tb_prev_T[A_tb_prev_u15_f_pos]</f>
        <v>0</v>
      </c>
      <c r="AO7" s="49" t="n">
        <f aca="false">tb_prev_T[[D_tb_prev_fy19]:[D_tb_prev_fy19]]*tb_prev_T[A_tb_prev_u15_m_pos]</f>
        <v>0</v>
      </c>
      <c r="AP7" s="49" t="n">
        <f aca="false">tb_prev_T[[D_tb_prev_fy19]:[D_tb_prev_fy19]]*tb_prev_T[A_tb_prev_o15_f_pos]</f>
        <v>0</v>
      </c>
      <c r="AQ7" s="49" t="n">
        <f aca="false">tb_prev_T[[D_tb_prev_fy19]:[D_tb_prev_fy19]]*tb_prev_T[A_tb_prev_o15_m_pos]</f>
        <v>0</v>
      </c>
      <c r="AR7" s="49" t="n">
        <f aca="false">tb_prev_T[[D_tb_prev_fy19]:[D_tb_prev_fy19]]*tb_prev_T[A_tb_prev_alt_tpt_life_already_pos]</f>
        <v>0</v>
      </c>
      <c r="AS7" s="49" t="n">
        <f aca="false">tb_prev_T[[D_tb_prev_fy19]:[D_tb_prev_fy19]]*tb_prev_T[A_tb_prev_ipt_life_already_pos]</f>
        <v>0</v>
      </c>
      <c r="AT7" s="49" t="n">
        <f aca="false">tb_prev_T[[D_tb_prev_fy19]:[D_tb_prev_fy19]]*tb_prev_T[A_tb_prev_alt_tpt_life_new_pos]</f>
        <v>0</v>
      </c>
      <c r="AU7" s="49" t="n">
        <f aca="false">tb_prev_T[[D_tb_prev_fy19]:[D_tb_prev_fy19]]*tb_prev_T[A_tb_prev_ipt_life_new_pos]</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customFormat="false" ht="15" hidden="false" customHeight="false" outlineLevel="0" collapsed="false">
      <c r="A10" s="76"/>
      <c r="C10" s="8"/>
      <c r="D10" s="8"/>
      <c r="E10" s="8"/>
      <c r="F10" s="8"/>
      <c r="G10" s="8"/>
      <c r="H10" s="0"/>
      <c r="I10" s="0"/>
      <c r="J10" s="0"/>
      <c r="K10" s="0"/>
      <c r="L10" s="0"/>
      <c r="M10" s="0"/>
      <c r="N10" s="0"/>
      <c r="O10" s="0"/>
      <c r="P10" s="0"/>
      <c r="Q10" s="0"/>
      <c r="R10" s="0"/>
      <c r="S10" s="0"/>
      <c r="T10" s="0"/>
      <c r="U10" s="0"/>
      <c r="V10" s="0"/>
      <c r="W10" s="0"/>
      <c r="X10" s="0"/>
      <c r="Y10" s="0"/>
      <c r="Z10" s="0"/>
      <c r="AA10" s="0"/>
      <c r="AB10" s="0"/>
      <c r="AC10" s="0"/>
      <c r="AD10" s="8"/>
      <c r="AE10" s="8"/>
      <c r="AF10" s="8"/>
      <c r="AG10" s="8"/>
      <c r="AH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sheetData>
  <mergeCells count="1">
    <mergeCell ref="A1:A2"/>
  </mergeCells>
  <conditionalFormatting sqref="J7:Q7">
    <cfRule type="expression" priority="2" aboveAverage="0" equalAverage="0" bottom="0" percent="0" rank="0" text="" dxfId="0">
      <formula>$AD7=0</formula>
    </cfRule>
  </conditionalFormatting>
  <conditionalFormatting sqref="R7:AC7">
    <cfRule type="expression" priority="3" aboveAverage="0" equalAverage="0" bottom="0" percent="0" rank="0" text="" dxfId="0">
      <formula>$AE7=0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X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A7" activeCellId="0" sqref="A7"/>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29" min="10" style="33" width="11.5708502024291"/>
    <col collapsed="false" hidden="false" max="38" min="30" style="0" width="11.5708502024291"/>
    <col collapsed="false" hidden="false" max="39" min="39" style="0" width="8.57085020242915"/>
    <col collapsed="false" hidden="false" max="41" min="40" style="0" width="11.5708502024291"/>
    <col collapsed="false" hidden="false" max="42" min="42" style="0" width="8.57085020242915"/>
    <col collapsed="false" hidden="false" max="51" min="43" style="0" width="11.5708502024291"/>
    <col collapsed="false" hidden="false" max="1025" min="52" style="0" width="8.57085020242915"/>
  </cols>
  <sheetData>
    <row r="1" s="33" customFormat="true" ht="23.25" hidden="false" customHeight="false" outlineLevel="0" collapsed="false">
      <c r="A1" s="34"/>
      <c r="C1" s="77" t="s">
        <v>534</v>
      </c>
      <c r="D1" s="35"/>
      <c r="J1" s="37" t="s">
        <v>1157</v>
      </c>
      <c r="K1" s="55"/>
      <c r="L1" s="55"/>
      <c r="M1" s="55"/>
      <c r="N1" s="55"/>
      <c r="O1" s="55"/>
      <c r="P1" s="55"/>
      <c r="Q1" s="55"/>
      <c r="R1" s="55"/>
      <c r="S1" s="55"/>
      <c r="T1" s="55"/>
      <c r="U1" s="55"/>
      <c r="V1" s="55"/>
      <c r="W1" s="55"/>
      <c r="X1" s="55"/>
      <c r="Y1" s="55"/>
      <c r="Z1" s="55"/>
      <c r="AA1" s="55"/>
      <c r="AB1" s="37" t="s">
        <v>1158</v>
      </c>
      <c r="AC1" s="56"/>
      <c r="AD1" s="37" t="s">
        <v>1159</v>
      </c>
      <c r="AE1" s="55"/>
      <c r="AF1" s="55"/>
      <c r="AG1" s="37" t="s">
        <v>1160</v>
      </c>
      <c r="AH1" s="55"/>
      <c r="AI1" s="55"/>
      <c r="AJ1" s="55"/>
      <c r="AK1" s="55"/>
      <c r="AL1" s="55"/>
      <c r="AM1" s="55"/>
      <c r="AN1" s="55"/>
      <c r="AO1" s="55"/>
      <c r="AP1" s="55"/>
      <c r="AQ1" s="55"/>
      <c r="AR1" s="55"/>
      <c r="AS1" s="55"/>
      <c r="AT1" s="55"/>
      <c r="AU1" s="55"/>
      <c r="AV1" s="55"/>
      <c r="AW1" s="55"/>
      <c r="AX1" s="55"/>
    </row>
    <row r="2" s="35" customFormat="true" ht="15" hidden="false" customHeight="false" outlineLevel="0" collapsed="false">
      <c r="A2" s="34"/>
      <c r="B2" s="35" t="s">
        <v>808</v>
      </c>
      <c r="C2" s="35" t="s">
        <v>808</v>
      </c>
      <c r="D2" s="35" t="s">
        <v>808</v>
      </c>
      <c r="E2" s="35" t="s">
        <v>808</v>
      </c>
      <c r="F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c r="AV2" s="35" t="s">
        <v>808</v>
      </c>
      <c r="AW2" s="35" t="s">
        <v>808</v>
      </c>
      <c r="AX2" s="35" t="s">
        <v>808</v>
      </c>
    </row>
    <row r="3" s="4" customFormat="true" ht="15" hidden="false" customHeight="false" outlineLevel="0" collapsed="false">
      <c r="A3" s="38"/>
      <c r="C3" s="35" t="s">
        <v>808</v>
      </c>
      <c r="D3" s="35"/>
      <c r="E3" s="39"/>
      <c r="F3" s="39"/>
      <c r="G3" s="39"/>
      <c r="H3" s="40"/>
      <c r="I3" s="40"/>
      <c r="J3" s="57" t="s">
        <v>535</v>
      </c>
      <c r="K3" s="58"/>
      <c r="L3" s="58"/>
      <c r="M3" s="79"/>
      <c r="N3" s="57" t="s">
        <v>544</v>
      </c>
      <c r="O3" s="58"/>
      <c r="P3" s="58"/>
      <c r="Q3" s="58"/>
      <c r="R3" s="58"/>
      <c r="S3" s="58"/>
      <c r="T3" s="58"/>
      <c r="U3" s="58"/>
      <c r="V3" s="58"/>
      <c r="W3" s="58"/>
      <c r="X3" s="58"/>
      <c r="Y3" s="58"/>
      <c r="Z3" s="58"/>
      <c r="AA3" s="79"/>
      <c r="AB3" s="91" t="s">
        <v>1161</v>
      </c>
      <c r="AC3" s="91"/>
      <c r="AD3" s="61" t="s">
        <v>1403</v>
      </c>
      <c r="AE3" s="90"/>
      <c r="AF3" s="96"/>
      <c r="AG3" s="62" t="s">
        <v>535</v>
      </c>
      <c r="AH3" s="63"/>
      <c r="AI3" s="63"/>
      <c r="AJ3" s="65"/>
      <c r="AK3" s="62" t="s">
        <v>544</v>
      </c>
      <c r="AL3" s="63"/>
      <c r="AM3" s="63"/>
      <c r="AN3" s="63"/>
      <c r="AO3" s="63"/>
      <c r="AP3" s="63"/>
      <c r="AQ3" s="63"/>
      <c r="AR3" s="63"/>
      <c r="AS3" s="63"/>
      <c r="AT3" s="63"/>
      <c r="AU3" s="63"/>
      <c r="AV3" s="63"/>
      <c r="AW3" s="63"/>
      <c r="AX3" s="65"/>
    </row>
    <row r="4" s="33" customFormat="true" ht="135.75" hidden="false" customHeight="true" outlineLevel="0" collapsed="false">
      <c r="A4" s="38"/>
      <c r="C4" s="44" t="s">
        <v>910</v>
      </c>
      <c r="D4" s="44" t="s">
        <v>1164</v>
      </c>
      <c r="E4" s="44" t="s">
        <v>911</v>
      </c>
      <c r="F4" s="44" t="s">
        <v>912</v>
      </c>
      <c r="G4" s="44" t="s">
        <v>1165</v>
      </c>
      <c r="H4" s="44" t="s">
        <v>913</v>
      </c>
      <c r="I4" s="44" t="s">
        <v>1166</v>
      </c>
      <c r="J4" s="66" t="s">
        <v>536</v>
      </c>
      <c r="K4" s="67" t="s">
        <v>538</v>
      </c>
      <c r="L4" s="67" t="s">
        <v>540</v>
      </c>
      <c r="M4" s="85" t="s">
        <v>542</v>
      </c>
      <c r="N4" s="67" t="s">
        <v>545</v>
      </c>
      <c r="O4" s="67" t="s">
        <v>547</v>
      </c>
      <c r="P4" s="67" t="s">
        <v>549</v>
      </c>
      <c r="Q4" s="67" t="s">
        <v>551</v>
      </c>
      <c r="R4" s="67" t="s">
        <v>553</v>
      </c>
      <c r="S4" s="67" t="s">
        <v>555</v>
      </c>
      <c r="T4" s="67" t="s">
        <v>557</v>
      </c>
      <c r="U4" s="67" t="s">
        <v>559</v>
      </c>
      <c r="V4" s="67" t="s">
        <v>561</v>
      </c>
      <c r="W4" s="67" t="s">
        <v>563</v>
      </c>
      <c r="X4" s="67" t="s">
        <v>565</v>
      </c>
      <c r="Y4" s="67" t="s">
        <v>567</v>
      </c>
      <c r="Z4" s="67" t="s">
        <v>569</v>
      </c>
      <c r="AA4" s="85" t="s">
        <v>571</v>
      </c>
      <c r="AB4" s="86" t="s">
        <v>535</v>
      </c>
      <c r="AC4" s="86" t="s">
        <v>544</v>
      </c>
      <c r="AD4" s="45" t="s">
        <v>534</v>
      </c>
      <c r="AE4" s="46" t="s">
        <v>815</v>
      </c>
      <c r="AF4" s="47" t="s">
        <v>1527</v>
      </c>
      <c r="AG4" s="70" t="s">
        <v>536</v>
      </c>
      <c r="AH4" s="71" t="s">
        <v>538</v>
      </c>
      <c r="AI4" s="71" t="s">
        <v>540</v>
      </c>
      <c r="AJ4" s="73" t="s">
        <v>542</v>
      </c>
      <c r="AK4" s="71" t="s">
        <v>545</v>
      </c>
      <c r="AL4" s="71" t="s">
        <v>547</v>
      </c>
      <c r="AM4" s="71" t="s">
        <v>549</v>
      </c>
      <c r="AN4" s="71" t="s">
        <v>551</v>
      </c>
      <c r="AO4" s="71" t="s">
        <v>553</v>
      </c>
      <c r="AP4" s="71" t="s">
        <v>555</v>
      </c>
      <c r="AQ4" s="71" t="s">
        <v>557</v>
      </c>
      <c r="AR4" s="71" t="s">
        <v>559</v>
      </c>
      <c r="AS4" s="71" t="s">
        <v>561</v>
      </c>
      <c r="AT4" s="71" t="s">
        <v>563</v>
      </c>
      <c r="AU4" s="71" t="s">
        <v>565</v>
      </c>
      <c r="AV4" s="71" t="s">
        <v>567</v>
      </c>
      <c r="AW4" s="71" t="s">
        <v>569</v>
      </c>
      <c r="AX4" s="73" t="s">
        <v>571</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53"/>
      <c r="AB5" s="53"/>
      <c r="AC5" s="53"/>
      <c r="AD5" s="74" t="n">
        <f aca="false">SUBTOTAL(109,tx_curr_T[D_tx_curr_fy19])</f>
        <v>0</v>
      </c>
      <c r="AE5" s="74" t="n">
        <f aca="false">SUBTOTAL(109,tx_curr_T[D_tx_curr_u15_fy19])</f>
        <v>0</v>
      </c>
      <c r="AF5" s="74" t="n">
        <f aca="false">SUBTOTAL(109,tx_curr_T[D_tx_curr_o15_fy19])</f>
        <v>0</v>
      </c>
      <c r="AG5" s="74" t="n">
        <f aca="false">SUBTOTAL(109,tx_curr_T[tx_curr_u1_unk_pos])</f>
        <v>0</v>
      </c>
      <c r="AH5" s="74" t="n">
        <f aca="false">SUBTOTAL(109,tx_curr_T[tx_curr_0109_unk_pos])</f>
        <v>0</v>
      </c>
      <c r="AI5" s="74" t="n">
        <f aca="false">SUBTOTAL(109,tx_curr_T[tx_curr_1014_f_pos])</f>
        <v>0</v>
      </c>
      <c r="AJ5" s="74" t="n">
        <f aca="false">SUBTOTAL(109,tx_curr_T[tx_curr_1014_m_pos])</f>
        <v>0</v>
      </c>
      <c r="AK5" s="74" t="n">
        <f aca="false">SUBTOTAL(109,tx_curr_T[tx_curr_1519_f_pos])</f>
        <v>0</v>
      </c>
      <c r="AL5" s="74" t="n">
        <f aca="false">SUBTOTAL(109,tx_curr_T[tx_curr_1519_m_pos])</f>
        <v>0</v>
      </c>
      <c r="AM5" s="74" t="n">
        <f aca="false">SUBTOTAL(109,tx_curr_T[tx_curr_2024_f_pos])</f>
        <v>0</v>
      </c>
      <c r="AN5" s="74" t="n">
        <f aca="false">SUBTOTAL(109,tx_curr_T[tx_curr_2024_m_pos])</f>
        <v>0</v>
      </c>
      <c r="AO5" s="74" t="n">
        <f aca="false">SUBTOTAL(109,tx_curr_T[tx_curr_2529_f_pos])</f>
        <v>0</v>
      </c>
      <c r="AP5" s="74" t="n">
        <f aca="false">SUBTOTAL(109,tx_curr_T[tx_curr_2529_m_pos])</f>
        <v>0</v>
      </c>
      <c r="AQ5" s="74" t="n">
        <f aca="false">SUBTOTAL(109,tx_curr_T[tx_curr_3034_f_pos])</f>
        <v>0</v>
      </c>
      <c r="AR5" s="74" t="n">
        <f aca="false">SUBTOTAL(109,tx_curr_T[tx_curr_3034_m_pos])</f>
        <v>0</v>
      </c>
      <c r="AS5" s="74" t="n">
        <f aca="false">SUBTOTAL(109,tx_curr_T[tx_curr_3539_f_pos])</f>
        <v>0</v>
      </c>
      <c r="AT5" s="74" t="n">
        <f aca="false">SUBTOTAL(109,tx_curr_T[tx_curr_3539_m_pos])</f>
        <v>0</v>
      </c>
      <c r="AU5" s="74" t="n">
        <f aca="false">SUBTOTAL(109,tx_curr_T[tx_curr_4049_f_pos])</f>
        <v>0</v>
      </c>
      <c r="AV5" s="74" t="n">
        <f aca="false">SUBTOTAL(109,tx_curr_T[tx_curr_4049_m_pos])</f>
        <v>0</v>
      </c>
      <c r="AW5" s="74" t="n">
        <f aca="false">SUBTOTAL(109,tx_curr_T[tx_curr_o50_f_pos])</f>
        <v>0</v>
      </c>
      <c r="AX5" s="74" t="n">
        <f aca="false">SUBTOTAL(109,tx_curr_T[tx_curr_o50_m_pos])</f>
        <v>0</v>
      </c>
    </row>
    <row r="6" customFormat="false" ht="15" hidden="false" customHeight="false" outlineLevel="0" collapsed="false">
      <c r="A6" s="48"/>
      <c r="C6" s="50" t="s">
        <v>1168</v>
      </c>
      <c r="D6" s="50" t="s">
        <v>1169</v>
      </c>
      <c r="E6" s="50" t="s">
        <v>1170</v>
      </c>
      <c r="F6" s="50" t="s">
        <v>1171</v>
      </c>
      <c r="G6" s="50" t="s">
        <v>1172</v>
      </c>
      <c r="H6" s="50" t="s">
        <v>1173</v>
      </c>
      <c r="I6" s="50" t="s">
        <v>1174</v>
      </c>
      <c r="J6" s="50" t="s">
        <v>537</v>
      </c>
      <c r="K6" s="50" t="s">
        <v>539</v>
      </c>
      <c r="L6" s="50" t="s">
        <v>541</v>
      </c>
      <c r="M6" s="50" t="s">
        <v>543</v>
      </c>
      <c r="N6" s="50" t="s">
        <v>546</v>
      </c>
      <c r="O6" s="50" t="s">
        <v>548</v>
      </c>
      <c r="P6" s="50" t="s">
        <v>550</v>
      </c>
      <c r="Q6" s="50" t="s">
        <v>552</v>
      </c>
      <c r="R6" s="50" t="s">
        <v>554</v>
      </c>
      <c r="S6" s="50" t="s">
        <v>556</v>
      </c>
      <c r="T6" s="50" t="s">
        <v>558</v>
      </c>
      <c r="U6" s="50" t="s">
        <v>560</v>
      </c>
      <c r="V6" s="50" t="s">
        <v>562</v>
      </c>
      <c r="W6" s="50" t="s">
        <v>564</v>
      </c>
      <c r="X6" s="50" t="s">
        <v>566</v>
      </c>
      <c r="Y6" s="50" t="s">
        <v>568</v>
      </c>
      <c r="Z6" s="50" t="s">
        <v>570</v>
      </c>
      <c r="AA6" s="50" t="s">
        <v>572</v>
      </c>
      <c r="AB6" s="50" t="s">
        <v>1175</v>
      </c>
      <c r="AC6" s="50" t="s">
        <v>1220</v>
      </c>
      <c r="AD6" s="50" t="s">
        <v>1033</v>
      </c>
      <c r="AE6" s="50" t="s">
        <v>1034</v>
      </c>
      <c r="AF6" s="50" t="s">
        <v>1528</v>
      </c>
      <c r="AG6" s="50" t="s">
        <v>1529</v>
      </c>
      <c r="AH6" s="50" t="s">
        <v>1530</v>
      </c>
      <c r="AI6" s="50" t="s">
        <v>1531</v>
      </c>
      <c r="AJ6" s="50" t="s">
        <v>1532</v>
      </c>
      <c r="AK6" s="50" t="s">
        <v>1533</v>
      </c>
      <c r="AL6" s="50" t="s">
        <v>1534</v>
      </c>
      <c r="AM6" s="50" t="s">
        <v>1535</v>
      </c>
      <c r="AN6" s="50" t="s">
        <v>1536</v>
      </c>
      <c r="AO6" s="50" t="s">
        <v>1537</v>
      </c>
      <c r="AP6" s="50" t="s">
        <v>1538</v>
      </c>
      <c r="AQ6" s="50" t="s">
        <v>1539</v>
      </c>
      <c r="AR6" s="50" t="s">
        <v>1540</v>
      </c>
      <c r="AS6" s="50" t="s">
        <v>1541</v>
      </c>
      <c r="AT6" s="50" t="s">
        <v>1542</v>
      </c>
      <c r="AU6" s="50" t="s">
        <v>1543</v>
      </c>
      <c r="AV6" s="50" t="s">
        <v>1544</v>
      </c>
      <c r="AW6" s="50" t="s">
        <v>1545</v>
      </c>
      <c r="AX6" s="50" t="s">
        <v>1546</v>
      </c>
    </row>
    <row r="7" customFormat="false" ht="15" hidden="false" customHeight="false" outlineLevel="0" collapsed="false">
      <c r="A7" s="51"/>
      <c r="J7" s="53"/>
      <c r="K7" s="53"/>
      <c r="L7" s="53"/>
      <c r="M7" s="53"/>
      <c r="N7" s="53"/>
      <c r="O7" s="53"/>
      <c r="P7" s="53"/>
      <c r="Q7" s="53"/>
      <c r="R7" s="53"/>
      <c r="S7" s="53"/>
      <c r="T7" s="53"/>
      <c r="U7" s="53"/>
      <c r="V7" s="53"/>
      <c r="W7" s="53"/>
      <c r="X7" s="53"/>
      <c r="Y7" s="53"/>
      <c r="Z7" s="53"/>
      <c r="AA7" s="53"/>
      <c r="AB7" s="75" t="n">
        <f aca="false">SUM(tx_curr_T[[#This Row],[A_tx_curr_u1_unk_pos]:[A_tx_curr_1014_m_pos]])</f>
        <v>0</v>
      </c>
      <c r="AC7" s="75" t="n">
        <f aca="false">SUM(tx_curr_T[[#This Row],[A_tx_curr_1519_f_pos]:[A_tx_curr_o50_m_pos]])</f>
        <v>0</v>
      </c>
      <c r="AD7" s="49"/>
      <c r="AE7" s="49"/>
      <c r="AF7" s="49"/>
      <c r="AG7" s="49" t="n">
        <f aca="false">tx_curr_T[[D_tx_curr_u15_fy19]:[D_tx_curr_u15_fy19]]*tx_curr_T[A_tx_curr_u1_unk_pos]</f>
        <v>0</v>
      </c>
      <c r="AH7" s="49" t="n">
        <f aca="false">tx_curr_T[[D_tx_curr_u15_fy19]:[D_tx_curr_u15_fy19]]*tx_curr_T[A_tx_curr_0109_unk_pos]</f>
        <v>0</v>
      </c>
      <c r="AI7" s="49" t="n">
        <f aca="false">tx_curr_T[[D_tx_curr_u15_fy19]:[D_tx_curr_u15_fy19]]*tx_curr_T[A_tx_curr_1014_f_pos]</f>
        <v>0</v>
      </c>
      <c r="AJ7" s="49" t="n">
        <f aca="false">tx_curr_T[[D_tx_curr_u15_fy19]:[D_tx_curr_u15_fy19]]*tx_curr_T[A_tx_curr_1014_m_pos]</f>
        <v>0</v>
      </c>
      <c r="AK7" s="49" t="n">
        <f aca="false">tx_curr_T[[D_tx_curr_o15_fy19]:[D_tx_curr_o15_fy19]]*tx_curr_T[A_tx_curr_1519_f_pos]</f>
        <v>0</v>
      </c>
      <c r="AL7" s="49" t="n">
        <f aca="false">tx_curr_T[[D_tx_curr_o15_fy19]:[D_tx_curr_o15_fy19]]*tx_curr_T[A_tx_curr_1519_m_pos]</f>
        <v>0</v>
      </c>
      <c r="AM7" s="49" t="n">
        <f aca="false">tx_curr_T[[D_tx_curr_o15_fy19]:[D_tx_curr_o15_fy19]]*tx_curr_T[A_tx_curr_2024_f_pos]</f>
        <v>0</v>
      </c>
      <c r="AN7" s="49" t="n">
        <f aca="false">tx_curr_T[[D_tx_curr_o15_fy19]:[D_tx_curr_o15_fy19]]*tx_curr_T[A_tx_curr_2024_m_pos]</f>
        <v>0</v>
      </c>
      <c r="AO7" s="49" t="n">
        <f aca="false">tx_curr_T[[D_tx_curr_o15_fy19]:[D_tx_curr_o15_fy19]]*tx_curr_T[A_tx_curr_2529_f_pos]</f>
        <v>0</v>
      </c>
      <c r="AP7" s="49" t="n">
        <f aca="false">tx_curr_T[[D_tx_curr_o15_fy19]:[D_tx_curr_o15_fy19]]*tx_curr_T[A_tx_curr_2529_m_pos]</f>
        <v>0</v>
      </c>
      <c r="AQ7" s="49" t="n">
        <f aca="false">tx_curr_T[[D_tx_curr_o15_fy19]:[D_tx_curr_o15_fy19]]*tx_curr_T[A_tx_curr_3034_f_pos]</f>
        <v>0</v>
      </c>
      <c r="AR7" s="49" t="n">
        <f aca="false">tx_curr_T[[D_tx_curr_o15_fy19]:[D_tx_curr_o15_fy19]]*tx_curr_T[A_tx_curr_3034_m_pos]</f>
        <v>0</v>
      </c>
      <c r="AS7" s="49" t="n">
        <f aca="false">tx_curr_T[[D_tx_curr_o15_fy19]:[D_tx_curr_o15_fy19]]*tx_curr_T[A_tx_curr_3539_f_pos]</f>
        <v>0</v>
      </c>
      <c r="AT7" s="49" t="n">
        <f aca="false">tx_curr_T[[D_tx_curr_o15_fy19]:[D_tx_curr_o15_fy19]]*tx_curr_T[A_tx_curr_3539_m_pos]</f>
        <v>0</v>
      </c>
      <c r="AU7" s="49" t="n">
        <f aca="false">tx_curr_T[[D_tx_curr_o15_fy19]:[D_tx_curr_o15_fy19]]*tx_curr_T[A_tx_curr_4049_f_pos]</f>
        <v>0</v>
      </c>
      <c r="AV7" s="49" t="n">
        <f aca="false">tx_curr_T[[D_tx_curr_o15_fy19]:[D_tx_curr_o15_fy19]]*tx_curr_T[A_tx_curr_4049_m_pos]</f>
        <v>0</v>
      </c>
      <c r="AW7" s="49" t="n">
        <f aca="false">tx_curr_T[[D_tx_curr_o15_fy19]:[D_tx_curr_o15_fy19]]*tx_curr_T[A_tx_curr_o50_f_pos]</f>
        <v>0</v>
      </c>
      <c r="AX7" s="49" t="n">
        <f aca="false">tx_curr_T[[D_tx_curr_o15_fy19]:[D_tx_curr_o15_fy19]]*tx_curr_T[A_tx_curr_o50_m_pos]</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N8" s="8"/>
      <c r="AO8" s="8"/>
      <c r="AQ8" s="8"/>
      <c r="AR8" s="8"/>
      <c r="AS8" s="8"/>
      <c r="AT8" s="8"/>
      <c r="AU8" s="8"/>
      <c r="AV8" s="8"/>
      <c r="AW8" s="8"/>
      <c r="AX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N9" s="8"/>
      <c r="AO9" s="8"/>
      <c r="AQ9" s="8"/>
      <c r="AR9" s="8"/>
      <c r="AS9" s="8"/>
      <c r="AT9" s="8"/>
      <c r="AU9" s="8"/>
      <c r="AV9" s="8"/>
      <c r="AW9" s="8"/>
      <c r="AX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N10" s="8"/>
      <c r="AO10" s="8"/>
      <c r="AQ10" s="8"/>
      <c r="AR10" s="8"/>
      <c r="AS10" s="8"/>
      <c r="AT10" s="8"/>
      <c r="AU10" s="8"/>
      <c r="AV10" s="8"/>
      <c r="AW10" s="8"/>
      <c r="AX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N11" s="8"/>
      <c r="AO11" s="8"/>
      <c r="AQ11" s="8"/>
      <c r="AR11" s="8"/>
      <c r="AS11" s="8"/>
      <c r="AT11" s="8"/>
      <c r="AU11" s="8"/>
      <c r="AV11" s="8"/>
      <c r="AW11" s="8"/>
      <c r="AX11" s="8"/>
    </row>
  </sheetData>
  <mergeCells count="1">
    <mergeCell ref="A1:A2"/>
  </mergeCells>
  <conditionalFormatting sqref="J7:AC7">
    <cfRule type="expression" priority="2" aboveAverage="0" equalAverage="0" bottom="0" percent="0" rank="0" text="" dxfId="0">
      <formula>$AD7=0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8.xml><?xml version="1.0" encoding="utf-8"?>
<worksheet xmlns="http://schemas.openxmlformats.org/spreadsheetml/2006/main" xmlns:r="http://schemas.openxmlformats.org/officeDocument/2006/relationships">
  <sheetPr filterMode="false">
    <pageSetUpPr fitToPage="false"/>
  </sheetPr>
  <dimension ref="A1:BN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4" activeCellId="0" sqref="C4"/>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38" min="10" style="33" width="11.5708502024291"/>
    <col collapsed="false" hidden="false" max="47" min="39" style="0" width="11.5708502024291"/>
    <col collapsed="false" hidden="false" max="48" min="48" style="0" width="8.57085020242915"/>
    <col collapsed="false" hidden="false" max="50" min="49" style="0" width="11.5708502024291"/>
    <col collapsed="false" hidden="false" max="51" min="51" style="0" width="8.57085020242915"/>
    <col collapsed="false" hidden="false" max="60" min="52" style="0" width="11.5708502024291"/>
    <col collapsed="false" hidden="false" max="1025" min="61" style="0" width="8.57085020242915"/>
  </cols>
  <sheetData>
    <row r="1" s="33" customFormat="true" ht="23.25" hidden="false" customHeight="false" outlineLevel="0" collapsed="false">
      <c r="A1" s="34"/>
      <c r="C1" s="77" t="s">
        <v>573</v>
      </c>
      <c r="D1" s="35"/>
      <c r="J1" s="37" t="s">
        <v>1157</v>
      </c>
      <c r="K1" s="55"/>
      <c r="L1" s="55"/>
      <c r="M1" s="55"/>
      <c r="N1" s="55"/>
      <c r="O1" s="55"/>
      <c r="P1" s="55"/>
      <c r="Q1" s="55"/>
      <c r="R1" s="55"/>
      <c r="S1" s="55"/>
      <c r="T1" s="55"/>
      <c r="U1" s="55"/>
      <c r="V1" s="55"/>
      <c r="W1" s="55"/>
      <c r="X1" s="55"/>
      <c r="Y1" s="55"/>
      <c r="Z1" s="55"/>
      <c r="AA1" s="55"/>
      <c r="AB1" s="55"/>
      <c r="AC1" s="55"/>
      <c r="AD1" s="55"/>
      <c r="AE1" s="55"/>
      <c r="AF1" s="55"/>
      <c r="AG1" s="55"/>
      <c r="AH1" s="55"/>
      <c r="AI1" s="37" t="s">
        <v>1158</v>
      </c>
      <c r="AJ1" s="55"/>
      <c r="AK1" s="55"/>
      <c r="AL1" s="56"/>
      <c r="AM1" s="37" t="s">
        <v>1159</v>
      </c>
      <c r="AN1" s="55"/>
      <c r="AO1" s="55"/>
      <c r="AP1" s="37" t="s">
        <v>1160</v>
      </c>
      <c r="AQ1" s="55"/>
      <c r="AR1" s="55"/>
      <c r="AS1" s="55"/>
      <c r="AT1" s="55"/>
      <c r="AU1" s="55"/>
      <c r="AV1" s="55"/>
      <c r="AW1" s="55"/>
      <c r="AX1" s="55"/>
      <c r="AY1" s="55"/>
      <c r="AZ1" s="55"/>
      <c r="BA1" s="55"/>
      <c r="BB1" s="55"/>
      <c r="BC1" s="55"/>
      <c r="BD1" s="55"/>
      <c r="BE1" s="55"/>
      <c r="BF1" s="55"/>
      <c r="BG1" s="55"/>
      <c r="BH1" s="55"/>
      <c r="BI1" s="55"/>
      <c r="BJ1" s="55"/>
      <c r="BK1" s="55"/>
      <c r="BL1" s="55"/>
      <c r="BM1" s="55"/>
      <c r="BN1" s="55"/>
    </row>
    <row r="2" s="35" customFormat="true" ht="15" hidden="false" customHeight="false" outlineLevel="0" collapsed="false">
      <c r="A2" s="34"/>
      <c r="B2" s="35" t="s">
        <v>808</v>
      </c>
      <c r="C2" s="35" t="s">
        <v>808</v>
      </c>
      <c r="E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c r="AV2" s="35" t="s">
        <v>808</v>
      </c>
      <c r="AW2" s="35" t="s">
        <v>808</v>
      </c>
      <c r="AX2" s="35" t="s">
        <v>808</v>
      </c>
      <c r="AY2" s="35" t="s">
        <v>808</v>
      </c>
      <c r="AZ2" s="35" t="s">
        <v>808</v>
      </c>
      <c r="BA2" s="35" t="s">
        <v>808</v>
      </c>
      <c r="BB2" s="35" t="s">
        <v>808</v>
      </c>
      <c r="BC2" s="35" t="s">
        <v>808</v>
      </c>
      <c r="BD2" s="35" t="s">
        <v>808</v>
      </c>
      <c r="BE2" s="35" t="s">
        <v>808</v>
      </c>
      <c r="BF2" s="35" t="s">
        <v>808</v>
      </c>
      <c r="BG2" s="35" t="s">
        <v>808</v>
      </c>
      <c r="BH2" s="35" t="s">
        <v>808</v>
      </c>
      <c r="BI2" s="35" t="s">
        <v>808</v>
      </c>
      <c r="BJ2" s="35" t="s">
        <v>808</v>
      </c>
      <c r="BK2" s="35" t="s">
        <v>808</v>
      </c>
      <c r="BL2" s="35" t="s">
        <v>808</v>
      </c>
      <c r="BM2" s="35" t="s">
        <v>808</v>
      </c>
      <c r="BN2" s="35" t="s">
        <v>808</v>
      </c>
    </row>
    <row r="3" s="4" customFormat="true" ht="15" hidden="false" customHeight="false" outlineLevel="0" collapsed="false">
      <c r="A3" s="38"/>
      <c r="C3" s="35" t="s">
        <v>808</v>
      </c>
      <c r="D3" s="35"/>
      <c r="E3" s="39"/>
      <c r="F3" s="39"/>
      <c r="G3" s="39"/>
      <c r="H3" s="40"/>
      <c r="I3" s="40"/>
      <c r="J3" s="57" t="s">
        <v>535</v>
      </c>
      <c r="K3" s="58"/>
      <c r="L3" s="58"/>
      <c r="M3" s="79"/>
      <c r="N3" s="58" t="s">
        <v>544</v>
      </c>
      <c r="O3" s="58"/>
      <c r="P3" s="58"/>
      <c r="Q3" s="58"/>
      <c r="R3" s="58"/>
      <c r="S3" s="58"/>
      <c r="T3" s="58"/>
      <c r="U3" s="58"/>
      <c r="V3" s="58"/>
      <c r="W3" s="58"/>
      <c r="X3" s="58"/>
      <c r="Y3" s="58"/>
      <c r="Z3" s="58"/>
      <c r="AA3" s="58"/>
      <c r="AB3" s="97" t="s">
        <v>1547</v>
      </c>
      <c r="AC3" s="98"/>
      <c r="AD3" s="98"/>
      <c r="AE3" s="98"/>
      <c r="AF3" s="99"/>
      <c r="AG3" s="97" t="s">
        <v>1548</v>
      </c>
      <c r="AH3" s="99"/>
      <c r="AI3" s="82" t="s">
        <v>1161</v>
      </c>
      <c r="AJ3" s="82"/>
      <c r="AK3" s="82"/>
      <c r="AL3" s="82"/>
      <c r="AM3" s="61" t="s">
        <v>1162</v>
      </c>
      <c r="AN3" s="90"/>
      <c r="AO3" s="96"/>
      <c r="AP3" s="62" t="s">
        <v>535</v>
      </c>
      <c r="AQ3" s="63"/>
      <c r="AR3" s="63"/>
      <c r="AS3" s="65"/>
      <c r="AT3" s="62" t="s">
        <v>544</v>
      </c>
      <c r="AU3" s="63"/>
      <c r="AV3" s="63"/>
      <c r="AW3" s="63"/>
      <c r="AX3" s="63"/>
      <c r="AY3" s="63"/>
      <c r="AZ3" s="63"/>
      <c r="BA3" s="63"/>
      <c r="BB3" s="63"/>
      <c r="BC3" s="63"/>
      <c r="BD3" s="63"/>
      <c r="BE3" s="63"/>
      <c r="BF3" s="63"/>
      <c r="BG3" s="63"/>
      <c r="BH3" s="100" t="s">
        <v>1549</v>
      </c>
      <c r="BI3" s="101"/>
      <c r="BJ3" s="101"/>
      <c r="BK3" s="101"/>
      <c r="BL3" s="102"/>
      <c r="BM3" s="100" t="s">
        <v>605</v>
      </c>
      <c r="BN3" s="102"/>
    </row>
    <row r="4" s="33" customFormat="true" ht="135.75" hidden="false" customHeight="true" outlineLevel="0" collapsed="false">
      <c r="A4" s="38"/>
      <c r="C4" s="44" t="s">
        <v>910</v>
      </c>
      <c r="D4" s="44" t="s">
        <v>1164</v>
      </c>
      <c r="E4" s="44" t="s">
        <v>911</v>
      </c>
      <c r="F4" s="44" t="s">
        <v>912</v>
      </c>
      <c r="G4" s="44" t="s">
        <v>1165</v>
      </c>
      <c r="H4" s="44" t="s">
        <v>913</v>
      </c>
      <c r="I4" s="44" t="s">
        <v>1166</v>
      </c>
      <c r="J4" s="66" t="s">
        <v>536</v>
      </c>
      <c r="K4" s="67" t="s">
        <v>538</v>
      </c>
      <c r="L4" s="67" t="s">
        <v>540</v>
      </c>
      <c r="M4" s="85" t="s">
        <v>542</v>
      </c>
      <c r="N4" s="67" t="s">
        <v>545</v>
      </c>
      <c r="O4" s="67" t="s">
        <v>547</v>
      </c>
      <c r="P4" s="67" t="s">
        <v>549</v>
      </c>
      <c r="Q4" s="67" t="s">
        <v>551</v>
      </c>
      <c r="R4" s="67" t="s">
        <v>553</v>
      </c>
      <c r="S4" s="67" t="s">
        <v>555</v>
      </c>
      <c r="T4" s="67" t="s">
        <v>557</v>
      </c>
      <c r="U4" s="67" t="s">
        <v>559</v>
      </c>
      <c r="V4" s="67" t="s">
        <v>561</v>
      </c>
      <c r="W4" s="67" t="s">
        <v>563</v>
      </c>
      <c r="X4" s="67" t="s">
        <v>565</v>
      </c>
      <c r="Y4" s="67" t="s">
        <v>567</v>
      </c>
      <c r="Z4" s="67" t="s">
        <v>569</v>
      </c>
      <c r="AA4" s="67" t="s">
        <v>571</v>
      </c>
      <c r="AB4" s="66" t="s">
        <v>593</v>
      </c>
      <c r="AC4" s="67" t="s">
        <v>595</v>
      </c>
      <c r="AD4" s="67" t="s">
        <v>598</v>
      </c>
      <c r="AE4" s="67" t="s">
        <v>601</v>
      </c>
      <c r="AF4" s="85" t="s">
        <v>603</v>
      </c>
      <c r="AG4" s="66" t="s">
        <v>607</v>
      </c>
      <c r="AH4" s="85" t="s">
        <v>610</v>
      </c>
      <c r="AI4" s="86" t="s">
        <v>535</v>
      </c>
      <c r="AJ4" s="86" t="s">
        <v>544</v>
      </c>
      <c r="AK4" s="86" t="s">
        <v>1550</v>
      </c>
      <c r="AL4" s="86" t="s">
        <v>1551</v>
      </c>
      <c r="AM4" s="45" t="s">
        <v>573</v>
      </c>
      <c r="AN4" s="46" t="s">
        <v>814</v>
      </c>
      <c r="AO4" s="46" t="s">
        <v>1552</v>
      </c>
      <c r="AP4" s="70" t="s">
        <v>536</v>
      </c>
      <c r="AQ4" s="71" t="s">
        <v>538</v>
      </c>
      <c r="AR4" s="71" t="s">
        <v>540</v>
      </c>
      <c r="AS4" s="73" t="s">
        <v>542</v>
      </c>
      <c r="AT4" s="71" t="s">
        <v>545</v>
      </c>
      <c r="AU4" s="71" t="s">
        <v>547</v>
      </c>
      <c r="AV4" s="71" t="s">
        <v>549</v>
      </c>
      <c r="AW4" s="71" t="s">
        <v>551</v>
      </c>
      <c r="AX4" s="71" t="s">
        <v>553</v>
      </c>
      <c r="AY4" s="71" t="s">
        <v>555</v>
      </c>
      <c r="AZ4" s="71" t="s">
        <v>557</v>
      </c>
      <c r="BA4" s="71" t="s">
        <v>559</v>
      </c>
      <c r="BB4" s="71" t="s">
        <v>561</v>
      </c>
      <c r="BC4" s="71" t="s">
        <v>563</v>
      </c>
      <c r="BD4" s="71" t="s">
        <v>565</v>
      </c>
      <c r="BE4" s="71" t="s">
        <v>567</v>
      </c>
      <c r="BF4" s="71" t="s">
        <v>569</v>
      </c>
      <c r="BG4" s="71" t="s">
        <v>571</v>
      </c>
      <c r="BH4" s="70" t="s">
        <v>593</v>
      </c>
      <c r="BI4" s="71" t="s">
        <v>595</v>
      </c>
      <c r="BJ4" s="71" t="s">
        <v>598</v>
      </c>
      <c r="BK4" s="71" t="s">
        <v>601</v>
      </c>
      <c r="BL4" s="73" t="s">
        <v>603</v>
      </c>
      <c r="BM4" s="70" t="s">
        <v>607</v>
      </c>
      <c r="BN4" s="73" t="s">
        <v>610</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49" t="n">
        <f aca="false">SUBTOTAL(109,tx_new_T[D_tx_new_fy19])</f>
        <v>0</v>
      </c>
      <c r="AN5" s="49" t="n">
        <f aca="false">SUBTOTAL(109,tx_new_T[D_tx_new_u15_fy19])</f>
        <v>0</v>
      </c>
      <c r="AO5" s="49" t="n">
        <f aca="false">SUBTOTAL(109,tx_new_T[D_tx_new_o15_fy19])</f>
        <v>0</v>
      </c>
      <c r="AP5" s="49" t="n">
        <f aca="false">SUBTOTAL(109,tx_new_T[tx_new_u01_unk_pos])</f>
        <v>0</v>
      </c>
      <c r="AQ5" s="49" t="n">
        <f aca="false">SUBTOTAL(109,tx_new_T[tx_new_0109_unk_pos])</f>
        <v>0</v>
      </c>
      <c r="AR5" s="49" t="n">
        <f aca="false">SUBTOTAL(109,tx_new_T[tx_new_1014_f_pos])</f>
        <v>0</v>
      </c>
      <c r="AS5" s="49" t="n">
        <f aca="false">SUBTOTAL(109,tx_new_T[tx_new_1014_m_pos])</f>
        <v>0</v>
      </c>
      <c r="AT5" s="49" t="n">
        <f aca="false">SUBTOTAL(109,tx_new_T[tx_new_1519_f_pos])</f>
        <v>0</v>
      </c>
      <c r="AU5" s="49" t="n">
        <f aca="false">SUBTOTAL(109,tx_new_T[tx_new_1519_m_pos])</f>
        <v>0</v>
      </c>
      <c r="AV5" s="49" t="n">
        <f aca="false">SUBTOTAL(109,tx_new_T[tx_new_2024_f_pos])</f>
        <v>0</v>
      </c>
      <c r="AW5" s="49" t="n">
        <f aca="false">SUBTOTAL(109,tx_new_T[tx_new_2024_m_pos])</f>
        <v>0</v>
      </c>
      <c r="AX5" s="49" t="n">
        <f aca="false">SUBTOTAL(109,tx_new_T[tx_new_2529_f_pos])</f>
        <v>0</v>
      </c>
      <c r="AY5" s="49" t="n">
        <f aca="false">SUBTOTAL(109,tx_new_T[tx_new_2529_m_pos])</f>
        <v>0</v>
      </c>
      <c r="AZ5" s="49" t="n">
        <f aca="false">SUBTOTAL(109,tx_new_T[tx_new_3034_f_pos])</f>
        <v>0</v>
      </c>
      <c r="BA5" s="49" t="n">
        <f aca="false">SUBTOTAL(109,tx_new_T[tx_new_3034_m_pos])</f>
        <v>0</v>
      </c>
      <c r="BB5" s="49" t="n">
        <f aca="false">SUBTOTAL(109,tx_new_T[tx_new_3539_f_pos])</f>
        <v>0</v>
      </c>
      <c r="BC5" s="49" t="n">
        <f aca="false">SUBTOTAL(109,tx_new_T[tx_new_3539_m_pos])</f>
        <v>0</v>
      </c>
      <c r="BD5" s="49" t="n">
        <f aca="false">SUBTOTAL(109,tx_new_T[tx_new_4049_f_pos])</f>
        <v>0</v>
      </c>
      <c r="BE5" s="49" t="n">
        <f aca="false">SUBTOTAL(109,tx_new_T[tx_new_4049_m_pos])</f>
        <v>0</v>
      </c>
      <c r="BF5" s="49" t="n">
        <f aca="false">SUBTOTAL(109,tx_new_T[tx_new_o50_f_pos])</f>
        <v>0</v>
      </c>
      <c r="BG5" s="49" t="n">
        <f aca="false">SUBTOTAL(109,tx_new_T[tx_new_o50_m_pos])</f>
        <v>0</v>
      </c>
      <c r="BH5" s="49" t="n">
        <f aca="false">SUBTOTAL(109,tx_new_T[tx_new_fsw_pos])</f>
        <v>0</v>
      </c>
      <c r="BI5" s="49" t="n">
        <f aca="false">SUBTOTAL(109,tx_new_T[tx_new_msm_pos])</f>
        <v>0</v>
      </c>
      <c r="BJ5" s="49" t="n">
        <f aca="false">SUBTOTAL(109,tx_new_T[tx_new_prison_pos])</f>
        <v>0</v>
      </c>
      <c r="BK5" s="49" t="n">
        <f aca="false">SUBTOTAL(109,tx_new_T[tx_new_pwid_pos])</f>
        <v>0</v>
      </c>
      <c r="BL5" s="49" t="n">
        <f aca="false">SUBTOTAL(109,tx_new_T[tx_new_tg_pos])</f>
        <v>0</v>
      </c>
      <c r="BM5" s="49" t="n">
        <f aca="false">SUBTOTAL(109,tx_new_T[tx_new_bf_pos])</f>
        <v>0</v>
      </c>
      <c r="BN5" s="49" t="n">
        <f aca="false">SUBTOTAL(109,tx_new_T[tx_new_preg_pos])</f>
        <v>0</v>
      </c>
    </row>
    <row r="6" customFormat="false" ht="15" hidden="false" customHeight="false" outlineLevel="0" collapsed="false">
      <c r="A6" s="48"/>
      <c r="C6" s="50" t="s">
        <v>1168</v>
      </c>
      <c r="D6" s="50" t="s">
        <v>1169</v>
      </c>
      <c r="E6" s="50" t="s">
        <v>1170</v>
      </c>
      <c r="F6" s="50" t="s">
        <v>1171</v>
      </c>
      <c r="G6" s="50" t="s">
        <v>1172</v>
      </c>
      <c r="H6" s="50" t="s">
        <v>1173</v>
      </c>
      <c r="I6" s="50" t="s">
        <v>1174</v>
      </c>
      <c r="J6" s="50" t="s">
        <v>574</v>
      </c>
      <c r="K6" s="50" t="s">
        <v>576</v>
      </c>
      <c r="L6" s="50" t="s">
        <v>575</v>
      </c>
      <c r="M6" s="50" t="s">
        <v>577</v>
      </c>
      <c r="N6" s="50" t="s">
        <v>578</v>
      </c>
      <c r="O6" s="50" t="s">
        <v>579</v>
      </c>
      <c r="P6" s="50" t="s">
        <v>580</v>
      </c>
      <c r="Q6" s="50" t="s">
        <v>581</v>
      </c>
      <c r="R6" s="50" t="s">
        <v>582</v>
      </c>
      <c r="S6" s="50" t="s">
        <v>583</v>
      </c>
      <c r="T6" s="50" t="s">
        <v>584</v>
      </c>
      <c r="U6" s="50" t="s">
        <v>585</v>
      </c>
      <c r="V6" s="50" t="s">
        <v>586</v>
      </c>
      <c r="W6" s="50" t="s">
        <v>587</v>
      </c>
      <c r="X6" s="50" t="s">
        <v>588</v>
      </c>
      <c r="Y6" s="50" t="s">
        <v>589</v>
      </c>
      <c r="Z6" s="50" t="s">
        <v>590</v>
      </c>
      <c r="AA6" s="50" t="s">
        <v>591</v>
      </c>
      <c r="AB6" s="50" t="s">
        <v>594</v>
      </c>
      <c r="AC6" s="50" t="s">
        <v>596</v>
      </c>
      <c r="AD6" s="50" t="s">
        <v>599</v>
      </c>
      <c r="AE6" s="50" t="s">
        <v>602</v>
      </c>
      <c r="AF6" s="50" t="s">
        <v>604</v>
      </c>
      <c r="AG6" s="50" t="s">
        <v>608</v>
      </c>
      <c r="AH6" s="50" t="s">
        <v>611</v>
      </c>
      <c r="AI6" s="50" t="s">
        <v>1175</v>
      </c>
      <c r="AJ6" s="50" t="s">
        <v>1220</v>
      </c>
      <c r="AK6" s="50" t="s">
        <v>1221</v>
      </c>
      <c r="AL6" s="50" t="s">
        <v>1333</v>
      </c>
      <c r="AM6" s="50" t="s">
        <v>1031</v>
      </c>
      <c r="AN6" s="50" t="s">
        <v>1032</v>
      </c>
      <c r="AO6" s="50" t="s">
        <v>1553</v>
      </c>
      <c r="AP6" s="50" t="s">
        <v>1554</v>
      </c>
      <c r="AQ6" s="50" t="s">
        <v>1555</v>
      </c>
      <c r="AR6" s="50" t="s">
        <v>1556</v>
      </c>
      <c r="AS6" s="50" t="s">
        <v>1557</v>
      </c>
      <c r="AT6" s="50" t="s">
        <v>1558</v>
      </c>
      <c r="AU6" s="50" t="s">
        <v>1559</v>
      </c>
      <c r="AV6" s="50" t="s">
        <v>1560</v>
      </c>
      <c r="AW6" s="50" t="s">
        <v>1561</v>
      </c>
      <c r="AX6" s="50" t="s">
        <v>1562</v>
      </c>
      <c r="AY6" s="50" t="s">
        <v>1563</v>
      </c>
      <c r="AZ6" s="50" t="s">
        <v>1564</v>
      </c>
      <c r="BA6" s="50" t="s">
        <v>1565</v>
      </c>
      <c r="BB6" s="50" t="s">
        <v>1566</v>
      </c>
      <c r="BC6" s="50" t="s">
        <v>1567</v>
      </c>
      <c r="BD6" s="50" t="s">
        <v>1568</v>
      </c>
      <c r="BE6" s="50" t="s">
        <v>1569</v>
      </c>
      <c r="BF6" s="50" t="s">
        <v>1570</v>
      </c>
      <c r="BG6" s="50" t="s">
        <v>1571</v>
      </c>
      <c r="BH6" s="50" t="s">
        <v>1572</v>
      </c>
      <c r="BI6" s="50" t="s">
        <v>1573</v>
      </c>
      <c r="BJ6" s="50" t="s">
        <v>1574</v>
      </c>
      <c r="BK6" s="50" t="s">
        <v>1575</v>
      </c>
      <c r="BL6" s="50" t="s">
        <v>1576</v>
      </c>
      <c r="BM6" s="50" t="s">
        <v>1577</v>
      </c>
      <c r="BN6" s="50" t="s">
        <v>1578</v>
      </c>
    </row>
    <row r="7" customFormat="false" ht="15" hidden="false" customHeight="false" outlineLevel="0" collapsed="false">
      <c r="A7" s="51"/>
      <c r="J7" s="53"/>
      <c r="K7" s="53"/>
      <c r="L7" s="53"/>
      <c r="M7" s="53"/>
      <c r="N7" s="53"/>
      <c r="O7" s="53"/>
      <c r="P7" s="53"/>
      <c r="Q7" s="53"/>
      <c r="R7" s="53"/>
      <c r="S7" s="53"/>
      <c r="T7" s="53"/>
      <c r="U7" s="53"/>
      <c r="V7" s="53"/>
      <c r="W7" s="53"/>
      <c r="X7" s="53"/>
      <c r="Y7" s="53"/>
      <c r="Z7" s="53"/>
      <c r="AA7" s="53"/>
      <c r="AB7" s="53"/>
      <c r="AC7" s="53"/>
      <c r="AD7" s="53"/>
      <c r="AE7" s="53"/>
      <c r="AF7" s="53"/>
      <c r="AG7" s="53"/>
      <c r="AH7" s="53"/>
      <c r="AI7" s="75" t="n">
        <f aca="false">SUM(tx_new_T[[#This Row],[A_tx_new_u01_unk_pos]:[A_tx_new_1014_m_pos]])</f>
        <v>0</v>
      </c>
      <c r="AJ7" s="75" t="n">
        <f aca="false">SUM(tx_new_T[[#This Row],[A_tx_new_1519_f_pos]:[A_tx_new_o50_m_pos]])</f>
        <v>0</v>
      </c>
      <c r="AK7" s="87" t="n">
        <f aca="false">SUM(tx_new_T[[#This Row],[A_tx_new_fsw_pos]:[A_tx_new_tg_pos]])</f>
        <v>0</v>
      </c>
      <c r="AL7" s="87" t="n">
        <f aca="false">SUM(tx_new_T[[#This Row],[A_tx_new_bf_pos]:[A_tx_new_preg_pos]])</f>
        <v>0</v>
      </c>
      <c r="AM7" s="49"/>
      <c r="AN7" s="49"/>
      <c r="AO7" s="49"/>
      <c r="AP7" s="49" t="n">
        <f aca="false">tx_new_T[[D_tx_new_u15_fy19]:[D_tx_new_u15_fy19]]*tx_new_T[A_tx_new_u01_unk_pos]</f>
        <v>0</v>
      </c>
      <c r="AQ7" s="49" t="n">
        <f aca="false">tx_new_T[[D_tx_new_u15_fy19]:[D_tx_new_u15_fy19]]*tx_new_T[A_tx_new_0109_unk_pos]</f>
        <v>0</v>
      </c>
      <c r="AR7" s="49" t="n">
        <f aca="false">tx_new_T[[D_tx_new_u15_fy19]:[D_tx_new_u15_fy19]]*tx_new_T[A_tx_new_1014_f_pos]</f>
        <v>0</v>
      </c>
      <c r="AS7" s="49" t="n">
        <f aca="false">tx_new_T[[D_tx_new_u15_fy19]:[D_tx_new_u15_fy19]]*tx_new_T[A_tx_new_1014_m_pos]</f>
        <v>0</v>
      </c>
      <c r="AT7" s="49" t="n">
        <f aca="false">tx_new_T[[D_tx_new_o15_fy19]:[D_tx_new_o15_fy19]]*tx_new_T[A_tx_new_1519_f_pos]</f>
        <v>0</v>
      </c>
      <c r="AU7" s="49" t="n">
        <f aca="false">tx_new_T[[D_tx_new_o15_fy19]:[D_tx_new_o15_fy19]]*tx_new_T[A_tx_new_1519_m_pos]</f>
        <v>0</v>
      </c>
      <c r="AV7" s="49" t="n">
        <f aca="false">tx_new_T[[D_tx_new_o15_fy19]:[D_tx_new_o15_fy19]]*tx_new_T[A_tx_new_2024_f_pos]</f>
        <v>0</v>
      </c>
      <c r="AW7" s="49" t="n">
        <f aca="false">tx_new_T[[D_tx_new_o15_fy19]:[D_tx_new_o15_fy19]]*tx_new_T[A_tx_new_2024_m_pos]</f>
        <v>0</v>
      </c>
      <c r="AX7" s="49" t="n">
        <f aca="false">tx_new_T[[D_tx_new_o15_fy19]:[D_tx_new_o15_fy19]]*tx_new_T[A_tx_new_2529_f_pos]</f>
        <v>0</v>
      </c>
      <c r="AY7" s="49" t="n">
        <f aca="false">tx_new_T[[D_tx_new_o15_fy19]:[D_tx_new_o15_fy19]]*tx_new_T[A_tx_new_2529_m_pos]</f>
        <v>0</v>
      </c>
      <c r="AZ7" s="49" t="n">
        <f aca="false">tx_new_T[[D_tx_new_o15_fy19]:[D_tx_new_o15_fy19]]*tx_new_T[A_tx_new_3034_f_pos]</f>
        <v>0</v>
      </c>
      <c r="BA7" s="49" t="n">
        <f aca="false">tx_new_T[[D_tx_new_o15_fy19]:[D_tx_new_o15_fy19]]*tx_new_T[A_tx_new_3034_m_pos]</f>
        <v>0</v>
      </c>
      <c r="BB7" s="49" t="n">
        <f aca="false">tx_new_T[[D_tx_new_o15_fy19]:[D_tx_new_o15_fy19]]*tx_new_T[A_tx_new_3539_f_pos]</f>
        <v>0</v>
      </c>
      <c r="BC7" s="49" t="n">
        <f aca="false">tx_new_T[[D_tx_new_o15_fy19]:[D_tx_new_o15_fy19]]*tx_new_T[A_tx_new_3539_m_pos]</f>
        <v>0</v>
      </c>
      <c r="BD7" s="49" t="n">
        <f aca="false">tx_new_T[[D_tx_new_o15_fy19]:[D_tx_new_o15_fy19]]*tx_new_T[A_tx_new_4049_f_pos]</f>
        <v>0</v>
      </c>
      <c r="BE7" s="49" t="n">
        <f aca="false">tx_new_T[[D_tx_new_o15_fy19]:[D_tx_new_o15_fy19]]*tx_new_T[A_tx_new_4049_m_pos]</f>
        <v>0</v>
      </c>
      <c r="BF7" s="49" t="n">
        <f aca="false">tx_new_T[[D_tx_new_o15_fy19]:[D_tx_new_o15_fy19]]*tx_new_T[A_tx_new_o50_f_pos]</f>
        <v>0</v>
      </c>
      <c r="BG7" s="49" t="n">
        <f aca="false">tx_new_T[[D_tx_new_o15_fy19]:[D_tx_new_o15_fy19]]*tx_new_T[A_tx_new_o50_m_pos]</f>
        <v>0</v>
      </c>
      <c r="BH7" s="49" t="n">
        <f aca="false">tx_new_T[[D_tx_new_o15_fy19]:[D_tx_new_o15_fy19]]*tx_new_T[A_tx_new_fsw_pos]</f>
        <v>0</v>
      </c>
      <c r="BI7" s="49" t="n">
        <f aca="false">tx_new_T[[D_tx_new_o15_fy19]:[D_tx_new_o15_fy19]]*tx_new_T[A_tx_new_msm_pos]</f>
        <v>0</v>
      </c>
      <c r="BJ7" s="49" t="n">
        <f aca="false">tx_new_T[[D_tx_new_o15_fy19]:[D_tx_new_o15_fy19]]*tx_new_T[A_tx_new_prison_pos]</f>
        <v>0</v>
      </c>
      <c r="BK7" s="49" t="n">
        <f aca="false">tx_new_T[[D_tx_new_o15_fy19]:[D_tx_new_o15_fy19]]*tx_new_T[A_tx_new_pwid_pos]</f>
        <v>0</v>
      </c>
      <c r="BL7" s="49" t="n">
        <f aca="false">tx_new_T[[D_tx_new_o15_fy19]:[D_tx_new_o15_fy19]]*tx_new_T[A_tx_new_tg_pos]</f>
        <v>0</v>
      </c>
      <c r="BM7" s="49" t="n">
        <f aca="false">tx_new_T[[D_tx_new_o15_fy19]:[D_tx_new_o15_fy19]]*tx_new_T[A_tx_new_bf_pos]</f>
        <v>0</v>
      </c>
      <c r="BN7" s="49" t="n">
        <f aca="false">tx_new_T[[D_tx_new_o15_fy19]:[D_tx_new_o15_fy19]]*tx_new_T[A_tx_new_preg_pos]</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W8" s="8"/>
      <c r="AX8" s="8"/>
      <c r="AZ8" s="8"/>
      <c r="BA8" s="8"/>
      <c r="BB8" s="8"/>
      <c r="BC8" s="8"/>
      <c r="BD8" s="8"/>
      <c r="BE8" s="8"/>
      <c r="BF8" s="8"/>
      <c r="BG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W9" s="8"/>
      <c r="AX9" s="8"/>
      <c r="AZ9" s="8"/>
      <c r="BA9" s="8"/>
      <c r="BB9" s="8"/>
      <c r="BC9" s="8"/>
      <c r="BD9" s="8"/>
      <c r="BE9" s="8"/>
      <c r="BF9" s="8"/>
      <c r="BG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W10" s="8"/>
      <c r="AX10" s="8"/>
      <c r="AZ10" s="8"/>
      <c r="BA10" s="8"/>
      <c r="BB10" s="8"/>
      <c r="BC10" s="8"/>
      <c r="BD10" s="8"/>
      <c r="BE10" s="8"/>
      <c r="BF10" s="8"/>
      <c r="BG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row>
  </sheetData>
  <mergeCells count="1">
    <mergeCell ref="A1:A2"/>
  </mergeCells>
  <conditionalFormatting sqref="J7:AL7">
    <cfRule type="expression" priority="2" aboveAverage="0" equalAverage="0" bottom="0" percent="0" rank="0" text="" dxfId="0">
      <formula>$AM7=0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P11"/>
  <sheetViews>
    <sheetView windowProtection="true" showFormulas="false" showGridLines="false" showRowColHeaders="true" showZeros="true" rightToLeft="false" tabSelected="false" showOutlineSymbols="true" defaultGridColor="true" view="normal" topLeftCell="F1" colorId="64" zoomScale="85" zoomScaleNormal="85" zoomScalePageLayoutView="100" workbookViewId="0">
      <pane xSplit="0" ySplit="4" topLeftCell="A5" activePane="bottomLeft" state="frozen"/>
      <selection pane="topLeft" activeCell="F1" activeCellId="0" sqref="F1"/>
      <selection pane="bottomLeft" activeCell="J3" activeCellId="0" sqref="J3"/>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26" min="10" style="33" width="11.5708502024291"/>
    <col collapsed="false" hidden="false" max="35" min="27" style="0" width="11.5708502024291"/>
    <col collapsed="false" hidden="false" max="36" min="36" style="0" width="8.57085020242915"/>
    <col collapsed="false" hidden="false" max="39" min="37" style="0" width="11.5708502024291"/>
    <col collapsed="false" hidden="false" max="1025" min="40" style="0" width="8.57085020242915"/>
  </cols>
  <sheetData>
    <row r="1" s="33" customFormat="true" ht="23.25" hidden="false" customHeight="false" outlineLevel="0" collapsed="false">
      <c r="A1" s="34"/>
      <c r="C1" s="77" t="s">
        <v>612</v>
      </c>
      <c r="D1" s="35"/>
      <c r="J1" s="37" t="s">
        <v>1157</v>
      </c>
      <c r="K1" s="55"/>
      <c r="L1" s="55"/>
      <c r="M1" s="55"/>
      <c r="N1" s="55"/>
      <c r="O1" s="55"/>
      <c r="P1" s="55"/>
      <c r="Q1" s="55"/>
      <c r="R1" s="55"/>
      <c r="S1" s="55"/>
      <c r="T1" s="55"/>
      <c r="U1" s="55"/>
      <c r="V1" s="55"/>
      <c r="W1" s="55"/>
      <c r="X1" s="55"/>
      <c r="Y1" s="37" t="s">
        <v>1158</v>
      </c>
      <c r="Z1" s="56"/>
      <c r="AA1" s="37" t="s">
        <v>1159</v>
      </c>
      <c r="AB1" s="37" t="s">
        <v>1160</v>
      </c>
      <c r="AC1" s="55"/>
      <c r="AD1" s="55"/>
      <c r="AE1" s="55"/>
      <c r="AF1" s="55"/>
      <c r="AG1" s="55"/>
      <c r="AH1" s="55"/>
      <c r="AI1" s="55"/>
      <c r="AJ1" s="55"/>
      <c r="AK1" s="55"/>
      <c r="AL1" s="55"/>
      <c r="AM1" s="55"/>
      <c r="AN1" s="55"/>
      <c r="AO1" s="55"/>
      <c r="AP1" s="55"/>
    </row>
    <row r="2" s="35" customFormat="true" ht="15" hidden="false" customHeight="false" outlineLevel="0" collapsed="false">
      <c r="A2" s="34"/>
      <c r="B2" s="35" t="s">
        <v>808</v>
      </c>
      <c r="C2" s="35" t="s">
        <v>808</v>
      </c>
      <c r="E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C2" s="35" t="s">
        <v>808</v>
      </c>
      <c r="AD2" s="35" t="s">
        <v>808</v>
      </c>
      <c r="AE2" s="35" t="s">
        <v>808</v>
      </c>
      <c r="AF2" s="35" t="s">
        <v>808</v>
      </c>
      <c r="AG2" s="35" t="s">
        <v>808</v>
      </c>
      <c r="AH2" s="35" t="s">
        <v>808</v>
      </c>
      <c r="AI2" s="35" t="s">
        <v>808</v>
      </c>
      <c r="AJ2" s="35" t="s">
        <v>808</v>
      </c>
      <c r="AK2" s="35" t="s">
        <v>808</v>
      </c>
      <c r="AL2" s="35" t="s">
        <v>808</v>
      </c>
      <c r="AM2" s="35" t="s">
        <v>808</v>
      </c>
    </row>
    <row r="3" s="4" customFormat="true" ht="15" hidden="false" customHeight="false" outlineLevel="0" collapsed="false">
      <c r="A3" s="38"/>
      <c r="C3" s="35" t="s">
        <v>808</v>
      </c>
      <c r="D3" s="35"/>
      <c r="E3" s="39"/>
      <c r="F3" s="39"/>
      <c r="G3" s="39"/>
      <c r="H3" s="40"/>
      <c r="I3" s="40"/>
      <c r="J3" s="57" t="s">
        <v>1579</v>
      </c>
      <c r="K3" s="58"/>
      <c r="L3" s="58"/>
      <c r="M3" s="58"/>
      <c r="N3" s="58"/>
      <c r="O3" s="58"/>
      <c r="P3" s="58"/>
      <c r="Q3" s="58"/>
      <c r="R3" s="58"/>
      <c r="S3" s="58"/>
      <c r="T3" s="58"/>
      <c r="U3" s="58"/>
      <c r="V3" s="97" t="s">
        <v>1580</v>
      </c>
      <c r="W3" s="98"/>
      <c r="X3" s="99"/>
      <c r="Y3" s="82" t="s">
        <v>1161</v>
      </c>
      <c r="Z3" s="82"/>
      <c r="AA3" s="61" t="s">
        <v>1162</v>
      </c>
      <c r="AB3" s="62" t="s">
        <v>1579</v>
      </c>
      <c r="AC3" s="63"/>
      <c r="AD3" s="63"/>
      <c r="AE3" s="63"/>
      <c r="AF3" s="63"/>
      <c r="AG3" s="63"/>
      <c r="AH3" s="63"/>
      <c r="AI3" s="63"/>
      <c r="AJ3" s="63"/>
      <c r="AK3" s="63"/>
      <c r="AL3" s="63"/>
      <c r="AM3" s="63"/>
      <c r="AN3" s="100" t="s">
        <v>1581</v>
      </c>
      <c r="AO3" s="101"/>
      <c r="AP3" s="102"/>
    </row>
    <row r="4" s="33" customFormat="true" ht="135.75" hidden="false" customHeight="true" outlineLevel="0" collapsed="false">
      <c r="A4" s="38"/>
      <c r="C4" s="44" t="s">
        <v>910</v>
      </c>
      <c r="D4" s="44" t="s">
        <v>1164</v>
      </c>
      <c r="E4" s="44" t="s">
        <v>911</v>
      </c>
      <c r="F4" s="44" t="s">
        <v>912</v>
      </c>
      <c r="G4" s="44" t="s">
        <v>1165</v>
      </c>
      <c r="H4" s="44" t="s">
        <v>913</v>
      </c>
      <c r="I4" s="44" t="s">
        <v>1166</v>
      </c>
      <c r="J4" s="66" t="s">
        <v>616</v>
      </c>
      <c r="K4" s="67" t="s">
        <v>619</v>
      </c>
      <c r="L4" s="67" t="s">
        <v>622</v>
      </c>
      <c r="M4" s="67" t="s">
        <v>624</v>
      </c>
      <c r="N4" s="67" t="s">
        <v>626</v>
      </c>
      <c r="O4" s="67" t="s">
        <v>628</v>
      </c>
      <c r="P4" s="67" t="s">
        <v>630</v>
      </c>
      <c r="Q4" s="67" t="s">
        <v>632</v>
      </c>
      <c r="R4" s="67" t="s">
        <v>634</v>
      </c>
      <c r="S4" s="67" t="s">
        <v>636</v>
      </c>
      <c r="T4" s="67" t="s">
        <v>638</v>
      </c>
      <c r="U4" s="67" t="s">
        <v>640</v>
      </c>
      <c r="V4" s="66" t="s">
        <v>644</v>
      </c>
      <c r="W4" s="67" t="s">
        <v>646</v>
      </c>
      <c r="X4" s="85" t="s">
        <v>648</v>
      </c>
      <c r="Y4" s="86" t="s">
        <v>1579</v>
      </c>
      <c r="Z4" s="86" t="s">
        <v>1580</v>
      </c>
      <c r="AA4" s="45" t="s">
        <v>816</v>
      </c>
      <c r="AB4" s="70" t="s">
        <v>616</v>
      </c>
      <c r="AC4" s="71" t="s">
        <v>619</v>
      </c>
      <c r="AD4" s="71" t="s">
        <v>622</v>
      </c>
      <c r="AE4" s="71" t="s">
        <v>624</v>
      </c>
      <c r="AF4" s="71" t="s">
        <v>626</v>
      </c>
      <c r="AG4" s="71" t="s">
        <v>628</v>
      </c>
      <c r="AH4" s="71" t="s">
        <v>630</v>
      </c>
      <c r="AI4" s="71" t="s">
        <v>632</v>
      </c>
      <c r="AJ4" s="71" t="s">
        <v>634</v>
      </c>
      <c r="AK4" s="71" t="s">
        <v>636</v>
      </c>
      <c r="AL4" s="71" t="s">
        <v>638</v>
      </c>
      <c r="AM4" s="71" t="s">
        <v>640</v>
      </c>
      <c r="AN4" s="70" t="s">
        <v>644</v>
      </c>
      <c r="AO4" s="71" t="s">
        <v>646</v>
      </c>
      <c r="AP4" s="73" t="s">
        <v>648</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74" t="n">
        <f aca="false">SUBTOTAL(109,tx_pvls_T[D_tx_pvls_D_fy19])</f>
        <v>0</v>
      </c>
      <c r="AB5" s="74" t="n">
        <f aca="false">SUBTOTAL(109,tx_pvls_T[tx_pvls_D_u15_f_rtn])</f>
        <v>0</v>
      </c>
      <c r="AC5" s="74" t="n">
        <f aca="false">SUBTOTAL(109,tx_pvls_T[tx_pvls_D_u15_f_targeted])</f>
        <v>0</v>
      </c>
      <c r="AD5" s="74" t="n">
        <f aca="false">SUBTOTAL(109,tx_pvls_T[tx_pvls_D_u15_f_undoctest])</f>
        <v>0</v>
      </c>
      <c r="AE5" s="74" t="n">
        <f aca="false">SUBTOTAL(109,tx_pvls_T[tx_pvls_D_u15_m_rtn])</f>
        <v>0</v>
      </c>
      <c r="AF5" s="74" t="n">
        <f aca="false">SUBTOTAL(109,tx_pvls_T[tx_pvls_D_u15_m_targeted])</f>
        <v>0</v>
      </c>
      <c r="AG5" s="74" t="n">
        <f aca="false">SUBTOTAL(109,tx_pvls_T[tx_pvls_D_u15_m_undoctest])</f>
        <v>0</v>
      </c>
      <c r="AH5" s="74" t="n">
        <f aca="false">SUBTOTAL(109,tx_pvls_T[tx_pvls_D_o15_f_rtn])</f>
        <v>0</v>
      </c>
      <c r="AI5" s="74" t="n">
        <f aca="false">SUBTOTAL(109,tx_pvls_T[tx_pvls_D_o15_f_targeted])</f>
        <v>0</v>
      </c>
      <c r="AJ5" s="74" t="n">
        <f aca="false">SUBTOTAL(109,tx_pvls_T[tx_pvls_D_o15_f_undoctest])</f>
        <v>0</v>
      </c>
      <c r="AK5" s="74" t="n">
        <f aca="false">SUBTOTAL(109,tx_pvls_T[tx_pvls_D_o15_m_rtn])</f>
        <v>0</v>
      </c>
      <c r="AL5" s="74" t="n">
        <f aca="false">SUBTOTAL(109,tx_pvls_T[tx_pvls_D_o15_m_targeted])</f>
        <v>0</v>
      </c>
      <c r="AM5" s="74" t="n">
        <f aca="false">SUBTOTAL(109,tx_pvls_T[tx_pvls_D_o15_m_undoctest])</f>
        <v>0</v>
      </c>
      <c r="AN5" s="74" t="n">
        <f aca="false">SUBTOTAL(109,tx_pvls_T[tx_pvls_D_rtn_pos])</f>
        <v>0</v>
      </c>
      <c r="AO5" s="74" t="n">
        <f aca="false">SUBTOTAL(109,tx_pvls_T[tx_pvls_D_targeted_pos])</f>
        <v>0</v>
      </c>
      <c r="AP5" s="74" t="n">
        <f aca="false">SUBTOTAL(109,tx_pvls_T[tx_pvls_D_undoctest_pos])</f>
        <v>0</v>
      </c>
    </row>
    <row r="6" customFormat="false" ht="15" hidden="false" customHeight="false" outlineLevel="0" collapsed="false">
      <c r="A6" s="48"/>
      <c r="C6" s="50" t="s">
        <v>1168</v>
      </c>
      <c r="D6" s="50" t="s">
        <v>1169</v>
      </c>
      <c r="E6" s="50" t="s">
        <v>1170</v>
      </c>
      <c r="F6" s="50" t="s">
        <v>1171</v>
      </c>
      <c r="G6" s="50" t="s">
        <v>1172</v>
      </c>
      <c r="H6" s="50" t="s">
        <v>1173</v>
      </c>
      <c r="I6" s="50" t="s">
        <v>1174</v>
      </c>
      <c r="J6" s="50" t="s">
        <v>617</v>
      </c>
      <c r="K6" s="50" t="s">
        <v>620</v>
      </c>
      <c r="L6" s="50" t="s">
        <v>623</v>
      </c>
      <c r="M6" s="50" t="s">
        <v>625</v>
      </c>
      <c r="N6" s="50" t="s">
        <v>627</v>
      </c>
      <c r="O6" s="50" t="s">
        <v>629</v>
      </c>
      <c r="P6" s="50" t="s">
        <v>631</v>
      </c>
      <c r="Q6" s="50" t="s">
        <v>633</v>
      </c>
      <c r="R6" s="50" t="s">
        <v>635</v>
      </c>
      <c r="S6" s="50" t="s">
        <v>637</v>
      </c>
      <c r="T6" s="50" t="s">
        <v>639</v>
      </c>
      <c r="U6" s="50" t="s">
        <v>641</v>
      </c>
      <c r="V6" s="50" t="s">
        <v>645</v>
      </c>
      <c r="W6" s="50" t="s">
        <v>647</v>
      </c>
      <c r="X6" s="50" t="s">
        <v>649</v>
      </c>
      <c r="Y6" s="50" t="s">
        <v>1175</v>
      </c>
      <c r="Z6" s="50" t="s">
        <v>1220</v>
      </c>
      <c r="AA6" s="50" t="s">
        <v>1035</v>
      </c>
      <c r="AB6" s="50" t="s">
        <v>1582</v>
      </c>
      <c r="AC6" s="50" t="s">
        <v>1583</v>
      </c>
      <c r="AD6" s="50" t="s">
        <v>1584</v>
      </c>
      <c r="AE6" s="50" t="s">
        <v>1585</v>
      </c>
      <c r="AF6" s="50" t="s">
        <v>1586</v>
      </c>
      <c r="AG6" s="50" t="s">
        <v>1587</v>
      </c>
      <c r="AH6" s="50" t="s">
        <v>1588</v>
      </c>
      <c r="AI6" s="50" t="s">
        <v>1589</v>
      </c>
      <c r="AJ6" s="50" t="s">
        <v>1590</v>
      </c>
      <c r="AK6" s="50" t="s">
        <v>1591</v>
      </c>
      <c r="AL6" s="50" t="s">
        <v>1592</v>
      </c>
      <c r="AM6" s="50" t="s">
        <v>1593</v>
      </c>
      <c r="AN6" s="50" t="s">
        <v>1594</v>
      </c>
      <c r="AO6" s="50" t="s">
        <v>1595</v>
      </c>
      <c r="AP6" s="50" t="s">
        <v>1596</v>
      </c>
    </row>
    <row r="7" customFormat="false" ht="15" hidden="false" customHeight="false" outlineLevel="0" collapsed="false">
      <c r="A7" s="51"/>
      <c r="J7" s="53"/>
      <c r="K7" s="53"/>
      <c r="L7" s="53"/>
      <c r="M7" s="53"/>
      <c r="N7" s="53"/>
      <c r="O7" s="53"/>
      <c r="P7" s="53"/>
      <c r="Q7" s="53"/>
      <c r="R7" s="53"/>
      <c r="S7" s="53"/>
      <c r="T7" s="53"/>
      <c r="U7" s="53"/>
      <c r="V7" s="53"/>
      <c r="W7" s="53"/>
      <c r="X7" s="53"/>
      <c r="Y7" s="75" t="n">
        <f aca="false">SUM(tx_pvls_T[[#This Row],[A_tx_pvls_D_u15_f_rtn]:[A_tx_pvls_D_o15_m_undoctest]])</f>
        <v>0</v>
      </c>
      <c r="Z7" s="75" t="n">
        <f aca="false">SUM(tx_pvls_T[[#This Row],[A_tx_pvls_D_rtn_pos]:[A_tx_pvls_D_undoctest_pos]])</f>
        <v>0</v>
      </c>
      <c r="AA7" s="49"/>
      <c r="AB7" s="49" t="n">
        <f aca="false">tx_pvls_T[[D_tx_pvls_D_fy19]:[D_tx_pvls_D_fy19]]*tx_pvls_T[A_tx_pvls_D_u15_f_rtn]</f>
        <v>0</v>
      </c>
      <c r="AC7" s="49" t="n">
        <f aca="false">tx_pvls_T[[D_tx_pvls_D_fy19]:[D_tx_pvls_D_fy19]]*tx_pvls_T[A_tx_pvls_D_u15_f_targeted]</f>
        <v>0</v>
      </c>
      <c r="AD7" s="49" t="n">
        <f aca="false">tx_pvls_T[[D_tx_pvls_D_fy19]:[D_tx_pvls_D_fy19]]*tx_pvls_T[A_tx_pvls_D_u15_f_undoctest]</f>
        <v>0</v>
      </c>
      <c r="AE7" s="49" t="n">
        <f aca="false">tx_pvls_T[[D_tx_pvls_D_fy19]:[D_tx_pvls_D_fy19]]*tx_pvls_T[A_tx_pvls_D_u15_m_rtn]</f>
        <v>0</v>
      </c>
      <c r="AF7" s="49" t="n">
        <f aca="false">tx_pvls_T[[D_tx_pvls_D_fy19]:[D_tx_pvls_D_fy19]]*tx_pvls_T[A_tx_pvls_D_u15_m_targeted]</f>
        <v>0</v>
      </c>
      <c r="AG7" s="49" t="n">
        <f aca="false">tx_pvls_T[[D_tx_pvls_D_fy19]:[D_tx_pvls_D_fy19]]*tx_pvls_T[A_tx_pvls_D_u15_m_undoctest]</f>
        <v>0</v>
      </c>
      <c r="AH7" s="49" t="n">
        <f aca="false">tx_pvls_T[[D_tx_pvls_D_fy19]:[D_tx_pvls_D_fy19]]*tx_pvls_T[A_tx_pvls_D_o15_f_rtn]</f>
        <v>0</v>
      </c>
      <c r="AI7" s="49" t="n">
        <f aca="false">tx_pvls_T[[D_tx_pvls_D_fy19]:[D_tx_pvls_D_fy19]]*tx_pvls_T[A_tx_pvls_D_o15_f_targeted]</f>
        <v>0</v>
      </c>
      <c r="AJ7" s="49" t="n">
        <f aca="false">tx_pvls_T[[D_tx_pvls_D_fy19]:[D_tx_pvls_D_fy19]]*tx_pvls_T[A_tx_pvls_D_o15_f_undoctest]</f>
        <v>0</v>
      </c>
      <c r="AK7" s="49" t="n">
        <f aca="false">tx_pvls_T[[D_tx_pvls_D_fy19]:[D_tx_pvls_D_fy19]]*tx_pvls_T[A_tx_pvls_D_o15_m_rtn]</f>
        <v>0</v>
      </c>
      <c r="AL7" s="49" t="n">
        <f aca="false">tx_pvls_T[[D_tx_pvls_D_fy19]:[D_tx_pvls_D_fy19]]*tx_pvls_T[A_tx_pvls_D_o15_m_targeted]</f>
        <v>0</v>
      </c>
      <c r="AM7" s="49" t="n">
        <f aca="false">tx_pvls_T[[D_tx_pvls_D_fy19]:[D_tx_pvls_D_fy19]]*tx_pvls_T[A_tx_pvls_D_o15_m_undoctest]</f>
        <v>0</v>
      </c>
      <c r="AN7" s="49" t="n">
        <f aca="false">SUMIF($AB$4:$AM$4,"*Routine",tx_pvls_T[[tx_pvls_D_u15_f_rtn]:[tx_pvls_D_o15_m_undoctest]])</f>
        <v>0</v>
      </c>
      <c r="AO7" s="49" t="n">
        <f aca="false">SUMIF($AB$4:$AM$4,"*Targeted",tx_pvls_T[[tx_pvls_D_u15_f_rtn]:[tx_pvls_D_o15_m_undoctest]])</f>
        <v>0</v>
      </c>
      <c r="AP7" s="49" t="n">
        <f aca="false">SUMIF($AB$4:$AM$4,"*Undocumented*",tx_pvls_T[[tx_pvls_D_u15_f_rtn]:[tx_pvls_D_o15_m_undoctest]])</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K8" s="8"/>
      <c r="AL8" s="8"/>
      <c r="AM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K9" s="8"/>
      <c r="AL9" s="8"/>
      <c r="AM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K10" s="8"/>
      <c r="AL10" s="8"/>
      <c r="AM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0"/>
      <c r="W11" s="0"/>
      <c r="X11" s="0"/>
      <c r="Y11" s="0"/>
      <c r="Z11" s="0"/>
      <c r="AA11" s="8"/>
      <c r="AB11" s="8"/>
      <c r="AC11" s="8"/>
      <c r="AD11" s="8"/>
      <c r="AE11" s="8"/>
      <c r="AF11" s="8"/>
      <c r="AG11" s="8"/>
      <c r="AH11" s="8"/>
      <c r="AI11" s="8"/>
      <c r="AK11" s="8"/>
      <c r="AL11" s="8"/>
      <c r="AM11" s="8"/>
    </row>
  </sheetData>
  <mergeCells count="1">
    <mergeCell ref="A1:A2"/>
  </mergeCells>
  <conditionalFormatting sqref="J7:Z7">
    <cfRule type="expression" priority="2" aboveAverage="0" equalAverage="0" bottom="0" percent="0" rank="0" text="" dxfId="0">
      <formula>$AA7=0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sheetPr filterMode="false">
    <tabColor rgb="FFB1A089"/>
    <pageSetUpPr fitToPage="false"/>
  </sheetPr>
  <dimension ref="A1:K3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37" activePane="bottomLeft" state="frozen"/>
      <selection pane="topLeft" activeCell="A1" activeCellId="0" sqref="A1"/>
      <selection pane="bottomLeft" activeCell="D147" activeCellId="0" sqref="D147"/>
    </sheetView>
  </sheetViews>
  <sheetFormatPr defaultRowHeight="15"/>
  <cols>
    <col collapsed="false" hidden="false" max="1" min="1" style="0" width="8.57085020242915"/>
    <col collapsed="false" hidden="false" max="2" min="2" style="0" width="37.919028340081"/>
    <col collapsed="false" hidden="false" max="3" min="3" style="0" width="8.57085020242915"/>
    <col collapsed="false" hidden="false" max="4" min="4" style="1" width="9.10526315789474"/>
    <col collapsed="false" hidden="false" max="6" min="5" style="0" width="8.57085020242915"/>
    <col collapsed="false" hidden="false" max="7" min="7" style="0" width="9.10526315789474"/>
    <col collapsed="false" hidden="false" max="8" min="8" style="0" width="8.57085020242915"/>
    <col collapsed="false" hidden="false" max="9" min="9" style="0" width="29.7773279352227"/>
    <col collapsed="false" hidden="false" max="10" min="10" style="0" width="28.4939271255061"/>
    <col collapsed="false" hidden="false" max="11" min="11" style="0" width="37.5991902834008"/>
    <col collapsed="false" hidden="false" max="1025" min="12" style="0" width="8.57085020242915"/>
  </cols>
  <sheetData>
    <row r="1" customFormat="false" ht="15" hidden="false" customHeight="false" outlineLevel="0" collapsed="false">
      <c r="A1" s="2" t="s">
        <v>0</v>
      </c>
      <c r="B1" s="2" t="s">
        <v>1</v>
      </c>
      <c r="C1" s="2" t="s">
        <v>2</v>
      </c>
      <c r="D1" s="3" t="s">
        <v>3</v>
      </c>
      <c r="E1" s="2" t="s">
        <v>4</v>
      </c>
      <c r="F1" s="2" t="s">
        <v>5</v>
      </c>
      <c r="G1" s="2" t="s">
        <v>6</v>
      </c>
      <c r="H1" s="2" t="s">
        <v>7</v>
      </c>
      <c r="I1" s="4" t="s">
        <v>8</v>
      </c>
      <c r="J1" s="4" t="s">
        <v>9</v>
      </c>
      <c r="K1" s="2" t="s">
        <v>10</v>
      </c>
    </row>
    <row r="2" customFormat="false" ht="15" hidden="false" customHeight="false" outlineLevel="0" collapsed="false">
      <c r="A2" s="0" t="s">
        <v>11</v>
      </c>
      <c r="B2" s="1" t="s">
        <v>12</v>
      </c>
      <c r="C2" s="1" t="s">
        <v>13</v>
      </c>
      <c r="D2" s="1" t="s">
        <v>14</v>
      </c>
      <c r="E2" s="1"/>
      <c r="F2" s="1" t="s">
        <v>15</v>
      </c>
      <c r="G2" s="1"/>
      <c r="H2" s="1" t="s">
        <v>16</v>
      </c>
      <c r="I2" s="0" t="s">
        <v>17</v>
      </c>
      <c r="J2" s="0" t="s">
        <v>18</v>
      </c>
      <c r="K2" s="0" t="s">
        <v>19</v>
      </c>
    </row>
    <row r="3" customFormat="false" ht="15" hidden="false" customHeight="false" outlineLevel="0" collapsed="false">
      <c r="A3" s="0" t="s">
        <v>11</v>
      </c>
      <c r="B3" s="1" t="s">
        <v>12</v>
      </c>
      <c r="C3" s="1" t="s">
        <v>13</v>
      </c>
      <c r="D3" s="1" t="s">
        <v>14</v>
      </c>
      <c r="E3" s="1"/>
      <c r="F3" s="1" t="s">
        <v>20</v>
      </c>
      <c r="G3" s="1"/>
      <c r="H3" s="1" t="s">
        <v>16</v>
      </c>
      <c r="I3" s="0" t="s">
        <v>17</v>
      </c>
      <c r="J3" s="0" t="s">
        <v>21</v>
      </c>
      <c r="K3" s="0" t="s">
        <v>22</v>
      </c>
    </row>
    <row r="4" customFormat="false" ht="15" hidden="false" customHeight="false" outlineLevel="0" collapsed="false">
      <c r="A4" s="0" t="s">
        <v>11</v>
      </c>
      <c r="B4" s="1" t="s">
        <v>12</v>
      </c>
      <c r="C4" s="1" t="s">
        <v>23</v>
      </c>
      <c r="D4" s="1" t="s">
        <v>14</v>
      </c>
      <c r="E4" s="1"/>
      <c r="F4" s="1" t="s">
        <v>15</v>
      </c>
      <c r="G4" s="1"/>
      <c r="H4" s="1" t="s">
        <v>16</v>
      </c>
      <c r="I4" s="0" t="s">
        <v>17</v>
      </c>
      <c r="J4" s="0" t="s">
        <v>24</v>
      </c>
      <c r="K4" s="0" t="s">
        <v>25</v>
      </c>
    </row>
    <row r="5" customFormat="false" ht="15" hidden="false" customHeight="false" outlineLevel="0" collapsed="false">
      <c r="A5" s="0" t="s">
        <v>11</v>
      </c>
      <c r="B5" s="1" t="s">
        <v>12</v>
      </c>
      <c r="C5" s="1" t="s">
        <v>23</v>
      </c>
      <c r="D5" s="1" t="s">
        <v>14</v>
      </c>
      <c r="E5" s="1"/>
      <c r="F5" s="1" t="s">
        <v>20</v>
      </c>
      <c r="G5" s="1"/>
      <c r="H5" s="1" t="s">
        <v>16</v>
      </c>
      <c r="I5" s="0" t="s">
        <v>17</v>
      </c>
      <c r="J5" s="0" t="s">
        <v>26</v>
      </c>
      <c r="K5" s="0" t="s">
        <v>27</v>
      </c>
    </row>
    <row r="6" customFormat="false" ht="15" hidden="false" customHeight="false" outlineLevel="0" collapsed="false">
      <c r="A6" s="0" t="s">
        <v>11</v>
      </c>
      <c r="B6" s="1" t="s">
        <v>12</v>
      </c>
      <c r="C6" s="1" t="s">
        <v>13</v>
      </c>
      <c r="D6" s="1" t="s">
        <v>28</v>
      </c>
      <c r="E6" s="1"/>
      <c r="F6" s="1" t="s">
        <v>15</v>
      </c>
      <c r="G6" s="1"/>
      <c r="H6" s="1" t="s">
        <v>16</v>
      </c>
      <c r="I6" s="0" t="s">
        <v>17</v>
      </c>
      <c r="J6" s="0" t="s">
        <v>29</v>
      </c>
      <c r="K6" s="0" t="s">
        <v>30</v>
      </c>
    </row>
    <row r="7" customFormat="false" ht="15" hidden="false" customHeight="false" outlineLevel="0" collapsed="false">
      <c r="A7" s="0" t="s">
        <v>11</v>
      </c>
      <c r="B7" s="1" t="s">
        <v>12</v>
      </c>
      <c r="C7" s="1" t="s">
        <v>13</v>
      </c>
      <c r="D7" s="1" t="s">
        <v>28</v>
      </c>
      <c r="E7" s="1"/>
      <c r="F7" s="1" t="s">
        <v>20</v>
      </c>
      <c r="G7" s="1"/>
      <c r="H7" s="1" t="s">
        <v>16</v>
      </c>
      <c r="I7" s="0" t="s">
        <v>17</v>
      </c>
      <c r="J7" s="0" t="s">
        <v>31</v>
      </c>
      <c r="K7" s="0" t="s">
        <v>32</v>
      </c>
    </row>
    <row r="8" customFormat="false" ht="15" hidden="false" customHeight="false" outlineLevel="0" collapsed="false">
      <c r="A8" s="0" t="s">
        <v>11</v>
      </c>
      <c r="B8" s="1" t="s">
        <v>12</v>
      </c>
      <c r="C8" s="1" t="s">
        <v>23</v>
      </c>
      <c r="D8" s="1" t="s">
        <v>28</v>
      </c>
      <c r="E8" s="1"/>
      <c r="F8" s="1" t="s">
        <v>15</v>
      </c>
      <c r="G8" s="1"/>
      <c r="H8" s="1" t="s">
        <v>16</v>
      </c>
      <c r="I8" s="0" t="s">
        <v>17</v>
      </c>
      <c r="J8" s="0" t="s">
        <v>33</v>
      </c>
      <c r="K8" s="0" t="s">
        <v>34</v>
      </c>
    </row>
    <row r="9" customFormat="false" ht="15" hidden="false" customHeight="false" outlineLevel="0" collapsed="false">
      <c r="A9" s="0" t="s">
        <v>11</v>
      </c>
      <c r="B9" s="1" t="s">
        <v>12</v>
      </c>
      <c r="C9" s="1" t="s">
        <v>23</v>
      </c>
      <c r="D9" s="1" t="s">
        <v>28</v>
      </c>
      <c r="E9" s="1"/>
      <c r="F9" s="1" t="s">
        <v>20</v>
      </c>
      <c r="G9" s="1"/>
      <c r="H9" s="1" t="s">
        <v>16</v>
      </c>
      <c r="I9" s="0" t="s">
        <v>17</v>
      </c>
      <c r="J9" s="0" t="s">
        <v>35</v>
      </c>
      <c r="K9" s="0" t="s">
        <v>36</v>
      </c>
    </row>
    <row r="10" customFormat="false" ht="15" hidden="false" customHeight="false" outlineLevel="0" collapsed="false">
      <c r="A10" s="0" t="s">
        <v>11</v>
      </c>
      <c r="B10" s="1" t="s">
        <v>12</v>
      </c>
      <c r="C10" s="1" t="s">
        <v>13</v>
      </c>
      <c r="D10" s="1" t="s">
        <v>37</v>
      </c>
      <c r="E10" s="1"/>
      <c r="F10" s="1" t="s">
        <v>15</v>
      </c>
      <c r="G10" s="1"/>
      <c r="H10" s="1" t="s">
        <v>16</v>
      </c>
      <c r="I10" s="0" t="s">
        <v>17</v>
      </c>
      <c r="J10" s="0" t="s">
        <v>38</v>
      </c>
      <c r="K10" s="0" t="s">
        <v>39</v>
      </c>
    </row>
    <row r="11" customFormat="false" ht="15" hidden="false" customHeight="false" outlineLevel="0" collapsed="false">
      <c r="A11" s="0" t="s">
        <v>11</v>
      </c>
      <c r="B11" s="1" t="s">
        <v>12</v>
      </c>
      <c r="C11" s="1" t="s">
        <v>13</v>
      </c>
      <c r="D11" s="1" t="s">
        <v>37</v>
      </c>
      <c r="E11" s="1"/>
      <c r="F11" s="1" t="s">
        <v>20</v>
      </c>
      <c r="G11" s="1"/>
      <c r="H11" s="1" t="s">
        <v>16</v>
      </c>
      <c r="I11" s="0" t="s">
        <v>17</v>
      </c>
      <c r="J11" s="0" t="s">
        <v>40</v>
      </c>
      <c r="K11" s="0" t="s">
        <v>41</v>
      </c>
    </row>
    <row r="12" customFormat="false" ht="15" hidden="false" customHeight="false" outlineLevel="0" collapsed="false">
      <c r="A12" s="0" t="s">
        <v>11</v>
      </c>
      <c r="B12" s="1" t="s">
        <v>12</v>
      </c>
      <c r="C12" s="1" t="s">
        <v>23</v>
      </c>
      <c r="D12" s="1" t="s">
        <v>37</v>
      </c>
      <c r="E12" s="1"/>
      <c r="F12" s="1" t="s">
        <v>15</v>
      </c>
      <c r="G12" s="1"/>
      <c r="H12" s="1" t="s">
        <v>16</v>
      </c>
      <c r="I12" s="0" t="s">
        <v>17</v>
      </c>
      <c r="J12" s="0" t="s">
        <v>42</v>
      </c>
      <c r="K12" s="0" t="s">
        <v>43</v>
      </c>
    </row>
    <row r="13" customFormat="false" ht="15" hidden="false" customHeight="false" outlineLevel="0" collapsed="false">
      <c r="A13" s="0" t="s">
        <v>11</v>
      </c>
      <c r="B13" s="1" t="s">
        <v>12</v>
      </c>
      <c r="C13" s="1" t="s">
        <v>23</v>
      </c>
      <c r="D13" s="1" t="s">
        <v>37</v>
      </c>
      <c r="E13" s="1"/>
      <c r="F13" s="1" t="s">
        <v>20</v>
      </c>
      <c r="G13" s="1"/>
      <c r="H13" s="1" t="s">
        <v>16</v>
      </c>
      <c r="I13" s="0" t="s">
        <v>17</v>
      </c>
      <c r="J13" s="0" t="s">
        <v>44</v>
      </c>
      <c r="K13" s="0" t="s">
        <v>45</v>
      </c>
    </row>
    <row r="14" customFormat="false" ht="15" hidden="false" customHeight="false" outlineLevel="0" collapsed="false">
      <c r="A14" s="0" t="s">
        <v>11</v>
      </c>
      <c r="B14" s="1" t="s">
        <v>12</v>
      </c>
      <c r="C14" s="1" t="s">
        <v>13</v>
      </c>
      <c r="D14" s="1" t="s">
        <v>46</v>
      </c>
      <c r="E14" s="1"/>
      <c r="F14" s="1" t="s">
        <v>15</v>
      </c>
      <c r="G14" s="1"/>
      <c r="H14" s="1" t="s">
        <v>16</v>
      </c>
      <c r="I14" s="0" t="s">
        <v>17</v>
      </c>
      <c r="J14" s="0" t="s">
        <v>47</v>
      </c>
      <c r="K14" s="0" t="s">
        <v>48</v>
      </c>
    </row>
    <row r="15" customFormat="false" ht="15" hidden="false" customHeight="false" outlineLevel="0" collapsed="false">
      <c r="A15" s="0" t="s">
        <v>11</v>
      </c>
      <c r="B15" s="1" t="s">
        <v>12</v>
      </c>
      <c r="C15" s="1" t="s">
        <v>13</v>
      </c>
      <c r="D15" s="1" t="s">
        <v>46</v>
      </c>
      <c r="E15" s="1"/>
      <c r="F15" s="1" t="s">
        <v>20</v>
      </c>
      <c r="G15" s="1"/>
      <c r="H15" s="1" t="s">
        <v>16</v>
      </c>
      <c r="I15" s="0" t="s">
        <v>17</v>
      </c>
      <c r="J15" s="0" t="s">
        <v>49</v>
      </c>
      <c r="K15" s="0" t="s">
        <v>50</v>
      </c>
    </row>
    <row r="16" customFormat="false" ht="15" hidden="false" customHeight="false" outlineLevel="0" collapsed="false">
      <c r="A16" s="0" t="s">
        <v>11</v>
      </c>
      <c r="B16" s="1" t="s">
        <v>12</v>
      </c>
      <c r="C16" s="1" t="s">
        <v>23</v>
      </c>
      <c r="D16" s="1" t="s">
        <v>46</v>
      </c>
      <c r="E16" s="1"/>
      <c r="F16" s="1" t="s">
        <v>15</v>
      </c>
      <c r="G16" s="1"/>
      <c r="H16" s="1" t="s">
        <v>16</v>
      </c>
      <c r="I16" s="0" t="s">
        <v>17</v>
      </c>
      <c r="J16" s="0" t="s">
        <v>51</v>
      </c>
      <c r="K16" s="0" t="s">
        <v>52</v>
      </c>
    </row>
    <row r="17" customFormat="false" ht="15" hidden="false" customHeight="false" outlineLevel="0" collapsed="false">
      <c r="A17" s="0" t="s">
        <v>11</v>
      </c>
      <c r="B17" s="1" t="s">
        <v>12</v>
      </c>
      <c r="C17" s="1" t="s">
        <v>23</v>
      </c>
      <c r="D17" s="1" t="s">
        <v>46</v>
      </c>
      <c r="E17" s="1"/>
      <c r="F17" s="1" t="s">
        <v>20</v>
      </c>
      <c r="G17" s="1"/>
      <c r="H17" s="1" t="s">
        <v>16</v>
      </c>
      <c r="I17" s="0" t="s">
        <v>17</v>
      </c>
      <c r="J17" s="0" t="s">
        <v>53</v>
      </c>
      <c r="K17" s="0" t="s">
        <v>54</v>
      </c>
    </row>
    <row r="18" customFormat="false" ht="15" hidden="false" customHeight="false" outlineLevel="0" collapsed="false">
      <c r="A18" s="0" t="s">
        <v>11</v>
      </c>
      <c r="B18" s="1"/>
      <c r="C18" s="1"/>
      <c r="D18" s="0"/>
      <c r="E18" s="1"/>
      <c r="F18" s="1"/>
      <c r="G18" s="1"/>
      <c r="H18" s="1"/>
      <c r="I18" s="0" t="s">
        <v>17</v>
      </c>
      <c r="J18" s="0" t="s">
        <v>55</v>
      </c>
      <c r="K18" s="0" t="s">
        <v>56</v>
      </c>
    </row>
    <row r="19" customFormat="false" ht="15" hidden="false" customHeight="false" outlineLevel="0" collapsed="false">
      <c r="A19" s="0" t="s">
        <v>11</v>
      </c>
      <c r="B19" s="1"/>
      <c r="C19" s="1"/>
      <c r="D19" s="0"/>
      <c r="E19" s="1"/>
      <c r="F19" s="1"/>
      <c r="G19" s="1"/>
      <c r="H19" s="1"/>
      <c r="I19" s="0" t="s">
        <v>17</v>
      </c>
      <c r="J19" s="0" t="s">
        <v>57</v>
      </c>
      <c r="K19" s="0" t="s">
        <v>58</v>
      </c>
    </row>
    <row r="20" customFormat="false" ht="15" hidden="false" customHeight="false" outlineLevel="0" collapsed="false">
      <c r="A20" s="0" t="s">
        <v>11</v>
      </c>
      <c r="B20" s="1"/>
      <c r="C20" s="1"/>
      <c r="D20" s="0"/>
      <c r="E20" s="1"/>
      <c r="F20" s="1"/>
      <c r="G20" s="1"/>
      <c r="H20" s="1"/>
      <c r="I20" s="0" t="s">
        <v>17</v>
      </c>
      <c r="J20" s="0" t="s">
        <v>59</v>
      </c>
      <c r="K20" s="0" t="s">
        <v>60</v>
      </c>
    </row>
    <row r="21" customFormat="false" ht="15" hidden="false" customHeight="false" outlineLevel="0" collapsed="false">
      <c r="A21" s="0" t="s">
        <v>11</v>
      </c>
      <c r="B21" s="1"/>
      <c r="C21" s="1"/>
      <c r="D21" s="0"/>
      <c r="E21" s="1"/>
      <c r="F21" s="1"/>
      <c r="G21" s="1"/>
      <c r="H21" s="1"/>
      <c r="I21" s="0" t="s">
        <v>17</v>
      </c>
      <c r="J21" s="0" t="s">
        <v>61</v>
      </c>
      <c r="K21" s="0" t="s">
        <v>62</v>
      </c>
    </row>
    <row r="22" customFormat="false" ht="15" hidden="false" customHeight="false" outlineLevel="0" collapsed="false">
      <c r="A22" s="0" t="s">
        <v>11</v>
      </c>
      <c r="D22" s="0"/>
      <c r="H22" s="1"/>
      <c r="I22" s="0" t="s">
        <v>17</v>
      </c>
      <c r="J22" s="0" t="s">
        <v>63</v>
      </c>
      <c r="K22" s="0" t="s">
        <v>64</v>
      </c>
    </row>
    <row r="23" customFormat="false" ht="15" hidden="false" customHeight="false" outlineLevel="0" collapsed="false">
      <c r="A23" s="0" t="s">
        <v>11</v>
      </c>
      <c r="D23" s="0"/>
      <c r="H23" s="1"/>
      <c r="I23" s="0" t="s">
        <v>17</v>
      </c>
      <c r="J23" s="0" t="s">
        <v>65</v>
      </c>
      <c r="K23" s="0" t="s">
        <v>66</v>
      </c>
    </row>
    <row r="24" customFormat="false" ht="15" hidden="false" customHeight="false" outlineLevel="0" collapsed="false">
      <c r="A24" s="0" t="s">
        <v>11</v>
      </c>
      <c r="D24" s="0"/>
      <c r="H24" s="1"/>
      <c r="I24" s="0" t="s">
        <v>17</v>
      </c>
      <c r="J24" s="0" t="s">
        <v>67</v>
      </c>
      <c r="K24" s="0" t="s">
        <v>68</v>
      </c>
    </row>
    <row r="25" customFormat="false" ht="15" hidden="false" customHeight="false" outlineLevel="0" collapsed="false">
      <c r="A25" s="0" t="s">
        <v>11</v>
      </c>
      <c r="D25" s="0"/>
      <c r="H25" s="1"/>
      <c r="I25" s="0" t="s">
        <v>17</v>
      </c>
      <c r="J25" s="0" t="s">
        <v>69</v>
      </c>
      <c r="K25" s="0" t="s">
        <v>70</v>
      </c>
    </row>
    <row r="26" customFormat="false" ht="15" hidden="false" customHeight="false" outlineLevel="0" collapsed="false">
      <c r="A26" s="0" t="s">
        <v>11</v>
      </c>
      <c r="D26" s="0"/>
      <c r="H26" s="1"/>
      <c r="I26" s="0" t="s">
        <v>17</v>
      </c>
      <c r="J26" s="0" t="s">
        <v>71</v>
      </c>
      <c r="K26" s="0" t="s">
        <v>72</v>
      </c>
    </row>
    <row r="27" customFormat="false" ht="15" hidden="false" customHeight="false" outlineLevel="0" collapsed="false">
      <c r="A27" s="0" t="s">
        <v>11</v>
      </c>
      <c r="D27" s="0"/>
      <c r="H27" s="1"/>
      <c r="I27" s="0" t="s">
        <v>17</v>
      </c>
      <c r="J27" s="0" t="s">
        <v>73</v>
      </c>
      <c r="K27" s="0" t="s">
        <v>74</v>
      </c>
    </row>
    <row r="28" customFormat="false" ht="15" hidden="false" customHeight="false" outlineLevel="0" collapsed="false">
      <c r="A28" s="0" t="s">
        <v>11</v>
      </c>
      <c r="D28" s="0"/>
      <c r="H28" s="1"/>
      <c r="I28" s="0" t="s">
        <v>17</v>
      </c>
      <c r="J28" s="0" t="s">
        <v>75</v>
      </c>
      <c r="K28" s="0" t="s">
        <v>76</v>
      </c>
    </row>
    <row r="29" customFormat="false" ht="15" hidden="false" customHeight="false" outlineLevel="0" collapsed="false">
      <c r="A29" s="0" t="s">
        <v>11</v>
      </c>
      <c r="D29" s="0"/>
      <c r="H29" s="1"/>
      <c r="I29" s="0" t="s">
        <v>17</v>
      </c>
      <c r="J29" s="0" t="s">
        <v>77</v>
      </c>
      <c r="K29" s="0" t="s">
        <v>78</v>
      </c>
    </row>
    <row r="30" customFormat="false" ht="15" hidden="false" customHeight="false" outlineLevel="0" collapsed="false">
      <c r="A30" s="0" t="s">
        <v>11</v>
      </c>
      <c r="B30" s="1"/>
      <c r="C30" s="1"/>
      <c r="D30" s="0"/>
      <c r="E30" s="1"/>
      <c r="F30" s="1"/>
      <c r="G30" s="1"/>
      <c r="H30" s="1"/>
      <c r="I30" s="0" t="s">
        <v>17</v>
      </c>
      <c r="J30" s="0" t="s">
        <v>79</v>
      </c>
      <c r="K30" s="0" t="s">
        <v>80</v>
      </c>
    </row>
    <row r="31" customFormat="false" ht="15" hidden="false" customHeight="false" outlineLevel="0" collapsed="false">
      <c r="A31" s="0" t="s">
        <v>11</v>
      </c>
      <c r="B31" s="1"/>
      <c r="C31" s="1"/>
      <c r="D31" s="0"/>
      <c r="E31" s="1"/>
      <c r="F31" s="1"/>
      <c r="G31" s="1"/>
      <c r="H31" s="1"/>
      <c r="I31" s="0" t="s">
        <v>17</v>
      </c>
      <c r="J31" s="0" t="s">
        <v>81</v>
      </c>
      <c r="K31" s="0" t="s">
        <v>82</v>
      </c>
    </row>
    <row r="32" customFormat="false" ht="15" hidden="false" customHeight="false" outlineLevel="0" collapsed="false">
      <c r="A32" s="0" t="s">
        <v>11</v>
      </c>
      <c r="B32" s="1"/>
      <c r="C32" s="1"/>
      <c r="D32" s="0"/>
      <c r="E32" s="1"/>
      <c r="F32" s="1"/>
      <c r="G32" s="1"/>
      <c r="H32" s="1"/>
      <c r="I32" s="0" t="s">
        <v>17</v>
      </c>
      <c r="J32" s="0" t="s">
        <v>83</v>
      </c>
      <c r="K32" s="0" t="s">
        <v>84</v>
      </c>
    </row>
    <row r="33" customFormat="false" ht="15" hidden="false" customHeight="false" outlineLevel="0" collapsed="false">
      <c r="A33" s="0" t="s">
        <v>11</v>
      </c>
      <c r="B33" s="1"/>
      <c r="C33" s="1"/>
      <c r="D33" s="0"/>
      <c r="E33" s="1"/>
      <c r="F33" s="1"/>
      <c r="G33" s="1"/>
      <c r="H33" s="1"/>
      <c r="I33" s="0" t="s">
        <v>17</v>
      </c>
      <c r="J33" s="0" t="s">
        <v>85</v>
      </c>
      <c r="K33" s="0" t="s">
        <v>86</v>
      </c>
    </row>
    <row r="34" customFormat="false" ht="15" hidden="false" customHeight="false" outlineLevel="0" collapsed="false">
      <c r="A34" s="0" t="s">
        <v>11</v>
      </c>
      <c r="B34" s="1" t="s">
        <v>12</v>
      </c>
      <c r="C34" s="1" t="s">
        <v>13</v>
      </c>
      <c r="D34" s="1" t="s">
        <v>87</v>
      </c>
      <c r="E34" s="1"/>
      <c r="F34" s="1" t="s">
        <v>15</v>
      </c>
      <c r="G34" s="1"/>
      <c r="H34" s="1" t="s">
        <v>16</v>
      </c>
      <c r="I34" s="0" t="s">
        <v>17</v>
      </c>
      <c r="J34" s="0" t="s">
        <v>88</v>
      </c>
      <c r="K34" s="0" t="s">
        <v>89</v>
      </c>
    </row>
    <row r="35" customFormat="false" ht="15" hidden="false" customHeight="false" outlineLevel="0" collapsed="false">
      <c r="A35" s="0" t="s">
        <v>11</v>
      </c>
      <c r="B35" s="1" t="s">
        <v>12</v>
      </c>
      <c r="C35" s="1" t="s">
        <v>13</v>
      </c>
      <c r="D35" s="1" t="s">
        <v>87</v>
      </c>
      <c r="E35" s="1"/>
      <c r="F35" s="1" t="s">
        <v>20</v>
      </c>
      <c r="G35" s="1"/>
      <c r="H35" s="1" t="s">
        <v>16</v>
      </c>
      <c r="I35" s="0" t="s">
        <v>17</v>
      </c>
      <c r="J35" s="0" t="s">
        <v>90</v>
      </c>
      <c r="K35" s="0" t="s">
        <v>91</v>
      </c>
    </row>
    <row r="36" customFormat="false" ht="15" hidden="false" customHeight="false" outlineLevel="0" collapsed="false">
      <c r="A36" s="0" t="s">
        <v>11</v>
      </c>
      <c r="B36" s="1" t="s">
        <v>12</v>
      </c>
      <c r="C36" s="1" t="s">
        <v>23</v>
      </c>
      <c r="D36" s="1" t="s">
        <v>87</v>
      </c>
      <c r="E36" s="1"/>
      <c r="F36" s="1" t="s">
        <v>15</v>
      </c>
      <c r="G36" s="1"/>
      <c r="H36" s="1" t="s">
        <v>16</v>
      </c>
      <c r="I36" s="0" t="s">
        <v>17</v>
      </c>
      <c r="J36" s="0" t="s">
        <v>92</v>
      </c>
      <c r="K36" s="0" t="s">
        <v>93</v>
      </c>
    </row>
    <row r="37" customFormat="false" ht="15" hidden="false" customHeight="false" outlineLevel="0" collapsed="false">
      <c r="A37" s="0" t="s">
        <v>11</v>
      </c>
      <c r="B37" s="1" t="s">
        <v>12</v>
      </c>
      <c r="C37" s="1" t="s">
        <v>23</v>
      </c>
      <c r="D37" s="1" t="s">
        <v>87</v>
      </c>
      <c r="E37" s="1"/>
      <c r="F37" s="1" t="s">
        <v>20</v>
      </c>
      <c r="G37" s="1"/>
      <c r="H37" s="1" t="s">
        <v>16</v>
      </c>
      <c r="I37" s="0" t="s">
        <v>17</v>
      </c>
      <c r="J37" s="0" t="s">
        <v>94</v>
      </c>
      <c r="K37" s="0" t="s">
        <v>95</v>
      </c>
    </row>
    <row r="38" customFormat="false" ht="15" hidden="false" customHeight="false" outlineLevel="0" collapsed="false">
      <c r="A38" s="5" t="s">
        <v>11</v>
      </c>
      <c r="B38" s="6" t="s">
        <v>96</v>
      </c>
      <c r="C38" s="6"/>
      <c r="D38" s="6"/>
      <c r="E38" s="6"/>
      <c r="F38" s="6"/>
      <c r="G38" s="6"/>
      <c r="H38" s="6" t="s">
        <v>16</v>
      </c>
      <c r="I38" s="5" t="s">
        <v>96</v>
      </c>
      <c r="J38" s="5" t="s">
        <v>96</v>
      </c>
      <c r="K38" s="5" t="s">
        <v>97</v>
      </c>
    </row>
    <row r="39" customFormat="false" ht="15" hidden="false" customHeight="false" outlineLevel="0" collapsed="false">
      <c r="A39" s="0" t="s">
        <v>98</v>
      </c>
      <c r="B39" s="1"/>
      <c r="C39" s="1"/>
      <c r="D39" s="0"/>
      <c r="E39" s="1"/>
      <c r="F39" s="1"/>
      <c r="G39" s="1"/>
      <c r="H39" s="1"/>
      <c r="I39" s="0" t="s">
        <v>99</v>
      </c>
      <c r="J39" s="0" t="s">
        <v>100</v>
      </c>
      <c r="K39" s="0" t="s">
        <v>101</v>
      </c>
    </row>
    <row r="40" customFormat="false" ht="15" hidden="false" customHeight="false" outlineLevel="0" collapsed="false">
      <c r="A40" s="0" t="s">
        <v>98</v>
      </c>
      <c r="B40" s="1"/>
      <c r="C40" s="1"/>
      <c r="D40" s="0"/>
      <c r="E40" s="1"/>
      <c r="F40" s="1"/>
      <c r="G40" s="1"/>
      <c r="H40" s="1"/>
      <c r="I40" s="0" t="s">
        <v>99</v>
      </c>
      <c r="J40" s="0" t="s">
        <v>102</v>
      </c>
      <c r="K40" s="0" t="s">
        <v>103</v>
      </c>
    </row>
    <row r="41" customFormat="false" ht="15" hidden="false" customHeight="false" outlineLevel="0" collapsed="false">
      <c r="A41" s="0" t="s">
        <v>98</v>
      </c>
      <c r="B41" s="1"/>
      <c r="C41" s="1"/>
      <c r="D41" s="0"/>
      <c r="E41" s="1"/>
      <c r="F41" s="1"/>
      <c r="G41" s="1"/>
      <c r="H41" s="1"/>
      <c r="I41" s="0" t="s">
        <v>99</v>
      </c>
      <c r="J41" s="0" t="s">
        <v>104</v>
      </c>
      <c r="K41" s="0" t="s">
        <v>105</v>
      </c>
    </row>
    <row r="42" customFormat="false" ht="15" hidden="false" customHeight="false" outlineLevel="0" collapsed="false">
      <c r="A42" s="0" t="s">
        <v>98</v>
      </c>
      <c r="B42" s="1"/>
      <c r="C42" s="1"/>
      <c r="D42" s="0"/>
      <c r="E42" s="1"/>
      <c r="F42" s="1"/>
      <c r="G42" s="1"/>
      <c r="H42" s="1"/>
      <c r="I42" s="0" t="s">
        <v>99</v>
      </c>
      <c r="J42" s="0" t="s">
        <v>106</v>
      </c>
      <c r="K42" s="0" t="s">
        <v>107</v>
      </c>
    </row>
    <row r="43" customFormat="false" ht="15" hidden="false" customHeight="false" outlineLevel="0" collapsed="false">
      <c r="A43" s="0" t="s">
        <v>98</v>
      </c>
      <c r="B43" s="1"/>
      <c r="C43" s="1"/>
      <c r="D43" s="0"/>
      <c r="E43" s="1"/>
      <c r="F43" s="1"/>
      <c r="G43" s="1"/>
      <c r="H43" s="1"/>
      <c r="I43" s="0" t="s">
        <v>99</v>
      </c>
      <c r="J43" s="0" t="s">
        <v>108</v>
      </c>
      <c r="K43" s="0" t="s">
        <v>109</v>
      </c>
    </row>
    <row r="44" customFormat="false" ht="15" hidden="false" customHeight="false" outlineLevel="0" collapsed="false">
      <c r="A44" s="0" t="s">
        <v>98</v>
      </c>
      <c r="B44" s="1"/>
      <c r="C44" s="1"/>
      <c r="D44" s="0"/>
      <c r="E44" s="1"/>
      <c r="F44" s="1"/>
      <c r="G44" s="1"/>
      <c r="H44" s="1"/>
      <c r="I44" s="0" t="s">
        <v>99</v>
      </c>
      <c r="J44" s="0" t="s">
        <v>110</v>
      </c>
      <c r="K44" s="0" t="s">
        <v>111</v>
      </c>
    </row>
    <row r="45" customFormat="false" ht="15" hidden="false" customHeight="false" outlineLevel="0" collapsed="false">
      <c r="A45" s="0" t="s">
        <v>98</v>
      </c>
      <c r="B45" s="1"/>
      <c r="C45" s="1"/>
      <c r="D45" s="0"/>
      <c r="E45" s="1"/>
      <c r="F45" s="1"/>
      <c r="G45" s="1"/>
      <c r="H45" s="1"/>
      <c r="I45" s="0" t="s">
        <v>99</v>
      </c>
      <c r="J45" s="0" t="s">
        <v>112</v>
      </c>
      <c r="K45" s="0" t="s">
        <v>113</v>
      </c>
    </row>
    <row r="46" customFormat="false" ht="15" hidden="false" customHeight="false" outlineLevel="0" collapsed="false">
      <c r="A46" s="0" t="s">
        <v>98</v>
      </c>
      <c r="B46" s="1"/>
      <c r="C46" s="1"/>
      <c r="D46" s="0"/>
      <c r="E46" s="1"/>
      <c r="F46" s="1"/>
      <c r="G46" s="1"/>
      <c r="H46" s="1"/>
      <c r="I46" s="0" t="s">
        <v>99</v>
      </c>
      <c r="J46" s="0" t="s">
        <v>114</v>
      </c>
      <c r="K46" s="0" t="s">
        <v>115</v>
      </c>
    </row>
    <row r="47" customFormat="false" ht="15" hidden="false" customHeight="false" outlineLevel="0" collapsed="false">
      <c r="A47" s="0" t="s">
        <v>98</v>
      </c>
      <c r="B47" s="1"/>
      <c r="C47" s="1"/>
      <c r="D47" s="0"/>
      <c r="E47" s="1"/>
      <c r="F47" s="1"/>
      <c r="G47" s="1"/>
      <c r="H47" s="1"/>
      <c r="I47" s="0" t="s">
        <v>99</v>
      </c>
      <c r="J47" s="0" t="s">
        <v>116</v>
      </c>
      <c r="K47" s="0" t="s">
        <v>117</v>
      </c>
    </row>
    <row r="48" customFormat="false" ht="15" hidden="false" customHeight="false" outlineLevel="0" collapsed="false">
      <c r="A48" s="0" t="s">
        <v>98</v>
      </c>
      <c r="B48" s="1"/>
      <c r="C48" s="1"/>
      <c r="D48" s="0"/>
      <c r="E48" s="1"/>
      <c r="F48" s="1"/>
      <c r="G48" s="1"/>
      <c r="H48" s="1"/>
      <c r="I48" s="0" t="s">
        <v>99</v>
      </c>
      <c r="J48" s="0" t="s">
        <v>118</v>
      </c>
      <c r="K48" s="0" t="s">
        <v>119</v>
      </c>
    </row>
    <row r="49" customFormat="false" ht="15" hidden="false" customHeight="false" outlineLevel="0" collapsed="false">
      <c r="A49" s="0" t="s">
        <v>98</v>
      </c>
      <c r="B49" s="1"/>
      <c r="C49" s="1"/>
      <c r="D49" s="0"/>
      <c r="E49" s="1"/>
      <c r="F49" s="1"/>
      <c r="G49" s="1"/>
      <c r="H49" s="1"/>
      <c r="I49" s="0" t="s">
        <v>99</v>
      </c>
      <c r="J49" s="0" t="s">
        <v>120</v>
      </c>
      <c r="K49" s="0" t="s">
        <v>121</v>
      </c>
    </row>
    <row r="50" customFormat="false" ht="15" hidden="false" customHeight="false" outlineLevel="0" collapsed="false">
      <c r="A50" s="0" t="s">
        <v>98</v>
      </c>
      <c r="B50" s="1"/>
      <c r="C50" s="1"/>
      <c r="D50" s="0"/>
      <c r="E50" s="1"/>
      <c r="F50" s="1"/>
      <c r="G50" s="1"/>
      <c r="H50" s="1"/>
      <c r="I50" s="0" t="s">
        <v>99</v>
      </c>
      <c r="J50" s="0" t="s">
        <v>122</v>
      </c>
      <c r="K50" s="0" t="s">
        <v>123</v>
      </c>
    </row>
    <row r="51" customFormat="false" ht="15" hidden="false" customHeight="false" outlineLevel="0" collapsed="false">
      <c r="A51" s="0" t="s">
        <v>98</v>
      </c>
      <c r="B51" s="1"/>
      <c r="C51" s="1"/>
      <c r="D51" s="0"/>
      <c r="E51" s="1"/>
      <c r="F51" s="1"/>
      <c r="G51" s="1"/>
      <c r="H51" s="1"/>
      <c r="I51" s="0" t="s">
        <v>99</v>
      </c>
      <c r="J51" s="0" t="s">
        <v>124</v>
      </c>
      <c r="K51" s="0" t="s">
        <v>125</v>
      </c>
    </row>
    <row r="52" customFormat="false" ht="15" hidden="false" customHeight="false" outlineLevel="0" collapsed="false">
      <c r="A52" s="0" t="s">
        <v>98</v>
      </c>
      <c r="B52" s="1"/>
      <c r="C52" s="1"/>
      <c r="D52" s="0"/>
      <c r="E52" s="1"/>
      <c r="F52" s="1"/>
      <c r="G52" s="1"/>
      <c r="H52" s="1"/>
      <c r="I52" s="0" t="s">
        <v>99</v>
      </c>
      <c r="J52" s="0" t="s">
        <v>126</v>
      </c>
      <c r="K52" s="0" t="s">
        <v>127</v>
      </c>
    </row>
    <row r="53" customFormat="false" ht="15" hidden="false" customHeight="false" outlineLevel="0" collapsed="false">
      <c r="A53" s="0" t="s">
        <v>98</v>
      </c>
      <c r="B53" s="1"/>
      <c r="C53" s="1"/>
      <c r="D53" s="0"/>
      <c r="E53" s="1"/>
      <c r="F53" s="1"/>
      <c r="G53" s="1"/>
      <c r="H53" s="1"/>
      <c r="I53" s="0" t="s">
        <v>99</v>
      </c>
      <c r="J53" s="0" t="s">
        <v>128</v>
      </c>
      <c r="K53" s="0" t="s">
        <v>129</v>
      </c>
    </row>
    <row r="54" customFormat="false" ht="15" hidden="false" customHeight="false" outlineLevel="0" collapsed="false">
      <c r="A54" s="0" t="s">
        <v>98</v>
      </c>
      <c r="B54" s="1"/>
      <c r="C54" s="1"/>
      <c r="D54" s="0"/>
      <c r="E54" s="1"/>
      <c r="F54" s="1"/>
      <c r="G54" s="1"/>
      <c r="H54" s="1"/>
      <c r="I54" s="0" t="s">
        <v>99</v>
      </c>
      <c r="J54" s="0" t="s">
        <v>130</v>
      </c>
      <c r="K54" s="0" t="s">
        <v>131</v>
      </c>
    </row>
    <row r="55" customFormat="false" ht="15" hidden="false" customHeight="false" outlineLevel="0" collapsed="false">
      <c r="A55" s="0" t="s">
        <v>98</v>
      </c>
      <c r="B55" s="1"/>
      <c r="C55" s="1"/>
      <c r="D55" s="0"/>
      <c r="E55" s="1"/>
      <c r="F55" s="1"/>
      <c r="G55" s="1"/>
      <c r="H55" s="1"/>
      <c r="I55" s="0" t="s">
        <v>99</v>
      </c>
      <c r="J55" s="0" t="s">
        <v>132</v>
      </c>
      <c r="K55" s="0" t="s">
        <v>133</v>
      </c>
    </row>
    <row r="56" customFormat="false" ht="15" hidden="false" customHeight="false" outlineLevel="0" collapsed="false">
      <c r="A56" s="0" t="s">
        <v>98</v>
      </c>
      <c r="B56" s="1"/>
      <c r="C56" s="1"/>
      <c r="D56" s="0"/>
      <c r="E56" s="1"/>
      <c r="F56" s="1"/>
      <c r="G56" s="1"/>
      <c r="H56" s="1"/>
      <c r="I56" s="0" t="s">
        <v>99</v>
      </c>
      <c r="J56" s="0" t="s">
        <v>134</v>
      </c>
      <c r="K56" s="0" t="s">
        <v>135</v>
      </c>
    </row>
    <row r="57" customFormat="false" ht="15" hidden="false" customHeight="false" outlineLevel="0" collapsed="false">
      <c r="A57" s="0" t="s">
        <v>98</v>
      </c>
      <c r="B57" s="1"/>
      <c r="C57" s="1"/>
      <c r="D57" s="0"/>
      <c r="E57" s="1"/>
      <c r="F57" s="1"/>
      <c r="G57" s="1"/>
      <c r="H57" s="1"/>
      <c r="I57" s="0" t="s">
        <v>99</v>
      </c>
      <c r="J57" s="0" t="s">
        <v>136</v>
      </c>
      <c r="K57" s="0" t="s">
        <v>137</v>
      </c>
    </row>
    <row r="58" customFormat="false" ht="15" hidden="false" customHeight="false" outlineLevel="0" collapsed="false">
      <c r="A58" s="0" t="s">
        <v>98</v>
      </c>
      <c r="B58" s="1"/>
      <c r="C58" s="1"/>
      <c r="D58" s="0"/>
      <c r="E58" s="1"/>
      <c r="F58" s="1"/>
      <c r="G58" s="1"/>
      <c r="H58" s="1"/>
      <c r="I58" s="0" t="s">
        <v>99</v>
      </c>
      <c r="J58" s="0" t="s">
        <v>138</v>
      </c>
      <c r="K58" s="0" t="s">
        <v>139</v>
      </c>
    </row>
    <row r="59" customFormat="false" ht="15" hidden="false" customHeight="false" outlineLevel="0" collapsed="false">
      <c r="A59" s="0" t="s">
        <v>98</v>
      </c>
      <c r="B59" s="1"/>
      <c r="C59" s="1"/>
      <c r="D59" s="0"/>
      <c r="E59" s="1"/>
      <c r="F59" s="1"/>
      <c r="G59" s="1"/>
      <c r="H59" s="1"/>
      <c r="I59" s="0" t="s">
        <v>99</v>
      </c>
      <c r="J59" s="0" t="s">
        <v>140</v>
      </c>
      <c r="K59" s="0" t="s">
        <v>141</v>
      </c>
    </row>
    <row r="60" customFormat="false" ht="15" hidden="false" customHeight="false" outlineLevel="0" collapsed="false">
      <c r="A60" s="0" t="s">
        <v>98</v>
      </c>
      <c r="B60" s="1"/>
      <c r="C60" s="1"/>
      <c r="D60" s="0"/>
      <c r="E60" s="1"/>
      <c r="F60" s="1"/>
      <c r="G60" s="1"/>
      <c r="H60" s="1"/>
      <c r="I60" s="0" t="s">
        <v>99</v>
      </c>
      <c r="J60" s="0" t="s">
        <v>142</v>
      </c>
      <c r="K60" s="0" t="s">
        <v>143</v>
      </c>
    </row>
    <row r="61" customFormat="false" ht="15" hidden="false" customHeight="false" outlineLevel="0" collapsed="false">
      <c r="A61" s="0" t="s">
        <v>98</v>
      </c>
      <c r="B61" s="1"/>
      <c r="C61" s="1"/>
      <c r="D61" s="0"/>
      <c r="E61" s="1"/>
      <c r="F61" s="1"/>
      <c r="G61" s="1"/>
      <c r="H61" s="1"/>
      <c r="I61" s="0" t="s">
        <v>99</v>
      </c>
      <c r="J61" s="0" t="s">
        <v>144</v>
      </c>
      <c r="K61" s="0" t="s">
        <v>145</v>
      </c>
    </row>
    <row r="62" customFormat="false" ht="15" hidden="false" customHeight="false" outlineLevel="0" collapsed="false">
      <c r="A62" s="0" t="s">
        <v>98</v>
      </c>
      <c r="B62" s="1"/>
      <c r="C62" s="1"/>
      <c r="D62" s="0"/>
      <c r="E62" s="1"/>
      <c r="F62" s="1"/>
      <c r="G62" s="1"/>
      <c r="H62" s="1"/>
      <c r="I62" s="0" t="s">
        <v>99</v>
      </c>
      <c r="J62" s="0" t="s">
        <v>146</v>
      </c>
      <c r="K62" s="0" t="s">
        <v>147</v>
      </c>
    </row>
    <row r="63" customFormat="false" ht="15" hidden="false" customHeight="false" outlineLevel="0" collapsed="false">
      <c r="A63" s="0" t="s">
        <v>98</v>
      </c>
      <c r="B63" s="1"/>
      <c r="C63" s="1"/>
      <c r="D63" s="0"/>
      <c r="E63" s="1"/>
      <c r="F63" s="1"/>
      <c r="G63" s="1"/>
      <c r="H63" s="1"/>
      <c r="I63" s="0" t="s">
        <v>99</v>
      </c>
      <c r="J63" s="0" t="s">
        <v>148</v>
      </c>
      <c r="K63" s="0" t="s">
        <v>149</v>
      </c>
    </row>
    <row r="64" customFormat="false" ht="15" hidden="false" customHeight="false" outlineLevel="0" collapsed="false">
      <c r="A64" s="0" t="s">
        <v>98</v>
      </c>
      <c r="B64" s="1"/>
      <c r="C64" s="1"/>
      <c r="D64" s="0"/>
      <c r="E64" s="1"/>
      <c r="F64" s="1"/>
      <c r="G64" s="1"/>
      <c r="H64" s="1"/>
      <c r="I64" s="0" t="s">
        <v>99</v>
      </c>
      <c r="J64" s="0" t="s">
        <v>150</v>
      </c>
      <c r="K64" s="0" t="s">
        <v>151</v>
      </c>
    </row>
    <row r="65" customFormat="false" ht="15" hidden="false" customHeight="false" outlineLevel="0" collapsed="false">
      <c r="A65" s="0" t="s">
        <v>98</v>
      </c>
      <c r="B65" s="1"/>
      <c r="C65" s="1"/>
      <c r="D65" s="0"/>
      <c r="E65" s="1"/>
      <c r="F65" s="1"/>
      <c r="G65" s="1"/>
      <c r="H65" s="1"/>
      <c r="I65" s="0" t="s">
        <v>99</v>
      </c>
      <c r="J65" s="0" t="s">
        <v>152</v>
      </c>
      <c r="K65" s="0" t="s">
        <v>153</v>
      </c>
    </row>
    <row r="66" customFormat="false" ht="15" hidden="false" customHeight="false" outlineLevel="0" collapsed="false">
      <c r="A66" s="0" t="s">
        <v>98</v>
      </c>
      <c r="B66" s="1"/>
      <c r="C66" s="1"/>
      <c r="D66" s="0"/>
      <c r="E66" s="1"/>
      <c r="F66" s="1"/>
      <c r="G66" s="1"/>
      <c r="H66" s="1"/>
      <c r="I66" s="0" t="s">
        <v>99</v>
      </c>
      <c r="J66" s="0" t="s">
        <v>154</v>
      </c>
      <c r="K66" s="0" t="s">
        <v>155</v>
      </c>
    </row>
    <row r="67" customFormat="false" ht="15" hidden="false" customHeight="false" outlineLevel="0" collapsed="false">
      <c r="A67" s="0" t="s">
        <v>98</v>
      </c>
      <c r="B67" s="1"/>
      <c r="C67" s="1"/>
      <c r="D67" s="0"/>
      <c r="E67" s="1"/>
      <c r="F67" s="1"/>
      <c r="G67" s="1"/>
      <c r="H67" s="1"/>
      <c r="I67" s="0" t="s">
        <v>99</v>
      </c>
      <c r="J67" s="0" t="s">
        <v>156</v>
      </c>
      <c r="K67" s="0" t="s">
        <v>157</v>
      </c>
    </row>
    <row r="68" customFormat="false" ht="15" hidden="false" customHeight="false" outlineLevel="0" collapsed="false">
      <c r="A68" s="0" t="s">
        <v>98</v>
      </c>
      <c r="B68" s="1"/>
      <c r="C68" s="1"/>
      <c r="D68" s="0"/>
      <c r="E68" s="1"/>
      <c r="F68" s="1"/>
      <c r="G68" s="1"/>
      <c r="H68" s="1"/>
      <c r="I68" s="0" t="s">
        <v>99</v>
      </c>
      <c r="J68" s="0" t="s">
        <v>158</v>
      </c>
      <c r="K68" s="0" t="s">
        <v>159</v>
      </c>
    </row>
    <row r="69" customFormat="false" ht="15" hidden="false" customHeight="false" outlineLevel="0" collapsed="false">
      <c r="A69" s="0" t="s">
        <v>98</v>
      </c>
      <c r="B69" s="1"/>
      <c r="C69" s="1"/>
      <c r="D69" s="0"/>
      <c r="E69" s="1"/>
      <c r="F69" s="1"/>
      <c r="G69" s="1"/>
      <c r="H69" s="1"/>
      <c r="I69" s="0" t="s">
        <v>99</v>
      </c>
      <c r="J69" s="0" t="s">
        <v>160</v>
      </c>
      <c r="K69" s="0" t="s">
        <v>161</v>
      </c>
    </row>
    <row r="70" customFormat="false" ht="15" hidden="false" customHeight="false" outlineLevel="0" collapsed="false">
      <c r="A70" s="0" t="s">
        <v>98</v>
      </c>
      <c r="B70" s="1"/>
      <c r="C70" s="1"/>
      <c r="D70" s="0"/>
      <c r="E70" s="1"/>
      <c r="F70" s="1"/>
      <c r="G70" s="1"/>
      <c r="H70" s="1"/>
      <c r="I70" s="0" t="s">
        <v>99</v>
      </c>
      <c r="J70" s="0" t="s">
        <v>162</v>
      </c>
      <c r="K70" s="0" t="s">
        <v>163</v>
      </c>
    </row>
    <row r="71" customFormat="false" ht="15" hidden="false" customHeight="false" outlineLevel="0" collapsed="false">
      <c r="A71" s="0" t="s">
        <v>98</v>
      </c>
      <c r="B71" s="1"/>
      <c r="C71" s="1"/>
      <c r="D71" s="0"/>
      <c r="E71" s="1"/>
      <c r="F71" s="1"/>
      <c r="G71" s="1"/>
      <c r="H71" s="1"/>
      <c r="I71" s="0" t="s">
        <v>164</v>
      </c>
      <c r="J71" s="0" t="s">
        <v>165</v>
      </c>
      <c r="K71" s="0" t="s">
        <v>166</v>
      </c>
    </row>
    <row r="72" customFormat="false" ht="15" hidden="false" customHeight="false" outlineLevel="0" collapsed="false">
      <c r="A72" s="0" t="s">
        <v>98</v>
      </c>
      <c r="B72" s="1"/>
      <c r="C72" s="1"/>
      <c r="D72" s="0"/>
      <c r="E72" s="1"/>
      <c r="F72" s="1"/>
      <c r="G72" s="1"/>
      <c r="H72" s="1"/>
      <c r="I72" s="0" t="s">
        <v>164</v>
      </c>
      <c r="J72" s="0" t="s">
        <v>167</v>
      </c>
      <c r="K72" s="0" t="s">
        <v>168</v>
      </c>
    </row>
    <row r="73" customFormat="false" ht="15" hidden="false" customHeight="false" outlineLevel="0" collapsed="false">
      <c r="A73" s="0" t="s">
        <v>98</v>
      </c>
      <c r="B73" s="1"/>
      <c r="C73" s="1"/>
      <c r="D73" s="0"/>
      <c r="E73" s="1"/>
      <c r="F73" s="1"/>
      <c r="G73" s="1"/>
      <c r="H73" s="1"/>
      <c r="I73" s="0" t="s">
        <v>164</v>
      </c>
      <c r="J73" s="0" t="s">
        <v>169</v>
      </c>
      <c r="K73" s="0" t="s">
        <v>170</v>
      </c>
    </row>
    <row r="74" customFormat="false" ht="15" hidden="false" customHeight="false" outlineLevel="0" collapsed="false">
      <c r="A74" s="5" t="s">
        <v>98</v>
      </c>
      <c r="B74" s="6"/>
      <c r="C74" s="6"/>
      <c r="D74" s="6"/>
      <c r="E74" s="6"/>
      <c r="F74" s="6"/>
      <c r="G74" s="6"/>
      <c r="H74" s="6"/>
      <c r="I74" s="5" t="s">
        <v>171</v>
      </c>
      <c r="J74" s="5" t="s">
        <v>172</v>
      </c>
      <c r="K74" s="5" t="s">
        <v>173</v>
      </c>
    </row>
    <row r="75" customFormat="false" ht="15" hidden="false" customHeight="false" outlineLevel="0" collapsed="false">
      <c r="A75" s="5" t="s">
        <v>98</v>
      </c>
      <c r="B75" s="6"/>
      <c r="C75" s="6"/>
      <c r="D75" s="6"/>
      <c r="E75" s="6"/>
      <c r="F75" s="6"/>
      <c r="G75" s="6"/>
      <c r="H75" s="6"/>
      <c r="I75" s="5" t="s">
        <v>171</v>
      </c>
      <c r="J75" s="5" t="s">
        <v>174</v>
      </c>
      <c r="K75" s="5" t="s">
        <v>175</v>
      </c>
    </row>
    <row r="76" customFormat="false" ht="15" hidden="false" customHeight="false" outlineLevel="0" collapsed="false">
      <c r="A76" s="5" t="s">
        <v>98</v>
      </c>
      <c r="B76" s="6"/>
      <c r="C76" s="6"/>
      <c r="D76" s="6"/>
      <c r="E76" s="6"/>
      <c r="F76" s="6"/>
      <c r="G76" s="6"/>
      <c r="H76" s="6"/>
      <c r="I76" s="5" t="s">
        <v>171</v>
      </c>
      <c r="J76" s="5" t="s">
        <v>176</v>
      </c>
      <c r="K76" s="5" t="s">
        <v>177</v>
      </c>
    </row>
    <row r="77" customFormat="false" ht="15" hidden="false" customHeight="false" outlineLevel="0" collapsed="false">
      <c r="A77" s="5" t="s">
        <v>98</v>
      </c>
      <c r="B77" s="6"/>
      <c r="C77" s="6"/>
      <c r="D77" s="6"/>
      <c r="E77" s="6"/>
      <c r="F77" s="6"/>
      <c r="G77" s="6"/>
      <c r="H77" s="6"/>
      <c r="I77" s="5" t="s">
        <v>171</v>
      </c>
      <c r="J77" s="5" t="s">
        <v>178</v>
      </c>
      <c r="K77" s="5" t="s">
        <v>179</v>
      </c>
    </row>
    <row r="78" customFormat="false" ht="15" hidden="false" customHeight="false" outlineLevel="0" collapsed="false">
      <c r="A78" s="5" t="s">
        <v>98</v>
      </c>
      <c r="B78" s="6"/>
      <c r="C78" s="6"/>
      <c r="D78" s="6"/>
      <c r="E78" s="6"/>
      <c r="F78" s="6"/>
      <c r="G78" s="6"/>
      <c r="H78" s="6"/>
      <c r="I78" s="5" t="s">
        <v>171</v>
      </c>
      <c r="J78" s="5" t="s">
        <v>180</v>
      </c>
      <c r="K78" s="5" t="s">
        <v>181</v>
      </c>
    </row>
    <row r="79" customFormat="false" ht="15" hidden="false" customHeight="false" outlineLevel="0" collapsed="false">
      <c r="A79" s="5" t="s">
        <v>98</v>
      </c>
      <c r="B79" s="6"/>
      <c r="C79" s="6"/>
      <c r="D79" s="6"/>
      <c r="E79" s="6"/>
      <c r="F79" s="6"/>
      <c r="G79" s="6"/>
      <c r="H79" s="6"/>
      <c r="I79" s="5" t="s">
        <v>171</v>
      </c>
      <c r="J79" s="5" t="s">
        <v>182</v>
      </c>
      <c r="K79" s="5" t="s">
        <v>183</v>
      </c>
    </row>
    <row r="80" customFormat="false" ht="15" hidden="false" customHeight="false" outlineLevel="0" collapsed="false">
      <c r="A80" s="5" t="s">
        <v>98</v>
      </c>
      <c r="B80" s="6"/>
      <c r="C80" s="6"/>
      <c r="D80" s="6"/>
      <c r="E80" s="6"/>
      <c r="F80" s="6"/>
      <c r="G80" s="6"/>
      <c r="H80" s="6"/>
      <c r="I80" s="5" t="s">
        <v>171</v>
      </c>
      <c r="J80" s="5" t="s">
        <v>184</v>
      </c>
      <c r="K80" s="5" t="s">
        <v>185</v>
      </c>
    </row>
    <row r="81" customFormat="false" ht="15" hidden="false" customHeight="false" outlineLevel="0" collapsed="false">
      <c r="A81" s="5" t="s">
        <v>98</v>
      </c>
      <c r="B81" s="6"/>
      <c r="C81" s="6"/>
      <c r="D81" s="6"/>
      <c r="E81" s="6"/>
      <c r="F81" s="6"/>
      <c r="G81" s="6"/>
      <c r="H81" s="6"/>
      <c r="I81" s="5" t="s">
        <v>171</v>
      </c>
      <c r="J81" s="5" t="s">
        <v>186</v>
      </c>
      <c r="K81" s="5" t="s">
        <v>187</v>
      </c>
    </row>
    <row r="82" customFormat="false" ht="15" hidden="false" customHeight="false" outlineLevel="0" collapsed="false">
      <c r="A82" s="5" t="s">
        <v>98</v>
      </c>
      <c r="B82" s="6"/>
      <c r="C82" s="6"/>
      <c r="D82" s="6"/>
      <c r="E82" s="6"/>
      <c r="F82" s="6"/>
      <c r="G82" s="6"/>
      <c r="H82" s="6"/>
      <c r="I82" s="5" t="s">
        <v>171</v>
      </c>
      <c r="J82" s="5" t="s">
        <v>188</v>
      </c>
      <c r="K82" s="5" t="s">
        <v>189</v>
      </c>
    </row>
    <row r="83" customFormat="false" ht="15" hidden="false" customHeight="false" outlineLevel="0" collapsed="false">
      <c r="A83" s="5" t="s">
        <v>98</v>
      </c>
      <c r="B83" s="6"/>
      <c r="C83" s="6"/>
      <c r="D83" s="6"/>
      <c r="E83" s="6"/>
      <c r="F83" s="6"/>
      <c r="G83" s="6"/>
      <c r="H83" s="6"/>
      <c r="I83" s="5" t="s">
        <v>171</v>
      </c>
      <c r="J83" s="5" t="s">
        <v>190</v>
      </c>
      <c r="K83" s="5" t="s">
        <v>191</v>
      </c>
    </row>
    <row r="84" customFormat="false" ht="15" hidden="false" customHeight="false" outlineLevel="0" collapsed="false">
      <c r="A84" s="0" t="s">
        <v>192</v>
      </c>
      <c r="B84" s="0" t="s">
        <v>193</v>
      </c>
      <c r="D84" s="1" t="s">
        <v>194</v>
      </c>
      <c r="E84" s="1"/>
      <c r="F84" s="1"/>
      <c r="G84" s="1"/>
      <c r="H84" s="1" t="s">
        <v>16</v>
      </c>
      <c r="I84" s="0" t="s">
        <v>195</v>
      </c>
      <c r="J84" s="0" t="s">
        <v>196</v>
      </c>
      <c r="K84" s="0" t="s">
        <v>197</v>
      </c>
    </row>
    <row r="85" customFormat="false" ht="15" hidden="false" customHeight="false" outlineLevel="0" collapsed="false">
      <c r="A85" s="0" t="s">
        <v>192</v>
      </c>
      <c r="B85" s="0" t="s">
        <v>193</v>
      </c>
      <c r="D85" s="1" t="s">
        <v>198</v>
      </c>
      <c r="E85" s="1"/>
      <c r="F85" s="1"/>
      <c r="G85" s="1"/>
      <c r="H85" s="1" t="s">
        <v>16</v>
      </c>
      <c r="I85" s="0" t="s">
        <v>195</v>
      </c>
      <c r="J85" s="0" t="s">
        <v>199</v>
      </c>
      <c r="K85" s="0" t="s">
        <v>200</v>
      </c>
    </row>
    <row r="86" customFormat="false" ht="15" hidden="false" customHeight="false" outlineLevel="0" collapsed="false">
      <c r="A86" s="0" t="s">
        <v>192</v>
      </c>
      <c r="B86" s="1" t="s">
        <v>201</v>
      </c>
      <c r="C86" s="1" t="s">
        <v>13</v>
      </c>
      <c r="D86" s="1" t="s">
        <v>28</v>
      </c>
      <c r="E86" s="1"/>
      <c r="F86" s="1"/>
      <c r="G86" s="1"/>
      <c r="H86" s="1" t="s">
        <v>16</v>
      </c>
      <c r="I86" s="0" t="s">
        <v>195</v>
      </c>
      <c r="J86" s="0" t="s">
        <v>202</v>
      </c>
      <c r="K86" s="0" t="s">
        <v>203</v>
      </c>
    </row>
    <row r="87" customFormat="false" ht="15" hidden="false" customHeight="false" outlineLevel="0" collapsed="false">
      <c r="A87" s="0" t="s">
        <v>192</v>
      </c>
      <c r="B87" s="1" t="s">
        <v>201</v>
      </c>
      <c r="C87" s="1" t="s">
        <v>23</v>
      </c>
      <c r="D87" s="1" t="s">
        <v>28</v>
      </c>
      <c r="E87" s="1"/>
      <c r="F87" s="1"/>
      <c r="G87" s="1"/>
      <c r="H87" s="1" t="s">
        <v>16</v>
      </c>
      <c r="I87" s="0" t="s">
        <v>195</v>
      </c>
      <c r="J87" s="0" t="s">
        <v>204</v>
      </c>
      <c r="K87" s="0" t="s">
        <v>205</v>
      </c>
    </row>
    <row r="88" customFormat="false" ht="15" hidden="false" customHeight="false" outlineLevel="0" collapsed="false">
      <c r="A88" s="0" t="s">
        <v>192</v>
      </c>
      <c r="B88" s="1" t="s">
        <v>201</v>
      </c>
      <c r="C88" s="1" t="s">
        <v>13</v>
      </c>
      <c r="D88" s="1" t="s">
        <v>206</v>
      </c>
      <c r="E88" s="1"/>
      <c r="F88" s="1"/>
      <c r="G88" s="1"/>
      <c r="H88" s="1" t="s">
        <v>16</v>
      </c>
      <c r="I88" s="0" t="s">
        <v>195</v>
      </c>
      <c r="J88" s="0" t="s">
        <v>207</v>
      </c>
      <c r="K88" s="0" t="s">
        <v>208</v>
      </c>
    </row>
    <row r="89" customFormat="false" ht="15" hidden="false" customHeight="false" outlineLevel="0" collapsed="false">
      <c r="A89" s="0" t="s">
        <v>192</v>
      </c>
      <c r="B89" s="1" t="s">
        <v>201</v>
      </c>
      <c r="C89" s="1" t="s">
        <v>23</v>
      </c>
      <c r="D89" s="1" t="s">
        <v>206</v>
      </c>
      <c r="E89" s="1"/>
      <c r="F89" s="1"/>
      <c r="G89" s="1"/>
      <c r="H89" s="1" t="s">
        <v>16</v>
      </c>
      <c r="I89" s="0" t="s">
        <v>195</v>
      </c>
      <c r="J89" s="0" t="s">
        <v>209</v>
      </c>
      <c r="K89" s="0" t="s">
        <v>210</v>
      </c>
    </row>
    <row r="90" customFormat="false" ht="15" hidden="false" customHeight="false" outlineLevel="0" collapsed="false">
      <c r="A90" s="0" t="s">
        <v>192</v>
      </c>
      <c r="B90" s="1" t="s">
        <v>201</v>
      </c>
      <c r="C90" s="1" t="s">
        <v>13</v>
      </c>
      <c r="D90" s="1" t="s">
        <v>211</v>
      </c>
      <c r="E90" s="1"/>
      <c r="F90" s="1"/>
      <c r="G90" s="1"/>
      <c r="H90" s="1" t="s">
        <v>16</v>
      </c>
      <c r="I90" s="0" t="s">
        <v>212</v>
      </c>
      <c r="J90" s="0" t="s">
        <v>213</v>
      </c>
      <c r="K90" s="0" t="s">
        <v>214</v>
      </c>
    </row>
    <row r="91" customFormat="false" ht="15" hidden="false" customHeight="false" outlineLevel="0" collapsed="false">
      <c r="A91" s="0" t="s">
        <v>192</v>
      </c>
      <c r="B91" s="1" t="s">
        <v>201</v>
      </c>
      <c r="C91" s="1" t="s">
        <v>23</v>
      </c>
      <c r="D91" s="1" t="s">
        <v>211</v>
      </c>
      <c r="E91" s="1"/>
      <c r="F91" s="1"/>
      <c r="G91" s="1"/>
      <c r="H91" s="1" t="s">
        <v>16</v>
      </c>
      <c r="I91" s="0" t="s">
        <v>212</v>
      </c>
      <c r="J91" s="0" t="s">
        <v>215</v>
      </c>
      <c r="K91" s="0" t="s">
        <v>216</v>
      </c>
    </row>
    <row r="92" customFormat="false" ht="15" hidden="false" customHeight="false" outlineLevel="0" collapsed="false">
      <c r="A92" s="0" t="s">
        <v>192</v>
      </c>
      <c r="B92" s="1" t="s">
        <v>201</v>
      </c>
      <c r="C92" s="1" t="s">
        <v>13</v>
      </c>
      <c r="D92" s="1" t="s">
        <v>217</v>
      </c>
      <c r="E92" s="1"/>
      <c r="F92" s="1"/>
      <c r="G92" s="1"/>
      <c r="H92" s="1" t="s">
        <v>16</v>
      </c>
      <c r="I92" s="0" t="s">
        <v>212</v>
      </c>
      <c r="J92" s="0" t="s">
        <v>218</v>
      </c>
      <c r="K92" s="0" t="s">
        <v>219</v>
      </c>
    </row>
    <row r="93" customFormat="false" ht="15" hidden="false" customHeight="false" outlineLevel="0" collapsed="false">
      <c r="A93" s="0" t="s">
        <v>192</v>
      </c>
      <c r="B93" s="1" t="s">
        <v>201</v>
      </c>
      <c r="C93" s="1" t="s">
        <v>23</v>
      </c>
      <c r="D93" s="1" t="s">
        <v>217</v>
      </c>
      <c r="E93" s="1"/>
      <c r="F93" s="1"/>
      <c r="G93" s="1"/>
      <c r="H93" s="1" t="s">
        <v>16</v>
      </c>
      <c r="I93" s="0" t="s">
        <v>212</v>
      </c>
      <c r="J93" s="0" t="s">
        <v>220</v>
      </c>
      <c r="K93" s="0" t="s">
        <v>221</v>
      </c>
    </row>
    <row r="94" customFormat="false" ht="15" hidden="false" customHeight="false" outlineLevel="0" collapsed="false">
      <c r="A94" s="0" t="s">
        <v>192</v>
      </c>
      <c r="D94" s="0"/>
      <c r="E94" s="1"/>
      <c r="H94" s="1"/>
      <c r="I94" s="0" t="s">
        <v>222</v>
      </c>
      <c r="J94" s="0" t="s">
        <v>223</v>
      </c>
      <c r="K94" s="0" t="s">
        <v>224</v>
      </c>
    </row>
    <row r="95" customFormat="false" ht="15" hidden="false" customHeight="false" outlineLevel="0" collapsed="false">
      <c r="A95" s="0" t="s">
        <v>192</v>
      </c>
      <c r="D95" s="0"/>
      <c r="E95" s="1"/>
      <c r="F95" s="1"/>
      <c r="G95" s="1"/>
      <c r="H95" s="1"/>
      <c r="I95" s="0" t="s">
        <v>222</v>
      </c>
      <c r="J95" s="0" t="s">
        <v>225</v>
      </c>
      <c r="K95" s="0" t="s">
        <v>226</v>
      </c>
    </row>
    <row r="96" customFormat="false" ht="15" hidden="false" customHeight="false" outlineLevel="0" collapsed="false">
      <c r="A96" s="0" t="s">
        <v>192</v>
      </c>
      <c r="B96" s="1" t="s">
        <v>227</v>
      </c>
      <c r="C96" s="1" t="s">
        <v>13</v>
      </c>
      <c r="D96" s="1" t="s">
        <v>28</v>
      </c>
      <c r="E96" s="1"/>
      <c r="F96" s="0" t="s">
        <v>228</v>
      </c>
      <c r="H96" s="1" t="s">
        <v>16</v>
      </c>
      <c r="I96" s="0" t="s">
        <v>222</v>
      </c>
      <c r="J96" s="0" t="s">
        <v>229</v>
      </c>
      <c r="K96" s="0" t="s">
        <v>230</v>
      </c>
    </row>
    <row r="97" customFormat="false" ht="15" hidden="false" customHeight="false" outlineLevel="0" collapsed="false">
      <c r="A97" s="0" t="s">
        <v>192</v>
      </c>
      <c r="B97" s="1" t="s">
        <v>227</v>
      </c>
      <c r="C97" s="1" t="s">
        <v>23</v>
      </c>
      <c r="D97" s="1" t="s">
        <v>28</v>
      </c>
      <c r="E97" s="1"/>
      <c r="F97" s="0" t="s">
        <v>228</v>
      </c>
      <c r="H97" s="1" t="s">
        <v>16</v>
      </c>
      <c r="I97" s="0" t="s">
        <v>222</v>
      </c>
      <c r="J97" s="0" t="s">
        <v>231</v>
      </c>
      <c r="K97" s="0" t="s">
        <v>232</v>
      </c>
    </row>
    <row r="98" customFormat="false" ht="15" hidden="false" customHeight="false" outlineLevel="0" collapsed="false">
      <c r="A98" s="0" t="s">
        <v>192</v>
      </c>
      <c r="B98" s="1" t="s">
        <v>227</v>
      </c>
      <c r="C98" s="1" t="s">
        <v>13</v>
      </c>
      <c r="D98" s="1" t="s">
        <v>206</v>
      </c>
      <c r="E98" s="1"/>
      <c r="F98" s="0" t="s">
        <v>228</v>
      </c>
      <c r="H98" s="1" t="s">
        <v>16</v>
      </c>
      <c r="I98" s="0" t="s">
        <v>222</v>
      </c>
      <c r="J98" s="0" t="s">
        <v>233</v>
      </c>
      <c r="K98" s="0" t="s">
        <v>234</v>
      </c>
    </row>
    <row r="99" customFormat="false" ht="15" hidden="false" customHeight="false" outlineLevel="0" collapsed="false">
      <c r="A99" s="0" t="s">
        <v>192</v>
      </c>
      <c r="B99" s="1" t="s">
        <v>227</v>
      </c>
      <c r="C99" s="1" t="s">
        <v>23</v>
      </c>
      <c r="D99" s="1" t="s">
        <v>206</v>
      </c>
      <c r="E99" s="1"/>
      <c r="F99" s="0" t="s">
        <v>228</v>
      </c>
      <c r="H99" s="1" t="s">
        <v>16</v>
      </c>
      <c r="I99" s="0" t="s">
        <v>222</v>
      </c>
      <c r="J99" s="0" t="s">
        <v>235</v>
      </c>
      <c r="K99" s="0" t="s">
        <v>236</v>
      </c>
    </row>
    <row r="100" customFormat="false" ht="15" hidden="false" customHeight="false" outlineLevel="0" collapsed="false">
      <c r="A100" s="0" t="s">
        <v>192</v>
      </c>
      <c r="B100" s="1" t="s">
        <v>227</v>
      </c>
      <c r="C100" s="1" t="s">
        <v>13</v>
      </c>
      <c r="D100" s="1" t="s">
        <v>211</v>
      </c>
      <c r="E100" s="1"/>
      <c r="F100" s="0" t="s">
        <v>228</v>
      </c>
      <c r="H100" s="1" t="s">
        <v>16</v>
      </c>
      <c r="I100" s="0" t="s">
        <v>222</v>
      </c>
      <c r="J100" s="0" t="s">
        <v>237</v>
      </c>
      <c r="K100" s="0" t="s">
        <v>238</v>
      </c>
    </row>
    <row r="101" customFormat="false" ht="15" hidden="false" customHeight="false" outlineLevel="0" collapsed="false">
      <c r="A101" s="0" t="s">
        <v>192</v>
      </c>
      <c r="B101" s="1" t="s">
        <v>227</v>
      </c>
      <c r="C101" s="1" t="s">
        <v>23</v>
      </c>
      <c r="D101" s="1" t="s">
        <v>211</v>
      </c>
      <c r="E101" s="1"/>
      <c r="F101" s="0" t="s">
        <v>228</v>
      </c>
      <c r="H101" s="1" t="s">
        <v>16</v>
      </c>
      <c r="I101" s="0" t="s">
        <v>222</v>
      </c>
      <c r="J101" s="0" t="s">
        <v>239</v>
      </c>
      <c r="K101" s="0" t="s">
        <v>240</v>
      </c>
    </row>
    <row r="102" customFormat="false" ht="15" hidden="false" customHeight="false" outlineLevel="0" collapsed="false">
      <c r="A102" s="0" t="s">
        <v>192</v>
      </c>
      <c r="B102" s="1" t="s">
        <v>227</v>
      </c>
      <c r="C102" s="1" t="s">
        <v>13</v>
      </c>
      <c r="D102" s="1" t="s">
        <v>217</v>
      </c>
      <c r="E102" s="1"/>
      <c r="F102" s="0" t="s">
        <v>228</v>
      </c>
      <c r="H102" s="1" t="s">
        <v>16</v>
      </c>
      <c r="I102" s="0" t="s">
        <v>222</v>
      </c>
      <c r="J102" s="0" t="s">
        <v>241</v>
      </c>
      <c r="K102" s="0" t="s">
        <v>242</v>
      </c>
    </row>
    <row r="103" customFormat="false" ht="15" hidden="false" customHeight="false" outlineLevel="0" collapsed="false">
      <c r="A103" s="0" t="s">
        <v>192</v>
      </c>
      <c r="B103" s="1" t="s">
        <v>227</v>
      </c>
      <c r="C103" s="1" t="s">
        <v>23</v>
      </c>
      <c r="D103" s="1" t="s">
        <v>217</v>
      </c>
      <c r="E103" s="1"/>
      <c r="F103" s="0" t="s">
        <v>228</v>
      </c>
      <c r="H103" s="1" t="s">
        <v>16</v>
      </c>
      <c r="I103" s="0" t="s">
        <v>222</v>
      </c>
      <c r="J103" s="0" t="s">
        <v>243</v>
      </c>
      <c r="K103" s="0" t="s">
        <v>244</v>
      </c>
    </row>
    <row r="104" customFormat="false" ht="15" hidden="false" customHeight="false" outlineLevel="0" collapsed="false">
      <c r="A104" s="0" t="s">
        <v>192</v>
      </c>
      <c r="B104" s="1"/>
      <c r="C104" s="1"/>
      <c r="D104" s="0"/>
      <c r="E104" s="1"/>
      <c r="F104" s="1"/>
      <c r="G104" s="1"/>
      <c r="H104" s="1"/>
      <c r="I104" s="0" t="s">
        <v>245</v>
      </c>
      <c r="J104" s="0" t="s">
        <v>246</v>
      </c>
      <c r="K104" s="0" t="s">
        <v>247</v>
      </c>
    </row>
    <row r="105" customFormat="false" ht="15" hidden="false" customHeight="false" outlineLevel="0" collapsed="false">
      <c r="A105" s="0" t="s">
        <v>192</v>
      </c>
      <c r="B105" s="1"/>
      <c r="C105" s="1"/>
      <c r="D105" s="0"/>
      <c r="E105" s="1"/>
      <c r="F105" s="1"/>
      <c r="G105" s="1"/>
      <c r="H105" s="1"/>
      <c r="I105" s="0" t="s">
        <v>245</v>
      </c>
      <c r="J105" s="0" t="s">
        <v>248</v>
      </c>
      <c r="K105" s="0" t="s">
        <v>249</v>
      </c>
    </row>
    <row r="106" customFormat="false" ht="15" hidden="false" customHeight="false" outlineLevel="0" collapsed="false">
      <c r="A106" s="0" t="s">
        <v>192</v>
      </c>
      <c r="B106" s="1" t="s">
        <v>227</v>
      </c>
      <c r="C106" s="1" t="s">
        <v>13</v>
      </c>
      <c r="D106" s="1" t="s">
        <v>28</v>
      </c>
      <c r="E106" s="1"/>
      <c r="F106" s="0" t="s">
        <v>250</v>
      </c>
      <c r="H106" s="1" t="s">
        <v>16</v>
      </c>
      <c r="I106" s="0" t="s">
        <v>245</v>
      </c>
      <c r="J106" s="0" t="s">
        <v>251</v>
      </c>
      <c r="K106" s="0" t="s">
        <v>252</v>
      </c>
    </row>
    <row r="107" customFormat="false" ht="15" hidden="false" customHeight="false" outlineLevel="0" collapsed="false">
      <c r="A107" s="0" t="s">
        <v>192</v>
      </c>
      <c r="B107" s="1" t="s">
        <v>227</v>
      </c>
      <c r="C107" s="1" t="s">
        <v>23</v>
      </c>
      <c r="D107" s="1" t="s">
        <v>28</v>
      </c>
      <c r="E107" s="1"/>
      <c r="F107" s="0" t="s">
        <v>250</v>
      </c>
      <c r="H107" s="1" t="s">
        <v>16</v>
      </c>
      <c r="I107" s="0" t="s">
        <v>245</v>
      </c>
      <c r="J107" s="0" t="s">
        <v>253</v>
      </c>
      <c r="K107" s="0" t="s">
        <v>254</v>
      </c>
    </row>
    <row r="108" customFormat="false" ht="15" hidden="false" customHeight="false" outlineLevel="0" collapsed="false">
      <c r="A108" s="0" t="s">
        <v>192</v>
      </c>
      <c r="B108" s="1" t="s">
        <v>227</v>
      </c>
      <c r="C108" s="1" t="s">
        <v>13</v>
      </c>
      <c r="D108" s="1" t="s">
        <v>206</v>
      </c>
      <c r="E108" s="1"/>
      <c r="F108" s="0" t="s">
        <v>250</v>
      </c>
      <c r="H108" s="1" t="s">
        <v>16</v>
      </c>
      <c r="I108" s="0" t="s">
        <v>245</v>
      </c>
      <c r="J108" s="0" t="s">
        <v>255</v>
      </c>
      <c r="K108" s="0" t="s">
        <v>256</v>
      </c>
    </row>
    <row r="109" customFormat="false" ht="15" hidden="false" customHeight="false" outlineLevel="0" collapsed="false">
      <c r="A109" s="0" t="s">
        <v>192</v>
      </c>
      <c r="B109" s="1" t="s">
        <v>227</v>
      </c>
      <c r="C109" s="1" t="s">
        <v>23</v>
      </c>
      <c r="D109" s="1" t="s">
        <v>206</v>
      </c>
      <c r="E109" s="1"/>
      <c r="F109" s="0" t="s">
        <v>250</v>
      </c>
      <c r="H109" s="1" t="s">
        <v>16</v>
      </c>
      <c r="I109" s="0" t="s">
        <v>245</v>
      </c>
      <c r="J109" s="0" t="s">
        <v>257</v>
      </c>
      <c r="K109" s="0" t="s">
        <v>258</v>
      </c>
    </row>
    <row r="110" customFormat="false" ht="15" hidden="false" customHeight="false" outlineLevel="0" collapsed="false">
      <c r="A110" s="0" t="s">
        <v>192</v>
      </c>
      <c r="B110" s="1" t="s">
        <v>227</v>
      </c>
      <c r="C110" s="1" t="s">
        <v>13</v>
      </c>
      <c r="D110" s="1" t="s">
        <v>211</v>
      </c>
      <c r="E110" s="1"/>
      <c r="F110" s="0" t="s">
        <v>250</v>
      </c>
      <c r="H110" s="1" t="s">
        <v>16</v>
      </c>
      <c r="I110" s="0" t="s">
        <v>245</v>
      </c>
      <c r="J110" s="0" t="s">
        <v>259</v>
      </c>
      <c r="K110" s="0" t="s">
        <v>260</v>
      </c>
    </row>
    <row r="111" customFormat="false" ht="15" hidden="false" customHeight="false" outlineLevel="0" collapsed="false">
      <c r="A111" s="0" t="s">
        <v>192</v>
      </c>
      <c r="B111" s="1" t="s">
        <v>227</v>
      </c>
      <c r="C111" s="1" t="s">
        <v>23</v>
      </c>
      <c r="D111" s="1" t="s">
        <v>211</v>
      </c>
      <c r="E111" s="1"/>
      <c r="F111" s="0" t="s">
        <v>250</v>
      </c>
      <c r="H111" s="1" t="s">
        <v>16</v>
      </c>
      <c r="I111" s="0" t="s">
        <v>245</v>
      </c>
      <c r="J111" s="0" t="s">
        <v>261</v>
      </c>
      <c r="K111" s="0" t="s">
        <v>262</v>
      </c>
    </row>
    <row r="112" customFormat="false" ht="15" hidden="false" customHeight="false" outlineLevel="0" collapsed="false">
      <c r="A112" s="0" t="s">
        <v>192</v>
      </c>
      <c r="B112" s="1" t="s">
        <v>227</v>
      </c>
      <c r="C112" s="1" t="s">
        <v>13</v>
      </c>
      <c r="D112" s="1" t="s">
        <v>217</v>
      </c>
      <c r="E112" s="1"/>
      <c r="F112" s="0" t="s">
        <v>250</v>
      </c>
      <c r="H112" s="1" t="s">
        <v>16</v>
      </c>
      <c r="I112" s="0" t="s">
        <v>245</v>
      </c>
      <c r="J112" s="0" t="s">
        <v>263</v>
      </c>
      <c r="K112" s="0" t="s">
        <v>264</v>
      </c>
    </row>
    <row r="113" customFormat="false" ht="15" hidden="false" customHeight="false" outlineLevel="0" collapsed="false">
      <c r="A113" s="0" t="s">
        <v>192</v>
      </c>
      <c r="B113" s="1" t="s">
        <v>227</v>
      </c>
      <c r="C113" s="1" t="s">
        <v>23</v>
      </c>
      <c r="D113" s="1" t="s">
        <v>217</v>
      </c>
      <c r="E113" s="1"/>
      <c r="F113" s="0" t="s">
        <v>250</v>
      </c>
      <c r="H113" s="1" t="s">
        <v>16</v>
      </c>
      <c r="I113" s="0" t="s">
        <v>245</v>
      </c>
      <c r="J113" s="0" t="s">
        <v>265</v>
      </c>
      <c r="K113" s="0" t="s">
        <v>266</v>
      </c>
    </row>
    <row r="114" customFormat="false" ht="15" hidden="false" customHeight="false" outlineLevel="0" collapsed="false">
      <c r="A114" s="0" t="s">
        <v>192</v>
      </c>
      <c r="B114" s="1"/>
      <c r="C114" s="1"/>
      <c r="D114" s="0"/>
      <c r="E114" s="1"/>
      <c r="F114" s="1"/>
      <c r="G114" s="1"/>
      <c r="H114" s="1"/>
      <c r="I114" s="0" t="s">
        <v>267</v>
      </c>
      <c r="J114" s="0" t="s">
        <v>268</v>
      </c>
      <c r="K114" s="0" t="s">
        <v>269</v>
      </c>
    </row>
    <row r="115" customFormat="false" ht="15" hidden="false" customHeight="false" outlineLevel="0" collapsed="false">
      <c r="A115" s="0" t="s">
        <v>192</v>
      </c>
      <c r="B115" s="1"/>
      <c r="C115" s="1"/>
      <c r="D115" s="0"/>
      <c r="E115" s="1"/>
      <c r="F115" s="1"/>
      <c r="G115" s="1"/>
      <c r="H115" s="1"/>
      <c r="I115" s="0" t="s">
        <v>267</v>
      </c>
      <c r="J115" s="0" t="s">
        <v>270</v>
      </c>
      <c r="K115" s="0" t="s">
        <v>271</v>
      </c>
    </row>
    <row r="116" customFormat="false" ht="15" hidden="false" customHeight="false" outlineLevel="0" collapsed="false">
      <c r="A116" s="0" t="s">
        <v>192</v>
      </c>
      <c r="B116" s="1" t="s">
        <v>227</v>
      </c>
      <c r="C116" s="1" t="s">
        <v>13</v>
      </c>
      <c r="D116" s="1" t="s">
        <v>28</v>
      </c>
      <c r="E116" s="1"/>
      <c r="F116" s="0" t="s">
        <v>272</v>
      </c>
      <c r="H116" s="1" t="s">
        <v>16</v>
      </c>
      <c r="I116" s="0" t="s">
        <v>267</v>
      </c>
      <c r="J116" s="0" t="s">
        <v>273</v>
      </c>
      <c r="K116" s="0" t="s">
        <v>274</v>
      </c>
    </row>
    <row r="117" customFormat="false" ht="15" hidden="false" customHeight="false" outlineLevel="0" collapsed="false">
      <c r="A117" s="0" t="s">
        <v>192</v>
      </c>
      <c r="B117" s="1" t="s">
        <v>227</v>
      </c>
      <c r="C117" s="1" t="s">
        <v>23</v>
      </c>
      <c r="D117" s="1" t="s">
        <v>28</v>
      </c>
      <c r="E117" s="1"/>
      <c r="F117" s="0" t="s">
        <v>272</v>
      </c>
      <c r="H117" s="1" t="s">
        <v>16</v>
      </c>
      <c r="I117" s="0" t="s">
        <v>267</v>
      </c>
      <c r="J117" s="0" t="s">
        <v>275</v>
      </c>
      <c r="K117" s="0" t="s">
        <v>276</v>
      </c>
    </row>
    <row r="118" customFormat="false" ht="15" hidden="false" customHeight="false" outlineLevel="0" collapsed="false">
      <c r="A118" s="0" t="s">
        <v>192</v>
      </c>
      <c r="B118" s="1" t="s">
        <v>227</v>
      </c>
      <c r="C118" s="1" t="s">
        <v>13</v>
      </c>
      <c r="D118" s="1" t="s">
        <v>206</v>
      </c>
      <c r="E118" s="1"/>
      <c r="F118" s="0" t="s">
        <v>272</v>
      </c>
      <c r="H118" s="1" t="s">
        <v>16</v>
      </c>
      <c r="I118" s="0" t="s">
        <v>267</v>
      </c>
      <c r="J118" s="0" t="s">
        <v>277</v>
      </c>
      <c r="K118" s="0" t="s">
        <v>278</v>
      </c>
    </row>
    <row r="119" customFormat="false" ht="15" hidden="false" customHeight="false" outlineLevel="0" collapsed="false">
      <c r="A119" s="0" t="s">
        <v>192</v>
      </c>
      <c r="B119" s="1" t="s">
        <v>227</v>
      </c>
      <c r="C119" s="1" t="s">
        <v>23</v>
      </c>
      <c r="D119" s="1" t="s">
        <v>206</v>
      </c>
      <c r="E119" s="1"/>
      <c r="F119" s="0" t="s">
        <v>272</v>
      </c>
      <c r="H119" s="1" t="s">
        <v>16</v>
      </c>
      <c r="I119" s="0" t="s">
        <v>267</v>
      </c>
      <c r="J119" s="0" t="s">
        <v>279</v>
      </c>
      <c r="K119" s="0" t="s">
        <v>280</v>
      </c>
    </row>
    <row r="120" customFormat="false" ht="15" hidden="false" customHeight="false" outlineLevel="0" collapsed="false">
      <c r="A120" s="0" t="s">
        <v>192</v>
      </c>
      <c r="B120" s="1" t="s">
        <v>227</v>
      </c>
      <c r="C120" s="1" t="s">
        <v>13</v>
      </c>
      <c r="D120" s="1" t="s">
        <v>211</v>
      </c>
      <c r="E120" s="1"/>
      <c r="F120" s="0" t="s">
        <v>272</v>
      </c>
      <c r="H120" s="1" t="s">
        <v>16</v>
      </c>
      <c r="I120" s="0" t="s">
        <v>267</v>
      </c>
      <c r="J120" s="0" t="s">
        <v>281</v>
      </c>
      <c r="K120" s="0" t="s">
        <v>282</v>
      </c>
    </row>
    <row r="121" customFormat="false" ht="15" hidden="false" customHeight="false" outlineLevel="0" collapsed="false">
      <c r="A121" s="0" t="s">
        <v>192</v>
      </c>
      <c r="B121" s="1" t="s">
        <v>227</v>
      </c>
      <c r="C121" s="1" t="s">
        <v>23</v>
      </c>
      <c r="D121" s="1" t="s">
        <v>211</v>
      </c>
      <c r="E121" s="1"/>
      <c r="F121" s="0" t="s">
        <v>272</v>
      </c>
      <c r="H121" s="1" t="s">
        <v>16</v>
      </c>
      <c r="I121" s="0" t="s">
        <v>267</v>
      </c>
      <c r="J121" s="0" t="s">
        <v>283</v>
      </c>
      <c r="K121" s="0" t="s">
        <v>284</v>
      </c>
    </row>
    <row r="122" customFormat="false" ht="15" hidden="false" customHeight="false" outlineLevel="0" collapsed="false">
      <c r="A122" s="0" t="s">
        <v>192</v>
      </c>
      <c r="B122" s="1" t="s">
        <v>227</v>
      </c>
      <c r="C122" s="1" t="s">
        <v>13</v>
      </c>
      <c r="D122" s="1" t="s">
        <v>217</v>
      </c>
      <c r="E122" s="1"/>
      <c r="F122" s="0" t="s">
        <v>272</v>
      </c>
      <c r="H122" s="1" t="s">
        <v>16</v>
      </c>
      <c r="I122" s="0" t="s">
        <v>267</v>
      </c>
      <c r="J122" s="0" t="s">
        <v>285</v>
      </c>
      <c r="K122" s="0" t="s">
        <v>286</v>
      </c>
    </row>
    <row r="123" customFormat="false" ht="15" hidden="false" customHeight="false" outlineLevel="0" collapsed="false">
      <c r="A123" s="0" t="s">
        <v>192</v>
      </c>
      <c r="B123" s="1" t="s">
        <v>227</v>
      </c>
      <c r="C123" s="1" t="s">
        <v>23</v>
      </c>
      <c r="D123" s="1" t="s">
        <v>217</v>
      </c>
      <c r="E123" s="1"/>
      <c r="F123" s="0" t="s">
        <v>272</v>
      </c>
      <c r="H123" s="1" t="s">
        <v>16</v>
      </c>
      <c r="I123" s="0" t="s">
        <v>267</v>
      </c>
      <c r="J123" s="0" t="s">
        <v>287</v>
      </c>
      <c r="K123" s="0" t="s">
        <v>288</v>
      </c>
    </row>
    <row r="124" customFormat="false" ht="15" hidden="false" customHeight="false" outlineLevel="0" collapsed="false">
      <c r="A124" s="0" t="s">
        <v>192</v>
      </c>
      <c r="B124" s="1"/>
      <c r="C124" s="1"/>
      <c r="D124" s="0"/>
      <c r="E124" s="1"/>
      <c r="F124" s="1"/>
      <c r="G124" s="1"/>
      <c r="H124" s="1"/>
      <c r="I124" s="0" t="s">
        <v>289</v>
      </c>
      <c r="J124" s="0" t="s">
        <v>290</v>
      </c>
      <c r="K124" s="0" t="s">
        <v>291</v>
      </c>
    </row>
    <row r="125" customFormat="false" ht="15" hidden="false" customHeight="false" outlineLevel="0" collapsed="false">
      <c r="A125" s="0" t="s">
        <v>192</v>
      </c>
      <c r="B125" s="1"/>
      <c r="C125" s="1"/>
      <c r="D125" s="0"/>
      <c r="E125" s="1"/>
      <c r="F125" s="1"/>
      <c r="G125" s="1"/>
      <c r="H125" s="1"/>
      <c r="I125" s="0" t="s">
        <v>289</v>
      </c>
      <c r="J125" s="0" t="s">
        <v>292</v>
      </c>
      <c r="K125" s="0" t="s">
        <v>293</v>
      </c>
    </row>
    <row r="126" customFormat="false" ht="15" hidden="false" customHeight="false" outlineLevel="0" collapsed="false">
      <c r="A126" s="0" t="s">
        <v>192</v>
      </c>
      <c r="B126" s="1" t="s">
        <v>227</v>
      </c>
      <c r="C126" s="1" t="s">
        <v>13</v>
      </c>
      <c r="D126" s="1" t="s">
        <v>28</v>
      </c>
      <c r="E126" s="1"/>
      <c r="F126" s="0" t="s">
        <v>294</v>
      </c>
      <c r="H126" s="1" t="s">
        <v>16</v>
      </c>
      <c r="I126" s="0" t="s">
        <v>289</v>
      </c>
      <c r="J126" s="0" t="s">
        <v>295</v>
      </c>
      <c r="K126" s="0" t="s">
        <v>296</v>
      </c>
    </row>
    <row r="127" customFormat="false" ht="15" hidden="false" customHeight="false" outlineLevel="0" collapsed="false">
      <c r="A127" s="0" t="s">
        <v>192</v>
      </c>
      <c r="B127" s="1" t="s">
        <v>227</v>
      </c>
      <c r="C127" s="1" t="s">
        <v>23</v>
      </c>
      <c r="D127" s="1" t="s">
        <v>28</v>
      </c>
      <c r="E127" s="1"/>
      <c r="F127" s="0" t="s">
        <v>294</v>
      </c>
      <c r="H127" s="1" t="s">
        <v>16</v>
      </c>
      <c r="I127" s="0" t="s">
        <v>289</v>
      </c>
      <c r="J127" s="0" t="s">
        <v>297</v>
      </c>
      <c r="K127" s="0" t="s">
        <v>298</v>
      </c>
    </row>
    <row r="128" customFormat="false" ht="15" hidden="false" customHeight="false" outlineLevel="0" collapsed="false">
      <c r="A128" s="0" t="s">
        <v>192</v>
      </c>
      <c r="B128" s="1" t="s">
        <v>227</v>
      </c>
      <c r="C128" s="1" t="s">
        <v>13</v>
      </c>
      <c r="D128" s="1" t="s">
        <v>206</v>
      </c>
      <c r="E128" s="1"/>
      <c r="F128" s="0" t="s">
        <v>294</v>
      </c>
      <c r="H128" s="1" t="s">
        <v>16</v>
      </c>
      <c r="I128" s="0" t="s">
        <v>289</v>
      </c>
      <c r="J128" s="0" t="s">
        <v>299</v>
      </c>
      <c r="K128" s="0" t="s">
        <v>300</v>
      </c>
    </row>
    <row r="129" customFormat="false" ht="15" hidden="false" customHeight="false" outlineLevel="0" collapsed="false">
      <c r="A129" s="0" t="s">
        <v>192</v>
      </c>
      <c r="B129" s="1" t="s">
        <v>227</v>
      </c>
      <c r="C129" s="1" t="s">
        <v>23</v>
      </c>
      <c r="D129" s="1" t="s">
        <v>206</v>
      </c>
      <c r="E129" s="1"/>
      <c r="F129" s="0" t="s">
        <v>294</v>
      </c>
      <c r="H129" s="1" t="s">
        <v>16</v>
      </c>
      <c r="I129" s="0" t="s">
        <v>289</v>
      </c>
      <c r="J129" s="0" t="s">
        <v>301</v>
      </c>
      <c r="K129" s="0" t="s">
        <v>302</v>
      </c>
    </row>
    <row r="130" customFormat="false" ht="15" hidden="false" customHeight="false" outlineLevel="0" collapsed="false">
      <c r="A130" s="0" t="s">
        <v>192</v>
      </c>
      <c r="B130" s="1" t="s">
        <v>227</v>
      </c>
      <c r="C130" s="1" t="s">
        <v>13</v>
      </c>
      <c r="D130" s="1" t="s">
        <v>211</v>
      </c>
      <c r="E130" s="1"/>
      <c r="F130" s="0" t="s">
        <v>294</v>
      </c>
      <c r="H130" s="1" t="s">
        <v>16</v>
      </c>
      <c r="I130" s="0" t="s">
        <v>289</v>
      </c>
      <c r="J130" s="0" t="s">
        <v>303</v>
      </c>
      <c r="K130" s="0" t="s">
        <v>304</v>
      </c>
    </row>
    <row r="131" customFormat="false" ht="15" hidden="false" customHeight="false" outlineLevel="0" collapsed="false">
      <c r="A131" s="0" t="s">
        <v>192</v>
      </c>
      <c r="B131" s="1" t="s">
        <v>227</v>
      </c>
      <c r="C131" s="1" t="s">
        <v>23</v>
      </c>
      <c r="D131" s="1" t="s">
        <v>211</v>
      </c>
      <c r="E131" s="1"/>
      <c r="F131" s="0" t="s">
        <v>294</v>
      </c>
      <c r="H131" s="1" t="s">
        <v>16</v>
      </c>
      <c r="I131" s="0" t="s">
        <v>289</v>
      </c>
      <c r="J131" s="0" t="s">
        <v>305</v>
      </c>
      <c r="K131" s="0" t="s">
        <v>306</v>
      </c>
    </row>
    <row r="132" customFormat="false" ht="15" hidden="false" customHeight="false" outlineLevel="0" collapsed="false">
      <c r="A132" s="0" t="s">
        <v>192</v>
      </c>
      <c r="B132" s="1" t="s">
        <v>227</v>
      </c>
      <c r="C132" s="1" t="s">
        <v>13</v>
      </c>
      <c r="D132" s="1" t="s">
        <v>217</v>
      </c>
      <c r="E132" s="1"/>
      <c r="F132" s="0" t="s">
        <v>294</v>
      </c>
      <c r="H132" s="1" t="s">
        <v>16</v>
      </c>
      <c r="I132" s="0" t="s">
        <v>289</v>
      </c>
      <c r="J132" s="0" t="s">
        <v>307</v>
      </c>
      <c r="K132" s="0" t="s">
        <v>308</v>
      </c>
    </row>
    <row r="133" customFormat="false" ht="15" hidden="false" customHeight="false" outlineLevel="0" collapsed="false">
      <c r="A133" s="0" t="s">
        <v>192</v>
      </c>
      <c r="B133" s="1" t="s">
        <v>227</v>
      </c>
      <c r="C133" s="1" t="s">
        <v>23</v>
      </c>
      <c r="D133" s="1" t="s">
        <v>217</v>
      </c>
      <c r="E133" s="1"/>
      <c r="F133" s="0" t="s">
        <v>294</v>
      </c>
      <c r="H133" s="1" t="s">
        <v>16</v>
      </c>
      <c r="I133" s="0" t="s">
        <v>289</v>
      </c>
      <c r="J133" s="0" t="s">
        <v>309</v>
      </c>
      <c r="K133" s="0" t="s">
        <v>310</v>
      </c>
    </row>
    <row r="134" customFormat="false" ht="15" hidden="false" customHeight="false" outlineLevel="0" collapsed="false">
      <c r="A134" s="0" t="s">
        <v>192</v>
      </c>
      <c r="B134" s="1"/>
      <c r="C134" s="1"/>
      <c r="D134" s="0"/>
      <c r="E134" s="1"/>
      <c r="F134" s="1"/>
      <c r="G134" s="1"/>
      <c r="H134" s="1"/>
      <c r="I134" s="0" t="s">
        <v>311</v>
      </c>
      <c r="J134" s="0" t="s">
        <v>312</v>
      </c>
      <c r="K134" s="0" t="s">
        <v>313</v>
      </c>
    </row>
    <row r="135" customFormat="false" ht="15" hidden="false" customHeight="false" outlineLevel="0" collapsed="false">
      <c r="A135" s="0" t="s">
        <v>192</v>
      </c>
      <c r="B135" s="1"/>
      <c r="C135" s="1"/>
      <c r="D135" s="0"/>
      <c r="E135" s="1"/>
      <c r="F135" s="1"/>
      <c r="G135" s="1"/>
      <c r="H135" s="1"/>
      <c r="I135" s="0" t="s">
        <v>311</v>
      </c>
      <c r="J135" s="0" t="s">
        <v>314</v>
      </c>
      <c r="K135" s="0" t="s">
        <v>315</v>
      </c>
    </row>
    <row r="136" customFormat="false" ht="15" hidden="false" customHeight="false" outlineLevel="0" collapsed="false">
      <c r="A136" s="0" t="s">
        <v>192</v>
      </c>
      <c r="B136" s="1" t="s">
        <v>227</v>
      </c>
      <c r="C136" s="1" t="s">
        <v>13</v>
      </c>
      <c r="D136" s="1" t="s">
        <v>28</v>
      </c>
      <c r="E136" s="1"/>
      <c r="F136" s="0" t="s">
        <v>316</v>
      </c>
      <c r="H136" s="1" t="s">
        <v>16</v>
      </c>
      <c r="I136" s="0" t="s">
        <v>311</v>
      </c>
      <c r="J136" s="0" t="s">
        <v>317</v>
      </c>
      <c r="K136" s="0" t="s">
        <v>318</v>
      </c>
    </row>
    <row r="137" customFormat="false" ht="15" hidden="false" customHeight="false" outlineLevel="0" collapsed="false">
      <c r="A137" s="0" t="s">
        <v>192</v>
      </c>
      <c r="B137" s="1" t="s">
        <v>227</v>
      </c>
      <c r="C137" s="1" t="s">
        <v>23</v>
      </c>
      <c r="D137" s="1" t="s">
        <v>28</v>
      </c>
      <c r="E137" s="1"/>
      <c r="F137" s="0" t="s">
        <v>316</v>
      </c>
      <c r="H137" s="1" t="s">
        <v>16</v>
      </c>
      <c r="I137" s="0" t="s">
        <v>311</v>
      </c>
      <c r="J137" s="0" t="s">
        <v>319</v>
      </c>
      <c r="K137" s="0" t="s">
        <v>320</v>
      </c>
    </row>
    <row r="138" customFormat="false" ht="15" hidden="false" customHeight="false" outlineLevel="0" collapsed="false">
      <c r="A138" s="0" t="s">
        <v>192</v>
      </c>
      <c r="B138" s="1" t="s">
        <v>227</v>
      </c>
      <c r="C138" s="1" t="s">
        <v>13</v>
      </c>
      <c r="D138" s="1" t="s">
        <v>206</v>
      </c>
      <c r="E138" s="1"/>
      <c r="F138" s="0" t="s">
        <v>316</v>
      </c>
      <c r="H138" s="1" t="s">
        <v>16</v>
      </c>
      <c r="I138" s="0" t="s">
        <v>311</v>
      </c>
      <c r="J138" s="0" t="s">
        <v>321</v>
      </c>
      <c r="K138" s="0" t="s">
        <v>322</v>
      </c>
    </row>
    <row r="139" customFormat="false" ht="15" hidden="false" customHeight="false" outlineLevel="0" collapsed="false">
      <c r="A139" s="0" t="s">
        <v>192</v>
      </c>
      <c r="B139" s="1" t="s">
        <v>227</v>
      </c>
      <c r="C139" s="1" t="s">
        <v>23</v>
      </c>
      <c r="D139" s="1" t="s">
        <v>206</v>
      </c>
      <c r="E139" s="1"/>
      <c r="F139" s="0" t="s">
        <v>316</v>
      </c>
      <c r="H139" s="1" t="s">
        <v>16</v>
      </c>
      <c r="I139" s="0" t="s">
        <v>311</v>
      </c>
      <c r="J139" s="0" t="s">
        <v>323</v>
      </c>
      <c r="K139" s="0" t="s">
        <v>324</v>
      </c>
    </row>
    <row r="140" customFormat="false" ht="15" hidden="false" customHeight="false" outlineLevel="0" collapsed="false">
      <c r="A140" s="0" t="s">
        <v>192</v>
      </c>
      <c r="B140" s="1" t="s">
        <v>227</v>
      </c>
      <c r="C140" s="1" t="s">
        <v>13</v>
      </c>
      <c r="D140" s="1" t="s">
        <v>211</v>
      </c>
      <c r="E140" s="1"/>
      <c r="F140" s="0" t="s">
        <v>316</v>
      </c>
      <c r="H140" s="1" t="s">
        <v>16</v>
      </c>
      <c r="I140" s="0" t="s">
        <v>311</v>
      </c>
      <c r="J140" s="0" t="s">
        <v>325</v>
      </c>
      <c r="K140" s="0" t="s">
        <v>326</v>
      </c>
    </row>
    <row r="141" customFormat="false" ht="15" hidden="false" customHeight="false" outlineLevel="0" collapsed="false">
      <c r="A141" s="0" t="s">
        <v>192</v>
      </c>
      <c r="B141" s="1" t="s">
        <v>227</v>
      </c>
      <c r="C141" s="1" t="s">
        <v>23</v>
      </c>
      <c r="D141" s="1" t="s">
        <v>211</v>
      </c>
      <c r="E141" s="1"/>
      <c r="F141" s="0" t="s">
        <v>316</v>
      </c>
      <c r="H141" s="1" t="s">
        <v>16</v>
      </c>
      <c r="I141" s="0" t="s">
        <v>311</v>
      </c>
      <c r="J141" s="0" t="s">
        <v>327</v>
      </c>
      <c r="K141" s="0" t="s">
        <v>328</v>
      </c>
    </row>
    <row r="142" customFormat="false" ht="15" hidden="false" customHeight="false" outlineLevel="0" collapsed="false">
      <c r="A142" s="0" t="s">
        <v>192</v>
      </c>
      <c r="B142" s="1" t="s">
        <v>227</v>
      </c>
      <c r="C142" s="1" t="s">
        <v>13</v>
      </c>
      <c r="D142" s="1" t="s">
        <v>217</v>
      </c>
      <c r="E142" s="1"/>
      <c r="F142" s="0" t="s">
        <v>316</v>
      </c>
      <c r="H142" s="1" t="s">
        <v>16</v>
      </c>
      <c r="I142" s="0" t="s">
        <v>311</v>
      </c>
      <c r="J142" s="0" t="s">
        <v>329</v>
      </c>
      <c r="K142" s="0" t="s">
        <v>330</v>
      </c>
    </row>
    <row r="143" customFormat="false" ht="15" hidden="false" customHeight="false" outlineLevel="0" collapsed="false">
      <c r="A143" s="0" t="s">
        <v>192</v>
      </c>
      <c r="B143" s="1" t="s">
        <v>227</v>
      </c>
      <c r="C143" s="1" t="s">
        <v>23</v>
      </c>
      <c r="D143" s="1" t="s">
        <v>217</v>
      </c>
      <c r="E143" s="1"/>
      <c r="F143" s="0" t="s">
        <v>316</v>
      </c>
      <c r="H143" s="1" t="s">
        <v>16</v>
      </c>
      <c r="I143" s="0" t="s">
        <v>311</v>
      </c>
      <c r="J143" s="0" t="s">
        <v>331</v>
      </c>
      <c r="K143" s="0" t="s">
        <v>332</v>
      </c>
    </row>
    <row r="144" customFormat="false" ht="15" hidden="false" customHeight="false" outlineLevel="0" collapsed="false">
      <c r="A144" s="0" t="s">
        <v>333</v>
      </c>
      <c r="B144" s="1" t="s">
        <v>334</v>
      </c>
      <c r="C144" s="1"/>
      <c r="D144" s="1" t="s">
        <v>335</v>
      </c>
      <c r="E144" s="1" t="s">
        <v>336</v>
      </c>
      <c r="G144" s="1"/>
      <c r="H144" s="1" t="s">
        <v>16</v>
      </c>
      <c r="I144" s="0" t="s">
        <v>337</v>
      </c>
      <c r="J144" s="0" t="s">
        <v>338</v>
      </c>
      <c r="K144" s="0" t="s">
        <v>339</v>
      </c>
    </row>
    <row r="145" customFormat="false" ht="15" hidden="false" customHeight="false" outlineLevel="0" collapsed="false">
      <c r="A145" s="0" t="s">
        <v>333</v>
      </c>
      <c r="B145" s="1" t="s">
        <v>334</v>
      </c>
      <c r="C145" s="1"/>
      <c r="D145" s="1" t="s">
        <v>335</v>
      </c>
      <c r="E145" s="1" t="s">
        <v>340</v>
      </c>
      <c r="G145" s="1"/>
      <c r="H145" s="1" t="s">
        <v>16</v>
      </c>
      <c r="I145" s="0" t="s">
        <v>337</v>
      </c>
      <c r="J145" s="0" t="s">
        <v>338</v>
      </c>
      <c r="K145" s="0" t="s">
        <v>339</v>
      </c>
    </row>
    <row r="146" customFormat="false" ht="15" hidden="false" customHeight="false" outlineLevel="0" collapsed="false">
      <c r="A146" s="0" t="s">
        <v>333</v>
      </c>
      <c r="B146" s="1" t="s">
        <v>334</v>
      </c>
      <c r="C146" s="1"/>
      <c r="D146" s="1" t="s">
        <v>335</v>
      </c>
      <c r="E146" s="1" t="s">
        <v>341</v>
      </c>
      <c r="G146" s="1"/>
      <c r="H146" s="1" t="s">
        <v>16</v>
      </c>
      <c r="I146" s="0" t="s">
        <v>337</v>
      </c>
      <c r="J146" s="0" t="s">
        <v>338</v>
      </c>
      <c r="K146" s="0" t="s">
        <v>339</v>
      </c>
    </row>
    <row r="147" customFormat="false" ht="15" hidden="false" customHeight="false" outlineLevel="0" collapsed="false">
      <c r="A147" s="0" t="s">
        <v>333</v>
      </c>
      <c r="B147" s="1" t="s">
        <v>334</v>
      </c>
      <c r="C147" s="1"/>
      <c r="D147" s="1" t="s">
        <v>342</v>
      </c>
      <c r="E147" s="1" t="s">
        <v>336</v>
      </c>
      <c r="G147" s="1"/>
      <c r="H147" s="1" t="s">
        <v>16</v>
      </c>
      <c r="I147" s="0" t="s">
        <v>337</v>
      </c>
      <c r="J147" s="0" t="s">
        <v>343</v>
      </c>
      <c r="K147" s="0" t="s">
        <v>344</v>
      </c>
    </row>
    <row r="148" customFormat="false" ht="15" hidden="false" customHeight="false" outlineLevel="0" collapsed="false">
      <c r="A148" s="0" t="s">
        <v>333</v>
      </c>
      <c r="B148" s="1" t="s">
        <v>334</v>
      </c>
      <c r="C148" s="1"/>
      <c r="D148" s="1" t="s">
        <v>342</v>
      </c>
      <c r="E148" s="1" t="s">
        <v>340</v>
      </c>
      <c r="G148" s="1"/>
      <c r="H148" s="1" t="s">
        <v>16</v>
      </c>
      <c r="I148" s="0" t="s">
        <v>337</v>
      </c>
      <c r="J148" s="0" t="s">
        <v>343</v>
      </c>
      <c r="K148" s="0" t="s">
        <v>344</v>
      </c>
    </row>
    <row r="149" customFormat="false" ht="15" hidden="false" customHeight="false" outlineLevel="0" collapsed="false">
      <c r="A149" s="0" t="s">
        <v>333</v>
      </c>
      <c r="B149" s="1" t="s">
        <v>334</v>
      </c>
      <c r="C149" s="1"/>
      <c r="D149" s="1" t="s">
        <v>342</v>
      </c>
      <c r="E149" s="1" t="s">
        <v>341</v>
      </c>
      <c r="G149" s="1"/>
      <c r="H149" s="1" t="s">
        <v>16</v>
      </c>
      <c r="I149" s="0" t="s">
        <v>337</v>
      </c>
      <c r="J149" s="0" t="s">
        <v>343</v>
      </c>
      <c r="K149" s="0" t="s">
        <v>344</v>
      </c>
    </row>
    <row r="150" customFormat="false" ht="15" hidden="false" customHeight="false" outlineLevel="0" collapsed="false">
      <c r="A150" s="0" t="s">
        <v>345</v>
      </c>
      <c r="B150" s="1" t="s">
        <v>337</v>
      </c>
      <c r="C150" s="1"/>
      <c r="D150" s="1" t="s">
        <v>14</v>
      </c>
      <c r="E150" s="1"/>
      <c r="F150" s="1"/>
      <c r="G150" s="1"/>
      <c r="H150" s="1" t="s">
        <v>346</v>
      </c>
      <c r="I150" s="0" t="s">
        <v>347</v>
      </c>
      <c r="J150" s="0" t="s">
        <v>348</v>
      </c>
      <c r="K150" s="0" t="s">
        <v>349</v>
      </c>
    </row>
    <row r="151" customFormat="false" ht="15" hidden="false" customHeight="false" outlineLevel="0" collapsed="false">
      <c r="A151" s="0" t="s">
        <v>345</v>
      </c>
      <c r="B151" s="1" t="s">
        <v>337</v>
      </c>
      <c r="C151" s="1"/>
      <c r="D151" s="1" t="s">
        <v>28</v>
      </c>
      <c r="E151" s="1"/>
      <c r="F151" s="1"/>
      <c r="G151" s="1"/>
      <c r="H151" s="1" t="s">
        <v>346</v>
      </c>
      <c r="I151" s="0" t="s">
        <v>347</v>
      </c>
      <c r="J151" s="0" t="s">
        <v>202</v>
      </c>
      <c r="K151" s="0" t="s">
        <v>350</v>
      </c>
    </row>
    <row r="152" customFormat="false" ht="15" hidden="false" customHeight="false" outlineLevel="0" collapsed="false">
      <c r="A152" s="0" t="s">
        <v>345</v>
      </c>
      <c r="B152" s="1" t="s">
        <v>337</v>
      </c>
      <c r="C152" s="1"/>
      <c r="D152" s="1" t="s">
        <v>37</v>
      </c>
      <c r="E152" s="1"/>
      <c r="F152" s="1"/>
      <c r="G152" s="1"/>
      <c r="H152" s="1" t="s">
        <v>346</v>
      </c>
      <c r="I152" s="0" t="s">
        <v>347</v>
      </c>
      <c r="J152" s="0" t="s">
        <v>351</v>
      </c>
      <c r="K152" s="0" t="s">
        <v>352</v>
      </c>
    </row>
    <row r="153" customFormat="false" ht="15" hidden="false" customHeight="false" outlineLevel="0" collapsed="false">
      <c r="A153" s="0" t="s">
        <v>345</v>
      </c>
      <c r="B153" s="1" t="s">
        <v>337</v>
      </c>
      <c r="C153" s="1"/>
      <c r="D153" s="1" t="s">
        <v>46</v>
      </c>
      <c r="E153" s="1"/>
      <c r="F153" s="1"/>
      <c r="G153" s="1"/>
      <c r="H153" s="1" t="s">
        <v>346</v>
      </c>
      <c r="I153" s="0" t="s">
        <v>347</v>
      </c>
      <c r="J153" s="0" t="s">
        <v>353</v>
      </c>
      <c r="K153" s="0" t="s">
        <v>354</v>
      </c>
    </row>
    <row r="154" customFormat="false" ht="15" hidden="false" customHeight="false" outlineLevel="0" collapsed="false">
      <c r="A154" s="0" t="s">
        <v>345</v>
      </c>
      <c r="B154" s="1"/>
      <c r="C154" s="1"/>
      <c r="D154" s="0"/>
      <c r="E154" s="1"/>
      <c r="F154" s="1"/>
      <c r="G154" s="1"/>
      <c r="H154" s="1"/>
      <c r="I154" s="0" t="s">
        <v>347</v>
      </c>
      <c r="J154" s="0" t="s">
        <v>355</v>
      </c>
      <c r="K154" s="0" t="s">
        <v>356</v>
      </c>
    </row>
    <row r="155" customFormat="false" ht="15" hidden="false" customHeight="false" outlineLevel="0" collapsed="false">
      <c r="A155" s="0" t="s">
        <v>345</v>
      </c>
      <c r="D155" s="0"/>
      <c r="E155" s="1"/>
      <c r="F155" s="1"/>
      <c r="G155" s="1"/>
      <c r="H155" s="1"/>
      <c r="I155" s="0" t="s">
        <v>347</v>
      </c>
      <c r="J155" s="0" t="s">
        <v>357</v>
      </c>
      <c r="K155" s="0" t="s">
        <v>358</v>
      </c>
    </row>
    <row r="156" customFormat="false" ht="15" hidden="false" customHeight="false" outlineLevel="0" collapsed="false">
      <c r="A156" s="0" t="s">
        <v>345</v>
      </c>
      <c r="D156" s="0"/>
      <c r="E156" s="1"/>
      <c r="F156" s="1"/>
      <c r="G156" s="1"/>
      <c r="H156" s="1"/>
      <c r="I156" s="0" t="s">
        <v>347</v>
      </c>
      <c r="J156" s="0" t="s">
        <v>359</v>
      </c>
      <c r="K156" s="0" t="s">
        <v>360</v>
      </c>
    </row>
    <row r="157" customFormat="false" ht="15" hidden="false" customHeight="false" outlineLevel="0" collapsed="false">
      <c r="A157" s="0" t="s">
        <v>345</v>
      </c>
      <c r="B157" s="1"/>
      <c r="C157" s="1"/>
      <c r="D157" s="0"/>
      <c r="E157" s="1"/>
      <c r="F157" s="1"/>
      <c r="G157" s="1"/>
      <c r="H157" s="1"/>
      <c r="I157" s="0" t="s">
        <v>347</v>
      </c>
      <c r="J157" s="0" t="s">
        <v>361</v>
      </c>
      <c r="K157" s="0" t="s">
        <v>362</v>
      </c>
    </row>
    <row r="158" customFormat="false" ht="15" hidden="false" customHeight="false" outlineLevel="0" collapsed="false">
      <c r="A158" s="0" t="s">
        <v>345</v>
      </c>
      <c r="B158" s="1" t="s">
        <v>337</v>
      </c>
      <c r="C158" s="1"/>
      <c r="D158" s="1" t="s">
        <v>87</v>
      </c>
      <c r="E158" s="1"/>
      <c r="F158" s="1"/>
      <c r="G158" s="1"/>
      <c r="H158" s="1" t="s">
        <v>346</v>
      </c>
      <c r="I158" s="0" t="s">
        <v>347</v>
      </c>
      <c r="J158" s="0" t="s">
        <v>363</v>
      </c>
      <c r="K158" s="0" t="s">
        <v>364</v>
      </c>
    </row>
    <row r="159" customFormat="false" ht="15" hidden="false" customHeight="false" outlineLevel="0" collapsed="false">
      <c r="A159" s="0" t="s">
        <v>345</v>
      </c>
      <c r="B159" s="1" t="s">
        <v>365</v>
      </c>
      <c r="C159" s="1"/>
      <c r="D159" s="1" t="s">
        <v>14</v>
      </c>
      <c r="E159" s="1" t="s">
        <v>340</v>
      </c>
      <c r="F159" s="1" t="s">
        <v>366</v>
      </c>
      <c r="G159" s="1"/>
      <c r="H159" s="1" t="s">
        <v>16</v>
      </c>
      <c r="I159" s="0" t="s">
        <v>367</v>
      </c>
      <c r="J159" s="0" t="s">
        <v>368</v>
      </c>
      <c r="K159" s="0" t="s">
        <v>369</v>
      </c>
    </row>
    <row r="160" customFormat="false" ht="15" hidden="false" customHeight="false" outlineLevel="0" collapsed="false">
      <c r="A160" s="0" t="s">
        <v>345</v>
      </c>
      <c r="B160" s="1" t="s">
        <v>365</v>
      </c>
      <c r="C160" s="1"/>
      <c r="D160" s="1" t="s">
        <v>28</v>
      </c>
      <c r="E160" s="1" t="s">
        <v>340</v>
      </c>
      <c r="F160" s="1" t="s">
        <v>366</v>
      </c>
      <c r="G160" s="1"/>
      <c r="H160" s="1" t="s">
        <v>16</v>
      </c>
      <c r="I160" s="0" t="s">
        <v>367</v>
      </c>
      <c r="J160" s="0" t="s">
        <v>370</v>
      </c>
      <c r="K160" s="0" t="s">
        <v>371</v>
      </c>
    </row>
    <row r="161" customFormat="false" ht="15" hidden="false" customHeight="false" outlineLevel="0" collapsed="false">
      <c r="A161" s="0" t="s">
        <v>345</v>
      </c>
      <c r="B161" s="1" t="s">
        <v>365</v>
      </c>
      <c r="C161" s="1"/>
      <c r="D161" s="1" t="s">
        <v>37</v>
      </c>
      <c r="E161" s="1" t="s">
        <v>340</v>
      </c>
      <c r="F161" s="1" t="s">
        <v>366</v>
      </c>
      <c r="G161" s="1"/>
      <c r="H161" s="1" t="s">
        <v>16</v>
      </c>
      <c r="I161" s="0" t="s">
        <v>367</v>
      </c>
      <c r="J161" s="0" t="s">
        <v>372</v>
      </c>
      <c r="K161" s="0" t="s">
        <v>373</v>
      </c>
    </row>
    <row r="162" customFormat="false" ht="15" hidden="false" customHeight="false" outlineLevel="0" collapsed="false">
      <c r="A162" s="0" t="s">
        <v>345</v>
      </c>
      <c r="B162" s="1" t="s">
        <v>365</v>
      </c>
      <c r="C162" s="1"/>
      <c r="D162" s="1" t="s">
        <v>46</v>
      </c>
      <c r="E162" s="1" t="s">
        <v>340</v>
      </c>
      <c r="F162" s="1" t="s">
        <v>366</v>
      </c>
      <c r="G162" s="1"/>
      <c r="H162" s="1" t="s">
        <v>16</v>
      </c>
      <c r="I162" s="0" t="s">
        <v>367</v>
      </c>
      <c r="J162" s="0" t="s">
        <v>374</v>
      </c>
      <c r="K162" s="0" t="s">
        <v>375</v>
      </c>
    </row>
    <row r="163" customFormat="false" ht="15" hidden="false" customHeight="false" outlineLevel="0" collapsed="false">
      <c r="A163" s="0" t="s">
        <v>345</v>
      </c>
      <c r="B163" s="1"/>
      <c r="C163" s="1"/>
      <c r="D163" s="0"/>
      <c r="E163" s="1"/>
      <c r="F163" s="1"/>
      <c r="G163" s="1"/>
      <c r="H163" s="1"/>
      <c r="I163" s="0" t="s">
        <v>367</v>
      </c>
      <c r="J163" s="0" t="s">
        <v>376</v>
      </c>
      <c r="K163" s="0" t="s">
        <v>377</v>
      </c>
    </row>
    <row r="164" customFormat="false" ht="15" hidden="false" customHeight="false" outlineLevel="0" collapsed="false">
      <c r="A164" s="0" t="s">
        <v>345</v>
      </c>
      <c r="B164" s="1"/>
      <c r="C164" s="1"/>
      <c r="D164" s="0"/>
      <c r="E164" s="1"/>
      <c r="F164" s="1"/>
      <c r="G164" s="1"/>
      <c r="H164" s="1"/>
      <c r="I164" s="0" t="s">
        <v>367</v>
      </c>
      <c r="J164" s="0" t="s">
        <v>378</v>
      </c>
      <c r="K164" s="0" t="s">
        <v>379</v>
      </c>
    </row>
    <row r="165" customFormat="false" ht="15" hidden="false" customHeight="false" outlineLevel="0" collapsed="false">
      <c r="A165" s="0" t="s">
        <v>345</v>
      </c>
      <c r="B165" s="1"/>
      <c r="C165" s="1"/>
      <c r="D165" s="0"/>
      <c r="E165" s="1"/>
      <c r="F165" s="1"/>
      <c r="G165" s="1"/>
      <c r="H165" s="1"/>
      <c r="I165" s="0" t="s">
        <v>367</v>
      </c>
      <c r="J165" s="0" t="s">
        <v>380</v>
      </c>
      <c r="K165" s="0" t="s">
        <v>381</v>
      </c>
    </row>
    <row r="166" customFormat="false" ht="15" hidden="false" customHeight="false" outlineLevel="0" collapsed="false">
      <c r="A166" s="0" t="s">
        <v>345</v>
      </c>
      <c r="B166" s="1"/>
      <c r="C166" s="1"/>
      <c r="D166" s="0"/>
      <c r="E166" s="1"/>
      <c r="F166" s="1"/>
      <c r="G166" s="1"/>
      <c r="H166" s="1"/>
      <c r="I166" s="0" t="s">
        <v>367</v>
      </c>
      <c r="J166" s="0" t="s">
        <v>382</v>
      </c>
      <c r="K166" s="0" t="s">
        <v>383</v>
      </c>
    </row>
    <row r="167" customFormat="false" ht="15" hidden="false" customHeight="false" outlineLevel="0" collapsed="false">
      <c r="A167" s="0" t="s">
        <v>345</v>
      </c>
      <c r="B167" s="0" t="s">
        <v>365</v>
      </c>
      <c r="D167" s="1" t="s">
        <v>87</v>
      </c>
      <c r="E167" s="0" t="s">
        <v>340</v>
      </c>
      <c r="F167" s="1" t="s">
        <v>366</v>
      </c>
      <c r="G167" s="1"/>
      <c r="H167" s="1" t="s">
        <v>16</v>
      </c>
      <c r="I167" s="0" t="s">
        <v>367</v>
      </c>
      <c r="J167" s="0" t="s">
        <v>384</v>
      </c>
      <c r="K167" s="0" t="s">
        <v>385</v>
      </c>
    </row>
    <row r="168" customFormat="false" ht="15" hidden="false" customHeight="false" outlineLevel="0" collapsed="false">
      <c r="A168" s="0" t="s">
        <v>345</v>
      </c>
      <c r="B168" s="1" t="s">
        <v>365</v>
      </c>
      <c r="C168" s="1"/>
      <c r="D168" s="1" t="s">
        <v>14</v>
      </c>
      <c r="E168" s="1" t="s">
        <v>336</v>
      </c>
      <c r="F168" s="1" t="s">
        <v>386</v>
      </c>
      <c r="G168" s="1"/>
      <c r="H168" s="1" t="s">
        <v>16</v>
      </c>
      <c r="I168" s="0" t="s">
        <v>387</v>
      </c>
      <c r="J168" s="0" t="s">
        <v>388</v>
      </c>
      <c r="K168" s="0" t="s">
        <v>389</v>
      </c>
    </row>
    <row r="169" customFormat="false" ht="15" hidden="false" customHeight="false" outlineLevel="0" collapsed="false">
      <c r="A169" s="0" t="s">
        <v>345</v>
      </c>
      <c r="B169" s="1" t="s">
        <v>365</v>
      </c>
      <c r="C169" s="1"/>
      <c r="D169" s="1" t="s">
        <v>28</v>
      </c>
      <c r="E169" s="1" t="s">
        <v>336</v>
      </c>
      <c r="F169" s="1" t="s">
        <v>386</v>
      </c>
      <c r="G169" s="1"/>
      <c r="H169" s="1" t="s">
        <v>16</v>
      </c>
      <c r="I169" s="0" t="s">
        <v>387</v>
      </c>
      <c r="J169" s="0" t="s">
        <v>390</v>
      </c>
      <c r="K169" s="0" t="s">
        <v>391</v>
      </c>
    </row>
    <row r="170" customFormat="false" ht="15" hidden="false" customHeight="false" outlineLevel="0" collapsed="false">
      <c r="A170" s="0" t="s">
        <v>345</v>
      </c>
      <c r="B170" s="1" t="s">
        <v>365</v>
      </c>
      <c r="C170" s="1"/>
      <c r="D170" s="1" t="s">
        <v>37</v>
      </c>
      <c r="E170" s="1" t="s">
        <v>336</v>
      </c>
      <c r="F170" s="1" t="s">
        <v>386</v>
      </c>
      <c r="G170" s="1"/>
      <c r="H170" s="1" t="s">
        <v>16</v>
      </c>
      <c r="I170" s="0" t="s">
        <v>387</v>
      </c>
      <c r="J170" s="0" t="s">
        <v>392</v>
      </c>
      <c r="K170" s="0" t="s">
        <v>393</v>
      </c>
    </row>
    <row r="171" customFormat="false" ht="15" hidden="false" customHeight="false" outlineLevel="0" collapsed="false">
      <c r="A171" s="0" t="s">
        <v>345</v>
      </c>
      <c r="B171" s="1" t="s">
        <v>365</v>
      </c>
      <c r="C171" s="1"/>
      <c r="D171" s="1" t="s">
        <v>46</v>
      </c>
      <c r="E171" s="1" t="s">
        <v>336</v>
      </c>
      <c r="F171" s="1" t="s">
        <v>386</v>
      </c>
      <c r="G171" s="1"/>
      <c r="H171" s="1" t="s">
        <v>16</v>
      </c>
      <c r="I171" s="0" t="s">
        <v>387</v>
      </c>
      <c r="J171" s="0" t="s">
        <v>394</v>
      </c>
      <c r="K171" s="0" t="s">
        <v>395</v>
      </c>
    </row>
    <row r="172" customFormat="false" ht="15" hidden="false" customHeight="false" outlineLevel="0" collapsed="false">
      <c r="A172" s="0" t="s">
        <v>345</v>
      </c>
      <c r="B172" s="1" t="s">
        <v>365</v>
      </c>
      <c r="C172" s="1"/>
      <c r="D172" s="1" t="s">
        <v>396</v>
      </c>
      <c r="E172" s="1" t="s">
        <v>336</v>
      </c>
      <c r="F172" s="1" t="s">
        <v>386</v>
      </c>
      <c r="G172" s="1"/>
      <c r="H172" s="1" t="s">
        <v>16</v>
      </c>
      <c r="I172" s="0" t="s">
        <v>387</v>
      </c>
      <c r="J172" s="0" t="s">
        <v>397</v>
      </c>
      <c r="K172" s="0" t="s">
        <v>398</v>
      </c>
    </row>
    <row r="173" customFormat="false" ht="15" hidden="false" customHeight="false" outlineLevel="0" collapsed="false">
      <c r="A173" s="0" t="s">
        <v>345</v>
      </c>
      <c r="D173" s="0"/>
      <c r="I173" s="0" t="s">
        <v>387</v>
      </c>
      <c r="J173" s="0" t="s">
        <v>399</v>
      </c>
      <c r="K173" s="0" t="s">
        <v>400</v>
      </c>
    </row>
    <row r="174" customFormat="false" ht="15" hidden="false" customHeight="false" outlineLevel="0" collapsed="false">
      <c r="A174" s="0" t="s">
        <v>345</v>
      </c>
      <c r="D174" s="0"/>
      <c r="I174" s="0" t="s">
        <v>387</v>
      </c>
      <c r="J174" s="0" t="s">
        <v>401</v>
      </c>
      <c r="K174" s="0" t="s">
        <v>402</v>
      </c>
    </row>
    <row r="175" customFormat="false" ht="15" hidden="false" customHeight="false" outlineLevel="0" collapsed="false">
      <c r="A175" s="0" t="s">
        <v>345</v>
      </c>
      <c r="B175" s="1"/>
      <c r="C175" s="1"/>
      <c r="D175" s="0"/>
      <c r="E175" s="1"/>
      <c r="F175" s="1"/>
      <c r="G175" s="1"/>
      <c r="H175" s="1"/>
      <c r="I175" s="0" t="s">
        <v>387</v>
      </c>
      <c r="J175" s="0" t="s">
        <v>403</v>
      </c>
      <c r="K175" s="0" t="s">
        <v>404</v>
      </c>
    </row>
    <row r="176" customFormat="false" ht="15" hidden="false" customHeight="false" outlineLevel="0" collapsed="false">
      <c r="A176" s="0" t="s">
        <v>345</v>
      </c>
      <c r="B176" s="1" t="s">
        <v>365</v>
      </c>
      <c r="C176" s="1"/>
      <c r="D176" s="1" t="s">
        <v>87</v>
      </c>
      <c r="E176" s="1" t="s">
        <v>336</v>
      </c>
      <c r="F176" s="1" t="s">
        <v>386</v>
      </c>
      <c r="G176" s="1"/>
      <c r="H176" s="1" t="s">
        <v>16</v>
      </c>
      <c r="I176" s="0" t="s">
        <v>387</v>
      </c>
      <c r="J176" s="0" t="s">
        <v>405</v>
      </c>
      <c r="K176" s="0" t="s">
        <v>406</v>
      </c>
    </row>
    <row r="177" customFormat="false" ht="15" hidden="false" customHeight="false" outlineLevel="0" collapsed="false">
      <c r="A177" s="0" t="s">
        <v>345</v>
      </c>
      <c r="B177" s="1" t="s">
        <v>365</v>
      </c>
      <c r="C177" s="1"/>
      <c r="D177" s="1" t="s">
        <v>14</v>
      </c>
      <c r="E177" s="1" t="s">
        <v>340</v>
      </c>
      <c r="F177" s="1" t="s">
        <v>386</v>
      </c>
      <c r="G177" s="1"/>
      <c r="H177" s="1" t="s">
        <v>16</v>
      </c>
      <c r="I177" s="0" t="s">
        <v>407</v>
      </c>
      <c r="J177" s="0" t="s">
        <v>408</v>
      </c>
      <c r="K177" s="0" t="s">
        <v>409</v>
      </c>
    </row>
    <row r="178" customFormat="false" ht="15" hidden="false" customHeight="false" outlineLevel="0" collapsed="false">
      <c r="A178" s="0" t="s">
        <v>345</v>
      </c>
      <c r="B178" s="1" t="s">
        <v>365</v>
      </c>
      <c r="C178" s="1"/>
      <c r="D178" s="1" t="s">
        <v>28</v>
      </c>
      <c r="E178" s="1" t="s">
        <v>340</v>
      </c>
      <c r="F178" s="1" t="s">
        <v>386</v>
      </c>
      <c r="G178" s="1"/>
      <c r="H178" s="1" t="s">
        <v>16</v>
      </c>
      <c r="I178" s="0" t="s">
        <v>407</v>
      </c>
      <c r="J178" s="0" t="s">
        <v>410</v>
      </c>
      <c r="K178" s="0" t="s">
        <v>411</v>
      </c>
    </row>
    <row r="179" customFormat="false" ht="15" hidden="false" customHeight="false" outlineLevel="0" collapsed="false">
      <c r="A179" s="0" t="s">
        <v>345</v>
      </c>
      <c r="B179" s="1" t="s">
        <v>365</v>
      </c>
      <c r="C179" s="1"/>
      <c r="D179" s="1" t="s">
        <v>37</v>
      </c>
      <c r="E179" s="1" t="s">
        <v>340</v>
      </c>
      <c r="F179" s="1" t="s">
        <v>386</v>
      </c>
      <c r="G179" s="1"/>
      <c r="H179" s="1" t="s">
        <v>16</v>
      </c>
      <c r="I179" s="0" t="s">
        <v>407</v>
      </c>
      <c r="J179" s="0" t="s">
        <v>412</v>
      </c>
      <c r="K179" s="0" t="s">
        <v>413</v>
      </c>
    </row>
    <row r="180" customFormat="false" ht="15" hidden="false" customHeight="false" outlineLevel="0" collapsed="false">
      <c r="A180" s="0" t="s">
        <v>345</v>
      </c>
      <c r="B180" s="1" t="s">
        <v>365</v>
      </c>
      <c r="C180" s="1"/>
      <c r="D180" s="1" t="s">
        <v>46</v>
      </c>
      <c r="E180" s="1" t="s">
        <v>340</v>
      </c>
      <c r="F180" s="1" t="s">
        <v>386</v>
      </c>
      <c r="G180" s="1"/>
      <c r="H180" s="1" t="s">
        <v>16</v>
      </c>
      <c r="I180" s="0" t="s">
        <v>407</v>
      </c>
      <c r="J180" s="0" t="s">
        <v>414</v>
      </c>
      <c r="K180" s="0" t="s">
        <v>415</v>
      </c>
    </row>
    <row r="181" customFormat="false" ht="15" hidden="false" customHeight="false" outlineLevel="0" collapsed="false">
      <c r="A181" s="0" t="s">
        <v>345</v>
      </c>
      <c r="B181" s="1" t="s">
        <v>365</v>
      </c>
      <c r="C181" s="1"/>
      <c r="D181" s="1" t="s">
        <v>396</v>
      </c>
      <c r="E181" s="1" t="s">
        <v>340</v>
      </c>
      <c r="F181" s="1" t="s">
        <v>386</v>
      </c>
      <c r="G181" s="1"/>
      <c r="H181" s="1" t="s">
        <v>16</v>
      </c>
      <c r="I181" s="0" t="s">
        <v>407</v>
      </c>
      <c r="J181" s="0" t="s">
        <v>416</v>
      </c>
      <c r="K181" s="0" t="s">
        <v>417</v>
      </c>
    </row>
    <row r="182" customFormat="false" ht="15" hidden="false" customHeight="false" outlineLevel="0" collapsed="false">
      <c r="A182" s="0" t="s">
        <v>345</v>
      </c>
      <c r="D182" s="0"/>
      <c r="I182" s="0" t="s">
        <v>407</v>
      </c>
      <c r="J182" s="0" t="s">
        <v>418</v>
      </c>
      <c r="K182" s="0" t="s">
        <v>419</v>
      </c>
    </row>
    <row r="183" customFormat="false" ht="15" hidden="false" customHeight="false" outlineLevel="0" collapsed="false">
      <c r="A183" s="0" t="s">
        <v>345</v>
      </c>
      <c r="D183" s="0"/>
      <c r="I183" s="0" t="s">
        <v>407</v>
      </c>
      <c r="J183" s="0" t="s">
        <v>420</v>
      </c>
      <c r="K183" s="0" t="s">
        <v>421</v>
      </c>
    </row>
    <row r="184" customFormat="false" ht="15" hidden="false" customHeight="false" outlineLevel="0" collapsed="false">
      <c r="A184" s="0" t="s">
        <v>345</v>
      </c>
      <c r="B184" s="1"/>
      <c r="C184" s="1"/>
      <c r="D184" s="0"/>
      <c r="E184" s="1"/>
      <c r="F184" s="1"/>
      <c r="G184" s="1"/>
      <c r="H184" s="1"/>
      <c r="I184" s="0" t="s">
        <v>407</v>
      </c>
      <c r="J184" s="0" t="s">
        <v>422</v>
      </c>
      <c r="K184" s="0" t="s">
        <v>423</v>
      </c>
    </row>
    <row r="185" customFormat="false" ht="15" hidden="false" customHeight="false" outlineLevel="0" collapsed="false">
      <c r="A185" s="0" t="s">
        <v>345</v>
      </c>
      <c r="B185" s="1" t="s">
        <v>365</v>
      </c>
      <c r="C185" s="1"/>
      <c r="D185" s="1" t="s">
        <v>87</v>
      </c>
      <c r="E185" s="1" t="s">
        <v>340</v>
      </c>
      <c r="F185" s="1" t="s">
        <v>386</v>
      </c>
      <c r="G185" s="1"/>
      <c r="H185" s="1" t="s">
        <v>16</v>
      </c>
      <c r="I185" s="0" t="s">
        <v>407</v>
      </c>
      <c r="J185" s="0" t="s">
        <v>424</v>
      </c>
      <c r="K185" s="0" t="s">
        <v>425</v>
      </c>
    </row>
    <row r="186" customFormat="false" ht="15" hidden="false" customHeight="false" outlineLevel="0" collapsed="false">
      <c r="A186" s="0" t="s">
        <v>426</v>
      </c>
      <c r="B186" s="0" t="s">
        <v>427</v>
      </c>
      <c r="C186" s="0" t="s">
        <v>13</v>
      </c>
      <c r="D186" s="1" t="s">
        <v>28</v>
      </c>
      <c r="E186" s="1"/>
      <c r="F186" s="1"/>
      <c r="G186" s="1"/>
      <c r="H186" s="1" t="s">
        <v>16</v>
      </c>
      <c r="I186" s="0" t="s">
        <v>427</v>
      </c>
      <c r="J186" s="0" t="s">
        <v>202</v>
      </c>
      <c r="K186" s="0" t="s">
        <v>428</v>
      </c>
    </row>
    <row r="187" customFormat="false" ht="15" hidden="false" customHeight="false" outlineLevel="0" collapsed="false">
      <c r="A187" s="0" t="s">
        <v>426</v>
      </c>
      <c r="B187" s="0" t="s">
        <v>427</v>
      </c>
      <c r="C187" s="1" t="s">
        <v>23</v>
      </c>
      <c r="D187" s="1" t="s">
        <v>28</v>
      </c>
      <c r="E187" s="1"/>
      <c r="F187" s="1"/>
      <c r="G187" s="1"/>
      <c r="H187" s="1" t="s">
        <v>16</v>
      </c>
      <c r="I187" s="0" t="s">
        <v>427</v>
      </c>
      <c r="J187" s="0" t="s">
        <v>204</v>
      </c>
      <c r="K187" s="0" t="s">
        <v>429</v>
      </c>
    </row>
    <row r="188" customFormat="false" ht="15" hidden="false" customHeight="false" outlineLevel="0" collapsed="false">
      <c r="A188" s="0" t="s">
        <v>426</v>
      </c>
      <c r="B188" s="0" t="s">
        <v>427</v>
      </c>
      <c r="C188" s="0" t="s">
        <v>13</v>
      </c>
      <c r="D188" s="1" t="s">
        <v>37</v>
      </c>
      <c r="E188" s="1"/>
      <c r="F188" s="1"/>
      <c r="G188" s="1"/>
      <c r="H188" s="1" t="s">
        <v>16</v>
      </c>
      <c r="I188" s="0" t="s">
        <v>427</v>
      </c>
      <c r="J188" s="0" t="s">
        <v>351</v>
      </c>
      <c r="K188" s="0" t="s">
        <v>430</v>
      </c>
    </row>
    <row r="189" customFormat="false" ht="15" hidden="false" customHeight="false" outlineLevel="0" collapsed="false">
      <c r="A189" s="0" t="s">
        <v>426</v>
      </c>
      <c r="B189" s="0" t="s">
        <v>427</v>
      </c>
      <c r="C189" s="1" t="s">
        <v>23</v>
      </c>
      <c r="D189" s="1" t="s">
        <v>37</v>
      </c>
      <c r="E189" s="1"/>
      <c r="F189" s="1"/>
      <c r="G189" s="1"/>
      <c r="H189" s="1" t="s">
        <v>16</v>
      </c>
      <c r="I189" s="0" t="s">
        <v>427</v>
      </c>
      <c r="J189" s="0" t="s">
        <v>431</v>
      </c>
      <c r="K189" s="0" t="s">
        <v>432</v>
      </c>
    </row>
    <row r="190" customFormat="false" ht="15" hidden="false" customHeight="false" outlineLevel="0" collapsed="false">
      <c r="A190" s="0" t="s">
        <v>426</v>
      </c>
      <c r="B190" s="0" t="s">
        <v>427</v>
      </c>
      <c r="C190" s="0" t="s">
        <v>13</v>
      </c>
      <c r="D190" s="1" t="s">
        <v>46</v>
      </c>
      <c r="E190" s="1"/>
      <c r="F190" s="1"/>
      <c r="G190" s="1"/>
      <c r="H190" s="1" t="s">
        <v>16</v>
      </c>
      <c r="I190" s="0" t="s">
        <v>427</v>
      </c>
      <c r="J190" s="0" t="s">
        <v>353</v>
      </c>
      <c r="K190" s="0" t="s">
        <v>433</v>
      </c>
    </row>
    <row r="191" customFormat="false" ht="15" hidden="false" customHeight="false" outlineLevel="0" collapsed="false">
      <c r="A191" s="0" t="s">
        <v>426</v>
      </c>
      <c r="B191" s="0" t="s">
        <v>427</v>
      </c>
      <c r="C191" s="1" t="s">
        <v>23</v>
      </c>
      <c r="D191" s="1" t="s">
        <v>46</v>
      </c>
      <c r="E191" s="1"/>
      <c r="F191" s="1"/>
      <c r="G191" s="1"/>
      <c r="H191" s="1" t="s">
        <v>16</v>
      </c>
      <c r="I191" s="0" t="s">
        <v>427</v>
      </c>
      <c r="J191" s="0" t="s">
        <v>434</v>
      </c>
      <c r="K191" s="0" t="s">
        <v>435</v>
      </c>
    </row>
    <row r="192" customFormat="false" ht="15" hidden="false" customHeight="false" outlineLevel="0" collapsed="false">
      <c r="A192" s="0" t="s">
        <v>426</v>
      </c>
      <c r="B192" s="1"/>
      <c r="C192" s="1"/>
      <c r="D192" s="0"/>
      <c r="E192" s="1"/>
      <c r="F192" s="1"/>
      <c r="G192" s="1"/>
      <c r="H192" s="1"/>
      <c r="I192" s="0" t="s">
        <v>427</v>
      </c>
      <c r="J192" s="0" t="s">
        <v>355</v>
      </c>
      <c r="K192" s="0" t="s">
        <v>436</v>
      </c>
    </row>
    <row r="193" customFormat="false" ht="15" hidden="false" customHeight="false" outlineLevel="0" collapsed="false">
      <c r="A193" s="0" t="s">
        <v>426</v>
      </c>
      <c r="B193" s="1"/>
      <c r="C193" s="1"/>
      <c r="D193" s="0"/>
      <c r="E193" s="1"/>
      <c r="F193" s="1"/>
      <c r="G193" s="1"/>
      <c r="H193" s="1"/>
      <c r="I193" s="0" t="s">
        <v>427</v>
      </c>
      <c r="J193" s="0" t="s">
        <v>437</v>
      </c>
      <c r="K193" s="0" t="s">
        <v>438</v>
      </c>
    </row>
    <row r="194" customFormat="false" ht="15" hidden="false" customHeight="false" outlineLevel="0" collapsed="false">
      <c r="A194" s="0" t="s">
        <v>426</v>
      </c>
      <c r="B194" s="1"/>
      <c r="C194" s="1"/>
      <c r="D194" s="0"/>
      <c r="E194" s="1"/>
      <c r="F194" s="1"/>
      <c r="G194" s="1"/>
      <c r="H194" s="1"/>
      <c r="I194" s="0" t="s">
        <v>427</v>
      </c>
      <c r="J194" s="0" t="s">
        <v>357</v>
      </c>
      <c r="K194" s="0" t="s">
        <v>439</v>
      </c>
    </row>
    <row r="195" customFormat="false" ht="15" hidden="false" customHeight="false" outlineLevel="0" collapsed="false">
      <c r="A195" s="0" t="s">
        <v>426</v>
      </c>
      <c r="B195" s="1"/>
      <c r="C195" s="1"/>
      <c r="D195" s="0"/>
      <c r="E195" s="1"/>
      <c r="F195" s="1"/>
      <c r="G195" s="1"/>
      <c r="H195" s="1"/>
      <c r="I195" s="0" t="s">
        <v>427</v>
      </c>
      <c r="J195" s="0" t="s">
        <v>440</v>
      </c>
      <c r="K195" s="0" t="s">
        <v>441</v>
      </c>
    </row>
    <row r="196" customFormat="false" ht="15" hidden="false" customHeight="false" outlineLevel="0" collapsed="false">
      <c r="A196" s="0" t="s">
        <v>426</v>
      </c>
      <c r="B196" s="1"/>
      <c r="C196" s="1"/>
      <c r="D196" s="0"/>
      <c r="E196" s="1"/>
      <c r="F196" s="1"/>
      <c r="G196" s="1"/>
      <c r="H196" s="1"/>
      <c r="I196" s="0" t="s">
        <v>427</v>
      </c>
      <c r="J196" s="0" t="s">
        <v>359</v>
      </c>
      <c r="K196" s="0" t="s">
        <v>442</v>
      </c>
    </row>
    <row r="197" customFormat="false" ht="15" hidden="false" customHeight="false" outlineLevel="0" collapsed="false">
      <c r="A197" s="0" t="s">
        <v>426</v>
      </c>
      <c r="B197" s="1"/>
      <c r="C197" s="1"/>
      <c r="D197" s="0"/>
      <c r="E197" s="1"/>
      <c r="F197" s="1"/>
      <c r="G197" s="1"/>
      <c r="H197" s="1"/>
      <c r="I197" s="0" t="s">
        <v>427</v>
      </c>
      <c r="J197" s="0" t="s">
        <v>443</v>
      </c>
      <c r="K197" s="0" t="s">
        <v>444</v>
      </c>
    </row>
    <row r="198" customFormat="false" ht="15" hidden="false" customHeight="false" outlineLevel="0" collapsed="false">
      <c r="A198" s="0" t="s">
        <v>426</v>
      </c>
      <c r="B198" s="1"/>
      <c r="C198" s="1"/>
      <c r="D198" s="0"/>
      <c r="E198" s="1"/>
      <c r="F198" s="1"/>
      <c r="G198" s="1"/>
      <c r="H198" s="1"/>
      <c r="I198" s="0" t="s">
        <v>427</v>
      </c>
      <c r="J198" s="0" t="s">
        <v>361</v>
      </c>
      <c r="K198" s="0" t="s">
        <v>445</v>
      </c>
    </row>
    <row r="199" customFormat="false" ht="15" hidden="false" customHeight="false" outlineLevel="0" collapsed="false">
      <c r="A199" s="0" t="s">
        <v>426</v>
      </c>
      <c r="B199" s="1"/>
      <c r="C199" s="1"/>
      <c r="D199" s="0"/>
      <c r="E199" s="1"/>
      <c r="F199" s="1"/>
      <c r="G199" s="1"/>
      <c r="H199" s="1"/>
      <c r="I199" s="0" t="s">
        <v>427</v>
      </c>
      <c r="J199" s="0" t="s">
        <v>446</v>
      </c>
      <c r="K199" s="0" t="s">
        <v>447</v>
      </c>
    </row>
    <row r="200" customFormat="false" ht="15" hidden="false" customHeight="false" outlineLevel="0" collapsed="false">
      <c r="A200" s="0" t="s">
        <v>426</v>
      </c>
      <c r="B200" s="0" t="s">
        <v>427</v>
      </c>
      <c r="C200" s="0" t="s">
        <v>13</v>
      </c>
      <c r="D200" s="1" t="s">
        <v>87</v>
      </c>
      <c r="E200" s="1"/>
      <c r="F200" s="1"/>
      <c r="G200" s="1"/>
      <c r="H200" s="1" t="s">
        <v>16</v>
      </c>
      <c r="I200" s="0" t="s">
        <v>427</v>
      </c>
      <c r="J200" s="0" t="s">
        <v>363</v>
      </c>
      <c r="K200" s="0" t="s">
        <v>448</v>
      </c>
    </row>
    <row r="201" customFormat="false" ht="15" hidden="false" customHeight="false" outlineLevel="0" collapsed="false">
      <c r="A201" s="0" t="s">
        <v>426</v>
      </c>
      <c r="B201" s="0" t="s">
        <v>427</v>
      </c>
      <c r="C201" s="1" t="s">
        <v>23</v>
      </c>
      <c r="D201" s="1" t="s">
        <v>87</v>
      </c>
      <c r="E201" s="1"/>
      <c r="F201" s="1"/>
      <c r="G201" s="1"/>
      <c r="H201" s="1" t="s">
        <v>16</v>
      </c>
      <c r="I201" s="0" t="s">
        <v>427</v>
      </c>
      <c r="J201" s="0" t="s">
        <v>449</v>
      </c>
      <c r="K201" s="0" t="s">
        <v>450</v>
      </c>
    </row>
    <row r="202" customFormat="false" ht="15" hidden="false" customHeight="false" outlineLevel="0" collapsed="false">
      <c r="A202" s="0" t="s">
        <v>451</v>
      </c>
      <c r="B202" s="1" t="s">
        <v>427</v>
      </c>
      <c r="C202" s="1" t="s">
        <v>13</v>
      </c>
      <c r="D202" s="1" t="s">
        <v>37</v>
      </c>
      <c r="E202" s="1"/>
      <c r="F202" s="1"/>
      <c r="G202" s="1"/>
      <c r="H202" s="1" t="s">
        <v>16</v>
      </c>
      <c r="I202" s="0" t="s">
        <v>427</v>
      </c>
      <c r="J202" s="0" t="s">
        <v>351</v>
      </c>
      <c r="K202" s="0" t="s">
        <v>452</v>
      </c>
    </row>
    <row r="203" customFormat="false" ht="15" hidden="false" customHeight="false" outlineLevel="0" collapsed="false">
      <c r="A203" s="0" t="s">
        <v>451</v>
      </c>
      <c r="B203" s="1" t="s">
        <v>427</v>
      </c>
      <c r="C203" s="1" t="s">
        <v>23</v>
      </c>
      <c r="D203" s="1" t="s">
        <v>37</v>
      </c>
      <c r="E203" s="1"/>
      <c r="F203" s="1"/>
      <c r="G203" s="1"/>
      <c r="H203" s="1" t="s">
        <v>16</v>
      </c>
      <c r="I203" s="0" t="s">
        <v>427</v>
      </c>
      <c r="J203" s="0" t="s">
        <v>431</v>
      </c>
      <c r="K203" s="0" t="s">
        <v>453</v>
      </c>
    </row>
    <row r="204" customFormat="false" ht="15" hidden="false" customHeight="false" outlineLevel="0" collapsed="false">
      <c r="A204" s="0" t="s">
        <v>451</v>
      </c>
      <c r="B204" s="1" t="s">
        <v>427</v>
      </c>
      <c r="C204" s="1" t="s">
        <v>13</v>
      </c>
      <c r="D204" s="1" t="s">
        <v>46</v>
      </c>
      <c r="E204" s="1"/>
      <c r="F204" s="1"/>
      <c r="G204" s="1"/>
      <c r="H204" s="1" t="s">
        <v>16</v>
      </c>
      <c r="I204" s="0" t="s">
        <v>427</v>
      </c>
      <c r="J204" s="0" t="s">
        <v>353</v>
      </c>
      <c r="K204" s="0" t="s">
        <v>454</v>
      </c>
    </row>
    <row r="205" customFormat="false" ht="15" hidden="false" customHeight="false" outlineLevel="0" collapsed="false">
      <c r="A205" s="0" t="s">
        <v>451</v>
      </c>
      <c r="B205" s="1" t="s">
        <v>427</v>
      </c>
      <c r="C205" s="1" t="s">
        <v>23</v>
      </c>
      <c r="D205" s="1" t="s">
        <v>46</v>
      </c>
      <c r="E205" s="1"/>
      <c r="F205" s="1"/>
      <c r="G205" s="1"/>
      <c r="H205" s="1" t="s">
        <v>16</v>
      </c>
      <c r="I205" s="0" t="s">
        <v>427</v>
      </c>
      <c r="J205" s="0" t="s">
        <v>434</v>
      </c>
      <c r="K205" s="0" t="s">
        <v>455</v>
      </c>
    </row>
    <row r="206" customFormat="false" ht="15" hidden="false" customHeight="false" outlineLevel="0" collapsed="false">
      <c r="A206" s="0" t="s">
        <v>451</v>
      </c>
      <c r="B206" s="1" t="s">
        <v>427</v>
      </c>
      <c r="C206" s="1" t="s">
        <v>13</v>
      </c>
      <c r="D206" s="1" t="s">
        <v>396</v>
      </c>
      <c r="E206" s="1"/>
      <c r="F206" s="1"/>
      <c r="G206" s="1"/>
      <c r="H206" s="1" t="s">
        <v>16</v>
      </c>
      <c r="I206" s="0" t="s">
        <v>427</v>
      </c>
      <c r="J206" s="0" t="s">
        <v>355</v>
      </c>
      <c r="K206" s="0" t="s">
        <v>456</v>
      </c>
    </row>
    <row r="207" customFormat="false" ht="15" hidden="false" customHeight="false" outlineLevel="0" collapsed="false">
      <c r="A207" s="0" t="s">
        <v>451</v>
      </c>
      <c r="B207" s="1" t="s">
        <v>427</v>
      </c>
      <c r="C207" s="1" t="s">
        <v>23</v>
      </c>
      <c r="D207" s="1" t="s">
        <v>396</v>
      </c>
      <c r="E207" s="1"/>
      <c r="F207" s="1"/>
      <c r="G207" s="1"/>
      <c r="H207" s="1" t="s">
        <v>16</v>
      </c>
      <c r="I207" s="0" t="s">
        <v>427</v>
      </c>
      <c r="J207" s="0" t="s">
        <v>437</v>
      </c>
      <c r="K207" s="0" t="s">
        <v>457</v>
      </c>
    </row>
    <row r="208" customFormat="false" ht="15" hidden="false" customHeight="false" outlineLevel="0" collapsed="false">
      <c r="A208" s="0" t="s">
        <v>451</v>
      </c>
      <c r="D208" s="0"/>
      <c r="E208" s="1"/>
      <c r="F208" s="1"/>
      <c r="G208" s="1"/>
      <c r="H208" s="1"/>
      <c r="I208" s="0" t="s">
        <v>427</v>
      </c>
      <c r="J208" s="0" t="s">
        <v>357</v>
      </c>
      <c r="K208" s="0" t="s">
        <v>458</v>
      </c>
    </row>
    <row r="209" customFormat="false" ht="15" hidden="false" customHeight="false" outlineLevel="0" collapsed="false">
      <c r="A209" s="0" t="s">
        <v>451</v>
      </c>
      <c r="D209" s="0"/>
      <c r="E209" s="1"/>
      <c r="F209" s="1"/>
      <c r="G209" s="1"/>
      <c r="H209" s="1"/>
      <c r="I209" s="0" t="s">
        <v>427</v>
      </c>
      <c r="J209" s="0" t="s">
        <v>440</v>
      </c>
      <c r="K209" s="0" t="s">
        <v>459</v>
      </c>
    </row>
    <row r="210" customFormat="false" ht="15" hidden="false" customHeight="false" outlineLevel="0" collapsed="false">
      <c r="A210" s="0" t="s">
        <v>451</v>
      </c>
      <c r="B210" s="1"/>
      <c r="C210" s="1"/>
      <c r="D210" s="0"/>
      <c r="E210" s="1"/>
      <c r="F210" s="1"/>
      <c r="G210" s="1"/>
      <c r="H210" s="1"/>
      <c r="I210" s="0" t="s">
        <v>427</v>
      </c>
      <c r="J210" s="0" t="s">
        <v>359</v>
      </c>
      <c r="K210" s="0" t="s">
        <v>460</v>
      </c>
    </row>
    <row r="211" customFormat="false" ht="15" hidden="false" customHeight="false" outlineLevel="0" collapsed="false">
      <c r="A211" s="0" t="s">
        <v>451</v>
      </c>
      <c r="B211" s="1"/>
      <c r="C211" s="1"/>
      <c r="D211" s="0"/>
      <c r="E211" s="1"/>
      <c r="F211" s="1"/>
      <c r="G211" s="1"/>
      <c r="H211" s="1"/>
      <c r="I211" s="0" t="s">
        <v>427</v>
      </c>
      <c r="J211" s="0" t="s">
        <v>443</v>
      </c>
      <c r="K211" s="0" t="s">
        <v>461</v>
      </c>
    </row>
    <row r="212" customFormat="false" ht="15" hidden="false" customHeight="false" outlineLevel="0" collapsed="false">
      <c r="A212" s="0" t="s">
        <v>451</v>
      </c>
      <c r="B212" s="1"/>
      <c r="C212" s="1"/>
      <c r="D212" s="0"/>
      <c r="E212" s="1"/>
      <c r="F212" s="1"/>
      <c r="G212" s="1"/>
      <c r="H212" s="1"/>
      <c r="I212" s="0" t="s">
        <v>427</v>
      </c>
      <c r="J212" s="0" t="s">
        <v>361</v>
      </c>
      <c r="K212" s="0" t="s">
        <v>462</v>
      </c>
    </row>
    <row r="213" customFormat="false" ht="15" hidden="false" customHeight="false" outlineLevel="0" collapsed="false">
      <c r="A213" s="0" t="s">
        <v>451</v>
      </c>
      <c r="B213" s="1"/>
      <c r="C213" s="1"/>
      <c r="D213" s="0"/>
      <c r="E213" s="1"/>
      <c r="F213" s="1"/>
      <c r="G213" s="1"/>
      <c r="H213" s="1"/>
      <c r="I213" s="0" t="s">
        <v>427</v>
      </c>
      <c r="J213" s="0" t="s">
        <v>446</v>
      </c>
      <c r="K213" s="0" t="s">
        <v>463</v>
      </c>
    </row>
    <row r="214" customFormat="false" ht="15" hidden="false" customHeight="false" outlineLevel="0" collapsed="false">
      <c r="A214" s="0" t="s">
        <v>451</v>
      </c>
      <c r="B214" s="1" t="s">
        <v>427</v>
      </c>
      <c r="C214" s="1" t="s">
        <v>13</v>
      </c>
      <c r="D214" s="1" t="s">
        <v>87</v>
      </c>
      <c r="E214" s="1"/>
      <c r="F214" s="1"/>
      <c r="G214" s="1"/>
      <c r="H214" s="1" t="s">
        <v>16</v>
      </c>
      <c r="I214" s="0" t="s">
        <v>427</v>
      </c>
      <c r="J214" s="0" t="s">
        <v>363</v>
      </c>
      <c r="K214" s="0" t="s">
        <v>464</v>
      </c>
    </row>
    <row r="215" customFormat="false" ht="15" hidden="false" customHeight="false" outlineLevel="0" collapsed="false">
      <c r="A215" s="0" t="s">
        <v>451</v>
      </c>
      <c r="B215" s="1" t="s">
        <v>427</v>
      </c>
      <c r="C215" s="1" t="s">
        <v>23</v>
      </c>
      <c r="D215" s="1" t="s">
        <v>87</v>
      </c>
      <c r="E215" s="1"/>
      <c r="F215" s="1"/>
      <c r="G215" s="1"/>
      <c r="H215" s="1" t="s">
        <v>16</v>
      </c>
      <c r="I215" s="0" t="s">
        <v>427</v>
      </c>
      <c r="J215" s="0" t="s">
        <v>449</v>
      </c>
      <c r="K215" s="0" t="s">
        <v>465</v>
      </c>
    </row>
    <row r="216" customFormat="false" ht="15" hidden="false" customHeight="false" outlineLevel="0" collapsed="false">
      <c r="A216" s="5" t="s">
        <v>451</v>
      </c>
      <c r="B216" s="5" t="s">
        <v>466</v>
      </c>
      <c r="C216" s="6"/>
      <c r="D216" s="6"/>
      <c r="E216" s="6"/>
      <c r="F216" s="6" t="s">
        <v>467</v>
      </c>
      <c r="G216" s="6"/>
      <c r="H216" s="6" t="s">
        <v>16</v>
      </c>
      <c r="I216" s="5" t="s">
        <v>468</v>
      </c>
      <c r="J216" s="5" t="s">
        <v>467</v>
      </c>
      <c r="K216" s="5" t="s">
        <v>469</v>
      </c>
    </row>
    <row r="217" customFormat="false" ht="15" hidden="false" customHeight="false" outlineLevel="0" collapsed="false">
      <c r="A217" s="5" t="s">
        <v>451</v>
      </c>
      <c r="B217" s="5" t="s">
        <v>466</v>
      </c>
      <c r="C217" s="6"/>
      <c r="D217" s="6"/>
      <c r="E217" s="6"/>
      <c r="F217" s="6" t="s">
        <v>470</v>
      </c>
      <c r="G217" s="6"/>
      <c r="H217" s="6" t="s">
        <v>16</v>
      </c>
      <c r="I217" s="5" t="s">
        <v>468</v>
      </c>
      <c r="J217" s="5" t="s">
        <v>470</v>
      </c>
      <c r="K217" s="5" t="s">
        <v>471</v>
      </c>
    </row>
    <row r="218" customFormat="false" ht="15" hidden="false" customHeight="false" outlineLevel="0" collapsed="false">
      <c r="A218" s="5" t="s">
        <v>451</v>
      </c>
      <c r="B218" s="5"/>
      <c r="C218" s="5"/>
      <c r="D218" s="6"/>
      <c r="E218" s="5"/>
      <c r="F218" s="5"/>
      <c r="G218" s="5"/>
      <c r="H218" s="5"/>
      <c r="I218" s="5" t="s">
        <v>468</v>
      </c>
      <c r="J218" s="5" t="s">
        <v>472</v>
      </c>
      <c r="K218" s="5" t="s">
        <v>473</v>
      </c>
    </row>
    <row r="219" customFormat="false" ht="15" hidden="false" customHeight="false" outlineLevel="0" collapsed="false">
      <c r="A219" s="5" t="s">
        <v>451</v>
      </c>
      <c r="B219" s="5" t="s">
        <v>466</v>
      </c>
      <c r="C219" s="6"/>
      <c r="D219" s="6"/>
      <c r="E219" s="6"/>
      <c r="F219" s="6" t="s">
        <v>474</v>
      </c>
      <c r="G219" s="6"/>
      <c r="H219" s="6" t="s">
        <v>16</v>
      </c>
      <c r="I219" s="5" t="s">
        <v>468</v>
      </c>
      <c r="J219" s="5" t="s">
        <v>474</v>
      </c>
      <c r="K219" s="5" t="s">
        <v>475</v>
      </c>
    </row>
    <row r="220" customFormat="false" ht="15" hidden="false" customHeight="false" outlineLevel="0" collapsed="false">
      <c r="A220" s="0" t="s">
        <v>476</v>
      </c>
      <c r="B220" s="0" t="s">
        <v>477</v>
      </c>
      <c r="C220" s="7" t="s">
        <v>13</v>
      </c>
      <c r="D220" s="1" t="s">
        <v>478</v>
      </c>
      <c r="E220" s="1"/>
      <c r="F220" s="1"/>
      <c r="G220" s="1"/>
      <c r="H220" s="1" t="s">
        <v>346</v>
      </c>
      <c r="I220" s="1" t="s">
        <v>427</v>
      </c>
      <c r="J220" s="8" t="s">
        <v>479</v>
      </c>
      <c r="K220" s="0" t="s">
        <v>480</v>
      </c>
    </row>
    <row r="221" customFormat="false" ht="15" hidden="false" customHeight="false" outlineLevel="0" collapsed="false">
      <c r="A221" s="0" t="s">
        <v>476</v>
      </c>
      <c r="B221" s="0" t="s">
        <v>477</v>
      </c>
      <c r="C221" s="7" t="s">
        <v>23</v>
      </c>
      <c r="D221" s="1" t="s">
        <v>478</v>
      </c>
      <c r="E221" s="1"/>
      <c r="F221" s="1"/>
      <c r="G221" s="1"/>
      <c r="H221" s="1" t="s">
        <v>346</v>
      </c>
      <c r="I221" s="1" t="s">
        <v>427</v>
      </c>
      <c r="J221" s="8" t="s">
        <v>481</v>
      </c>
      <c r="K221" s="0" t="s">
        <v>482</v>
      </c>
    </row>
    <row r="222" customFormat="false" ht="15" hidden="false" customHeight="false" outlineLevel="0" collapsed="false">
      <c r="A222" s="0" t="s">
        <v>476</v>
      </c>
      <c r="B222" s="0" t="s">
        <v>477</v>
      </c>
      <c r="C222" s="1" t="s">
        <v>13</v>
      </c>
      <c r="D222" s="1" t="s">
        <v>483</v>
      </c>
      <c r="E222" s="1"/>
      <c r="F222" s="1"/>
      <c r="G222" s="1"/>
      <c r="H222" s="1" t="s">
        <v>346</v>
      </c>
      <c r="I222" s="1" t="s">
        <v>427</v>
      </c>
      <c r="J222" s="8" t="s">
        <v>484</v>
      </c>
      <c r="K222" s="0" t="s">
        <v>485</v>
      </c>
    </row>
    <row r="223" customFormat="false" ht="15" hidden="false" customHeight="false" outlineLevel="0" collapsed="false">
      <c r="A223" s="0" t="s">
        <v>476</v>
      </c>
      <c r="B223" s="0" t="s">
        <v>477</v>
      </c>
      <c r="C223" s="1" t="s">
        <v>23</v>
      </c>
      <c r="D223" s="1" t="s">
        <v>483</v>
      </c>
      <c r="E223" s="1"/>
      <c r="F223" s="1"/>
      <c r="G223" s="1"/>
      <c r="H223" s="1" t="s">
        <v>346</v>
      </c>
      <c r="I223" s="1" t="s">
        <v>427</v>
      </c>
      <c r="J223" s="8" t="s">
        <v>486</v>
      </c>
      <c r="K223" s="0" t="s">
        <v>487</v>
      </c>
    </row>
    <row r="224" customFormat="false" ht="15" hidden="false" customHeight="false" outlineLevel="0" collapsed="false">
      <c r="A224" s="0" t="s">
        <v>476</v>
      </c>
      <c r="B224" s="1" t="s">
        <v>488</v>
      </c>
      <c r="C224" s="1" t="s">
        <v>13</v>
      </c>
      <c r="D224" s="1" t="s">
        <v>478</v>
      </c>
      <c r="E224" s="1" t="s">
        <v>340</v>
      </c>
      <c r="F224" s="1" t="s">
        <v>366</v>
      </c>
      <c r="G224" s="1"/>
      <c r="H224" s="1" t="s">
        <v>16</v>
      </c>
      <c r="I224" s="1" t="s">
        <v>427</v>
      </c>
      <c r="J224" s="8" t="s">
        <v>489</v>
      </c>
      <c r="K224" s="8" t="s">
        <v>490</v>
      </c>
    </row>
    <row r="225" customFormat="false" ht="15" hidden="false" customHeight="false" outlineLevel="0" collapsed="false">
      <c r="A225" s="0" t="s">
        <v>476</v>
      </c>
      <c r="B225" s="1" t="s">
        <v>488</v>
      </c>
      <c r="C225" s="1" t="s">
        <v>23</v>
      </c>
      <c r="D225" s="1" t="s">
        <v>478</v>
      </c>
      <c r="E225" s="1" t="s">
        <v>340</v>
      </c>
      <c r="F225" s="1" t="s">
        <v>366</v>
      </c>
      <c r="G225" s="1"/>
      <c r="H225" s="1" t="s">
        <v>16</v>
      </c>
      <c r="I225" s="1" t="s">
        <v>427</v>
      </c>
      <c r="J225" s="9" t="s">
        <v>491</v>
      </c>
      <c r="K225" s="8" t="s">
        <v>492</v>
      </c>
    </row>
    <row r="226" customFormat="false" ht="15" hidden="false" customHeight="false" outlineLevel="0" collapsed="false">
      <c r="A226" s="0" t="s">
        <v>476</v>
      </c>
      <c r="B226" s="1" t="s">
        <v>488</v>
      </c>
      <c r="C226" s="1" t="s">
        <v>13</v>
      </c>
      <c r="D226" s="1" t="s">
        <v>483</v>
      </c>
      <c r="E226" s="1" t="s">
        <v>340</v>
      </c>
      <c r="F226" s="1" t="s">
        <v>366</v>
      </c>
      <c r="G226" s="1"/>
      <c r="H226" s="1" t="s">
        <v>16</v>
      </c>
      <c r="I226" s="1" t="s">
        <v>427</v>
      </c>
      <c r="J226" s="9" t="s">
        <v>493</v>
      </c>
      <c r="K226" s="8" t="s">
        <v>494</v>
      </c>
    </row>
    <row r="227" customFormat="false" ht="15" hidden="false" customHeight="false" outlineLevel="0" collapsed="false">
      <c r="A227" s="0" t="s">
        <v>476</v>
      </c>
      <c r="B227" s="1" t="s">
        <v>488</v>
      </c>
      <c r="C227" s="1" t="s">
        <v>23</v>
      </c>
      <c r="D227" s="1" t="s">
        <v>483</v>
      </c>
      <c r="E227" s="1" t="s">
        <v>340</v>
      </c>
      <c r="F227" s="1" t="s">
        <v>366</v>
      </c>
      <c r="G227" s="1"/>
      <c r="H227" s="1" t="s">
        <v>16</v>
      </c>
      <c r="I227" s="1" t="s">
        <v>427</v>
      </c>
      <c r="J227" s="9" t="s">
        <v>495</v>
      </c>
      <c r="K227" s="8" t="s">
        <v>496</v>
      </c>
    </row>
    <row r="228" customFormat="false" ht="15" hidden="false" customHeight="false" outlineLevel="0" collapsed="false">
      <c r="A228" s="0" t="s">
        <v>476</v>
      </c>
      <c r="B228" s="1" t="s">
        <v>488</v>
      </c>
      <c r="C228" s="1" t="s">
        <v>13</v>
      </c>
      <c r="D228" s="1" t="s">
        <v>478</v>
      </c>
      <c r="E228" s="1" t="s">
        <v>340</v>
      </c>
      <c r="F228" s="1" t="s">
        <v>386</v>
      </c>
      <c r="G228" s="1"/>
      <c r="H228" s="1" t="s">
        <v>16</v>
      </c>
      <c r="I228" s="1" t="s">
        <v>427</v>
      </c>
      <c r="J228" s="8" t="s">
        <v>489</v>
      </c>
      <c r="K228" s="8" t="s">
        <v>490</v>
      </c>
    </row>
    <row r="229" customFormat="false" ht="15" hidden="false" customHeight="false" outlineLevel="0" collapsed="false">
      <c r="A229" s="0" t="s">
        <v>476</v>
      </c>
      <c r="B229" s="1" t="s">
        <v>488</v>
      </c>
      <c r="C229" s="1" t="s">
        <v>23</v>
      </c>
      <c r="D229" s="1" t="s">
        <v>478</v>
      </c>
      <c r="E229" s="1" t="s">
        <v>340</v>
      </c>
      <c r="F229" s="1" t="s">
        <v>386</v>
      </c>
      <c r="G229" s="1"/>
      <c r="H229" s="1" t="s">
        <v>16</v>
      </c>
      <c r="I229" s="1" t="s">
        <v>427</v>
      </c>
      <c r="J229" s="8" t="s">
        <v>491</v>
      </c>
      <c r="K229" s="8" t="s">
        <v>492</v>
      </c>
    </row>
    <row r="230" customFormat="false" ht="15" hidden="false" customHeight="false" outlineLevel="0" collapsed="false">
      <c r="A230" s="0" t="s">
        <v>476</v>
      </c>
      <c r="B230" s="1" t="s">
        <v>488</v>
      </c>
      <c r="C230" s="1" t="s">
        <v>13</v>
      </c>
      <c r="D230" s="1" t="s">
        <v>483</v>
      </c>
      <c r="E230" s="1" t="s">
        <v>340</v>
      </c>
      <c r="F230" s="1" t="s">
        <v>386</v>
      </c>
      <c r="G230" s="1"/>
      <c r="H230" s="1" t="s">
        <v>16</v>
      </c>
      <c r="I230" s="1" t="s">
        <v>427</v>
      </c>
      <c r="J230" s="8" t="s">
        <v>493</v>
      </c>
      <c r="K230" s="8" t="s">
        <v>494</v>
      </c>
    </row>
    <row r="231" customFormat="false" ht="15" hidden="false" customHeight="false" outlineLevel="0" collapsed="false">
      <c r="A231" s="0" t="s">
        <v>476</v>
      </c>
      <c r="B231" s="1" t="s">
        <v>488</v>
      </c>
      <c r="C231" s="1" t="s">
        <v>23</v>
      </c>
      <c r="D231" s="1" t="s">
        <v>483</v>
      </c>
      <c r="E231" s="1" t="s">
        <v>340</v>
      </c>
      <c r="F231" s="1" t="s">
        <v>386</v>
      </c>
      <c r="G231" s="1"/>
      <c r="H231" s="1" t="s">
        <v>16</v>
      </c>
      <c r="I231" s="1" t="s">
        <v>427</v>
      </c>
      <c r="J231" s="8" t="s">
        <v>495</v>
      </c>
      <c r="K231" s="8" t="s">
        <v>496</v>
      </c>
    </row>
    <row r="232" customFormat="false" ht="15" hidden="false" customHeight="false" outlineLevel="0" collapsed="false">
      <c r="A232" s="0" t="s">
        <v>476</v>
      </c>
      <c r="B232" s="1" t="s">
        <v>488</v>
      </c>
      <c r="C232" s="1" t="s">
        <v>13</v>
      </c>
      <c r="D232" s="1" t="s">
        <v>478</v>
      </c>
      <c r="E232" s="1" t="s">
        <v>336</v>
      </c>
      <c r="F232" s="1" t="s">
        <v>386</v>
      </c>
      <c r="G232" s="1"/>
      <c r="H232" s="1" t="s">
        <v>16</v>
      </c>
      <c r="I232" s="1" t="s">
        <v>427</v>
      </c>
      <c r="J232" s="8" t="s">
        <v>489</v>
      </c>
      <c r="K232" s="8" t="s">
        <v>490</v>
      </c>
    </row>
    <row r="233" customFormat="false" ht="15" hidden="false" customHeight="false" outlineLevel="0" collapsed="false">
      <c r="A233" s="0" t="s">
        <v>476</v>
      </c>
      <c r="B233" s="1" t="s">
        <v>488</v>
      </c>
      <c r="C233" s="1" t="s">
        <v>23</v>
      </c>
      <c r="D233" s="1" t="s">
        <v>478</v>
      </c>
      <c r="E233" s="1" t="s">
        <v>336</v>
      </c>
      <c r="F233" s="1" t="s">
        <v>386</v>
      </c>
      <c r="G233" s="1"/>
      <c r="H233" s="1" t="s">
        <v>16</v>
      </c>
      <c r="I233" s="1" t="s">
        <v>427</v>
      </c>
      <c r="J233" s="0" t="s">
        <v>491</v>
      </c>
      <c r="K233" s="8" t="s">
        <v>492</v>
      </c>
    </row>
    <row r="234" customFormat="false" ht="15" hidden="false" customHeight="false" outlineLevel="0" collapsed="false">
      <c r="A234" s="0" t="s">
        <v>476</v>
      </c>
      <c r="B234" s="1" t="s">
        <v>488</v>
      </c>
      <c r="C234" s="1" t="s">
        <v>13</v>
      </c>
      <c r="D234" s="1" t="s">
        <v>483</v>
      </c>
      <c r="E234" s="1" t="s">
        <v>336</v>
      </c>
      <c r="F234" s="1" t="s">
        <v>386</v>
      </c>
      <c r="G234" s="1"/>
      <c r="H234" s="1" t="s">
        <v>16</v>
      </c>
      <c r="I234" s="1" t="s">
        <v>427</v>
      </c>
      <c r="J234" s="0" t="s">
        <v>493</v>
      </c>
      <c r="K234" s="8" t="s">
        <v>494</v>
      </c>
    </row>
    <row r="235" customFormat="false" ht="15" hidden="false" customHeight="false" outlineLevel="0" collapsed="false">
      <c r="A235" s="0" t="s">
        <v>476</v>
      </c>
      <c r="B235" s="1" t="s">
        <v>488</v>
      </c>
      <c r="C235" s="1" t="s">
        <v>23</v>
      </c>
      <c r="D235" s="1" t="s">
        <v>483</v>
      </c>
      <c r="E235" s="1" t="s">
        <v>336</v>
      </c>
      <c r="F235" s="1" t="s">
        <v>386</v>
      </c>
      <c r="G235" s="1"/>
      <c r="H235" s="1" t="s">
        <v>16</v>
      </c>
      <c r="I235" s="1" t="s">
        <v>427</v>
      </c>
      <c r="J235" s="0" t="s">
        <v>495</v>
      </c>
      <c r="K235" s="8" t="s">
        <v>496</v>
      </c>
    </row>
    <row r="236" customFormat="false" ht="15" hidden="false" customHeight="false" outlineLevel="0" collapsed="false">
      <c r="A236" s="10" t="s">
        <v>497</v>
      </c>
      <c r="B236" s="10"/>
      <c r="C236" s="11"/>
      <c r="D236" s="11"/>
      <c r="E236" s="11"/>
      <c r="F236" s="11"/>
      <c r="G236" s="11"/>
      <c r="H236" s="11" t="s">
        <v>16</v>
      </c>
      <c r="I236" s="10" t="s">
        <v>498</v>
      </c>
      <c r="J236" s="10" t="s">
        <v>489</v>
      </c>
      <c r="K236" s="11" t="s">
        <v>499</v>
      </c>
    </row>
    <row r="237" customFormat="false" ht="15" hidden="false" customHeight="false" outlineLevel="0" collapsed="false">
      <c r="A237" s="10" t="s">
        <v>497</v>
      </c>
      <c r="B237" s="10"/>
      <c r="C237" s="11"/>
      <c r="D237" s="11"/>
      <c r="E237" s="11"/>
      <c r="F237" s="11"/>
      <c r="G237" s="11"/>
      <c r="H237" s="11" t="s">
        <v>16</v>
      </c>
      <c r="I237" s="10" t="s">
        <v>498</v>
      </c>
      <c r="J237" s="10" t="s">
        <v>489</v>
      </c>
      <c r="K237" s="11" t="s">
        <v>499</v>
      </c>
    </row>
    <row r="238" customFormat="false" ht="15" hidden="false" customHeight="false" outlineLevel="0" collapsed="false">
      <c r="A238" s="10" t="s">
        <v>497</v>
      </c>
      <c r="B238" s="10"/>
      <c r="C238" s="11"/>
      <c r="D238" s="11"/>
      <c r="E238" s="11"/>
      <c r="F238" s="11"/>
      <c r="G238" s="11"/>
      <c r="H238" s="11" t="s">
        <v>16</v>
      </c>
      <c r="I238" s="10" t="s">
        <v>498</v>
      </c>
      <c r="J238" s="10" t="s">
        <v>489</v>
      </c>
      <c r="K238" s="11" t="s">
        <v>499</v>
      </c>
    </row>
    <row r="239" customFormat="false" ht="15" hidden="false" customHeight="false" outlineLevel="0" collapsed="false">
      <c r="A239" s="10" t="s">
        <v>497</v>
      </c>
      <c r="B239" s="10"/>
      <c r="C239" s="11"/>
      <c r="D239" s="11"/>
      <c r="E239" s="11"/>
      <c r="F239" s="11"/>
      <c r="G239" s="11"/>
      <c r="H239" s="11" t="s">
        <v>16</v>
      </c>
      <c r="I239" s="10" t="s">
        <v>498</v>
      </c>
      <c r="J239" s="10" t="s">
        <v>491</v>
      </c>
      <c r="K239" s="11" t="s">
        <v>500</v>
      </c>
    </row>
    <row r="240" customFormat="false" ht="15" hidden="false" customHeight="false" outlineLevel="0" collapsed="false">
      <c r="A240" s="10" t="s">
        <v>497</v>
      </c>
      <c r="B240" s="10"/>
      <c r="C240" s="11"/>
      <c r="D240" s="11"/>
      <c r="E240" s="11"/>
      <c r="F240" s="11"/>
      <c r="G240" s="11"/>
      <c r="H240" s="11" t="s">
        <v>16</v>
      </c>
      <c r="I240" s="10" t="s">
        <v>498</v>
      </c>
      <c r="J240" s="10" t="s">
        <v>491</v>
      </c>
      <c r="K240" s="11" t="s">
        <v>500</v>
      </c>
    </row>
    <row r="241" customFormat="false" ht="15" hidden="false" customHeight="false" outlineLevel="0" collapsed="false">
      <c r="A241" s="10" t="s">
        <v>497</v>
      </c>
      <c r="B241" s="10"/>
      <c r="C241" s="11"/>
      <c r="D241" s="11"/>
      <c r="E241" s="11"/>
      <c r="F241" s="11"/>
      <c r="G241" s="11"/>
      <c r="H241" s="11" t="s">
        <v>16</v>
      </c>
      <c r="I241" s="10" t="s">
        <v>498</v>
      </c>
      <c r="J241" s="10" t="s">
        <v>491</v>
      </c>
      <c r="K241" s="11" t="s">
        <v>500</v>
      </c>
    </row>
    <row r="242" customFormat="false" ht="15" hidden="false" customHeight="false" outlineLevel="0" collapsed="false">
      <c r="A242" s="0" t="s">
        <v>497</v>
      </c>
      <c r="B242" s="1" t="s">
        <v>201</v>
      </c>
      <c r="C242" s="1" t="s">
        <v>13</v>
      </c>
      <c r="D242" s="1" t="s">
        <v>37</v>
      </c>
      <c r="E242" s="1"/>
      <c r="F242" s="1"/>
      <c r="G242" s="1"/>
      <c r="H242" s="1" t="s">
        <v>16</v>
      </c>
      <c r="I242" s="0" t="s">
        <v>498</v>
      </c>
      <c r="J242" s="0" t="s">
        <v>493</v>
      </c>
      <c r="K242" s="1" t="s">
        <v>501</v>
      </c>
    </row>
    <row r="243" customFormat="false" ht="15" hidden="false" customHeight="false" outlineLevel="0" collapsed="false">
      <c r="A243" s="0" t="s">
        <v>497</v>
      </c>
      <c r="B243" s="1" t="s">
        <v>201</v>
      </c>
      <c r="C243" s="1" t="s">
        <v>13</v>
      </c>
      <c r="D243" s="1" t="s">
        <v>46</v>
      </c>
      <c r="E243" s="1"/>
      <c r="F243" s="1"/>
      <c r="G243" s="1"/>
      <c r="H243" s="1" t="s">
        <v>16</v>
      </c>
      <c r="I243" s="0" t="s">
        <v>498</v>
      </c>
      <c r="J243" s="0" t="s">
        <v>493</v>
      </c>
      <c r="K243" s="1" t="s">
        <v>501</v>
      </c>
    </row>
    <row r="244" customFormat="false" ht="15" hidden="false" customHeight="false" outlineLevel="0" collapsed="false">
      <c r="A244" s="0" t="s">
        <v>497</v>
      </c>
      <c r="B244" s="1" t="s">
        <v>201</v>
      </c>
      <c r="C244" s="1" t="s">
        <v>13</v>
      </c>
      <c r="D244" s="1" t="s">
        <v>396</v>
      </c>
      <c r="E244" s="1"/>
      <c r="F244" s="1"/>
      <c r="G244" s="1"/>
      <c r="H244" s="1" t="s">
        <v>16</v>
      </c>
      <c r="I244" s="0" t="s">
        <v>498</v>
      </c>
      <c r="J244" s="0" t="s">
        <v>493</v>
      </c>
      <c r="K244" s="1" t="s">
        <v>501</v>
      </c>
    </row>
    <row r="245" customFormat="false" ht="15" hidden="false" customHeight="false" outlineLevel="0" collapsed="false">
      <c r="A245" s="0" t="s">
        <v>497</v>
      </c>
      <c r="B245" s="1" t="s">
        <v>201</v>
      </c>
      <c r="C245" s="1" t="s">
        <v>13</v>
      </c>
      <c r="D245" s="1" t="s">
        <v>87</v>
      </c>
      <c r="E245" s="1"/>
      <c r="F245" s="1"/>
      <c r="G245" s="1"/>
      <c r="H245" s="1" t="s">
        <v>16</v>
      </c>
      <c r="I245" s="0" t="s">
        <v>498</v>
      </c>
      <c r="J245" s="0" t="s">
        <v>493</v>
      </c>
      <c r="K245" s="1" t="s">
        <v>501</v>
      </c>
    </row>
    <row r="246" customFormat="false" ht="15" hidden="false" customHeight="false" outlineLevel="0" collapsed="false">
      <c r="A246" s="0" t="s">
        <v>497</v>
      </c>
      <c r="B246" s="1" t="s">
        <v>201</v>
      </c>
      <c r="C246" s="1" t="s">
        <v>23</v>
      </c>
      <c r="D246" s="1" t="s">
        <v>37</v>
      </c>
      <c r="E246" s="1"/>
      <c r="F246" s="1"/>
      <c r="G246" s="1"/>
      <c r="H246" s="1" t="s">
        <v>16</v>
      </c>
      <c r="I246" s="0" t="s">
        <v>498</v>
      </c>
      <c r="J246" s="0" t="s">
        <v>495</v>
      </c>
      <c r="K246" s="1" t="s">
        <v>502</v>
      </c>
    </row>
    <row r="247" customFormat="false" ht="15" hidden="false" customHeight="false" outlineLevel="0" collapsed="false">
      <c r="A247" s="0" t="s">
        <v>497</v>
      </c>
      <c r="B247" s="1" t="s">
        <v>201</v>
      </c>
      <c r="C247" s="1" t="s">
        <v>23</v>
      </c>
      <c r="D247" s="1" t="s">
        <v>46</v>
      </c>
      <c r="E247" s="1"/>
      <c r="F247" s="1"/>
      <c r="G247" s="1"/>
      <c r="H247" s="1" t="s">
        <v>16</v>
      </c>
      <c r="I247" s="0" t="s">
        <v>498</v>
      </c>
      <c r="J247" s="0" t="s">
        <v>495</v>
      </c>
      <c r="K247" s="1" t="s">
        <v>502</v>
      </c>
    </row>
    <row r="248" customFormat="false" ht="15" hidden="false" customHeight="false" outlineLevel="0" collapsed="false">
      <c r="A248" s="0" t="s">
        <v>497</v>
      </c>
      <c r="B248" s="1" t="s">
        <v>201</v>
      </c>
      <c r="C248" s="1" t="s">
        <v>23</v>
      </c>
      <c r="D248" s="1" t="s">
        <v>396</v>
      </c>
      <c r="E248" s="1"/>
      <c r="F248" s="1"/>
      <c r="G248" s="1"/>
      <c r="H248" s="1" t="s">
        <v>16</v>
      </c>
      <c r="I248" s="0" t="s">
        <v>498</v>
      </c>
      <c r="J248" s="0" t="s">
        <v>495</v>
      </c>
      <c r="K248" s="1" t="s">
        <v>502</v>
      </c>
    </row>
    <row r="249" customFormat="false" ht="15" hidden="false" customHeight="false" outlineLevel="0" collapsed="false">
      <c r="A249" s="0" t="s">
        <v>497</v>
      </c>
      <c r="B249" s="1" t="s">
        <v>201</v>
      </c>
      <c r="C249" s="1" t="s">
        <v>23</v>
      </c>
      <c r="D249" s="1" t="s">
        <v>87</v>
      </c>
      <c r="E249" s="1"/>
      <c r="F249" s="1"/>
      <c r="G249" s="1"/>
      <c r="H249" s="1" t="s">
        <v>16</v>
      </c>
      <c r="I249" s="0" t="s">
        <v>498</v>
      </c>
      <c r="J249" s="0" t="s">
        <v>495</v>
      </c>
      <c r="K249" s="1" t="s">
        <v>502</v>
      </c>
    </row>
    <row r="250" customFormat="false" ht="15" hidden="false" customHeight="false" outlineLevel="0" collapsed="false">
      <c r="A250" s="0" t="s">
        <v>497</v>
      </c>
      <c r="B250" s="1" t="s">
        <v>503</v>
      </c>
      <c r="C250" s="1"/>
      <c r="D250" s="0"/>
      <c r="E250" s="1" t="s">
        <v>340</v>
      </c>
      <c r="F250" s="1" t="s">
        <v>504</v>
      </c>
      <c r="G250" s="1"/>
      <c r="H250" s="1" t="s">
        <v>16</v>
      </c>
      <c r="I250" s="0" t="s">
        <v>505</v>
      </c>
      <c r="J250" s="0" t="s">
        <v>504</v>
      </c>
      <c r="K250" s="0" t="s">
        <v>506</v>
      </c>
    </row>
    <row r="251" customFormat="false" ht="15" hidden="false" customHeight="false" outlineLevel="0" collapsed="false">
      <c r="A251" s="0" t="s">
        <v>497</v>
      </c>
      <c r="B251" s="1" t="s">
        <v>503</v>
      </c>
      <c r="C251" s="1"/>
      <c r="D251" s="0"/>
      <c r="E251" s="1" t="s">
        <v>340</v>
      </c>
      <c r="F251" s="1" t="s">
        <v>507</v>
      </c>
      <c r="G251" s="1"/>
      <c r="H251" s="1" t="s">
        <v>16</v>
      </c>
      <c r="I251" s="0" t="s">
        <v>505</v>
      </c>
      <c r="J251" s="0" t="s">
        <v>507</v>
      </c>
      <c r="K251" s="1" t="s">
        <v>508</v>
      </c>
    </row>
    <row r="252" customFormat="false" ht="15" hidden="false" customHeight="false" outlineLevel="0" collapsed="false">
      <c r="A252" s="0" t="s">
        <v>509</v>
      </c>
      <c r="B252" s="1" t="s">
        <v>477</v>
      </c>
      <c r="C252" s="1" t="s">
        <v>13</v>
      </c>
      <c r="D252" s="1" t="s">
        <v>478</v>
      </c>
      <c r="E252" s="1"/>
      <c r="F252" s="1"/>
      <c r="G252" s="1"/>
      <c r="H252" s="1" t="s">
        <v>346</v>
      </c>
      <c r="I252" s="0" t="s">
        <v>510</v>
      </c>
      <c r="J252" s="0" t="s">
        <v>489</v>
      </c>
      <c r="K252" s="0" t="s">
        <v>511</v>
      </c>
    </row>
    <row r="253" customFormat="false" ht="15" hidden="false" customHeight="false" outlineLevel="0" collapsed="false">
      <c r="A253" s="0" t="s">
        <v>509</v>
      </c>
      <c r="B253" s="1" t="s">
        <v>477</v>
      </c>
      <c r="C253" s="1" t="s">
        <v>23</v>
      </c>
      <c r="D253" s="1" t="s">
        <v>478</v>
      </c>
      <c r="E253" s="1"/>
      <c r="F253" s="1"/>
      <c r="G253" s="1"/>
      <c r="H253" s="1" t="s">
        <v>346</v>
      </c>
      <c r="I253" s="0" t="s">
        <v>510</v>
      </c>
      <c r="J253" s="0" t="s">
        <v>491</v>
      </c>
      <c r="K253" s="0" t="s">
        <v>512</v>
      </c>
    </row>
    <row r="254" customFormat="false" ht="15" hidden="false" customHeight="false" outlineLevel="0" collapsed="false">
      <c r="A254" s="0" t="s">
        <v>509</v>
      </c>
      <c r="B254" s="1" t="s">
        <v>477</v>
      </c>
      <c r="C254" s="1" t="s">
        <v>13</v>
      </c>
      <c r="D254" s="1" t="s">
        <v>483</v>
      </c>
      <c r="E254" s="1"/>
      <c r="F254" s="1"/>
      <c r="G254" s="1"/>
      <c r="H254" s="1" t="s">
        <v>346</v>
      </c>
      <c r="I254" s="0" t="s">
        <v>510</v>
      </c>
      <c r="J254" s="0" t="s">
        <v>493</v>
      </c>
      <c r="K254" s="0" t="s">
        <v>513</v>
      </c>
    </row>
    <row r="255" customFormat="false" ht="15" hidden="false" customHeight="false" outlineLevel="0" collapsed="false">
      <c r="A255" s="0" t="s">
        <v>509</v>
      </c>
      <c r="B255" s="1" t="s">
        <v>477</v>
      </c>
      <c r="C255" s="1" t="s">
        <v>23</v>
      </c>
      <c r="D255" s="1" t="s">
        <v>483</v>
      </c>
      <c r="E255" s="1"/>
      <c r="F255" s="1"/>
      <c r="G255" s="1"/>
      <c r="H255" s="1" t="s">
        <v>346</v>
      </c>
      <c r="I255" s="0" t="s">
        <v>510</v>
      </c>
      <c r="J255" s="0" t="s">
        <v>495</v>
      </c>
      <c r="K255" s="0" t="s">
        <v>514</v>
      </c>
    </row>
    <row r="256" customFormat="false" ht="15" hidden="false" customHeight="false" outlineLevel="0" collapsed="false">
      <c r="A256" s="0" t="s">
        <v>509</v>
      </c>
      <c r="B256" s="1"/>
      <c r="C256" s="1"/>
      <c r="D256" s="0"/>
      <c r="E256" s="1"/>
      <c r="F256" s="1"/>
      <c r="G256" s="1"/>
      <c r="H256" s="1"/>
      <c r="I256" s="0" t="s">
        <v>515</v>
      </c>
      <c r="J256" s="0" t="s">
        <v>516</v>
      </c>
      <c r="K256" s="0" t="s">
        <v>517</v>
      </c>
    </row>
    <row r="257" customFormat="false" ht="15" hidden="false" customHeight="false" outlineLevel="0" collapsed="false">
      <c r="A257" s="0" t="s">
        <v>509</v>
      </c>
      <c r="B257" s="1"/>
      <c r="C257" s="1"/>
      <c r="D257" s="0"/>
      <c r="E257" s="1"/>
      <c r="F257" s="1"/>
      <c r="G257" s="1"/>
      <c r="H257" s="1"/>
      <c r="I257" s="0" t="s">
        <v>515</v>
      </c>
      <c r="J257" s="0" t="s">
        <v>518</v>
      </c>
      <c r="K257" s="0" t="s">
        <v>519</v>
      </c>
    </row>
    <row r="258" customFormat="false" ht="15" hidden="false" customHeight="false" outlineLevel="0" collapsed="false">
      <c r="A258" s="0" t="s">
        <v>509</v>
      </c>
      <c r="B258" s="1"/>
      <c r="C258" s="1"/>
      <c r="D258" s="0"/>
      <c r="E258" s="1"/>
      <c r="F258" s="1"/>
      <c r="G258" s="1"/>
      <c r="H258" s="1"/>
      <c r="I258" s="0" t="s">
        <v>515</v>
      </c>
      <c r="J258" s="0" t="s">
        <v>520</v>
      </c>
      <c r="K258" s="0" t="s">
        <v>521</v>
      </c>
    </row>
    <row r="259" customFormat="false" ht="15" hidden="false" customHeight="false" outlineLevel="0" collapsed="false">
      <c r="A259" s="0" t="s">
        <v>509</v>
      </c>
      <c r="B259" s="1"/>
      <c r="C259" s="1"/>
      <c r="D259" s="0"/>
      <c r="E259" s="1"/>
      <c r="F259" s="1"/>
      <c r="G259" s="1"/>
      <c r="H259" s="1"/>
      <c r="I259" s="0" t="s">
        <v>515</v>
      </c>
      <c r="J259" s="0" t="s">
        <v>522</v>
      </c>
      <c r="K259" s="0" t="s">
        <v>523</v>
      </c>
    </row>
    <row r="260" customFormat="false" ht="15" hidden="false" customHeight="false" outlineLevel="0" collapsed="false">
      <c r="A260" s="0" t="s">
        <v>509</v>
      </c>
      <c r="B260" s="1" t="s">
        <v>477</v>
      </c>
      <c r="C260" s="1" t="s">
        <v>13</v>
      </c>
      <c r="D260" s="1" t="s">
        <v>478</v>
      </c>
      <c r="E260" s="1"/>
      <c r="F260" s="1"/>
      <c r="G260" s="1"/>
      <c r="H260" s="1" t="s">
        <v>16</v>
      </c>
      <c r="I260" s="0" t="s">
        <v>498</v>
      </c>
      <c r="J260" s="0" t="s">
        <v>489</v>
      </c>
      <c r="K260" s="0" t="s">
        <v>524</v>
      </c>
    </row>
    <row r="261" customFormat="false" ht="15" hidden="false" customHeight="false" outlineLevel="0" collapsed="false">
      <c r="A261" s="0" t="s">
        <v>509</v>
      </c>
      <c r="B261" s="1" t="s">
        <v>477</v>
      </c>
      <c r="C261" s="1" t="s">
        <v>23</v>
      </c>
      <c r="D261" s="1" t="s">
        <v>478</v>
      </c>
      <c r="E261" s="1"/>
      <c r="F261" s="1"/>
      <c r="G261" s="1"/>
      <c r="H261" s="1" t="s">
        <v>16</v>
      </c>
      <c r="I261" s="0" t="s">
        <v>498</v>
      </c>
      <c r="J261" s="0" t="s">
        <v>491</v>
      </c>
      <c r="K261" s="0" t="s">
        <v>525</v>
      </c>
    </row>
    <row r="262" customFormat="false" ht="15" hidden="false" customHeight="false" outlineLevel="0" collapsed="false">
      <c r="A262" s="0" t="s">
        <v>509</v>
      </c>
      <c r="B262" s="1" t="s">
        <v>477</v>
      </c>
      <c r="C262" s="1" t="s">
        <v>13</v>
      </c>
      <c r="D262" s="1" t="s">
        <v>483</v>
      </c>
      <c r="E262" s="1"/>
      <c r="F262" s="1"/>
      <c r="G262" s="1"/>
      <c r="H262" s="1" t="s">
        <v>16</v>
      </c>
      <c r="I262" s="0" t="s">
        <v>498</v>
      </c>
      <c r="J262" s="0" t="s">
        <v>493</v>
      </c>
      <c r="K262" s="0" t="s">
        <v>526</v>
      </c>
    </row>
    <row r="263" customFormat="false" ht="15" hidden="false" customHeight="false" outlineLevel="0" collapsed="false">
      <c r="A263" s="0" t="s">
        <v>509</v>
      </c>
      <c r="B263" s="1" t="s">
        <v>477</v>
      </c>
      <c r="C263" s="1" t="s">
        <v>23</v>
      </c>
      <c r="D263" s="1" t="s">
        <v>483</v>
      </c>
      <c r="E263" s="1"/>
      <c r="F263" s="1"/>
      <c r="G263" s="1"/>
      <c r="H263" s="1" t="s">
        <v>16</v>
      </c>
      <c r="I263" s="0" t="s">
        <v>498</v>
      </c>
      <c r="J263" s="0" t="s">
        <v>495</v>
      </c>
      <c r="K263" s="0" t="s">
        <v>527</v>
      </c>
    </row>
    <row r="264" customFormat="false" ht="15" hidden="false" customHeight="false" outlineLevel="0" collapsed="false">
      <c r="A264" s="0" t="s">
        <v>509</v>
      </c>
      <c r="B264" s="1"/>
      <c r="C264" s="1"/>
      <c r="D264" s="0"/>
      <c r="E264" s="1"/>
      <c r="F264" s="1"/>
      <c r="G264" s="1"/>
      <c r="H264" s="1"/>
      <c r="I264" s="0" t="s">
        <v>528</v>
      </c>
      <c r="J264" s="0" t="s">
        <v>529</v>
      </c>
      <c r="K264" s="0" t="s">
        <v>530</v>
      </c>
    </row>
    <row r="265" customFormat="false" ht="15" hidden="false" customHeight="false" outlineLevel="0" collapsed="false">
      <c r="A265" s="0" t="s">
        <v>509</v>
      </c>
      <c r="B265" s="1"/>
      <c r="C265" s="1"/>
      <c r="D265" s="0"/>
      <c r="E265" s="1"/>
      <c r="F265" s="1"/>
      <c r="G265" s="1"/>
      <c r="H265" s="1"/>
      <c r="I265" s="0" t="s">
        <v>528</v>
      </c>
      <c r="J265" s="0" t="s">
        <v>518</v>
      </c>
      <c r="K265" s="0" t="s">
        <v>531</v>
      </c>
    </row>
    <row r="266" customFormat="false" ht="15" hidden="false" customHeight="false" outlineLevel="0" collapsed="false">
      <c r="A266" s="0" t="s">
        <v>509</v>
      </c>
      <c r="B266" s="1"/>
      <c r="C266" s="1"/>
      <c r="D266" s="0"/>
      <c r="E266" s="1"/>
      <c r="F266" s="1"/>
      <c r="G266" s="1"/>
      <c r="H266" s="1"/>
      <c r="I266" s="0" t="s">
        <v>528</v>
      </c>
      <c r="J266" s="0" t="s">
        <v>520</v>
      </c>
      <c r="K266" s="0" t="s">
        <v>532</v>
      </c>
    </row>
    <row r="267" customFormat="false" ht="15" hidden="false" customHeight="false" outlineLevel="0" collapsed="false">
      <c r="A267" s="0" t="s">
        <v>509</v>
      </c>
      <c r="B267" s="1"/>
      <c r="C267" s="1"/>
      <c r="D267" s="0"/>
      <c r="E267" s="1"/>
      <c r="F267" s="1"/>
      <c r="G267" s="1"/>
      <c r="H267" s="1"/>
      <c r="I267" s="0" t="s">
        <v>528</v>
      </c>
      <c r="J267" s="0" t="s">
        <v>522</v>
      </c>
      <c r="K267" s="0" t="s">
        <v>533</v>
      </c>
    </row>
    <row r="268" customFormat="false" ht="15" hidden="false" customHeight="false" outlineLevel="0" collapsed="false">
      <c r="A268" s="0" t="s">
        <v>534</v>
      </c>
      <c r="B268" s="0" t="s">
        <v>193</v>
      </c>
      <c r="C268" s="1"/>
      <c r="D268" s="1" t="s">
        <v>194</v>
      </c>
      <c r="E268" s="1"/>
      <c r="F268" s="1"/>
      <c r="G268" s="1"/>
      <c r="H268" s="1" t="s">
        <v>16</v>
      </c>
      <c r="I268" s="0" t="s">
        <v>535</v>
      </c>
      <c r="J268" s="0" t="s">
        <v>536</v>
      </c>
      <c r="K268" s="0" t="s">
        <v>537</v>
      </c>
    </row>
    <row r="269" customFormat="false" ht="15" hidden="false" customHeight="false" outlineLevel="0" collapsed="false">
      <c r="A269" s="0" t="s">
        <v>534</v>
      </c>
      <c r="B269" s="0" t="s">
        <v>193</v>
      </c>
      <c r="C269" s="1"/>
      <c r="D269" s="1" t="s">
        <v>198</v>
      </c>
      <c r="H269" s="1" t="s">
        <v>16</v>
      </c>
      <c r="I269" s="0" t="s">
        <v>535</v>
      </c>
      <c r="J269" s="0" t="s">
        <v>538</v>
      </c>
      <c r="K269" s="0" t="s">
        <v>539</v>
      </c>
    </row>
    <row r="270" customFormat="false" ht="15" hidden="false" customHeight="false" outlineLevel="0" collapsed="false">
      <c r="A270" s="0" t="s">
        <v>534</v>
      </c>
      <c r="B270" s="1" t="s">
        <v>201</v>
      </c>
      <c r="C270" s="1" t="s">
        <v>13</v>
      </c>
      <c r="D270" s="1" t="s">
        <v>28</v>
      </c>
      <c r="F270" s="1"/>
      <c r="G270" s="1"/>
      <c r="H270" s="1" t="s">
        <v>16</v>
      </c>
      <c r="I270" s="0" t="s">
        <v>535</v>
      </c>
      <c r="J270" s="0" t="s">
        <v>540</v>
      </c>
      <c r="K270" s="0" t="s">
        <v>541</v>
      </c>
    </row>
    <row r="271" customFormat="false" ht="15" hidden="false" customHeight="false" outlineLevel="0" collapsed="false">
      <c r="A271" s="0" t="s">
        <v>534</v>
      </c>
      <c r="B271" s="1" t="s">
        <v>201</v>
      </c>
      <c r="C271" s="1" t="s">
        <v>23</v>
      </c>
      <c r="D271" s="1" t="s">
        <v>28</v>
      </c>
      <c r="F271" s="1"/>
      <c r="G271" s="1"/>
      <c r="H271" s="1" t="s">
        <v>16</v>
      </c>
      <c r="I271" s="0" t="s">
        <v>535</v>
      </c>
      <c r="J271" s="0" t="s">
        <v>542</v>
      </c>
      <c r="K271" s="0" t="s">
        <v>543</v>
      </c>
    </row>
    <row r="272" customFormat="false" ht="15" hidden="false" customHeight="false" outlineLevel="0" collapsed="false">
      <c r="A272" s="0" t="s">
        <v>534</v>
      </c>
      <c r="B272" s="1" t="s">
        <v>201</v>
      </c>
      <c r="C272" s="1" t="s">
        <v>13</v>
      </c>
      <c r="D272" s="1" t="s">
        <v>37</v>
      </c>
      <c r="F272" s="1"/>
      <c r="G272" s="1"/>
      <c r="H272" s="1" t="s">
        <v>16</v>
      </c>
      <c r="I272" s="0" t="s">
        <v>544</v>
      </c>
      <c r="J272" s="0" t="s">
        <v>545</v>
      </c>
      <c r="K272" s="0" t="s">
        <v>546</v>
      </c>
    </row>
    <row r="273" customFormat="false" ht="15" hidden="false" customHeight="false" outlineLevel="0" collapsed="false">
      <c r="A273" s="0" t="s">
        <v>534</v>
      </c>
      <c r="B273" s="1" t="s">
        <v>201</v>
      </c>
      <c r="C273" s="1" t="s">
        <v>23</v>
      </c>
      <c r="D273" s="1" t="s">
        <v>37</v>
      </c>
      <c r="H273" s="1" t="s">
        <v>16</v>
      </c>
      <c r="I273" s="0" t="s">
        <v>544</v>
      </c>
      <c r="J273" s="0" t="s">
        <v>547</v>
      </c>
      <c r="K273" s="0" t="s">
        <v>548</v>
      </c>
    </row>
    <row r="274" customFormat="false" ht="15" hidden="false" customHeight="false" outlineLevel="0" collapsed="false">
      <c r="A274" s="0" t="s">
        <v>534</v>
      </c>
      <c r="B274" s="1" t="s">
        <v>201</v>
      </c>
      <c r="C274" s="1" t="s">
        <v>13</v>
      </c>
      <c r="D274" s="1" t="s">
        <v>46</v>
      </c>
      <c r="H274" s="1" t="s">
        <v>16</v>
      </c>
      <c r="I274" s="0" t="s">
        <v>544</v>
      </c>
      <c r="J274" s="0" t="s">
        <v>549</v>
      </c>
      <c r="K274" s="0" t="s">
        <v>550</v>
      </c>
    </row>
    <row r="275" customFormat="false" ht="15" hidden="false" customHeight="false" outlineLevel="0" collapsed="false">
      <c r="A275" s="0" t="s">
        <v>534</v>
      </c>
      <c r="B275" s="1" t="s">
        <v>201</v>
      </c>
      <c r="C275" s="1" t="s">
        <v>23</v>
      </c>
      <c r="D275" s="1" t="s">
        <v>46</v>
      </c>
      <c r="H275" s="1" t="s">
        <v>16</v>
      </c>
      <c r="I275" s="0" t="s">
        <v>544</v>
      </c>
      <c r="J275" s="0" t="s">
        <v>551</v>
      </c>
      <c r="K275" s="0" t="s">
        <v>552</v>
      </c>
    </row>
    <row r="276" customFormat="false" ht="15" hidden="false" customHeight="false" outlineLevel="0" collapsed="false">
      <c r="A276" s="0" t="s">
        <v>534</v>
      </c>
      <c r="B276" s="1"/>
      <c r="C276" s="1"/>
      <c r="D276" s="0"/>
      <c r="I276" s="0" t="s">
        <v>544</v>
      </c>
      <c r="J276" s="0" t="s">
        <v>553</v>
      </c>
      <c r="K276" s="0" t="s">
        <v>554</v>
      </c>
    </row>
    <row r="277" customFormat="false" ht="15" hidden="false" customHeight="false" outlineLevel="0" collapsed="false">
      <c r="A277" s="0" t="s">
        <v>534</v>
      </c>
      <c r="B277" s="1"/>
      <c r="C277" s="1"/>
      <c r="D277" s="0"/>
      <c r="I277" s="0" t="s">
        <v>544</v>
      </c>
      <c r="J277" s="0" t="s">
        <v>555</v>
      </c>
      <c r="K277" s="0" t="s">
        <v>556</v>
      </c>
    </row>
    <row r="278" customFormat="false" ht="15" hidden="false" customHeight="false" outlineLevel="0" collapsed="false">
      <c r="A278" s="0" t="s">
        <v>534</v>
      </c>
      <c r="B278" s="1"/>
      <c r="C278" s="1"/>
      <c r="D278" s="0"/>
      <c r="I278" s="0" t="s">
        <v>544</v>
      </c>
      <c r="J278" s="0" t="s">
        <v>557</v>
      </c>
      <c r="K278" s="0" t="s">
        <v>558</v>
      </c>
    </row>
    <row r="279" customFormat="false" ht="15" hidden="false" customHeight="false" outlineLevel="0" collapsed="false">
      <c r="A279" s="0" t="s">
        <v>534</v>
      </c>
      <c r="B279" s="1"/>
      <c r="C279" s="1"/>
      <c r="D279" s="0"/>
      <c r="I279" s="0" t="s">
        <v>544</v>
      </c>
      <c r="J279" s="0" t="s">
        <v>559</v>
      </c>
      <c r="K279" s="0" t="s">
        <v>560</v>
      </c>
    </row>
    <row r="280" customFormat="false" ht="15" hidden="false" customHeight="false" outlineLevel="0" collapsed="false">
      <c r="A280" s="0" t="s">
        <v>534</v>
      </c>
      <c r="B280" s="1"/>
      <c r="C280" s="1"/>
      <c r="D280" s="0"/>
      <c r="I280" s="0" t="s">
        <v>544</v>
      </c>
      <c r="J280" s="0" t="s">
        <v>561</v>
      </c>
      <c r="K280" s="0" t="s">
        <v>562</v>
      </c>
    </row>
    <row r="281" customFormat="false" ht="15" hidden="false" customHeight="false" outlineLevel="0" collapsed="false">
      <c r="A281" s="0" t="s">
        <v>534</v>
      </c>
      <c r="B281" s="1"/>
      <c r="C281" s="1"/>
      <c r="D281" s="0"/>
      <c r="I281" s="0" t="s">
        <v>544</v>
      </c>
      <c r="J281" s="0" t="s">
        <v>563</v>
      </c>
      <c r="K281" s="0" t="s">
        <v>564</v>
      </c>
    </row>
    <row r="282" customFormat="false" ht="15" hidden="false" customHeight="false" outlineLevel="0" collapsed="false">
      <c r="A282" s="0" t="s">
        <v>534</v>
      </c>
      <c r="B282" s="1"/>
      <c r="C282" s="1"/>
      <c r="D282" s="0"/>
      <c r="I282" s="0" t="s">
        <v>544</v>
      </c>
      <c r="J282" s="0" t="s">
        <v>565</v>
      </c>
      <c r="K282" s="0" t="s">
        <v>566</v>
      </c>
    </row>
    <row r="283" customFormat="false" ht="15" hidden="false" customHeight="false" outlineLevel="0" collapsed="false">
      <c r="A283" s="0" t="s">
        <v>534</v>
      </c>
      <c r="B283" s="1"/>
      <c r="C283" s="1"/>
      <c r="D283" s="0"/>
      <c r="I283" s="0" t="s">
        <v>544</v>
      </c>
      <c r="J283" s="0" t="s">
        <v>567</v>
      </c>
      <c r="K283" s="0" t="s">
        <v>568</v>
      </c>
    </row>
    <row r="284" customFormat="false" ht="15" hidden="false" customHeight="false" outlineLevel="0" collapsed="false">
      <c r="A284" s="0" t="s">
        <v>534</v>
      </c>
      <c r="B284" s="1" t="s">
        <v>201</v>
      </c>
      <c r="C284" s="1" t="s">
        <v>13</v>
      </c>
      <c r="D284" s="1" t="s">
        <v>87</v>
      </c>
      <c r="H284" s="1" t="s">
        <v>16</v>
      </c>
      <c r="I284" s="0" t="s">
        <v>544</v>
      </c>
      <c r="J284" s="0" t="s">
        <v>569</v>
      </c>
      <c r="K284" s="0" t="s">
        <v>570</v>
      </c>
    </row>
    <row r="285" customFormat="false" ht="15" hidden="false" customHeight="false" outlineLevel="0" collapsed="false">
      <c r="A285" s="0" t="s">
        <v>534</v>
      </c>
      <c r="B285" s="1" t="s">
        <v>201</v>
      </c>
      <c r="C285" s="1" t="s">
        <v>23</v>
      </c>
      <c r="D285" s="1" t="s">
        <v>87</v>
      </c>
      <c r="H285" s="1" t="s">
        <v>16</v>
      </c>
      <c r="I285" s="0" t="s">
        <v>544</v>
      </c>
      <c r="J285" s="0" t="s">
        <v>571</v>
      </c>
      <c r="K285" s="0" t="s">
        <v>572</v>
      </c>
    </row>
    <row r="286" customFormat="false" ht="15" hidden="false" customHeight="false" outlineLevel="0" collapsed="false">
      <c r="A286" s="0" t="s">
        <v>573</v>
      </c>
      <c r="B286" s="0" t="s">
        <v>193</v>
      </c>
      <c r="C286" s="1"/>
      <c r="D286" s="1" t="s">
        <v>194</v>
      </c>
      <c r="E286" s="1"/>
      <c r="F286" s="1"/>
      <c r="G286" s="1"/>
      <c r="H286" s="1" t="s">
        <v>16</v>
      </c>
      <c r="I286" s="0" t="s">
        <v>535</v>
      </c>
      <c r="J286" s="0" t="s">
        <v>536</v>
      </c>
      <c r="K286" s="0" t="s">
        <v>574</v>
      </c>
    </row>
    <row r="287" customFormat="false" ht="15" hidden="false" customHeight="false" outlineLevel="0" collapsed="false">
      <c r="A287" s="0" t="s">
        <v>573</v>
      </c>
      <c r="B287" s="0" t="s">
        <v>193</v>
      </c>
      <c r="C287" s="1"/>
      <c r="D287" s="1" t="s">
        <v>198</v>
      </c>
      <c r="H287" s="1" t="s">
        <v>16</v>
      </c>
      <c r="I287" s="0" t="s">
        <v>535</v>
      </c>
      <c r="J287" s="0" t="s">
        <v>538</v>
      </c>
      <c r="K287" s="0" t="s">
        <v>575</v>
      </c>
    </row>
    <row r="288" customFormat="false" ht="15" hidden="false" customHeight="false" outlineLevel="0" collapsed="false">
      <c r="A288" s="0" t="s">
        <v>573</v>
      </c>
      <c r="B288" s="1" t="s">
        <v>201</v>
      </c>
      <c r="C288" s="1" t="s">
        <v>13</v>
      </c>
      <c r="D288" s="1" t="s">
        <v>28</v>
      </c>
      <c r="H288" s="1" t="s">
        <v>16</v>
      </c>
      <c r="I288" s="0" t="s">
        <v>535</v>
      </c>
      <c r="J288" s="0" t="s">
        <v>540</v>
      </c>
      <c r="K288" s="0" t="s">
        <v>576</v>
      </c>
    </row>
    <row r="289" customFormat="false" ht="15" hidden="false" customHeight="false" outlineLevel="0" collapsed="false">
      <c r="A289" s="0" t="s">
        <v>573</v>
      </c>
      <c r="B289" s="1" t="s">
        <v>201</v>
      </c>
      <c r="C289" s="1" t="s">
        <v>23</v>
      </c>
      <c r="D289" s="1" t="s">
        <v>28</v>
      </c>
      <c r="F289" s="1"/>
      <c r="G289" s="1"/>
      <c r="H289" s="1" t="s">
        <v>16</v>
      </c>
      <c r="I289" s="0" t="s">
        <v>535</v>
      </c>
      <c r="J289" s="0" t="s">
        <v>542</v>
      </c>
      <c r="K289" s="0" t="s">
        <v>577</v>
      </c>
    </row>
    <row r="290" customFormat="false" ht="15" hidden="false" customHeight="false" outlineLevel="0" collapsed="false">
      <c r="A290" s="0" t="s">
        <v>573</v>
      </c>
      <c r="B290" s="1" t="s">
        <v>201</v>
      </c>
      <c r="C290" s="1" t="s">
        <v>13</v>
      </c>
      <c r="D290" s="1" t="s">
        <v>37</v>
      </c>
      <c r="F290" s="1"/>
      <c r="G290" s="1"/>
      <c r="H290" s="1" t="s">
        <v>16</v>
      </c>
      <c r="I290" s="0" t="s">
        <v>544</v>
      </c>
      <c r="J290" s="0" t="s">
        <v>545</v>
      </c>
      <c r="K290" s="0" t="s">
        <v>578</v>
      </c>
    </row>
    <row r="291" customFormat="false" ht="15" hidden="false" customHeight="false" outlineLevel="0" collapsed="false">
      <c r="A291" s="0" t="s">
        <v>573</v>
      </c>
      <c r="B291" s="1" t="s">
        <v>201</v>
      </c>
      <c r="C291" s="1" t="s">
        <v>23</v>
      </c>
      <c r="D291" s="1" t="s">
        <v>37</v>
      </c>
      <c r="F291" s="1"/>
      <c r="G291" s="1"/>
      <c r="H291" s="1" t="s">
        <v>16</v>
      </c>
      <c r="I291" s="0" t="s">
        <v>544</v>
      </c>
      <c r="J291" s="0" t="s">
        <v>547</v>
      </c>
      <c r="K291" s="0" t="s">
        <v>579</v>
      </c>
    </row>
    <row r="292" customFormat="false" ht="15" hidden="false" customHeight="false" outlineLevel="0" collapsed="false">
      <c r="A292" s="0" t="s">
        <v>573</v>
      </c>
      <c r="B292" s="1" t="s">
        <v>201</v>
      </c>
      <c r="C292" s="1" t="s">
        <v>13</v>
      </c>
      <c r="D292" s="1" t="s">
        <v>46</v>
      </c>
      <c r="H292" s="1" t="s">
        <v>16</v>
      </c>
      <c r="I292" s="0" t="s">
        <v>544</v>
      </c>
      <c r="J292" s="0" t="s">
        <v>549</v>
      </c>
      <c r="K292" s="0" t="s">
        <v>580</v>
      </c>
    </row>
    <row r="293" customFormat="false" ht="15" hidden="false" customHeight="false" outlineLevel="0" collapsed="false">
      <c r="A293" s="0" t="s">
        <v>573</v>
      </c>
      <c r="B293" s="1" t="s">
        <v>201</v>
      </c>
      <c r="C293" s="1" t="s">
        <v>23</v>
      </c>
      <c r="D293" s="1" t="s">
        <v>46</v>
      </c>
      <c r="H293" s="1" t="s">
        <v>16</v>
      </c>
      <c r="I293" s="0" t="s">
        <v>544</v>
      </c>
      <c r="J293" s="0" t="s">
        <v>551</v>
      </c>
      <c r="K293" s="0" t="s">
        <v>581</v>
      </c>
    </row>
    <row r="294" customFormat="false" ht="15" hidden="false" customHeight="false" outlineLevel="0" collapsed="false">
      <c r="A294" s="0" t="s">
        <v>573</v>
      </c>
      <c r="B294" s="1"/>
      <c r="C294" s="1"/>
      <c r="D294" s="0"/>
      <c r="I294" s="0" t="s">
        <v>544</v>
      </c>
      <c r="J294" s="0" t="s">
        <v>553</v>
      </c>
      <c r="K294" s="0" t="s">
        <v>582</v>
      </c>
    </row>
    <row r="295" customFormat="false" ht="15" hidden="false" customHeight="false" outlineLevel="0" collapsed="false">
      <c r="A295" s="0" t="s">
        <v>573</v>
      </c>
      <c r="B295" s="1"/>
      <c r="C295" s="1"/>
      <c r="D295" s="0"/>
      <c r="I295" s="0" t="s">
        <v>544</v>
      </c>
      <c r="J295" s="0" t="s">
        <v>555</v>
      </c>
      <c r="K295" s="0" t="s">
        <v>583</v>
      </c>
    </row>
    <row r="296" customFormat="false" ht="15" hidden="false" customHeight="false" outlineLevel="0" collapsed="false">
      <c r="A296" s="0" t="s">
        <v>573</v>
      </c>
      <c r="B296" s="1"/>
      <c r="C296" s="1"/>
      <c r="D296" s="0"/>
      <c r="I296" s="0" t="s">
        <v>544</v>
      </c>
      <c r="J296" s="0" t="s">
        <v>557</v>
      </c>
      <c r="K296" s="0" t="s">
        <v>584</v>
      </c>
    </row>
    <row r="297" customFormat="false" ht="15" hidden="false" customHeight="false" outlineLevel="0" collapsed="false">
      <c r="A297" s="0" t="s">
        <v>573</v>
      </c>
      <c r="B297" s="1"/>
      <c r="C297" s="1"/>
      <c r="D297" s="0"/>
      <c r="I297" s="0" t="s">
        <v>544</v>
      </c>
      <c r="J297" s="0" t="s">
        <v>559</v>
      </c>
      <c r="K297" s="0" t="s">
        <v>585</v>
      </c>
    </row>
    <row r="298" customFormat="false" ht="15" hidden="false" customHeight="false" outlineLevel="0" collapsed="false">
      <c r="A298" s="0" t="s">
        <v>573</v>
      </c>
      <c r="B298" s="1"/>
      <c r="C298" s="1"/>
      <c r="D298" s="0"/>
      <c r="I298" s="0" t="s">
        <v>544</v>
      </c>
      <c r="J298" s="0" t="s">
        <v>561</v>
      </c>
      <c r="K298" s="0" t="s">
        <v>586</v>
      </c>
    </row>
    <row r="299" customFormat="false" ht="15" hidden="false" customHeight="false" outlineLevel="0" collapsed="false">
      <c r="A299" s="0" t="s">
        <v>573</v>
      </c>
      <c r="B299" s="1"/>
      <c r="C299" s="1"/>
      <c r="D299" s="0"/>
      <c r="I299" s="0" t="s">
        <v>544</v>
      </c>
      <c r="J299" s="0" t="s">
        <v>563</v>
      </c>
      <c r="K299" s="0" t="s">
        <v>587</v>
      </c>
    </row>
    <row r="300" customFormat="false" ht="15" hidden="false" customHeight="false" outlineLevel="0" collapsed="false">
      <c r="A300" s="0" t="s">
        <v>573</v>
      </c>
      <c r="B300" s="1"/>
      <c r="C300" s="1"/>
      <c r="D300" s="0"/>
      <c r="I300" s="0" t="s">
        <v>544</v>
      </c>
      <c r="J300" s="0" t="s">
        <v>565</v>
      </c>
      <c r="K300" s="0" t="s">
        <v>588</v>
      </c>
    </row>
    <row r="301" customFormat="false" ht="15" hidden="false" customHeight="false" outlineLevel="0" collapsed="false">
      <c r="A301" s="0" t="s">
        <v>573</v>
      </c>
      <c r="B301" s="1"/>
      <c r="C301" s="1"/>
      <c r="D301" s="0"/>
      <c r="I301" s="0" t="s">
        <v>544</v>
      </c>
      <c r="J301" s="0" t="s">
        <v>567</v>
      </c>
      <c r="K301" s="0" t="s">
        <v>589</v>
      </c>
    </row>
    <row r="302" customFormat="false" ht="15" hidden="false" customHeight="false" outlineLevel="0" collapsed="false">
      <c r="A302" s="0" t="s">
        <v>573</v>
      </c>
      <c r="B302" s="1" t="s">
        <v>201</v>
      </c>
      <c r="C302" s="1" t="s">
        <v>13</v>
      </c>
      <c r="D302" s="1" t="s">
        <v>87</v>
      </c>
      <c r="E302" s="1"/>
      <c r="H302" s="1" t="s">
        <v>16</v>
      </c>
      <c r="I302" s="0" t="s">
        <v>544</v>
      </c>
      <c r="J302" s="0" t="s">
        <v>569</v>
      </c>
      <c r="K302" s="0" t="s">
        <v>590</v>
      </c>
    </row>
    <row r="303" customFormat="false" ht="15" hidden="false" customHeight="false" outlineLevel="0" collapsed="false">
      <c r="A303" s="0" t="s">
        <v>573</v>
      </c>
      <c r="B303" s="1" t="s">
        <v>201</v>
      </c>
      <c r="C303" s="1" t="s">
        <v>23</v>
      </c>
      <c r="D303" s="1" t="s">
        <v>87</v>
      </c>
      <c r="E303" s="1"/>
      <c r="H303" s="1" t="s">
        <v>16</v>
      </c>
      <c r="I303" s="0" t="s">
        <v>544</v>
      </c>
      <c r="J303" s="0" t="s">
        <v>571</v>
      </c>
      <c r="K303" s="0" t="s">
        <v>591</v>
      </c>
    </row>
    <row r="304" customFormat="false" ht="15" hidden="false" customHeight="false" outlineLevel="0" collapsed="false">
      <c r="A304" s="5" t="s">
        <v>573</v>
      </c>
      <c r="B304" s="6" t="s">
        <v>468</v>
      </c>
      <c r="C304" s="6"/>
      <c r="D304" s="6"/>
      <c r="E304" s="6"/>
      <c r="F304" s="6" t="s">
        <v>467</v>
      </c>
      <c r="G304" s="6"/>
      <c r="H304" s="6" t="s">
        <v>16</v>
      </c>
      <c r="I304" s="5" t="s">
        <v>592</v>
      </c>
      <c r="J304" s="5" t="s">
        <v>593</v>
      </c>
      <c r="K304" s="5" t="s">
        <v>594</v>
      </c>
    </row>
    <row r="305" customFormat="false" ht="15" hidden="false" customHeight="false" outlineLevel="0" collapsed="false">
      <c r="A305" s="5" t="s">
        <v>573</v>
      </c>
      <c r="B305" s="6" t="s">
        <v>468</v>
      </c>
      <c r="C305" s="6"/>
      <c r="D305" s="6"/>
      <c r="E305" s="6"/>
      <c r="F305" s="6" t="s">
        <v>470</v>
      </c>
      <c r="G305" s="6"/>
      <c r="H305" s="6" t="s">
        <v>16</v>
      </c>
      <c r="I305" s="5" t="s">
        <v>592</v>
      </c>
      <c r="J305" s="5" t="s">
        <v>595</v>
      </c>
      <c r="K305" s="5" t="s">
        <v>596</v>
      </c>
    </row>
    <row r="306" customFormat="false" ht="15" hidden="false" customHeight="false" outlineLevel="0" collapsed="false">
      <c r="A306" s="5" t="s">
        <v>573</v>
      </c>
      <c r="B306" s="6" t="s">
        <v>468</v>
      </c>
      <c r="C306" s="6"/>
      <c r="D306" s="6"/>
      <c r="E306" s="6"/>
      <c r="F306" s="6" t="s">
        <v>597</v>
      </c>
      <c r="G306" s="6"/>
      <c r="H306" s="6" t="s">
        <v>16</v>
      </c>
      <c r="I306" s="5" t="s">
        <v>592</v>
      </c>
      <c r="J306" s="5" t="s">
        <v>598</v>
      </c>
      <c r="K306" s="5" t="s">
        <v>599</v>
      </c>
    </row>
    <row r="307" customFormat="false" ht="15" hidden="false" customHeight="false" outlineLevel="0" collapsed="false">
      <c r="A307" s="5" t="s">
        <v>573</v>
      </c>
      <c r="B307" s="6" t="s">
        <v>468</v>
      </c>
      <c r="C307" s="6"/>
      <c r="D307" s="6"/>
      <c r="E307" s="6"/>
      <c r="F307" s="6" t="s">
        <v>600</v>
      </c>
      <c r="G307" s="6"/>
      <c r="H307" s="6" t="s">
        <v>16</v>
      </c>
      <c r="I307" s="5" t="s">
        <v>592</v>
      </c>
      <c r="J307" s="5" t="s">
        <v>601</v>
      </c>
      <c r="K307" s="5" t="s">
        <v>602</v>
      </c>
    </row>
    <row r="308" customFormat="false" ht="15" hidden="false" customHeight="false" outlineLevel="0" collapsed="false">
      <c r="A308" s="5" t="s">
        <v>573</v>
      </c>
      <c r="B308" s="6" t="s">
        <v>468</v>
      </c>
      <c r="C308" s="6"/>
      <c r="D308" s="6"/>
      <c r="E308" s="6"/>
      <c r="F308" s="6" t="s">
        <v>474</v>
      </c>
      <c r="G308" s="6"/>
      <c r="H308" s="6" t="s">
        <v>16</v>
      </c>
      <c r="I308" s="5" t="s">
        <v>592</v>
      </c>
      <c r="J308" s="5" t="s">
        <v>603</v>
      </c>
      <c r="K308" s="5" t="s">
        <v>604</v>
      </c>
    </row>
    <row r="309" customFormat="false" ht="15" hidden="false" customHeight="false" outlineLevel="0" collapsed="false">
      <c r="A309" s="5" t="s">
        <v>573</v>
      </c>
      <c r="B309" s="5" t="s">
        <v>605</v>
      </c>
      <c r="C309" s="6"/>
      <c r="D309" s="6"/>
      <c r="E309" s="6" t="s">
        <v>340</v>
      </c>
      <c r="F309" s="6" t="s">
        <v>606</v>
      </c>
      <c r="G309" s="6"/>
      <c r="H309" s="6" t="s">
        <v>16</v>
      </c>
      <c r="I309" s="5" t="s">
        <v>605</v>
      </c>
      <c r="J309" s="5" t="s">
        <v>607</v>
      </c>
      <c r="K309" s="5" t="s">
        <v>608</v>
      </c>
    </row>
    <row r="310" customFormat="false" ht="15" hidden="false" customHeight="false" outlineLevel="0" collapsed="false">
      <c r="A310" s="5" t="s">
        <v>573</v>
      </c>
      <c r="B310" s="5" t="s">
        <v>605</v>
      </c>
      <c r="C310" s="6"/>
      <c r="D310" s="6"/>
      <c r="E310" s="6" t="s">
        <v>340</v>
      </c>
      <c r="F310" s="6" t="s">
        <v>609</v>
      </c>
      <c r="G310" s="6"/>
      <c r="H310" s="6" t="s">
        <v>16</v>
      </c>
      <c r="I310" s="5" t="s">
        <v>605</v>
      </c>
      <c r="J310" s="5" t="s">
        <v>610</v>
      </c>
      <c r="K310" s="5" t="s">
        <v>611</v>
      </c>
    </row>
    <row r="311" customFormat="false" ht="15" hidden="false" customHeight="false" outlineLevel="0" collapsed="false">
      <c r="A311" s="0" t="s">
        <v>612</v>
      </c>
      <c r="B311" s="12" t="s">
        <v>613</v>
      </c>
      <c r="C311" s="1" t="s">
        <v>13</v>
      </c>
      <c r="D311" s="1" t="s">
        <v>478</v>
      </c>
      <c r="E311" s="1" t="s">
        <v>340</v>
      </c>
      <c r="F311" s="1" t="s">
        <v>614</v>
      </c>
      <c r="G311" s="1"/>
      <c r="H311" s="1" t="s">
        <v>346</v>
      </c>
      <c r="I311" s="0" t="s">
        <v>615</v>
      </c>
      <c r="J311" s="0" t="s">
        <v>616</v>
      </c>
      <c r="K311" s="0" t="s">
        <v>617</v>
      </c>
    </row>
    <row r="312" customFormat="false" ht="15" hidden="false" customHeight="false" outlineLevel="0" collapsed="false">
      <c r="A312" s="0" t="s">
        <v>612</v>
      </c>
      <c r="B312" s="12" t="s">
        <v>613</v>
      </c>
      <c r="C312" s="1" t="s">
        <v>13</v>
      </c>
      <c r="D312" s="1" t="s">
        <v>478</v>
      </c>
      <c r="E312" s="1" t="s">
        <v>340</v>
      </c>
      <c r="F312" s="1" t="s">
        <v>618</v>
      </c>
      <c r="G312" s="1"/>
      <c r="H312" s="1" t="s">
        <v>346</v>
      </c>
      <c r="I312" s="0" t="s">
        <v>615</v>
      </c>
      <c r="J312" s="0" t="s">
        <v>619</v>
      </c>
      <c r="K312" s="0" t="s">
        <v>620</v>
      </c>
    </row>
    <row r="313" customFormat="false" ht="15" hidden="false" customHeight="false" outlineLevel="0" collapsed="false">
      <c r="A313" s="0" t="s">
        <v>612</v>
      </c>
      <c r="B313" s="12" t="s">
        <v>613</v>
      </c>
      <c r="C313" s="1" t="s">
        <v>13</v>
      </c>
      <c r="D313" s="1" t="s">
        <v>478</v>
      </c>
      <c r="E313" s="1" t="s">
        <v>340</v>
      </c>
      <c r="F313" s="1" t="s">
        <v>621</v>
      </c>
      <c r="G313" s="1"/>
      <c r="H313" s="1" t="s">
        <v>346</v>
      </c>
      <c r="I313" s="0" t="s">
        <v>615</v>
      </c>
      <c r="J313" s="0" t="s">
        <v>622</v>
      </c>
      <c r="K313" s="0" t="s">
        <v>623</v>
      </c>
    </row>
    <row r="314" customFormat="false" ht="15" hidden="false" customHeight="false" outlineLevel="0" collapsed="false">
      <c r="A314" s="0" t="s">
        <v>612</v>
      </c>
      <c r="B314" s="12" t="s">
        <v>613</v>
      </c>
      <c r="C314" s="1" t="s">
        <v>23</v>
      </c>
      <c r="D314" s="1" t="s">
        <v>478</v>
      </c>
      <c r="E314" s="1" t="s">
        <v>340</v>
      </c>
      <c r="F314" s="1" t="s">
        <v>614</v>
      </c>
      <c r="G314" s="1"/>
      <c r="H314" s="1" t="s">
        <v>346</v>
      </c>
      <c r="I314" s="0" t="s">
        <v>615</v>
      </c>
      <c r="J314" s="0" t="s">
        <v>624</v>
      </c>
      <c r="K314" s="0" t="s">
        <v>625</v>
      </c>
    </row>
    <row r="315" customFormat="false" ht="15" hidden="false" customHeight="false" outlineLevel="0" collapsed="false">
      <c r="A315" s="0" t="s">
        <v>612</v>
      </c>
      <c r="B315" s="12" t="s">
        <v>613</v>
      </c>
      <c r="C315" s="1" t="s">
        <v>23</v>
      </c>
      <c r="D315" s="1" t="s">
        <v>478</v>
      </c>
      <c r="E315" s="1" t="s">
        <v>340</v>
      </c>
      <c r="F315" s="1" t="s">
        <v>618</v>
      </c>
      <c r="G315" s="1"/>
      <c r="H315" s="1" t="s">
        <v>346</v>
      </c>
      <c r="I315" s="0" t="s">
        <v>615</v>
      </c>
      <c r="J315" s="0" t="s">
        <v>626</v>
      </c>
      <c r="K315" s="0" t="s">
        <v>627</v>
      </c>
    </row>
    <row r="316" customFormat="false" ht="15" hidden="false" customHeight="false" outlineLevel="0" collapsed="false">
      <c r="A316" s="0" t="s">
        <v>612</v>
      </c>
      <c r="B316" s="12" t="s">
        <v>613</v>
      </c>
      <c r="C316" s="1" t="s">
        <v>23</v>
      </c>
      <c r="D316" s="1" t="s">
        <v>478</v>
      </c>
      <c r="E316" s="1" t="s">
        <v>340</v>
      </c>
      <c r="F316" s="1" t="s">
        <v>621</v>
      </c>
      <c r="G316" s="1"/>
      <c r="H316" s="1" t="s">
        <v>346</v>
      </c>
      <c r="I316" s="0" t="s">
        <v>615</v>
      </c>
      <c r="J316" s="0" t="s">
        <v>628</v>
      </c>
      <c r="K316" s="0" t="s">
        <v>629</v>
      </c>
    </row>
    <row r="317" customFormat="false" ht="15" hidden="false" customHeight="false" outlineLevel="0" collapsed="false">
      <c r="A317" s="0" t="s">
        <v>612</v>
      </c>
      <c r="B317" s="12" t="s">
        <v>613</v>
      </c>
      <c r="C317" s="1" t="s">
        <v>13</v>
      </c>
      <c r="D317" s="1" t="s">
        <v>483</v>
      </c>
      <c r="E317" s="1" t="s">
        <v>340</v>
      </c>
      <c r="F317" s="1" t="s">
        <v>614</v>
      </c>
      <c r="G317" s="1"/>
      <c r="H317" s="1" t="s">
        <v>346</v>
      </c>
      <c r="I317" s="0" t="s">
        <v>615</v>
      </c>
      <c r="J317" s="0" t="s">
        <v>630</v>
      </c>
      <c r="K317" s="0" t="s">
        <v>631</v>
      </c>
    </row>
    <row r="318" customFormat="false" ht="15" hidden="false" customHeight="false" outlineLevel="0" collapsed="false">
      <c r="A318" s="0" t="s">
        <v>612</v>
      </c>
      <c r="B318" s="12" t="s">
        <v>613</v>
      </c>
      <c r="C318" s="1" t="s">
        <v>13</v>
      </c>
      <c r="D318" s="1" t="s">
        <v>483</v>
      </c>
      <c r="E318" s="1" t="s">
        <v>340</v>
      </c>
      <c r="F318" s="1" t="s">
        <v>618</v>
      </c>
      <c r="G318" s="1"/>
      <c r="H318" s="1" t="s">
        <v>346</v>
      </c>
      <c r="I318" s="0" t="s">
        <v>615</v>
      </c>
      <c r="J318" s="0" t="s">
        <v>632</v>
      </c>
      <c r="K318" s="0" t="s">
        <v>633</v>
      </c>
    </row>
    <row r="319" customFormat="false" ht="15" hidden="false" customHeight="false" outlineLevel="0" collapsed="false">
      <c r="A319" s="0" t="s">
        <v>612</v>
      </c>
      <c r="B319" s="12" t="s">
        <v>613</v>
      </c>
      <c r="C319" s="1" t="s">
        <v>13</v>
      </c>
      <c r="D319" s="1" t="s">
        <v>483</v>
      </c>
      <c r="E319" s="1" t="s">
        <v>340</v>
      </c>
      <c r="F319" s="1" t="s">
        <v>621</v>
      </c>
      <c r="G319" s="1"/>
      <c r="H319" s="1" t="s">
        <v>346</v>
      </c>
      <c r="I319" s="0" t="s">
        <v>615</v>
      </c>
      <c r="J319" s="0" t="s">
        <v>634</v>
      </c>
      <c r="K319" s="0" t="s">
        <v>635</v>
      </c>
    </row>
    <row r="320" customFormat="false" ht="15" hidden="false" customHeight="false" outlineLevel="0" collapsed="false">
      <c r="A320" s="0" t="s">
        <v>612</v>
      </c>
      <c r="B320" s="12" t="s">
        <v>613</v>
      </c>
      <c r="C320" s="1" t="s">
        <v>23</v>
      </c>
      <c r="D320" s="1" t="s">
        <v>483</v>
      </c>
      <c r="E320" s="1" t="s">
        <v>340</v>
      </c>
      <c r="F320" s="1" t="s">
        <v>614</v>
      </c>
      <c r="G320" s="1"/>
      <c r="H320" s="1" t="s">
        <v>346</v>
      </c>
      <c r="I320" s="0" t="s">
        <v>615</v>
      </c>
      <c r="J320" s="0" t="s">
        <v>636</v>
      </c>
      <c r="K320" s="0" t="s">
        <v>637</v>
      </c>
    </row>
    <row r="321" customFormat="false" ht="15" hidden="false" customHeight="false" outlineLevel="0" collapsed="false">
      <c r="A321" s="0" t="s">
        <v>612</v>
      </c>
      <c r="B321" s="12" t="s">
        <v>613</v>
      </c>
      <c r="C321" s="1" t="s">
        <v>23</v>
      </c>
      <c r="D321" s="1" t="s">
        <v>483</v>
      </c>
      <c r="E321" s="1" t="s">
        <v>340</v>
      </c>
      <c r="F321" s="1" t="s">
        <v>618</v>
      </c>
      <c r="G321" s="1"/>
      <c r="H321" s="1" t="s">
        <v>346</v>
      </c>
      <c r="I321" s="0" t="s">
        <v>615</v>
      </c>
      <c r="J321" s="0" t="s">
        <v>638</v>
      </c>
      <c r="K321" s="0" t="s">
        <v>639</v>
      </c>
    </row>
    <row r="322" customFormat="false" ht="15" hidden="false" customHeight="false" outlineLevel="0" collapsed="false">
      <c r="A322" s="0" t="s">
        <v>612</v>
      </c>
      <c r="B322" s="12" t="s">
        <v>613</v>
      </c>
      <c r="C322" s="1" t="s">
        <v>23</v>
      </c>
      <c r="D322" s="1" t="s">
        <v>483</v>
      </c>
      <c r="E322" s="1" t="s">
        <v>340</v>
      </c>
      <c r="F322" s="1" t="s">
        <v>621</v>
      </c>
      <c r="G322" s="1"/>
      <c r="H322" s="1" t="s">
        <v>346</v>
      </c>
      <c r="I322" s="0" t="s">
        <v>615</v>
      </c>
      <c r="J322" s="0" t="s">
        <v>640</v>
      </c>
      <c r="K322" s="0" t="s">
        <v>641</v>
      </c>
    </row>
    <row r="323" customFormat="false" ht="15" hidden="false" customHeight="false" outlineLevel="0" collapsed="false">
      <c r="A323" s="13" t="s">
        <v>612</v>
      </c>
      <c r="B323" s="13" t="s">
        <v>642</v>
      </c>
      <c r="C323" s="14"/>
      <c r="D323" s="14"/>
      <c r="E323" s="1" t="s">
        <v>340</v>
      </c>
      <c r="F323" s="14" t="s">
        <v>614</v>
      </c>
      <c r="G323" s="14"/>
      <c r="H323" s="14" t="s">
        <v>346</v>
      </c>
      <c r="I323" s="13" t="s">
        <v>643</v>
      </c>
      <c r="J323" s="13" t="s">
        <v>644</v>
      </c>
      <c r="K323" s="13" t="s">
        <v>645</v>
      </c>
    </row>
    <row r="324" customFormat="false" ht="15" hidden="false" customHeight="false" outlineLevel="0" collapsed="false">
      <c r="A324" s="13" t="s">
        <v>612</v>
      </c>
      <c r="B324" s="13" t="s">
        <v>642</v>
      </c>
      <c r="C324" s="14"/>
      <c r="D324" s="14"/>
      <c r="E324" s="1" t="s">
        <v>340</v>
      </c>
      <c r="F324" s="14" t="s">
        <v>618</v>
      </c>
      <c r="G324" s="14"/>
      <c r="H324" s="14" t="s">
        <v>346</v>
      </c>
      <c r="I324" s="13" t="s">
        <v>643</v>
      </c>
      <c r="J324" s="13" t="s">
        <v>646</v>
      </c>
      <c r="K324" s="13" t="s">
        <v>647</v>
      </c>
    </row>
    <row r="325" customFormat="false" ht="15" hidden="false" customHeight="false" outlineLevel="0" collapsed="false">
      <c r="A325" s="13" t="s">
        <v>612</v>
      </c>
      <c r="B325" s="13" t="s">
        <v>642</v>
      </c>
      <c r="C325" s="14"/>
      <c r="D325" s="14"/>
      <c r="E325" s="1" t="s">
        <v>340</v>
      </c>
      <c r="F325" s="14" t="s">
        <v>621</v>
      </c>
      <c r="G325" s="14"/>
      <c r="H325" s="14" t="s">
        <v>346</v>
      </c>
      <c r="I325" s="13" t="s">
        <v>643</v>
      </c>
      <c r="J325" s="13" t="s">
        <v>648</v>
      </c>
      <c r="K325" s="13" t="s">
        <v>649</v>
      </c>
    </row>
    <row r="326" customFormat="false" ht="15" hidden="false" customHeight="false" outlineLevel="0" collapsed="false">
      <c r="A326" s="10" t="s">
        <v>650</v>
      </c>
      <c r="B326" s="10"/>
      <c r="C326" s="11"/>
      <c r="D326" s="11"/>
      <c r="E326" s="11"/>
      <c r="F326" s="11"/>
      <c r="G326" s="11"/>
      <c r="H326" s="11"/>
      <c r="I326" s="10" t="s">
        <v>651</v>
      </c>
      <c r="J326" s="10" t="s">
        <v>489</v>
      </c>
      <c r="K326" s="10" t="s">
        <v>652</v>
      </c>
    </row>
    <row r="327" customFormat="false" ht="15" hidden="false" customHeight="false" outlineLevel="0" collapsed="false">
      <c r="A327" s="10" t="s">
        <v>650</v>
      </c>
      <c r="B327" s="10"/>
      <c r="C327" s="11"/>
      <c r="D327" s="11"/>
      <c r="E327" s="11"/>
      <c r="F327" s="11"/>
      <c r="G327" s="11"/>
      <c r="H327" s="11"/>
      <c r="I327" s="10" t="s">
        <v>651</v>
      </c>
      <c r="J327" s="10" t="s">
        <v>491</v>
      </c>
      <c r="K327" s="10" t="s">
        <v>653</v>
      </c>
    </row>
    <row r="328" customFormat="false" ht="15" hidden="false" customHeight="false" outlineLevel="0" collapsed="false">
      <c r="A328" s="0" t="s">
        <v>650</v>
      </c>
      <c r="B328" s="1" t="s">
        <v>201</v>
      </c>
      <c r="C328" s="1" t="s">
        <v>13</v>
      </c>
      <c r="D328" s="1" t="s">
        <v>37</v>
      </c>
      <c r="E328" s="1"/>
      <c r="F328" s="1"/>
      <c r="G328" s="1"/>
      <c r="H328" s="1" t="s">
        <v>346</v>
      </c>
      <c r="I328" s="0" t="s">
        <v>654</v>
      </c>
      <c r="J328" s="0" t="s">
        <v>493</v>
      </c>
      <c r="K328" s="0" t="s">
        <v>655</v>
      </c>
    </row>
    <row r="329" customFormat="false" ht="15" hidden="false" customHeight="false" outlineLevel="0" collapsed="false">
      <c r="A329" s="0" t="s">
        <v>650</v>
      </c>
      <c r="B329" s="1" t="s">
        <v>201</v>
      </c>
      <c r="C329" s="1" t="s">
        <v>23</v>
      </c>
      <c r="D329" s="1" t="s">
        <v>37</v>
      </c>
      <c r="E329" s="1"/>
      <c r="F329" s="1"/>
      <c r="G329" s="1"/>
      <c r="H329" s="1" t="s">
        <v>346</v>
      </c>
      <c r="I329" s="0" t="s">
        <v>654</v>
      </c>
      <c r="J329" s="0" t="s">
        <v>495</v>
      </c>
      <c r="K329" s="0" t="s">
        <v>656</v>
      </c>
    </row>
    <row r="330" customFormat="false" ht="15" hidden="false" customHeight="false" outlineLevel="0" collapsed="false">
      <c r="A330" s="0" t="s">
        <v>650</v>
      </c>
      <c r="B330" s="1" t="s">
        <v>201</v>
      </c>
      <c r="C330" s="1" t="s">
        <v>13</v>
      </c>
      <c r="D330" s="1" t="s">
        <v>46</v>
      </c>
      <c r="E330" s="1"/>
      <c r="F330" s="1"/>
      <c r="G330" s="1"/>
      <c r="H330" s="1" t="s">
        <v>346</v>
      </c>
      <c r="I330" s="0" t="s">
        <v>654</v>
      </c>
      <c r="J330" s="0" t="s">
        <v>493</v>
      </c>
      <c r="K330" s="0" t="s">
        <v>655</v>
      </c>
    </row>
    <row r="331" customFormat="false" ht="15" hidden="false" customHeight="false" outlineLevel="0" collapsed="false">
      <c r="A331" s="0" t="s">
        <v>650</v>
      </c>
      <c r="B331" s="1" t="s">
        <v>201</v>
      </c>
      <c r="C331" s="1" t="s">
        <v>23</v>
      </c>
      <c r="D331" s="1" t="s">
        <v>46</v>
      </c>
      <c r="E331" s="1"/>
      <c r="F331" s="1"/>
      <c r="G331" s="1"/>
      <c r="H331" s="1" t="s">
        <v>346</v>
      </c>
      <c r="I331" s="0" t="s">
        <v>654</v>
      </c>
      <c r="J331" s="0" t="s">
        <v>495</v>
      </c>
      <c r="K331" s="0" t="s">
        <v>656</v>
      </c>
    </row>
    <row r="332" customFormat="false" ht="15" hidden="false" customHeight="false" outlineLevel="0" collapsed="false">
      <c r="A332" s="0" t="s">
        <v>650</v>
      </c>
      <c r="B332" s="1" t="s">
        <v>201</v>
      </c>
      <c r="C332" s="1" t="s">
        <v>13</v>
      </c>
      <c r="D332" s="1" t="s">
        <v>396</v>
      </c>
      <c r="E332" s="1"/>
      <c r="F332" s="1"/>
      <c r="G332" s="1"/>
      <c r="H332" s="1" t="s">
        <v>346</v>
      </c>
      <c r="I332" s="0" t="s">
        <v>654</v>
      </c>
      <c r="J332" s="0" t="s">
        <v>493</v>
      </c>
      <c r="K332" s="0" t="s">
        <v>655</v>
      </c>
    </row>
    <row r="333" customFormat="false" ht="15" hidden="false" customHeight="false" outlineLevel="0" collapsed="false">
      <c r="A333" s="0" t="s">
        <v>650</v>
      </c>
      <c r="B333" s="1" t="s">
        <v>201</v>
      </c>
      <c r="C333" s="1" t="s">
        <v>23</v>
      </c>
      <c r="D333" s="1" t="s">
        <v>396</v>
      </c>
      <c r="E333" s="1"/>
      <c r="F333" s="1"/>
      <c r="G333" s="1"/>
      <c r="H333" s="1" t="s">
        <v>346</v>
      </c>
      <c r="I333" s="0" t="s">
        <v>654</v>
      </c>
      <c r="J333" s="0" t="s">
        <v>495</v>
      </c>
      <c r="K333" s="0" t="s">
        <v>656</v>
      </c>
    </row>
    <row r="334" customFormat="false" ht="15" hidden="false" customHeight="false" outlineLevel="0" collapsed="false">
      <c r="A334" s="0" t="s">
        <v>650</v>
      </c>
      <c r="B334" s="1" t="s">
        <v>201</v>
      </c>
      <c r="C334" s="1" t="s">
        <v>13</v>
      </c>
      <c r="D334" s="1" t="s">
        <v>87</v>
      </c>
      <c r="E334" s="1"/>
      <c r="F334" s="1"/>
      <c r="G334" s="1"/>
      <c r="H334" s="1" t="s">
        <v>346</v>
      </c>
      <c r="I334" s="0" t="s">
        <v>654</v>
      </c>
      <c r="J334" s="0" t="s">
        <v>493</v>
      </c>
      <c r="K334" s="0" t="s">
        <v>655</v>
      </c>
    </row>
    <row r="335" customFormat="false" ht="15" hidden="false" customHeight="false" outlineLevel="0" collapsed="false">
      <c r="A335" s="0" t="s">
        <v>650</v>
      </c>
      <c r="B335" s="1" t="s">
        <v>201</v>
      </c>
      <c r="C335" s="1" t="s">
        <v>23</v>
      </c>
      <c r="D335" s="1" t="s">
        <v>87</v>
      </c>
      <c r="E335" s="1"/>
      <c r="F335" s="1"/>
      <c r="G335" s="1"/>
      <c r="H335" s="1" t="s">
        <v>346</v>
      </c>
      <c r="I335" s="0" t="s">
        <v>654</v>
      </c>
      <c r="J335" s="0" t="s">
        <v>495</v>
      </c>
      <c r="K335" s="0" t="s">
        <v>656</v>
      </c>
    </row>
    <row r="336" customFormat="false" ht="15" hidden="false" customHeight="false" outlineLevel="0" collapsed="false">
      <c r="A336" s="5" t="s">
        <v>650</v>
      </c>
      <c r="B336" s="6" t="s">
        <v>605</v>
      </c>
      <c r="C336" s="6"/>
      <c r="D336" s="6"/>
      <c r="E336" s="6" t="s">
        <v>340</v>
      </c>
      <c r="F336" s="6" t="s">
        <v>606</v>
      </c>
      <c r="G336" s="6"/>
      <c r="H336" s="6" t="s">
        <v>346</v>
      </c>
      <c r="I336" s="5" t="s">
        <v>657</v>
      </c>
      <c r="J336" s="5" t="s">
        <v>607</v>
      </c>
      <c r="K336" s="5" t="s">
        <v>658</v>
      </c>
    </row>
    <row r="337" customFormat="false" ht="15" hidden="false" customHeight="false" outlineLevel="0" collapsed="false">
      <c r="A337" s="5" t="s">
        <v>650</v>
      </c>
      <c r="B337" s="6" t="s">
        <v>605</v>
      </c>
      <c r="C337" s="6"/>
      <c r="D337" s="6"/>
      <c r="E337" s="6" t="s">
        <v>340</v>
      </c>
      <c r="F337" s="6" t="s">
        <v>609</v>
      </c>
      <c r="G337" s="6"/>
      <c r="H337" s="6" t="s">
        <v>346</v>
      </c>
      <c r="I337" s="5" t="s">
        <v>657</v>
      </c>
      <c r="J337" s="5" t="s">
        <v>610</v>
      </c>
      <c r="K337" s="5" t="s">
        <v>659</v>
      </c>
    </row>
    <row r="338" customFormat="false" ht="15" hidden="false" customHeight="false" outlineLevel="0" collapsed="false">
      <c r="A338" s="10" t="s">
        <v>650</v>
      </c>
      <c r="B338" s="11"/>
      <c r="C338" s="11"/>
      <c r="D338" s="11"/>
      <c r="E338" s="11"/>
      <c r="F338" s="11"/>
      <c r="G338" s="11"/>
      <c r="H338" s="11" t="s">
        <v>16</v>
      </c>
      <c r="I338" s="10" t="s">
        <v>660</v>
      </c>
      <c r="J338" s="10" t="s">
        <v>489</v>
      </c>
      <c r="K338" s="10" t="s">
        <v>661</v>
      </c>
    </row>
    <row r="339" customFormat="false" ht="15" hidden="false" customHeight="false" outlineLevel="0" collapsed="false">
      <c r="A339" s="10" t="s">
        <v>650</v>
      </c>
      <c r="B339" s="11"/>
      <c r="C339" s="11"/>
      <c r="D339" s="11"/>
      <c r="E339" s="11"/>
      <c r="F339" s="11"/>
      <c r="G339" s="11"/>
      <c r="H339" s="11" t="s">
        <v>16</v>
      </c>
      <c r="I339" s="10" t="s">
        <v>660</v>
      </c>
      <c r="J339" s="10" t="s">
        <v>491</v>
      </c>
      <c r="K339" s="10" t="s">
        <v>662</v>
      </c>
    </row>
    <row r="340" customFormat="false" ht="15" hidden="false" customHeight="false" outlineLevel="0" collapsed="false">
      <c r="A340" s="0" t="s">
        <v>650</v>
      </c>
      <c r="B340" s="1" t="s">
        <v>201</v>
      </c>
      <c r="C340" s="1" t="s">
        <v>13</v>
      </c>
      <c r="D340" s="1" t="s">
        <v>37</v>
      </c>
      <c r="E340" s="1"/>
      <c r="F340" s="1"/>
      <c r="G340" s="1"/>
      <c r="H340" s="1" t="s">
        <v>16</v>
      </c>
      <c r="I340" s="0" t="s">
        <v>663</v>
      </c>
      <c r="J340" s="0" t="s">
        <v>493</v>
      </c>
      <c r="K340" s="0" t="s">
        <v>664</v>
      </c>
    </row>
    <row r="341" customFormat="false" ht="15" hidden="false" customHeight="false" outlineLevel="0" collapsed="false">
      <c r="A341" s="0" t="s">
        <v>650</v>
      </c>
      <c r="B341" s="1" t="s">
        <v>201</v>
      </c>
      <c r="C341" s="1" t="s">
        <v>23</v>
      </c>
      <c r="D341" s="1" t="s">
        <v>37</v>
      </c>
      <c r="E341" s="1"/>
      <c r="F341" s="1"/>
      <c r="G341" s="1"/>
      <c r="H341" s="1" t="s">
        <v>16</v>
      </c>
      <c r="I341" s="0" t="s">
        <v>663</v>
      </c>
      <c r="J341" s="0" t="s">
        <v>495</v>
      </c>
      <c r="K341" s="0" t="s">
        <v>665</v>
      </c>
    </row>
    <row r="342" customFormat="false" ht="15" hidden="false" customHeight="false" outlineLevel="0" collapsed="false">
      <c r="A342" s="0" t="s">
        <v>650</v>
      </c>
      <c r="B342" s="1" t="s">
        <v>201</v>
      </c>
      <c r="C342" s="1" t="s">
        <v>13</v>
      </c>
      <c r="D342" s="1" t="s">
        <v>46</v>
      </c>
      <c r="E342" s="1"/>
      <c r="F342" s="1"/>
      <c r="G342" s="1"/>
      <c r="H342" s="1" t="s">
        <v>16</v>
      </c>
      <c r="I342" s="0" t="s">
        <v>663</v>
      </c>
      <c r="J342" s="0" t="s">
        <v>493</v>
      </c>
      <c r="K342" s="0" t="s">
        <v>664</v>
      </c>
    </row>
    <row r="343" customFormat="false" ht="15" hidden="false" customHeight="false" outlineLevel="0" collapsed="false">
      <c r="A343" s="0" t="s">
        <v>650</v>
      </c>
      <c r="B343" s="1" t="s">
        <v>201</v>
      </c>
      <c r="C343" s="1" t="s">
        <v>23</v>
      </c>
      <c r="D343" s="1" t="s">
        <v>46</v>
      </c>
      <c r="E343" s="1"/>
      <c r="F343" s="1"/>
      <c r="G343" s="1"/>
      <c r="H343" s="1" t="s">
        <v>16</v>
      </c>
      <c r="I343" s="0" t="s">
        <v>663</v>
      </c>
      <c r="J343" s="0" t="s">
        <v>495</v>
      </c>
      <c r="K343" s="0" t="s">
        <v>665</v>
      </c>
    </row>
    <row r="344" customFormat="false" ht="15" hidden="false" customHeight="false" outlineLevel="0" collapsed="false">
      <c r="A344" s="0" t="s">
        <v>650</v>
      </c>
      <c r="B344" s="1" t="s">
        <v>201</v>
      </c>
      <c r="C344" s="1" t="s">
        <v>13</v>
      </c>
      <c r="D344" s="1" t="s">
        <v>396</v>
      </c>
      <c r="E344" s="1"/>
      <c r="F344" s="1"/>
      <c r="G344" s="1"/>
      <c r="H344" s="1" t="s">
        <v>16</v>
      </c>
      <c r="I344" s="0" t="s">
        <v>663</v>
      </c>
      <c r="J344" s="0" t="s">
        <v>493</v>
      </c>
      <c r="K344" s="0" t="s">
        <v>664</v>
      </c>
    </row>
    <row r="345" customFormat="false" ht="15" hidden="false" customHeight="false" outlineLevel="0" collapsed="false">
      <c r="A345" s="0" t="s">
        <v>650</v>
      </c>
      <c r="B345" s="1" t="s">
        <v>201</v>
      </c>
      <c r="C345" s="1" t="s">
        <v>23</v>
      </c>
      <c r="D345" s="1" t="s">
        <v>396</v>
      </c>
      <c r="E345" s="1"/>
      <c r="F345" s="1"/>
      <c r="G345" s="1"/>
      <c r="H345" s="1" t="s">
        <v>16</v>
      </c>
      <c r="I345" s="0" t="s">
        <v>663</v>
      </c>
      <c r="J345" s="0" t="s">
        <v>495</v>
      </c>
      <c r="K345" s="0" t="s">
        <v>665</v>
      </c>
    </row>
    <row r="346" customFormat="false" ht="15" hidden="false" customHeight="false" outlineLevel="0" collapsed="false">
      <c r="A346" s="0" t="s">
        <v>650</v>
      </c>
      <c r="B346" s="1" t="s">
        <v>201</v>
      </c>
      <c r="C346" s="1" t="s">
        <v>13</v>
      </c>
      <c r="D346" s="1" t="s">
        <v>87</v>
      </c>
      <c r="E346" s="1"/>
      <c r="F346" s="1"/>
      <c r="G346" s="1"/>
      <c r="H346" s="1" t="s">
        <v>16</v>
      </c>
      <c r="I346" s="0" t="s">
        <v>663</v>
      </c>
      <c r="J346" s="0" t="s">
        <v>493</v>
      </c>
      <c r="K346" s="0" t="s">
        <v>664</v>
      </c>
    </row>
    <row r="347" customFormat="false" ht="15" hidden="false" customHeight="false" outlineLevel="0" collapsed="false">
      <c r="A347" s="0" t="s">
        <v>650</v>
      </c>
      <c r="B347" s="1" t="s">
        <v>201</v>
      </c>
      <c r="C347" s="1" t="s">
        <v>23</v>
      </c>
      <c r="D347" s="1" t="s">
        <v>87</v>
      </c>
      <c r="E347" s="1"/>
      <c r="F347" s="1"/>
      <c r="G347" s="1"/>
      <c r="H347" s="1" t="s">
        <v>16</v>
      </c>
      <c r="I347" s="0" t="s">
        <v>663</v>
      </c>
      <c r="J347" s="0" t="s">
        <v>495</v>
      </c>
      <c r="K347" s="0" t="s">
        <v>665</v>
      </c>
    </row>
    <row r="348" customFormat="false" ht="15" hidden="false" customHeight="false" outlineLevel="0" collapsed="false">
      <c r="A348" s="5" t="s">
        <v>650</v>
      </c>
      <c r="B348" s="6" t="s">
        <v>605</v>
      </c>
      <c r="C348" s="6"/>
      <c r="D348" s="6"/>
      <c r="E348" s="6" t="s">
        <v>340</v>
      </c>
      <c r="F348" s="6" t="s">
        <v>606</v>
      </c>
      <c r="G348" s="6"/>
      <c r="H348" s="6" t="s">
        <v>16</v>
      </c>
      <c r="I348" s="5" t="s">
        <v>605</v>
      </c>
      <c r="J348" s="5" t="s">
        <v>607</v>
      </c>
      <c r="K348" s="5" t="s">
        <v>666</v>
      </c>
    </row>
    <row r="349" customFormat="false" ht="15" hidden="false" customHeight="false" outlineLevel="0" collapsed="false">
      <c r="A349" s="5" t="s">
        <v>650</v>
      </c>
      <c r="B349" s="6" t="s">
        <v>605</v>
      </c>
      <c r="C349" s="6"/>
      <c r="D349" s="6"/>
      <c r="E349" s="6" t="s">
        <v>340</v>
      </c>
      <c r="F349" s="6" t="s">
        <v>609</v>
      </c>
      <c r="G349" s="6"/>
      <c r="H349" s="6" t="s">
        <v>16</v>
      </c>
      <c r="I349" s="5" t="s">
        <v>605</v>
      </c>
      <c r="J349" s="5" t="s">
        <v>610</v>
      </c>
      <c r="K349" s="5" t="s">
        <v>667</v>
      </c>
    </row>
    <row r="350" customFormat="false" ht="15" hidden="false" customHeight="false" outlineLevel="0" collapsed="false">
      <c r="A350" s="0" t="s">
        <v>668</v>
      </c>
      <c r="B350" s="1" t="s">
        <v>477</v>
      </c>
      <c r="C350" s="1" t="s">
        <v>13</v>
      </c>
      <c r="D350" s="1" t="s">
        <v>478</v>
      </c>
      <c r="E350" s="1"/>
      <c r="F350" s="1"/>
      <c r="G350" s="1"/>
      <c r="H350" s="1" t="s">
        <v>346</v>
      </c>
      <c r="I350" s="0" t="s">
        <v>498</v>
      </c>
      <c r="J350" s="0" t="s">
        <v>489</v>
      </c>
      <c r="K350" s="0" t="s">
        <v>669</v>
      </c>
    </row>
    <row r="351" customFormat="false" ht="15" hidden="false" customHeight="false" outlineLevel="0" collapsed="false">
      <c r="A351" s="0" t="s">
        <v>668</v>
      </c>
      <c r="B351" s="1" t="s">
        <v>477</v>
      </c>
      <c r="C351" s="1" t="s">
        <v>23</v>
      </c>
      <c r="D351" s="1" t="s">
        <v>478</v>
      </c>
      <c r="E351" s="1"/>
      <c r="F351" s="1"/>
      <c r="G351" s="1"/>
      <c r="H351" s="1" t="s">
        <v>346</v>
      </c>
      <c r="I351" s="0" t="s">
        <v>498</v>
      </c>
      <c r="J351" s="0" t="s">
        <v>491</v>
      </c>
      <c r="K351" s="0" t="s">
        <v>670</v>
      </c>
    </row>
    <row r="352" customFormat="false" ht="15" hidden="false" customHeight="false" outlineLevel="0" collapsed="false">
      <c r="A352" s="0" t="s">
        <v>668</v>
      </c>
      <c r="B352" s="1" t="s">
        <v>477</v>
      </c>
      <c r="C352" s="1" t="s">
        <v>13</v>
      </c>
      <c r="D352" s="1" t="s">
        <v>483</v>
      </c>
      <c r="E352" s="1"/>
      <c r="F352" s="1"/>
      <c r="G352" s="1"/>
      <c r="H352" s="1" t="s">
        <v>346</v>
      </c>
      <c r="I352" s="0" t="s">
        <v>498</v>
      </c>
      <c r="J352" s="0" t="s">
        <v>493</v>
      </c>
      <c r="K352" s="0" t="s">
        <v>671</v>
      </c>
    </row>
    <row r="353" customFormat="false" ht="15" hidden="false" customHeight="false" outlineLevel="0" collapsed="false">
      <c r="A353" s="0" t="s">
        <v>668</v>
      </c>
      <c r="B353" s="1" t="s">
        <v>477</v>
      </c>
      <c r="C353" s="1" t="s">
        <v>23</v>
      </c>
      <c r="D353" s="1" t="s">
        <v>483</v>
      </c>
      <c r="E353" s="1"/>
      <c r="F353" s="1"/>
      <c r="G353" s="1"/>
      <c r="H353" s="1" t="s">
        <v>346</v>
      </c>
      <c r="I353" s="0" t="s">
        <v>498</v>
      </c>
      <c r="J353" s="0" t="s">
        <v>495</v>
      </c>
      <c r="K353" s="0" t="s">
        <v>672</v>
      </c>
    </row>
    <row r="354" customFormat="false" ht="15" hidden="false" customHeight="false" outlineLevel="0" collapsed="false">
      <c r="A354" s="5" t="s">
        <v>668</v>
      </c>
      <c r="B354" s="6" t="s">
        <v>673</v>
      </c>
      <c r="C354" s="6"/>
      <c r="D354" s="6"/>
      <c r="E354" s="6"/>
      <c r="F354" s="6"/>
      <c r="G354" s="6"/>
      <c r="H354" s="6" t="s">
        <v>346</v>
      </c>
      <c r="I354" s="6" t="s">
        <v>673</v>
      </c>
      <c r="J354" s="6" t="s">
        <v>673</v>
      </c>
      <c r="K354" s="6" t="s">
        <v>674</v>
      </c>
    </row>
    <row r="355" customFormat="false" ht="15" hidden="false" customHeight="false" outlineLevel="0" collapsed="false">
      <c r="A355" s="0" t="s">
        <v>668</v>
      </c>
      <c r="B355" s="0" t="s">
        <v>675</v>
      </c>
      <c r="D355" s="0"/>
      <c r="E355" s="1" t="s">
        <v>340</v>
      </c>
      <c r="F355" s="0" t="s">
        <v>676</v>
      </c>
      <c r="G355" s="1"/>
      <c r="H355" s="1" t="s">
        <v>346</v>
      </c>
      <c r="I355" s="0" t="s">
        <v>677</v>
      </c>
      <c r="J355" s="0" t="s">
        <v>678</v>
      </c>
      <c r="K355" s="0" t="s">
        <v>679</v>
      </c>
    </row>
    <row r="356" customFormat="false" ht="15" hidden="false" customHeight="false" outlineLevel="0" collapsed="false">
      <c r="A356" s="0" t="s">
        <v>668</v>
      </c>
      <c r="B356" s="0" t="s">
        <v>675</v>
      </c>
      <c r="D356" s="0"/>
      <c r="E356" s="1" t="s">
        <v>340</v>
      </c>
      <c r="F356" s="0" t="s">
        <v>680</v>
      </c>
      <c r="G356" s="1"/>
      <c r="H356" s="1" t="s">
        <v>346</v>
      </c>
      <c r="I356" s="0" t="s">
        <v>677</v>
      </c>
      <c r="J356" s="0" t="s">
        <v>681</v>
      </c>
      <c r="K356" s="0" t="s">
        <v>682</v>
      </c>
    </row>
    <row r="357" customFormat="false" ht="15" hidden="false" customHeight="false" outlineLevel="0" collapsed="false">
      <c r="A357" s="0" t="s">
        <v>668</v>
      </c>
      <c r="B357" s="0" t="s">
        <v>675</v>
      </c>
      <c r="D357" s="0"/>
      <c r="E357" s="1" t="s">
        <v>340</v>
      </c>
      <c r="F357" s="0" t="s">
        <v>683</v>
      </c>
      <c r="G357" s="1"/>
      <c r="H357" s="1" t="s">
        <v>346</v>
      </c>
      <c r="I357" s="0" t="s">
        <v>677</v>
      </c>
      <c r="J357" s="0" t="s">
        <v>684</v>
      </c>
      <c r="K357" s="0" t="s">
        <v>685</v>
      </c>
    </row>
    <row r="358" customFormat="false" ht="15" hidden="false" customHeight="false" outlineLevel="0" collapsed="false">
      <c r="A358" s="0" t="s">
        <v>668</v>
      </c>
      <c r="D358" s="0"/>
      <c r="F358" s="1"/>
      <c r="G358" s="1"/>
      <c r="H358" s="1"/>
      <c r="I358" s="0" t="s">
        <v>686</v>
      </c>
      <c r="J358" s="0" t="s">
        <v>687</v>
      </c>
      <c r="K358" s="0" t="s">
        <v>688</v>
      </c>
    </row>
    <row r="359" customFormat="false" ht="15" hidden="false" customHeight="false" outlineLevel="0" collapsed="false">
      <c r="A359" s="0" t="s">
        <v>668</v>
      </c>
      <c r="D359" s="0"/>
      <c r="F359" s="1"/>
      <c r="G359" s="1"/>
      <c r="H359" s="1"/>
      <c r="I359" s="0" t="s">
        <v>686</v>
      </c>
      <c r="J359" s="0" t="s">
        <v>689</v>
      </c>
      <c r="K359" s="0" t="s">
        <v>690</v>
      </c>
    </row>
    <row r="360" customFormat="false" ht="15" hidden="false" customHeight="false" outlineLevel="0" collapsed="false">
      <c r="A360" s="0" t="s">
        <v>668</v>
      </c>
      <c r="B360" s="1"/>
      <c r="C360" s="1"/>
      <c r="D360" s="0"/>
      <c r="E360" s="1"/>
      <c r="F360" s="1"/>
      <c r="G360" s="1"/>
      <c r="H360" s="1"/>
      <c r="I360" s="0" t="s">
        <v>686</v>
      </c>
      <c r="J360" s="0" t="s">
        <v>691</v>
      </c>
      <c r="K360" s="0" t="s">
        <v>692</v>
      </c>
    </row>
    <row r="361" customFormat="false" ht="15" hidden="false" customHeight="false" outlineLevel="0" collapsed="false">
      <c r="A361" s="0" t="s">
        <v>668</v>
      </c>
      <c r="B361" s="1"/>
      <c r="C361" s="1"/>
      <c r="D361" s="0"/>
      <c r="E361" s="1"/>
      <c r="F361" s="1"/>
      <c r="G361" s="1"/>
      <c r="H361" s="1"/>
      <c r="I361" s="0" t="s">
        <v>686</v>
      </c>
      <c r="J361" s="0" t="s">
        <v>693</v>
      </c>
      <c r="K361" s="0" t="s">
        <v>694</v>
      </c>
    </row>
    <row r="362" customFormat="false" ht="15" hidden="false" customHeight="false" outlineLevel="0" collapsed="false">
      <c r="A362" s="0" t="s">
        <v>695</v>
      </c>
      <c r="B362" s="1" t="s">
        <v>337</v>
      </c>
      <c r="C362" s="1"/>
      <c r="D362" s="1" t="s">
        <v>37</v>
      </c>
      <c r="E362" s="1"/>
      <c r="F362" s="1"/>
      <c r="G362" s="1"/>
      <c r="H362" s="1" t="s">
        <v>16</v>
      </c>
      <c r="I362" s="0" t="s">
        <v>696</v>
      </c>
      <c r="J362" s="0" t="s">
        <v>431</v>
      </c>
      <c r="K362" s="0" t="s">
        <v>697</v>
      </c>
    </row>
    <row r="363" customFormat="false" ht="15" hidden="false" customHeight="false" outlineLevel="0" collapsed="false">
      <c r="A363" s="0" t="s">
        <v>695</v>
      </c>
      <c r="B363" s="1" t="s">
        <v>337</v>
      </c>
      <c r="C363" s="1"/>
      <c r="D363" s="1" t="s">
        <v>46</v>
      </c>
      <c r="E363" s="1"/>
      <c r="F363" s="1"/>
      <c r="G363" s="1"/>
      <c r="H363" s="1" t="s">
        <v>16</v>
      </c>
      <c r="I363" s="0" t="s">
        <v>696</v>
      </c>
      <c r="J363" s="0" t="s">
        <v>434</v>
      </c>
      <c r="K363" s="0" t="s">
        <v>698</v>
      </c>
    </row>
    <row r="364" customFormat="false" ht="15" hidden="false" customHeight="false" outlineLevel="0" collapsed="false">
      <c r="A364" s="0" t="s">
        <v>695</v>
      </c>
      <c r="B364" s="1" t="s">
        <v>337</v>
      </c>
      <c r="C364" s="1"/>
      <c r="D364" s="1" t="s">
        <v>699</v>
      </c>
      <c r="E364" s="1"/>
      <c r="F364" s="1"/>
      <c r="G364" s="1"/>
      <c r="H364" s="1" t="s">
        <v>16</v>
      </c>
      <c r="I364" s="0" t="s">
        <v>696</v>
      </c>
      <c r="J364" s="0" t="s">
        <v>437</v>
      </c>
      <c r="K364" s="0" t="s">
        <v>700</v>
      </c>
    </row>
    <row r="365" customFormat="false" ht="15" hidden="false" customHeight="false" outlineLevel="0" collapsed="false">
      <c r="A365" s="0" t="s">
        <v>695</v>
      </c>
      <c r="B365" s="1" t="s">
        <v>337</v>
      </c>
      <c r="C365" s="1"/>
      <c r="D365" s="1" t="s">
        <v>335</v>
      </c>
      <c r="E365" s="1"/>
      <c r="F365" s="1"/>
      <c r="G365" s="1"/>
      <c r="H365" s="1" t="s">
        <v>16</v>
      </c>
      <c r="I365" s="0" t="s">
        <v>701</v>
      </c>
      <c r="J365" s="0" t="s">
        <v>702</v>
      </c>
      <c r="K365" s="0" t="s">
        <v>703</v>
      </c>
    </row>
    <row r="366" customFormat="false" ht="15" hidden="false" customHeight="false" outlineLevel="0" collapsed="false">
      <c r="A366" s="0" t="s">
        <v>695</v>
      </c>
      <c r="B366" s="1" t="s">
        <v>337</v>
      </c>
      <c r="C366" s="1"/>
      <c r="D366" s="1" t="s">
        <v>704</v>
      </c>
      <c r="H366" s="1" t="s">
        <v>16</v>
      </c>
      <c r="I366" s="0" t="s">
        <v>701</v>
      </c>
      <c r="J366" s="0" t="s">
        <v>705</v>
      </c>
      <c r="K366" s="0" t="s">
        <v>706</v>
      </c>
    </row>
    <row r="367" customFormat="false" ht="15" hidden="false" customHeight="false" outlineLevel="0" collapsed="false">
      <c r="A367" s="0" t="s">
        <v>695</v>
      </c>
      <c r="B367" s="0" t="s">
        <v>337</v>
      </c>
      <c r="D367" s="1" t="s">
        <v>28</v>
      </c>
      <c r="H367" s="1" t="s">
        <v>16</v>
      </c>
      <c r="I367" s="0" t="s">
        <v>701</v>
      </c>
      <c r="J367" s="0" t="s">
        <v>204</v>
      </c>
      <c r="K367" s="0" t="s">
        <v>707</v>
      </c>
    </row>
    <row r="368" customFormat="false" ht="15" hidden="false" customHeight="false" outlineLevel="0" collapsed="false">
      <c r="A368" s="0" t="s">
        <v>695</v>
      </c>
      <c r="D368" s="0"/>
      <c r="H368" s="1"/>
      <c r="I368" s="0" t="s">
        <v>701</v>
      </c>
      <c r="J368" s="0" t="s">
        <v>440</v>
      </c>
      <c r="K368" s="0" t="s">
        <v>708</v>
      </c>
    </row>
    <row r="369" customFormat="false" ht="15" hidden="false" customHeight="false" outlineLevel="0" collapsed="false">
      <c r="A369" s="0" t="s">
        <v>695</v>
      </c>
      <c r="D369" s="0"/>
      <c r="H369" s="1"/>
      <c r="I369" s="0" t="s">
        <v>701</v>
      </c>
      <c r="J369" s="0" t="s">
        <v>443</v>
      </c>
      <c r="K369" s="0" t="s">
        <v>709</v>
      </c>
    </row>
    <row r="370" customFormat="false" ht="15" hidden="false" customHeight="false" outlineLevel="0" collapsed="false">
      <c r="A370" s="0" t="s">
        <v>695</v>
      </c>
      <c r="D370" s="0"/>
      <c r="H370" s="1"/>
      <c r="I370" s="0" t="s">
        <v>701</v>
      </c>
      <c r="J370" s="0" t="s">
        <v>446</v>
      </c>
      <c r="K370" s="0" t="s">
        <v>710</v>
      </c>
    </row>
    <row r="371" customFormat="false" ht="15" hidden="false" customHeight="false" outlineLevel="0" collapsed="false">
      <c r="A371" s="0" t="s">
        <v>695</v>
      </c>
      <c r="B371" s="0" t="s">
        <v>337</v>
      </c>
      <c r="D371" s="1" t="s">
        <v>87</v>
      </c>
      <c r="H371" s="1" t="s">
        <v>16</v>
      </c>
      <c r="I371" s="0" t="s">
        <v>701</v>
      </c>
      <c r="J371" s="0" t="s">
        <v>449</v>
      </c>
      <c r="K371" s="0" t="s">
        <v>711</v>
      </c>
    </row>
    <row r="372" customFormat="false" ht="15" hidden="false" customHeight="false" outlineLevel="0" collapsed="false">
      <c r="A372" s="0" t="s">
        <v>695</v>
      </c>
      <c r="B372" s="0" t="s">
        <v>712</v>
      </c>
      <c r="C372" s="0" t="s">
        <v>23</v>
      </c>
      <c r="F372" s="0" t="s">
        <v>713</v>
      </c>
      <c r="H372" s="1" t="s">
        <v>16</v>
      </c>
      <c r="I372" s="0" t="s">
        <v>714</v>
      </c>
      <c r="J372" s="0" t="s">
        <v>715</v>
      </c>
      <c r="K372" s="0" t="s">
        <v>716</v>
      </c>
    </row>
    <row r="373" customFormat="false" ht="15" hidden="false" customHeight="false" outlineLevel="0" collapsed="false">
      <c r="A373" s="0" t="s">
        <v>695</v>
      </c>
      <c r="B373" s="0" t="s">
        <v>712</v>
      </c>
      <c r="C373" s="0" t="s">
        <v>23</v>
      </c>
      <c r="F373" s="0" t="s">
        <v>717</v>
      </c>
      <c r="H373" s="1" t="s">
        <v>16</v>
      </c>
      <c r="I373" s="0" t="s">
        <v>714</v>
      </c>
      <c r="J373" s="0" t="s">
        <v>718</v>
      </c>
      <c r="K373" s="0" t="s">
        <v>719</v>
      </c>
    </row>
  </sheetData>
  <autoFilter ref="A1:K373"/>
  <conditionalFormatting sqref="K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X5" activeCellId="0" sqref="X5"/>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27" min="10" style="33" width="11.5708502024291"/>
    <col collapsed="false" hidden="false" max="31" min="28" style="0" width="11.5708502024291"/>
    <col collapsed="false" hidden="false" max="33" min="32" style="0" width="8.57085020242915"/>
    <col collapsed="false" hidden="false" max="41" min="34" style="0" width="11.5708502024291"/>
    <col collapsed="false" hidden="false" max="42" min="42" style="0" width="8.57085020242915"/>
    <col collapsed="false" hidden="false" max="47" min="43" style="0" width="11.5708502024291"/>
    <col collapsed="false" hidden="false" max="1025" min="48" style="0" width="8.57085020242915"/>
  </cols>
  <sheetData>
    <row r="1" s="33" customFormat="true" ht="23.25" hidden="false" customHeight="false" outlineLevel="0" collapsed="false">
      <c r="A1" s="34"/>
      <c r="C1" s="77" t="s">
        <v>650</v>
      </c>
      <c r="D1" s="35"/>
      <c r="J1" s="37" t="s">
        <v>1157</v>
      </c>
      <c r="K1" s="55"/>
      <c r="L1" s="55"/>
      <c r="M1" s="55"/>
      <c r="N1" s="55"/>
      <c r="O1" s="55"/>
      <c r="P1" s="55"/>
      <c r="Q1" s="55"/>
      <c r="R1" s="55"/>
      <c r="S1" s="55"/>
      <c r="T1" s="55"/>
      <c r="U1" s="55"/>
      <c r="V1" s="37" t="s">
        <v>1158</v>
      </c>
      <c r="W1" s="55"/>
      <c r="X1" s="55"/>
      <c r="Y1" s="55"/>
      <c r="Z1" s="55"/>
      <c r="AA1" s="56"/>
      <c r="AB1" s="37" t="s">
        <v>1159</v>
      </c>
      <c r="AC1" s="55"/>
      <c r="AD1" s="55"/>
      <c r="AE1" s="55"/>
      <c r="AF1" s="55"/>
      <c r="AG1" s="55"/>
      <c r="AH1" s="37" t="s">
        <v>1160</v>
      </c>
      <c r="AI1" s="55"/>
      <c r="AJ1" s="55"/>
      <c r="AK1" s="55"/>
      <c r="AL1" s="55"/>
      <c r="AM1" s="55"/>
      <c r="AN1" s="55"/>
      <c r="AO1" s="55"/>
      <c r="AP1" s="55"/>
      <c r="AQ1" s="55"/>
      <c r="AR1" s="55"/>
      <c r="AS1" s="55"/>
    </row>
    <row r="2" s="35" customFormat="true" ht="15" hidden="false" customHeight="false" outlineLevel="0" collapsed="false">
      <c r="A2" s="34"/>
      <c r="B2" s="35" t="s">
        <v>808</v>
      </c>
      <c r="C2" s="35" t="s">
        <v>808</v>
      </c>
      <c r="E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E2" s="35" t="s">
        <v>808</v>
      </c>
      <c r="AF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row>
    <row r="3" s="4" customFormat="true" ht="15" hidden="false" customHeight="false" outlineLevel="0" collapsed="false">
      <c r="A3" s="38"/>
      <c r="C3" s="35" t="s">
        <v>808</v>
      </c>
      <c r="D3" s="35"/>
      <c r="E3" s="39"/>
      <c r="F3" s="39"/>
      <c r="G3" s="39"/>
      <c r="H3" s="40"/>
      <c r="I3" s="40"/>
      <c r="J3" s="57" t="s">
        <v>651</v>
      </c>
      <c r="K3" s="79"/>
      <c r="L3" s="57" t="s">
        <v>654</v>
      </c>
      <c r="M3" s="79"/>
      <c r="N3" s="58" t="s">
        <v>657</v>
      </c>
      <c r="O3" s="79"/>
      <c r="P3" s="57" t="s">
        <v>660</v>
      </c>
      <c r="Q3" s="79"/>
      <c r="R3" s="57" t="s">
        <v>663</v>
      </c>
      <c r="S3" s="79"/>
      <c r="T3" s="58" t="s">
        <v>1597</v>
      </c>
      <c r="U3" s="79"/>
      <c r="V3" s="91" t="s">
        <v>1161</v>
      </c>
      <c r="W3" s="91"/>
      <c r="X3" s="91"/>
      <c r="Y3" s="91"/>
      <c r="Z3" s="91"/>
      <c r="AA3" s="91"/>
      <c r="AB3" s="61" t="s">
        <v>1403</v>
      </c>
      <c r="AC3" s="90"/>
      <c r="AD3" s="90"/>
      <c r="AE3" s="90"/>
      <c r="AF3" s="90"/>
      <c r="AG3" s="90"/>
      <c r="AH3" s="62" t="s">
        <v>651</v>
      </c>
      <c r="AI3" s="65"/>
      <c r="AJ3" s="62" t="s">
        <v>654</v>
      </c>
      <c r="AK3" s="65"/>
      <c r="AL3" s="63" t="s">
        <v>657</v>
      </c>
      <c r="AM3" s="65"/>
      <c r="AN3" s="62" t="s">
        <v>660</v>
      </c>
      <c r="AO3" s="65"/>
      <c r="AP3" s="62" t="s">
        <v>663</v>
      </c>
      <c r="AQ3" s="65"/>
      <c r="AR3" s="63" t="s">
        <v>605</v>
      </c>
      <c r="AS3" s="65"/>
    </row>
    <row r="4" s="33" customFormat="true" ht="135.75" hidden="false" customHeight="true" outlineLevel="0" collapsed="false">
      <c r="A4" s="38"/>
      <c r="C4" s="44" t="s">
        <v>910</v>
      </c>
      <c r="D4" s="44" t="s">
        <v>1164</v>
      </c>
      <c r="E4" s="44" t="s">
        <v>911</v>
      </c>
      <c r="F4" s="44" t="s">
        <v>912</v>
      </c>
      <c r="G4" s="44" t="s">
        <v>1165</v>
      </c>
      <c r="H4" s="44" t="s">
        <v>913</v>
      </c>
      <c r="I4" s="44" t="s">
        <v>1166</v>
      </c>
      <c r="J4" s="66" t="s">
        <v>489</v>
      </c>
      <c r="K4" s="85" t="s">
        <v>491</v>
      </c>
      <c r="L4" s="67" t="s">
        <v>493</v>
      </c>
      <c r="M4" s="85" t="s">
        <v>495</v>
      </c>
      <c r="N4" s="67" t="s">
        <v>607</v>
      </c>
      <c r="O4" s="85" t="s">
        <v>610</v>
      </c>
      <c r="P4" s="66" t="s">
        <v>489</v>
      </c>
      <c r="Q4" s="85" t="s">
        <v>491</v>
      </c>
      <c r="R4" s="67" t="s">
        <v>493</v>
      </c>
      <c r="S4" s="85" t="s">
        <v>495</v>
      </c>
      <c r="T4" s="67" t="s">
        <v>607</v>
      </c>
      <c r="U4" s="85" t="s">
        <v>610</v>
      </c>
      <c r="V4" s="86" t="s">
        <v>651</v>
      </c>
      <c r="W4" s="86" t="s">
        <v>654</v>
      </c>
      <c r="X4" s="86" t="s">
        <v>1598</v>
      </c>
      <c r="Y4" s="86" t="s">
        <v>660</v>
      </c>
      <c r="Z4" s="86" t="s">
        <v>663</v>
      </c>
      <c r="AA4" s="86" t="s">
        <v>1597</v>
      </c>
      <c r="AB4" s="45" t="s">
        <v>811</v>
      </c>
      <c r="AC4" s="46" t="s">
        <v>812</v>
      </c>
      <c r="AD4" s="46" t="s">
        <v>1599</v>
      </c>
      <c r="AE4" s="46" t="s">
        <v>650</v>
      </c>
      <c r="AF4" s="46" t="s">
        <v>813</v>
      </c>
      <c r="AG4" s="46" t="s">
        <v>1600</v>
      </c>
      <c r="AH4" s="70" t="s">
        <v>489</v>
      </c>
      <c r="AI4" s="73" t="s">
        <v>491</v>
      </c>
      <c r="AJ4" s="71" t="s">
        <v>493</v>
      </c>
      <c r="AK4" s="73" t="s">
        <v>495</v>
      </c>
      <c r="AL4" s="71" t="s">
        <v>607</v>
      </c>
      <c r="AM4" s="73" t="s">
        <v>610</v>
      </c>
      <c r="AN4" s="70" t="s">
        <v>489</v>
      </c>
      <c r="AO4" s="73" t="s">
        <v>491</v>
      </c>
      <c r="AP4" s="71" t="s">
        <v>493</v>
      </c>
      <c r="AQ4" s="73" t="s">
        <v>495</v>
      </c>
      <c r="AR4" s="71" t="s">
        <v>607</v>
      </c>
      <c r="AS4" s="73" t="s">
        <v>610</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53"/>
      <c r="AB5" s="74" t="n">
        <f aca="false">SUBTOTAL(109,tx_ret_T[D_tx_ret_D_fy19])</f>
        <v>0</v>
      </c>
      <c r="AC5" s="74" t="n">
        <f aca="false">SUBTOTAL(109,tx_ret_T[D_tx_ret_u15_D_fy19])</f>
        <v>0</v>
      </c>
      <c r="AD5" s="74" t="n">
        <f aca="false">SUBTOTAL(109,tx_ret_T[D_tx_ret_o15_D_fy19])</f>
        <v>0</v>
      </c>
      <c r="AE5" s="74" t="n">
        <f aca="false">SUBTOTAL(109,tx_ret_T[D_tx_ret_fy19])</f>
        <v>0</v>
      </c>
      <c r="AF5" s="74" t="n">
        <f aca="false">SUBTOTAL(109,tx_ret_T[D_tx_ret_u15_fy19])</f>
        <v>0</v>
      </c>
      <c r="AG5" s="74" t="n">
        <f aca="false">SUBTOTAL(109,tx_ret_T[D_tx_ret_o15_fy19])</f>
        <v>0</v>
      </c>
      <c r="AH5" s="74" t="n">
        <f aca="false">SUBTOTAL(109,tx_ret_T[tx_ret_D_u15_f_pos])</f>
        <v>0</v>
      </c>
      <c r="AI5" s="74" t="n">
        <f aca="false">SUBTOTAL(109,tx_ret_T[tx_ret_D_u15_m_pos])</f>
        <v>0</v>
      </c>
      <c r="AJ5" s="74" t="n">
        <f aca="false">SUBTOTAL(109,tx_ret_T[tx_ret_D_o15_f_pos])</f>
        <v>0</v>
      </c>
      <c r="AK5" s="74" t="n">
        <f aca="false">SUBTOTAL(109,tx_ret_T[tx_ret_D_o15_m_pos])</f>
        <v>0</v>
      </c>
      <c r="AL5" s="74" t="n">
        <f aca="false">SUBTOTAL(109,tx_ret_T[tx_ret_D_bf_pos])</f>
        <v>0</v>
      </c>
      <c r="AM5" s="74" t="n">
        <f aca="false">SUBTOTAL(109,tx_ret_T[tx_ret_D_preg_pos])</f>
        <v>0</v>
      </c>
      <c r="AN5" s="74" t="n">
        <f aca="false">SUBTOTAL(109,tx_ret_T[tx_ret_u15_f_pos])</f>
        <v>0</v>
      </c>
      <c r="AO5" s="74" t="n">
        <f aca="false">SUBTOTAL(109,tx_ret_T[tx_ret_u15_m_pos])</f>
        <v>0</v>
      </c>
      <c r="AP5" s="74" t="n">
        <f aca="false">SUBTOTAL(109,tx_ret_T[tx_ret_o15_f_pos])</f>
        <v>0</v>
      </c>
      <c r="AQ5" s="74" t="n">
        <f aca="false">SUBTOTAL(109,tx_ret_T[tx_ret_o15_m_pos])</f>
        <v>0</v>
      </c>
      <c r="AR5" s="74" t="n">
        <f aca="false">SUBTOTAL(109,tx_ret_T[tx_ret_bf_pos])</f>
        <v>0</v>
      </c>
      <c r="AS5" s="74" t="n">
        <f aca="false">SUBTOTAL(109,tx_ret_T[tx_ret_preg_pos])</f>
        <v>0</v>
      </c>
    </row>
    <row r="6" customFormat="false" ht="15" hidden="false" customHeight="false" outlineLevel="0" collapsed="false">
      <c r="A6" s="48"/>
      <c r="C6" s="50" t="s">
        <v>1168</v>
      </c>
      <c r="D6" s="50" t="s">
        <v>1169</v>
      </c>
      <c r="E6" s="50" t="s">
        <v>1170</v>
      </c>
      <c r="F6" s="50" t="s">
        <v>1171</v>
      </c>
      <c r="G6" s="50" t="s">
        <v>1172</v>
      </c>
      <c r="H6" s="50" t="s">
        <v>1173</v>
      </c>
      <c r="I6" s="50" t="s">
        <v>1174</v>
      </c>
      <c r="J6" s="50" t="s">
        <v>652</v>
      </c>
      <c r="K6" s="50" t="s">
        <v>653</v>
      </c>
      <c r="L6" s="50" t="s">
        <v>655</v>
      </c>
      <c r="M6" s="50" t="s">
        <v>656</v>
      </c>
      <c r="N6" s="50" t="s">
        <v>658</v>
      </c>
      <c r="O6" s="50" t="s">
        <v>659</v>
      </c>
      <c r="P6" s="50" t="s">
        <v>661</v>
      </c>
      <c r="Q6" s="50" t="s">
        <v>662</v>
      </c>
      <c r="R6" s="50" t="s">
        <v>664</v>
      </c>
      <c r="S6" s="50" t="s">
        <v>665</v>
      </c>
      <c r="T6" s="50" t="s">
        <v>666</v>
      </c>
      <c r="U6" s="50" t="s">
        <v>667</v>
      </c>
      <c r="V6" s="50" t="s">
        <v>1175</v>
      </c>
      <c r="W6" s="50" t="s">
        <v>1220</v>
      </c>
      <c r="X6" s="50" t="s">
        <v>1221</v>
      </c>
      <c r="Y6" s="50" t="s">
        <v>1333</v>
      </c>
      <c r="Z6" s="50" t="s">
        <v>1334</v>
      </c>
      <c r="AA6" s="50" t="s">
        <v>1335</v>
      </c>
      <c r="AB6" s="50" t="s">
        <v>1027</v>
      </c>
      <c r="AC6" s="50" t="s">
        <v>1028</v>
      </c>
      <c r="AD6" s="50" t="s">
        <v>1601</v>
      </c>
      <c r="AE6" s="50" t="s">
        <v>1029</v>
      </c>
      <c r="AF6" s="50" t="s">
        <v>1030</v>
      </c>
      <c r="AG6" s="50" t="s">
        <v>1602</v>
      </c>
      <c r="AH6" s="50" t="s">
        <v>1603</v>
      </c>
      <c r="AI6" s="50" t="s">
        <v>1604</v>
      </c>
      <c r="AJ6" s="50" t="s">
        <v>1605</v>
      </c>
      <c r="AK6" s="50" t="s">
        <v>1606</v>
      </c>
      <c r="AL6" s="50" t="s">
        <v>1607</v>
      </c>
      <c r="AM6" s="50" t="s">
        <v>1608</v>
      </c>
      <c r="AN6" s="50" t="s">
        <v>1609</v>
      </c>
      <c r="AO6" s="50" t="s">
        <v>1610</v>
      </c>
      <c r="AP6" s="50" t="s">
        <v>1611</v>
      </c>
      <c r="AQ6" s="50" t="s">
        <v>1612</v>
      </c>
      <c r="AR6" s="50" t="s">
        <v>1613</v>
      </c>
      <c r="AS6" s="50" t="s">
        <v>1614</v>
      </c>
    </row>
    <row r="7" customFormat="false" ht="15" hidden="false" customHeight="false" outlineLevel="0" collapsed="false">
      <c r="A7" s="51"/>
      <c r="I7" s="33" t="s">
        <v>1615</v>
      </c>
      <c r="J7" s="53"/>
      <c r="K7" s="53"/>
      <c r="L7" s="53"/>
      <c r="M7" s="53"/>
      <c r="N7" s="53"/>
      <c r="O7" s="53"/>
      <c r="P7" s="53"/>
      <c r="Q7" s="53"/>
      <c r="R7" s="53"/>
      <c r="S7" s="53"/>
      <c r="T7" s="53"/>
      <c r="U7" s="53"/>
      <c r="V7" s="75" t="n">
        <f aca="false">SUM(tx_ret_T[[#This Row],[A_tx_ret_D_u15_f_pos]:[A_tx_ret_D_u15_m_pos]])</f>
        <v>0</v>
      </c>
      <c r="W7" s="75" t="n">
        <f aca="false">SUM(tx_ret_T[[#This Row],[A_tx_ret_D_o15_f_pos]:[A_tx_ret_D_o15_m_pos]])</f>
        <v>0</v>
      </c>
      <c r="X7" s="75" t="n">
        <f aca="false">SUM(tx_ret_T[[#This Row],[A_tx_ret_D_bf_pos]:[A_tx_ret_D_preg_pos]])</f>
        <v>0</v>
      </c>
      <c r="Y7" s="75" t="n">
        <f aca="false">SUM(tx_ret_T[[#This Row],[A_tx_ret_u15_f_pos]:[A_tx_ret_u15_m_pos]])</f>
        <v>0</v>
      </c>
      <c r="Z7" s="75" t="n">
        <f aca="false">SUM(tx_ret_T[[#This Row],[A_tx_ret_o15_f_pos]:[A_tx_ret_o15_m_pos]])</f>
        <v>0</v>
      </c>
      <c r="AA7" s="87" t="n">
        <f aca="false">SUM(tx_ret_T[[#This Row],[A_tx_ret_bf_pos]:[A_tx_ret_preg_pos]])</f>
        <v>0</v>
      </c>
      <c r="AB7" s="49"/>
      <c r="AC7" s="49"/>
      <c r="AD7" s="49"/>
      <c r="AE7" s="49"/>
      <c r="AF7" s="49"/>
      <c r="AG7" s="49"/>
      <c r="AH7" s="49" t="n">
        <f aca="false">tx_ret_T[[D_tx_ret_u15_D_fy19]:[D_tx_ret_u15_D_fy19]]*tx_ret_T[A_tx_ret_D_u15_f_pos]</f>
        <v>0</v>
      </c>
      <c r="AI7" s="49" t="n">
        <f aca="false">tx_ret_T[[D_tx_ret_u15_D_fy19]:[D_tx_ret_u15_D_fy19]]*tx_ret_T[A_tx_ret_D_u15_m_pos]</f>
        <v>0</v>
      </c>
      <c r="AJ7" s="49" t="n">
        <f aca="false">tx_ret_T[[D_tx_ret_o15_D_fy19]:[D_tx_ret_o15_D_fy19]]*tx_ret_T[A_tx_ret_D_o15_f_pos]</f>
        <v>0</v>
      </c>
      <c r="AK7" s="49" t="n">
        <f aca="false">tx_ret_T[[D_tx_ret_o15_D_fy19]:[D_tx_ret_o15_D_fy19]]*tx_ret_T[A_tx_ret_D_o15_m_pos]</f>
        <v>0</v>
      </c>
      <c r="AL7" s="49" t="n">
        <f aca="false">tx_ret_T[[D_tx_ret_D_fy19]:[D_tx_ret_D_fy19]]*tx_ret_T[A_tx_ret_D_bf_pos]</f>
        <v>0</v>
      </c>
      <c r="AM7" s="49" t="n">
        <f aca="false">tx_ret_T[[D_tx_ret_D_fy19]:[D_tx_ret_D_fy19]]*tx_ret_T[A_tx_ret_D_preg_pos]</f>
        <v>0</v>
      </c>
      <c r="AN7" s="49" t="n">
        <f aca="false">tx_ret_T[[D_tx_ret_u15_fy19]:[D_tx_ret_u15_fy19]]*tx_ret_T[A_tx_ret_u15_f_pos]</f>
        <v>0</v>
      </c>
      <c r="AO7" s="49" t="n">
        <f aca="false">tx_ret_T[[D_tx_ret_u15_fy19]:[D_tx_ret_u15_fy19]]*tx_ret_T[A_tx_ret_u15_m_pos]</f>
        <v>0</v>
      </c>
      <c r="AP7" s="49" t="n">
        <f aca="false">tx_ret_T[[D_tx_ret_u15_fy19]:[D_tx_ret_u15_fy19]]*tx_ret_T[A_tx_ret_o15_f_pos]</f>
        <v>0</v>
      </c>
      <c r="AQ7" s="49" t="n">
        <f aca="false">tx_ret_T[[D_tx_ret_u15_fy19]:[D_tx_ret_u15_fy19]]*tx_ret_T[A_tx_ret_o15_m_pos]</f>
        <v>0</v>
      </c>
      <c r="AR7" s="49" t="n">
        <f aca="false">tx_ret_T[[D_tx_ret_fy19]:[D_tx_ret_fy19]]*tx_ret_T[A_tx_ret_bf_pos]</f>
        <v>0</v>
      </c>
      <c r="AS7" s="49"/>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H8" s="8"/>
      <c r="AI8" s="8"/>
      <c r="AJ8" s="8"/>
      <c r="AK8" s="8"/>
      <c r="AL8" s="8"/>
      <c r="AM8" s="8"/>
      <c r="AN8" s="8"/>
      <c r="AO8" s="8"/>
      <c r="AQ8" s="8"/>
      <c r="AR8" s="8"/>
      <c r="AS8" s="8"/>
      <c r="AT8" s="8"/>
      <c r="AU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H9" s="8"/>
      <c r="AI9" s="8"/>
      <c r="AJ9" s="8"/>
      <c r="AK9" s="8"/>
      <c r="AL9" s="8"/>
      <c r="AM9" s="8"/>
      <c r="AN9" s="8"/>
      <c r="AO9" s="8"/>
      <c r="AQ9" s="8"/>
      <c r="AR9" s="8"/>
      <c r="AS9" s="8"/>
      <c r="AT9" s="8"/>
      <c r="AU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H10" s="8"/>
      <c r="AI10" s="8"/>
      <c r="AJ10" s="8"/>
      <c r="AK10" s="8"/>
      <c r="AL10" s="8"/>
      <c r="AM10" s="8"/>
      <c r="AN10" s="8"/>
      <c r="AO10" s="8"/>
      <c r="AQ10" s="8"/>
      <c r="AR10" s="8"/>
      <c r="AS10" s="8"/>
      <c r="AT10" s="8"/>
      <c r="AU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H11" s="8"/>
      <c r="AI11" s="8"/>
      <c r="AJ11" s="8"/>
      <c r="AK11" s="8"/>
      <c r="AL11" s="8"/>
      <c r="AM11" s="8"/>
      <c r="AN11" s="8"/>
      <c r="AO11" s="8"/>
      <c r="AQ11" s="8"/>
      <c r="AR11" s="8"/>
      <c r="AS11" s="8"/>
      <c r="AT11" s="8"/>
      <c r="AU11" s="8"/>
    </row>
  </sheetData>
  <mergeCells count="1">
    <mergeCell ref="A1:A2"/>
  </mergeCells>
  <conditionalFormatting sqref="J7:O7">
    <cfRule type="expression" priority="2" aboveAverage="0" equalAverage="0" bottom="0" percent="0" rank="0" text="" dxfId="0">
      <formula>$AB7=0</formula>
    </cfRule>
  </conditionalFormatting>
  <conditionalFormatting sqref="P7:AA7">
    <cfRule type="expression" priority="3" aboveAverage="0" equalAverage="0" bottom="0" percent="0" rank="0" text="" dxfId="0">
      <formula>$AE7=0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M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W13" activeCellId="0" sqref="W13"/>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25" min="10" style="33" width="11.5708502024291"/>
    <col collapsed="false" hidden="false" max="31" min="26" style="0" width="11.5708502024291"/>
    <col collapsed="false" hidden="false" max="32" min="32" style="0" width="8.57085020242915"/>
    <col collapsed="false" hidden="false" max="39" min="33" style="0" width="11.5708502024291"/>
    <col collapsed="false" hidden="false" max="1025" min="40" style="0" width="8.57085020242915"/>
  </cols>
  <sheetData>
    <row r="1" s="33" customFormat="true" ht="23.25" hidden="false" customHeight="false" outlineLevel="0" collapsed="false">
      <c r="A1" s="34"/>
      <c r="C1" s="77" t="s">
        <v>668</v>
      </c>
      <c r="D1" s="35"/>
      <c r="J1" s="37" t="s">
        <v>1157</v>
      </c>
      <c r="K1" s="55"/>
      <c r="L1" s="55"/>
      <c r="M1" s="55"/>
      <c r="N1" s="55"/>
      <c r="O1" s="55"/>
      <c r="P1" s="55"/>
      <c r="Q1" s="55"/>
      <c r="R1" s="55"/>
      <c r="S1" s="55"/>
      <c r="T1" s="55"/>
      <c r="U1" s="55"/>
      <c r="V1" s="37" t="s">
        <v>1158</v>
      </c>
      <c r="W1" s="55"/>
      <c r="X1" s="55"/>
      <c r="Y1" s="56"/>
      <c r="Z1" s="37" t="s">
        <v>1159</v>
      </c>
      <c r="AA1" s="55" t="s">
        <v>1160</v>
      </c>
      <c r="AB1" s="55"/>
      <c r="AC1" s="55"/>
      <c r="AD1" s="55"/>
      <c r="AE1" s="55"/>
      <c r="AF1" s="55"/>
      <c r="AG1" s="55"/>
      <c r="AH1" s="55"/>
      <c r="AI1" s="55"/>
      <c r="AJ1" s="55"/>
      <c r="AK1" s="55"/>
      <c r="AL1" s="55"/>
    </row>
    <row r="2" s="35" customFormat="true" ht="15" hidden="false" customHeight="false" outlineLevel="0" collapsed="false">
      <c r="A2" s="34"/>
      <c r="B2" s="35" t="s">
        <v>808</v>
      </c>
      <c r="C2" s="35" t="s">
        <v>808</v>
      </c>
      <c r="E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X2" s="35" t="s">
        <v>808</v>
      </c>
      <c r="Y2" s="35" t="s">
        <v>808</v>
      </c>
      <c r="Z2" s="35" t="s">
        <v>808</v>
      </c>
      <c r="AB2" s="35" t="s">
        <v>808</v>
      </c>
      <c r="AC2" s="35" t="s">
        <v>808</v>
      </c>
      <c r="AD2" s="35" t="s">
        <v>808</v>
      </c>
      <c r="AF2" s="35" t="s">
        <v>808</v>
      </c>
      <c r="AG2" s="35" t="s">
        <v>808</v>
      </c>
      <c r="AH2" s="35" t="s">
        <v>808</v>
      </c>
      <c r="AI2" s="35" t="s">
        <v>808</v>
      </c>
      <c r="AJ2" s="35" t="s">
        <v>808</v>
      </c>
      <c r="AK2" s="35" t="s">
        <v>808</v>
      </c>
      <c r="AL2" s="35" t="s">
        <v>808</v>
      </c>
    </row>
    <row r="3" s="4" customFormat="true" ht="15" hidden="false" customHeight="false" outlineLevel="0" collapsed="false">
      <c r="A3" s="38"/>
      <c r="C3" s="35" t="s">
        <v>808</v>
      </c>
      <c r="D3" s="35"/>
      <c r="E3" s="39"/>
      <c r="F3" s="39"/>
      <c r="G3" s="39"/>
      <c r="H3" s="40"/>
      <c r="I3" s="40"/>
      <c r="J3" s="57" t="s">
        <v>1616</v>
      </c>
      <c r="K3" s="58"/>
      <c r="L3" s="58"/>
      <c r="M3" s="58"/>
      <c r="N3" s="59" t="s">
        <v>1617</v>
      </c>
      <c r="O3" s="57" t="s">
        <v>1618</v>
      </c>
      <c r="P3" s="58"/>
      <c r="Q3" s="79"/>
      <c r="R3" s="58" t="s">
        <v>1619</v>
      </c>
      <c r="S3" s="58"/>
      <c r="T3" s="58"/>
      <c r="U3" s="58"/>
      <c r="V3" s="60" t="s">
        <v>1161</v>
      </c>
      <c r="W3" s="91"/>
      <c r="X3" s="91"/>
      <c r="Y3" s="92"/>
      <c r="Z3" s="61" t="s">
        <v>1162</v>
      </c>
      <c r="AA3" s="62" t="s">
        <v>1616</v>
      </c>
      <c r="AB3" s="63"/>
      <c r="AC3" s="63"/>
      <c r="AD3" s="63"/>
      <c r="AE3" s="64" t="s">
        <v>1620</v>
      </c>
      <c r="AF3" s="62" t="s">
        <v>1621</v>
      </c>
      <c r="AG3" s="63"/>
      <c r="AH3" s="65"/>
      <c r="AI3" s="63" t="s">
        <v>1619</v>
      </c>
      <c r="AJ3" s="63"/>
      <c r="AK3" s="63"/>
      <c r="AL3" s="65"/>
    </row>
    <row r="4" s="33" customFormat="true" ht="135.75" hidden="false" customHeight="true" outlineLevel="0" collapsed="false">
      <c r="A4" s="38"/>
      <c r="C4" s="44" t="s">
        <v>910</v>
      </c>
      <c r="D4" s="44" t="s">
        <v>1164</v>
      </c>
      <c r="E4" s="44" t="s">
        <v>911</v>
      </c>
      <c r="F4" s="44" t="s">
        <v>912</v>
      </c>
      <c r="G4" s="44" t="s">
        <v>1165</v>
      </c>
      <c r="H4" s="44" t="s">
        <v>913</v>
      </c>
      <c r="I4" s="44" t="s">
        <v>1166</v>
      </c>
      <c r="J4" s="66" t="s">
        <v>489</v>
      </c>
      <c r="K4" s="67" t="s">
        <v>491</v>
      </c>
      <c r="L4" s="67" t="s">
        <v>493</v>
      </c>
      <c r="M4" s="67" t="s">
        <v>495</v>
      </c>
      <c r="N4" s="68" t="s">
        <v>1622</v>
      </c>
      <c r="O4" s="66" t="s">
        <v>678</v>
      </c>
      <c r="P4" s="67" t="s">
        <v>681</v>
      </c>
      <c r="Q4" s="85" t="s">
        <v>684</v>
      </c>
      <c r="R4" s="67" t="s">
        <v>687</v>
      </c>
      <c r="S4" s="67" t="s">
        <v>689</v>
      </c>
      <c r="T4" s="67" t="s">
        <v>691</v>
      </c>
      <c r="U4" s="67" t="s">
        <v>693</v>
      </c>
      <c r="V4" s="69" t="s">
        <v>1616</v>
      </c>
      <c r="W4" s="86" t="s">
        <v>1617</v>
      </c>
      <c r="X4" s="86" t="s">
        <v>1623</v>
      </c>
      <c r="Y4" s="93" t="s">
        <v>1619</v>
      </c>
      <c r="Z4" s="45" t="s">
        <v>832</v>
      </c>
      <c r="AA4" s="70" t="s">
        <v>489</v>
      </c>
      <c r="AB4" s="71" t="s">
        <v>491</v>
      </c>
      <c r="AC4" s="71" t="s">
        <v>493</v>
      </c>
      <c r="AD4" s="71" t="s">
        <v>495</v>
      </c>
      <c r="AE4" s="72" t="s">
        <v>1622</v>
      </c>
      <c r="AF4" s="70" t="s">
        <v>678</v>
      </c>
      <c r="AG4" s="71" t="s">
        <v>681</v>
      </c>
      <c r="AH4" s="73" t="s">
        <v>684</v>
      </c>
      <c r="AI4" s="71" t="s">
        <v>687</v>
      </c>
      <c r="AJ4" s="71" t="s">
        <v>689</v>
      </c>
      <c r="AK4" s="71" t="s">
        <v>691</v>
      </c>
      <c r="AL4" s="73" t="s">
        <v>693</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74" t="n">
        <f aca="false">SUBTOTAL(109,tx_tb_T[D_tx_tb_D_fy19])</f>
        <v>0</v>
      </c>
      <c r="AA5" s="74" t="n">
        <f aca="false">SUBTOTAL(109,tx_tb_T[tx_tb_D_u15_f_pos2])</f>
        <v>0</v>
      </c>
      <c r="AB5" s="74" t="n">
        <f aca="false">SUBTOTAL(109,tx_tb_T[tx_tb_D_u15_m_pos])</f>
        <v>0</v>
      </c>
      <c r="AC5" s="74" t="n">
        <f aca="false">SUBTOTAL(109,tx_tb_T[tx_tb_D_o15_f_pos])</f>
        <v>0</v>
      </c>
      <c r="AD5" s="74" t="n">
        <f aca="false">SUBTOTAL(109,tx_tb_T[tx_tb_D_o15_m_pos])</f>
        <v>0</v>
      </c>
      <c r="AE5" s="74" t="n">
        <f aca="false">SUBTOTAL(109,tx_tb_T[tx_tb_D_sent_pos])</f>
        <v>0</v>
      </c>
      <c r="AF5" s="74" t="n">
        <f aca="false">SUBTOTAL(109,tx_tb_T[tx_tb_D_oth_pos])</f>
        <v>0</v>
      </c>
      <c r="AG5" s="74" t="n">
        <f aca="false">SUBTOTAL(109,tx_tb_T[tx_tb_D_smear_pos])</f>
        <v>0</v>
      </c>
      <c r="AH5" s="74" t="n">
        <f aca="false">SUBTOTAL(109,tx_tb_T[tx_tb_D_xpert_pos])</f>
        <v>0</v>
      </c>
      <c r="AI5" s="74" t="n">
        <f aca="false">SUBTOTAL(109,tx_tb_T[tx_tb_D_life_already_scrn_neg_pos])</f>
        <v>0</v>
      </c>
      <c r="AJ5" s="74" t="n">
        <f aca="false">SUBTOTAL(109,tx_tb_T[tx_tb_D_life_already_scrn_pos_pos])</f>
        <v>0</v>
      </c>
      <c r="AK5" s="74" t="n">
        <f aca="false">SUBTOTAL(109,tx_tb_T[tx_tb_D_life_new_scrn_neg_pos])</f>
        <v>0</v>
      </c>
      <c r="AL5" s="74" t="n">
        <f aca="false">SUBTOTAL(109,tx_tb_T[tx_tb_D_life_new_scrn_pos_pos])</f>
        <v>0</v>
      </c>
    </row>
    <row r="6" customFormat="false" ht="15" hidden="false" customHeight="false" outlineLevel="0" collapsed="false">
      <c r="A6" s="48"/>
      <c r="C6" s="50" t="s">
        <v>1168</v>
      </c>
      <c r="D6" s="50" t="s">
        <v>1169</v>
      </c>
      <c r="E6" s="50" t="s">
        <v>1170</v>
      </c>
      <c r="F6" s="50" t="s">
        <v>1171</v>
      </c>
      <c r="G6" s="50" t="s">
        <v>1172</v>
      </c>
      <c r="H6" s="50" t="s">
        <v>1173</v>
      </c>
      <c r="I6" s="50" t="s">
        <v>1174</v>
      </c>
      <c r="J6" s="50" t="s">
        <v>669</v>
      </c>
      <c r="K6" s="50" t="s">
        <v>670</v>
      </c>
      <c r="L6" s="50" t="s">
        <v>671</v>
      </c>
      <c r="M6" s="50" t="s">
        <v>672</v>
      </c>
      <c r="N6" s="50" t="s">
        <v>674</v>
      </c>
      <c r="O6" s="50" t="s">
        <v>1624</v>
      </c>
      <c r="P6" s="50" t="s">
        <v>682</v>
      </c>
      <c r="Q6" s="50" t="s">
        <v>685</v>
      </c>
      <c r="R6" s="50" t="s">
        <v>688</v>
      </c>
      <c r="S6" s="50" t="s">
        <v>690</v>
      </c>
      <c r="T6" s="50" t="s">
        <v>692</v>
      </c>
      <c r="U6" s="50" t="s">
        <v>694</v>
      </c>
      <c r="V6" s="50" t="s">
        <v>1175</v>
      </c>
      <c r="W6" s="50" t="s">
        <v>1220</v>
      </c>
      <c r="X6" s="50" t="s">
        <v>1221</v>
      </c>
      <c r="Y6" s="50" t="s">
        <v>1333</v>
      </c>
      <c r="Z6" s="50" t="s">
        <v>1055</v>
      </c>
      <c r="AA6" s="50" t="s">
        <v>1625</v>
      </c>
      <c r="AB6" s="50" t="s">
        <v>1626</v>
      </c>
      <c r="AC6" s="50" t="s">
        <v>1627</v>
      </c>
      <c r="AD6" s="50" t="s">
        <v>1628</v>
      </c>
      <c r="AE6" s="50" t="s">
        <v>1629</v>
      </c>
      <c r="AF6" s="50" t="s">
        <v>1630</v>
      </c>
      <c r="AG6" s="50" t="s">
        <v>1631</v>
      </c>
      <c r="AH6" s="50" t="s">
        <v>1632</v>
      </c>
      <c r="AI6" s="50" t="s">
        <v>1633</v>
      </c>
      <c r="AJ6" s="50" t="s">
        <v>1634</v>
      </c>
      <c r="AK6" s="50" t="s">
        <v>1635</v>
      </c>
      <c r="AL6" s="50" t="s">
        <v>1636</v>
      </c>
    </row>
    <row r="7" customFormat="false" ht="15" hidden="false" customHeight="false" outlineLevel="0" collapsed="false">
      <c r="A7" s="51"/>
      <c r="J7" s="53"/>
      <c r="K7" s="53"/>
      <c r="L7" s="53"/>
      <c r="M7" s="53"/>
      <c r="N7" s="53"/>
      <c r="O7" s="53"/>
      <c r="P7" s="53"/>
      <c r="Q7" s="53"/>
      <c r="R7" s="53"/>
      <c r="S7" s="53"/>
      <c r="T7" s="53"/>
      <c r="U7" s="53"/>
      <c r="V7" s="75" t="n">
        <f aca="false">SUM(tx_tb_T[[#This Row],[A_tx_tb_D_u15_f_pos]:[A_tx_tb_D_o15_m_pos]])</f>
        <v>0</v>
      </c>
      <c r="W7" s="87" t="n">
        <f aca="false">tx_tb_T[A_tx_tb_D_sent_pos]</f>
        <v>0</v>
      </c>
      <c r="X7" s="75" t="n">
        <f aca="false">SUM(tx_tb_T[[#This Row],[A_tx_tb_D_oth_pos2]:[A_tx_tb_D_xpert_pos]])</f>
        <v>0</v>
      </c>
      <c r="Y7" s="75" t="n">
        <f aca="false">SUM(tx_tb_T[[#This Row],[A_tx_tb_D_life_already_scrn_neg_pos]:[A_tx_tb_D_life_new_scrn_pos_pos]])</f>
        <v>0</v>
      </c>
      <c r="Z7" s="49"/>
      <c r="AA7" s="49" t="n">
        <f aca="false">tx_tb_T[[D_tx_tb_D_fy19]:[D_tx_tb_D_fy19]]*tx_tb_T[A_tx_tb_D_u15_f_pos]</f>
        <v>0</v>
      </c>
      <c r="AB7" s="49" t="n">
        <f aca="false">tx_tb_T[[D_tx_tb_D_fy19]:[D_tx_tb_D_fy19]]*tx_tb_T[A_tx_tb_D_u15_m_pos]</f>
        <v>0</v>
      </c>
      <c r="AC7" s="49" t="n">
        <f aca="false">tx_tb_T[[D_tx_tb_D_fy19]:[D_tx_tb_D_fy19]]*tx_tb_T[A_tx_tb_D_o15_f_pos]</f>
        <v>0</v>
      </c>
      <c r="AD7" s="49" t="n">
        <f aca="false">tx_tb_T[[D_tx_tb_D_fy19]:[D_tx_tb_D_fy19]]*tx_tb_T[A_tx_tb_D_o15_m_pos]</f>
        <v>0</v>
      </c>
      <c r="AE7" s="49" t="n">
        <f aca="false">tx_tb_T[[D_tx_tb_D_fy19]:[D_tx_tb_D_fy19]]*tx_tb_T[A_tx_tb_D_sent_pos]</f>
        <v>0</v>
      </c>
      <c r="AF7" s="49" t="n">
        <f aca="false">tx_tb_T[[tx_tb_D_sent_pos]:[tx_tb_D_sent_pos]]*tx_tb_T[A_tx_tb_D_oth_pos2]</f>
        <v>0</v>
      </c>
      <c r="AG7" s="49" t="n">
        <f aca="false">tx_tb_T[[tx_tb_D_sent_pos]:[tx_tb_D_sent_pos]]*tx_tb_T[A_tx_tb_D_smear_pos]</f>
        <v>0</v>
      </c>
      <c r="AH7" s="49" t="n">
        <f aca="false">tx_tb_T[[tx_tb_D_sent_pos]:[tx_tb_D_sent_pos]]*tx_tb_T[A_tx_tb_D_xpert_pos]</f>
        <v>0</v>
      </c>
      <c r="AI7" s="49" t="n">
        <f aca="false">tx_tb_T[[D_tx_tb_D_fy19]:[D_tx_tb_D_fy19]]*tx_tb_T[A_tx_tb_D_life_already_scrn_neg_pos]</f>
        <v>0</v>
      </c>
      <c r="AJ7" s="49" t="n">
        <f aca="false">tx_tb_T[[D_tx_tb_D_fy19]:[D_tx_tb_D_fy19]]*tx_tb_T[A_tx_tb_D_life_already_scrn_pos_pos]</f>
        <v>0</v>
      </c>
      <c r="AK7" s="49" t="n">
        <f aca="false">tx_tb_T[[D_tx_tb_D_fy19]:[D_tx_tb_D_fy19]]*tx_tb_T[A_tx_tb_D_life_new_scrn_neg_pos]</f>
        <v>0</v>
      </c>
      <c r="AL7" s="49" t="n">
        <f aca="false">tx_tb_T[[D_tx_tb_D_fy19]:[D_tx_tb_D_fy19]]*tx_tb_T[A_tx_tb_D_life_new_scrn_pos_pos]</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G8" s="8"/>
      <c r="AH8" s="8"/>
      <c r="AI8" s="8"/>
      <c r="AJ8" s="8"/>
      <c r="AK8" s="8"/>
      <c r="AL8" s="8"/>
      <c r="AM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G9" s="8"/>
      <c r="AH9" s="8"/>
      <c r="AI9" s="8"/>
      <c r="AJ9" s="8"/>
      <c r="AK9" s="8"/>
      <c r="AL9" s="8"/>
      <c r="AM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G10" s="8"/>
      <c r="AH10" s="8"/>
      <c r="AI10" s="8"/>
      <c r="AJ10" s="8"/>
      <c r="AK10" s="8"/>
      <c r="AL10" s="8"/>
      <c r="AM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G11" s="8"/>
      <c r="AH11" s="8"/>
      <c r="AI11" s="8"/>
      <c r="AJ11" s="8"/>
      <c r="AK11" s="8"/>
      <c r="AL11" s="8"/>
      <c r="AM11" s="8"/>
    </row>
  </sheetData>
  <mergeCells count="1">
    <mergeCell ref="A1:A2"/>
  </mergeCells>
  <conditionalFormatting sqref="J7:Y7">
    <cfRule type="expression" priority="2" aboveAverage="0" equalAverage="0" bottom="0" percent="0" rank="0" text="" dxfId="0">
      <formula>$Z7=0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O11"/>
  <sheetViews>
    <sheetView windowProtection="true" showFormulas="false" showGridLines="false" showRowColHeaders="true" showZeros="true" rightToLeft="false" tabSelected="false" showOutlineSymbols="true" defaultGridColor="true" view="normal" topLeftCell="A1" colorId="64" zoomScale="70" zoomScaleNormal="70" zoomScalePageLayoutView="100" workbookViewId="0">
      <pane xSplit="0" ySplit="4" topLeftCell="A5" activePane="bottomLeft" state="frozen"/>
      <selection pane="topLeft" activeCell="A1" activeCellId="0" sqref="A1"/>
      <selection pane="bottomLeft" activeCell="AM7" activeCellId="0" sqref="AM7"/>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24" min="10" style="33" width="11.5708502024291"/>
    <col collapsed="false" hidden="false" max="27" min="25" style="0" width="12.3198380566802"/>
    <col collapsed="false" hidden="false" max="28" min="28" style="0" width="11.5708502024291"/>
    <col collapsed="false" hidden="false" max="29" min="29" style="0" width="8.57085020242915"/>
    <col collapsed="false" hidden="false" max="33" min="30" style="0" width="11.5708502024291"/>
    <col collapsed="false" hidden="false" max="34" min="34" style="0" width="8.57085020242915"/>
    <col collapsed="false" hidden="false" max="36" min="35" style="0" width="11.5708502024291"/>
    <col collapsed="false" hidden="false" max="37" min="37" style="0" width="8.57085020242915"/>
    <col collapsed="false" hidden="false" max="41" min="38" style="0" width="11.5708502024291"/>
    <col collapsed="false" hidden="false" max="1025" min="42" style="0" width="8.57085020242915"/>
  </cols>
  <sheetData>
    <row r="1" s="33" customFormat="true" ht="23.25" hidden="false" customHeight="false" outlineLevel="0" collapsed="false">
      <c r="A1" s="34"/>
      <c r="C1" s="77" t="s">
        <v>695</v>
      </c>
      <c r="D1" s="35"/>
      <c r="J1" s="37" t="s">
        <v>1157</v>
      </c>
      <c r="K1" s="55"/>
      <c r="L1" s="55"/>
      <c r="M1" s="55"/>
      <c r="N1" s="55"/>
      <c r="O1" s="55"/>
      <c r="P1" s="55"/>
      <c r="Q1" s="55"/>
      <c r="R1" s="55"/>
      <c r="S1" s="55"/>
      <c r="T1" s="55"/>
      <c r="U1" s="55"/>
      <c r="V1" s="55" t="s">
        <v>1158</v>
      </c>
      <c r="W1" s="55"/>
      <c r="X1" s="55"/>
      <c r="Y1" s="37" t="s">
        <v>1159</v>
      </c>
      <c r="Z1" s="55"/>
      <c r="AA1" s="55"/>
      <c r="AB1" s="37" t="s">
        <v>1160</v>
      </c>
      <c r="AC1" s="55"/>
      <c r="AD1" s="55"/>
      <c r="AE1" s="55"/>
      <c r="AF1" s="55"/>
      <c r="AG1" s="55"/>
      <c r="AH1" s="55"/>
      <c r="AI1" s="55"/>
      <c r="AJ1" s="55"/>
      <c r="AK1" s="55"/>
      <c r="AL1" s="55"/>
      <c r="AM1" s="55"/>
    </row>
    <row r="2" s="35" customFormat="true" ht="15" hidden="false" customHeight="false" outlineLevel="0" collapsed="false">
      <c r="A2" s="34"/>
      <c r="B2" s="35" t="s">
        <v>808</v>
      </c>
      <c r="C2" s="35" t="s">
        <v>808</v>
      </c>
      <c r="E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Y2" s="35" t="s">
        <v>808</v>
      </c>
      <c r="AB2" s="35" t="s">
        <v>808</v>
      </c>
      <c r="AC2" s="35" t="s">
        <v>808</v>
      </c>
      <c r="AD2" s="35" t="s">
        <v>808</v>
      </c>
      <c r="AH2" s="35" t="s">
        <v>808</v>
      </c>
      <c r="AI2" s="35" t="s">
        <v>808</v>
      </c>
      <c r="AJ2" s="35" t="s">
        <v>808</v>
      </c>
      <c r="AK2" s="35" t="s">
        <v>808</v>
      </c>
      <c r="AL2" s="35" t="s">
        <v>808</v>
      </c>
      <c r="AM2" s="35" t="s">
        <v>808</v>
      </c>
    </row>
    <row r="3" s="4" customFormat="true" ht="15" hidden="false" customHeight="false" outlineLevel="0" collapsed="false">
      <c r="A3" s="38"/>
      <c r="C3" s="35" t="s">
        <v>808</v>
      </c>
      <c r="D3" s="35"/>
      <c r="E3" s="39"/>
      <c r="F3" s="39"/>
      <c r="G3" s="39"/>
      <c r="H3" s="40"/>
      <c r="I3" s="40"/>
      <c r="J3" s="57" t="s">
        <v>696</v>
      </c>
      <c r="K3" s="58"/>
      <c r="L3" s="79"/>
      <c r="M3" s="58" t="s">
        <v>701</v>
      </c>
      <c r="N3" s="58"/>
      <c r="O3" s="58"/>
      <c r="P3" s="58"/>
      <c r="Q3" s="58"/>
      <c r="R3" s="58"/>
      <c r="S3" s="79"/>
      <c r="T3" s="58" t="s">
        <v>714</v>
      </c>
      <c r="U3" s="58"/>
      <c r="V3" s="60" t="s">
        <v>1161</v>
      </c>
      <c r="W3" s="91"/>
      <c r="X3" s="92"/>
      <c r="Y3" s="61" t="s">
        <v>1403</v>
      </c>
      <c r="Z3" s="90"/>
      <c r="AA3" s="96"/>
      <c r="AB3" s="62" t="s">
        <v>696</v>
      </c>
      <c r="AC3" s="63"/>
      <c r="AD3" s="65"/>
      <c r="AE3" s="63" t="s">
        <v>701</v>
      </c>
      <c r="AF3" s="63"/>
      <c r="AG3" s="63"/>
      <c r="AH3" s="63"/>
      <c r="AI3" s="63"/>
      <c r="AJ3" s="63"/>
      <c r="AK3" s="65"/>
      <c r="AL3" s="63" t="s">
        <v>714</v>
      </c>
      <c r="AM3" s="65"/>
    </row>
    <row r="4" s="33" customFormat="true" ht="135.75" hidden="false" customHeight="true" outlineLevel="0" collapsed="false">
      <c r="A4" s="38"/>
      <c r="C4" s="44" t="s">
        <v>910</v>
      </c>
      <c r="D4" s="44" t="s">
        <v>1164</v>
      </c>
      <c r="E4" s="44" t="s">
        <v>911</v>
      </c>
      <c r="F4" s="44" t="s">
        <v>912</v>
      </c>
      <c r="G4" s="44" t="s">
        <v>1165</v>
      </c>
      <c r="H4" s="44" t="s">
        <v>913</v>
      </c>
      <c r="I4" s="44" t="s">
        <v>1166</v>
      </c>
      <c r="J4" s="66" t="s">
        <v>431</v>
      </c>
      <c r="K4" s="67" t="s">
        <v>434</v>
      </c>
      <c r="L4" s="67" t="s">
        <v>437</v>
      </c>
      <c r="M4" s="66" t="s">
        <v>702</v>
      </c>
      <c r="N4" s="67" t="s">
        <v>705</v>
      </c>
      <c r="O4" s="67" t="s">
        <v>204</v>
      </c>
      <c r="P4" s="67" t="s">
        <v>440</v>
      </c>
      <c r="Q4" s="67" t="s">
        <v>443</v>
      </c>
      <c r="R4" s="67" t="s">
        <v>446</v>
      </c>
      <c r="S4" s="85" t="s">
        <v>449</v>
      </c>
      <c r="T4" s="67" t="s">
        <v>715</v>
      </c>
      <c r="U4" s="67" t="s">
        <v>718</v>
      </c>
      <c r="V4" s="69" t="s">
        <v>696</v>
      </c>
      <c r="W4" s="86" t="s">
        <v>701</v>
      </c>
      <c r="X4" s="93" t="s">
        <v>714</v>
      </c>
      <c r="Y4" s="45" t="s">
        <v>695</v>
      </c>
      <c r="Z4" s="46" t="s">
        <v>883</v>
      </c>
      <c r="AA4" s="47" t="s">
        <v>1637</v>
      </c>
      <c r="AB4" s="71" t="s">
        <v>431</v>
      </c>
      <c r="AC4" s="71" t="s">
        <v>434</v>
      </c>
      <c r="AD4" s="71" t="s">
        <v>437</v>
      </c>
      <c r="AE4" s="70" t="s">
        <v>702</v>
      </c>
      <c r="AF4" s="71" t="s">
        <v>705</v>
      </c>
      <c r="AG4" s="71" t="s">
        <v>204</v>
      </c>
      <c r="AH4" s="71" t="s">
        <v>440</v>
      </c>
      <c r="AI4" s="71" t="s">
        <v>443</v>
      </c>
      <c r="AJ4" s="71" t="s">
        <v>446</v>
      </c>
      <c r="AK4" s="73" t="s">
        <v>449</v>
      </c>
      <c r="AL4" s="71" t="s">
        <v>715</v>
      </c>
      <c r="AM4" s="73" t="s">
        <v>718</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74" t="n">
        <f aca="false">SUBTOTAL(109,vmmc_circ_T[D_vmmc_circ_fy19])</f>
        <v>0</v>
      </c>
      <c r="Z5" s="74" t="n">
        <f aca="false">SUBTOTAL(109,vmmc_circ_T[D_vmmc_circ_1529_fy19])</f>
        <v>0</v>
      </c>
      <c r="AA5" s="74" t="n">
        <f aca="false">SUBTOTAL(109,vmmc_circ_T[D_vmmc_circ_othage_fy19])</f>
        <v>0</v>
      </c>
      <c r="AB5" s="74" t="n">
        <f aca="false">SUBTOTAL(109,vmmc_circ_T[vmmc_circ_1519_m])</f>
        <v>0</v>
      </c>
      <c r="AC5" s="74" t="n">
        <f aca="false">SUBTOTAL(109,vmmc_circ_T[vmmc_circ_2024_m])</f>
        <v>0</v>
      </c>
      <c r="AD5" s="74" t="n">
        <f aca="false">SUBTOTAL(109,vmmc_circ_T[vmmc_circ_2529_m])</f>
        <v>0</v>
      </c>
      <c r="AE5" s="74" t="n">
        <f aca="false">SUBTOTAL(109,vmmc_circ_T[vmmc_circ_u02mo_m])</f>
        <v>0</v>
      </c>
      <c r="AF5" s="74" t="n">
        <f aca="false">SUBTOTAL(109,vmmc_circ_T[vmmc_circ_02mo9_m])</f>
        <v>0</v>
      </c>
      <c r="AG5" s="74" t="n">
        <f aca="false">SUBTOTAL(109,vmmc_circ_T[vmmc_circ_1014_m])</f>
        <v>0</v>
      </c>
      <c r="AH5" s="74" t="n">
        <f aca="false">SUBTOTAL(109,vmmc_circ_T[vmmc_circ_3034_m])</f>
        <v>0</v>
      </c>
      <c r="AI5" s="74" t="n">
        <f aca="false">SUBTOTAL(109,vmmc_circ_T[vmmc_circ_3539_m])</f>
        <v>0</v>
      </c>
      <c r="AJ5" s="74" t="n">
        <f aca="false">SUBTOTAL(109,vmmc_circ_T[vmmc_circ_4049_m])</f>
        <v>0</v>
      </c>
      <c r="AK5" s="74" t="n">
        <f aca="false">SUBTOTAL(109,vmmc_circ_T[vmmc_circ_o50_m])</f>
        <v>0</v>
      </c>
      <c r="AL5" s="74" t="n">
        <f aca="false">SUBTOTAL(109,vmmc_circ_T[vmmc_circ_device_m])</f>
        <v>0</v>
      </c>
      <c r="AM5" s="74" t="n">
        <f aca="false">SUBTOTAL(109,vmmc_circ_T[vmmc_circ_surg_m])</f>
        <v>0</v>
      </c>
    </row>
    <row r="6" customFormat="false" ht="15" hidden="false" customHeight="false" outlineLevel="0" collapsed="false">
      <c r="A6" s="48"/>
      <c r="C6" s="50" t="s">
        <v>1168</v>
      </c>
      <c r="D6" s="50" t="s">
        <v>1169</v>
      </c>
      <c r="E6" s="50" t="s">
        <v>1170</v>
      </c>
      <c r="F6" s="50" t="s">
        <v>1171</v>
      </c>
      <c r="G6" s="50" t="s">
        <v>1172</v>
      </c>
      <c r="H6" s="50" t="s">
        <v>1173</v>
      </c>
      <c r="I6" s="50" t="s">
        <v>1174</v>
      </c>
      <c r="J6" s="50" t="s">
        <v>697</v>
      </c>
      <c r="K6" s="50" t="s">
        <v>698</v>
      </c>
      <c r="L6" s="50" t="s">
        <v>700</v>
      </c>
      <c r="M6" s="50" t="s">
        <v>703</v>
      </c>
      <c r="N6" s="50" t="s">
        <v>706</v>
      </c>
      <c r="O6" s="50" t="s">
        <v>707</v>
      </c>
      <c r="P6" s="50" t="s">
        <v>708</v>
      </c>
      <c r="Q6" s="50" t="s">
        <v>709</v>
      </c>
      <c r="R6" s="50" t="s">
        <v>710</v>
      </c>
      <c r="S6" s="50" t="s">
        <v>711</v>
      </c>
      <c r="T6" s="50" t="s">
        <v>716</v>
      </c>
      <c r="U6" s="50" t="s">
        <v>719</v>
      </c>
      <c r="V6" s="50" t="s">
        <v>1175</v>
      </c>
      <c r="W6" s="50" t="s">
        <v>1220</v>
      </c>
      <c r="X6" s="50" t="s">
        <v>1221</v>
      </c>
      <c r="Y6" s="50" t="s">
        <v>1108</v>
      </c>
      <c r="Z6" s="50" t="s">
        <v>1109</v>
      </c>
      <c r="AA6" s="50" t="s">
        <v>1638</v>
      </c>
      <c r="AB6" s="50" t="s">
        <v>1639</v>
      </c>
      <c r="AC6" s="50" t="s">
        <v>1640</v>
      </c>
      <c r="AD6" s="50" t="s">
        <v>1641</v>
      </c>
      <c r="AE6" s="50" t="s">
        <v>1642</v>
      </c>
      <c r="AF6" s="50" t="s">
        <v>1643</v>
      </c>
      <c r="AG6" s="50" t="s">
        <v>1644</v>
      </c>
      <c r="AH6" s="50" t="s">
        <v>1645</v>
      </c>
      <c r="AI6" s="50" t="s">
        <v>1646</v>
      </c>
      <c r="AJ6" s="50" t="s">
        <v>1647</v>
      </c>
      <c r="AK6" s="50" t="s">
        <v>1648</v>
      </c>
      <c r="AL6" s="50" t="s">
        <v>1649</v>
      </c>
      <c r="AM6" s="50" t="s">
        <v>1650</v>
      </c>
    </row>
    <row r="7" customFormat="false" ht="15" hidden="false" customHeight="false" outlineLevel="0" collapsed="false">
      <c r="A7" s="51"/>
      <c r="J7" s="53"/>
      <c r="K7" s="53"/>
      <c r="L7" s="53"/>
      <c r="M7" s="53"/>
      <c r="N7" s="53"/>
      <c r="O7" s="53"/>
      <c r="P7" s="53"/>
      <c r="Q7" s="53"/>
      <c r="R7" s="53"/>
      <c r="S7" s="53"/>
      <c r="T7" s="53"/>
      <c r="U7" s="53"/>
      <c r="V7" s="75" t="n">
        <f aca="false">SUM(vmmc_circ_T[[#This Row],[A_vmmc_circ_1519_m]:[A_vmmc_circ_2529_m]])</f>
        <v>0</v>
      </c>
      <c r="W7" s="75" t="n">
        <f aca="false">SUM(vmmc_circ_T[[#This Row],[A_vmmc_circ_u02mo_m]:[A_vmmc_circ_o50_m]])</f>
        <v>0</v>
      </c>
      <c r="X7" s="75" t="n">
        <f aca="false">SUM(vmmc_circ_T[[#This Row],[A_vmmc_circ_device_m]:[A_vmmc_circ_surg_m]])</f>
        <v>0</v>
      </c>
      <c r="Y7" s="49"/>
      <c r="Z7" s="49"/>
      <c r="AA7" s="49"/>
      <c r="AB7" s="49" t="n">
        <f aca="false">vmmc_circ_T[[D_vmmc_circ_1529_fy19]:[D_vmmc_circ_1529_fy19]]*vmmc_circ_T[A_vmmc_circ_1519_m]</f>
        <v>0</v>
      </c>
      <c r="AC7" s="49" t="n">
        <f aca="false">vmmc_circ_T[[D_vmmc_circ_1529_fy19]:[D_vmmc_circ_1529_fy19]]*vmmc_circ_T[A_vmmc_circ_2024_m]</f>
        <v>0</v>
      </c>
      <c r="AD7" s="49" t="n">
        <f aca="false">vmmc_circ_T[[D_vmmc_circ_1529_fy19]:[D_vmmc_circ_1529_fy19]]*vmmc_circ_T[A_vmmc_circ_2529_m]</f>
        <v>0</v>
      </c>
      <c r="AE7" s="49" t="n">
        <f aca="false">vmmc_circ_T[[D_vmmc_circ_othage_fy19]:[D_vmmc_circ_othage_fy19]]*vmmc_circ_T[A_vmmc_circ_u02mo_m]</f>
        <v>0</v>
      </c>
      <c r="AF7" s="49" t="n">
        <f aca="false">vmmc_circ_T[[D_vmmc_circ_othage_fy19]:[D_vmmc_circ_othage_fy19]]*vmmc_circ_T[A_vmmc_circ_02mo9_m]</f>
        <v>0</v>
      </c>
      <c r="AG7" s="49" t="n">
        <f aca="false">vmmc_circ_T[[D_vmmc_circ_othage_fy19]:[D_vmmc_circ_othage_fy19]]*vmmc_circ_T[A_vmmc_circ_1014_m]</f>
        <v>0</v>
      </c>
      <c r="AH7" s="49" t="n">
        <f aca="false">vmmc_circ_T[[D_vmmc_circ_othage_fy19]:[D_vmmc_circ_othage_fy19]]*vmmc_circ_T[A_vmmc_circ_3034_m]</f>
        <v>0</v>
      </c>
      <c r="AI7" s="49" t="n">
        <f aca="false">vmmc_circ_T[[D_vmmc_circ_othage_fy19]:[D_vmmc_circ_othage_fy19]]*vmmc_circ_T[A_vmmc_circ_3539_m]</f>
        <v>0</v>
      </c>
      <c r="AJ7" s="49" t="n">
        <f aca="false">vmmc_circ_T[[D_vmmc_circ_othage_fy19]:[D_vmmc_circ_othage_fy19]]*vmmc_circ_T[A_vmmc_circ_4049_m]</f>
        <v>0</v>
      </c>
      <c r="AK7" s="49" t="n">
        <f aca="false">vmmc_circ_T[[D_vmmc_circ_othage_fy19]:[D_vmmc_circ_othage_fy19]]*vmmc_circ_T[A_vmmc_circ_o50_m]</f>
        <v>0</v>
      </c>
      <c r="AL7" s="49" t="n">
        <f aca="false">vmmc_circ_T[[D_vmmc_circ_fy19]:[D_vmmc_circ_fy19]]*vmmc_circ_T[A_vmmc_circ_device_m]</f>
        <v>0</v>
      </c>
      <c r="AM7" s="49" t="n">
        <f aca="false">vmmc_circ_T[[D_vmmc_circ_fy19]:[D_vmmc_circ_fy19]]*vmmc_circ_T[A_vmmc_circ_surg_m]</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D8" s="8"/>
      <c r="AE8" s="8"/>
      <c r="AF8" s="8"/>
      <c r="AG8" s="8"/>
      <c r="AI8" s="8"/>
      <c r="AJ8" s="8"/>
      <c r="AL8" s="8"/>
      <c r="AM8" s="8"/>
      <c r="AN8" s="8"/>
      <c r="AO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D9" s="8"/>
      <c r="AE9" s="8"/>
      <c r="AF9" s="8"/>
      <c r="AG9" s="8"/>
      <c r="AI9" s="8"/>
      <c r="AJ9" s="8"/>
      <c r="AL9" s="8"/>
      <c r="AM9" s="8"/>
      <c r="AN9" s="8"/>
      <c r="AO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D10" s="8"/>
      <c r="AE10" s="8"/>
      <c r="AF10" s="8"/>
      <c r="AG10" s="8"/>
      <c r="AI10" s="8"/>
      <c r="AJ10" s="8"/>
      <c r="AL10" s="8"/>
      <c r="AM10" s="8"/>
      <c r="AN10" s="8"/>
      <c r="AO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AN11" s="8"/>
      <c r="AO11" s="8"/>
    </row>
  </sheetData>
  <mergeCells count="1">
    <mergeCell ref="A1:A2"/>
  </mergeCells>
  <conditionalFormatting sqref="J7:X7">
    <cfRule type="expression" priority="2" aboveAverage="0" equalAverage="0" bottom="0" percent="0" rank="0" text="" dxfId="0">
      <formula>$Y7=0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3.xml><?xml version="1.0" encoding="utf-8"?>
<worksheet xmlns="http://schemas.openxmlformats.org/spreadsheetml/2006/main" xmlns:r="http://schemas.openxmlformats.org/officeDocument/2006/relationships">
  <sheetPr filterMode="false">
    <pageSetUpPr fitToPage="false"/>
  </sheetPr>
  <dimension ref="A1:X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13" activeCellId="0" sqref="C13"/>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19" min="10" style="0" width="11.5708502024291"/>
    <col collapsed="false" hidden="false" max="20" min="20" style="0" width="11.6761133603239"/>
    <col collapsed="false" hidden="false" max="22" min="21" style="0" width="11.5708502024291"/>
    <col collapsed="false" hidden="false" max="1025" min="23" style="0" width="8.57085020242915"/>
  </cols>
  <sheetData>
    <row r="1" s="33" customFormat="true" ht="23.25" hidden="false" customHeight="true" outlineLevel="0" collapsed="false">
      <c r="A1" s="34" t="s">
        <v>1651</v>
      </c>
      <c r="C1" s="35" t="s">
        <v>808</v>
      </c>
      <c r="D1" s="35"/>
      <c r="J1" s="37" t="s">
        <v>1652</v>
      </c>
      <c r="K1" s="55"/>
      <c r="L1" s="55"/>
      <c r="M1" s="55"/>
      <c r="N1" s="55"/>
      <c r="O1" s="55"/>
      <c r="P1" s="55"/>
      <c r="Q1" s="55"/>
      <c r="R1" s="37" t="s">
        <v>908</v>
      </c>
      <c r="S1" s="55"/>
      <c r="T1" s="37" t="s">
        <v>887</v>
      </c>
      <c r="U1" s="37" t="s">
        <v>821</v>
      </c>
      <c r="V1" s="37"/>
      <c r="W1" s="37" t="s">
        <v>333</v>
      </c>
      <c r="X1" s="55"/>
    </row>
    <row r="2" s="35" customFormat="true" ht="15" hidden="false" customHeight="false" outlineLevel="0" collapsed="false">
      <c r="A2" s="34"/>
      <c r="B2" s="35" t="s">
        <v>808</v>
      </c>
      <c r="C2" s="35" t="s">
        <v>808</v>
      </c>
      <c r="E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row>
    <row r="3" s="4" customFormat="true" ht="15" hidden="false" customHeight="false" outlineLevel="0" collapsed="false">
      <c r="A3" s="38"/>
      <c r="C3" s="35" t="s">
        <v>808</v>
      </c>
      <c r="D3" s="35"/>
      <c r="E3" s="39"/>
      <c r="F3" s="39"/>
      <c r="G3" s="39"/>
      <c r="H3" s="40"/>
      <c r="I3" s="40"/>
      <c r="J3" s="62" t="s">
        <v>468</v>
      </c>
      <c r="K3" s="63"/>
      <c r="L3" s="63"/>
      <c r="M3" s="63"/>
      <c r="N3" s="63"/>
      <c r="O3" s="63"/>
      <c r="P3" s="63"/>
      <c r="Q3" s="63"/>
      <c r="R3" s="62" t="s">
        <v>1653</v>
      </c>
      <c r="S3" s="65"/>
      <c r="T3" s="64"/>
      <c r="U3" s="62" t="s">
        <v>1654</v>
      </c>
      <c r="V3" s="65"/>
      <c r="W3" s="62" t="s">
        <v>337</v>
      </c>
      <c r="X3" s="65"/>
    </row>
    <row r="4" s="33" customFormat="true" ht="135.75" hidden="false" customHeight="true" outlineLevel="0" collapsed="false">
      <c r="A4" s="38"/>
      <c r="C4" s="44" t="s">
        <v>910</v>
      </c>
      <c r="D4" s="44" t="s">
        <v>1164</v>
      </c>
      <c r="E4" s="44" t="s">
        <v>911</v>
      </c>
      <c r="F4" s="44" t="s">
        <v>912</v>
      </c>
      <c r="G4" s="44" t="s">
        <v>1165</v>
      </c>
      <c r="H4" s="44" t="s">
        <v>913</v>
      </c>
      <c r="I4" s="44" t="s">
        <v>1166</v>
      </c>
      <c r="J4" s="70" t="s">
        <v>1655</v>
      </c>
      <c r="K4" s="71" t="s">
        <v>467</v>
      </c>
      <c r="L4" s="71" t="s">
        <v>1656</v>
      </c>
      <c r="M4" s="71" t="s">
        <v>1657</v>
      </c>
      <c r="N4" s="71" t="s">
        <v>1658</v>
      </c>
      <c r="O4" s="71" t="s">
        <v>597</v>
      </c>
      <c r="P4" s="71" t="s">
        <v>1659</v>
      </c>
      <c r="Q4" s="71" t="s">
        <v>1660</v>
      </c>
      <c r="R4" s="70" t="s">
        <v>13</v>
      </c>
      <c r="S4" s="73" t="s">
        <v>23</v>
      </c>
      <c r="T4" s="72" t="s">
        <v>1661</v>
      </c>
      <c r="U4" s="70" t="s">
        <v>1662</v>
      </c>
      <c r="V4" s="73" t="s">
        <v>1663</v>
      </c>
      <c r="W4" s="103" t="s">
        <v>1664</v>
      </c>
      <c r="X4" s="73" t="s">
        <v>343</v>
      </c>
    </row>
    <row r="5" customFormat="false" ht="15" hidden="false" customHeight="false" outlineLevel="0" collapsed="false">
      <c r="A5" s="48"/>
      <c r="C5" s="33" t="s">
        <v>1140</v>
      </c>
      <c r="D5" s="0"/>
      <c r="E5" s="0"/>
      <c r="F5" s="0"/>
      <c r="G5" s="0"/>
      <c r="H5" s="0"/>
      <c r="I5" s="0"/>
      <c r="J5" s="74" t="n">
        <f aca="false">SUBTOTAL(109,oth_T[kp_prev_f_pwid])</f>
        <v>0</v>
      </c>
      <c r="K5" s="74" t="n">
        <f aca="false">SUBTOTAL(109,oth_T[kp_prev_fsw])</f>
        <v>0</v>
      </c>
      <c r="L5" s="74" t="n">
        <f aca="false">SUBTOTAL(109,oth_T[kp_prev_m_pwid])</f>
        <v>0</v>
      </c>
      <c r="M5" s="74" t="n">
        <f aca="false">SUBTOTAL(109,oth_T[kp_prev_msm_notsw])</f>
        <v>0</v>
      </c>
      <c r="N5" s="74" t="n">
        <f aca="false">SUBTOTAL(109,oth_T[kp_prev_msm_sw])</f>
        <v>0</v>
      </c>
      <c r="O5" s="74" t="n">
        <f aca="false">SUBTOTAL(109,oth_T[kp_prev_prison])</f>
        <v>0</v>
      </c>
      <c r="P5" s="74" t="n">
        <f aca="false">SUBTOTAL(109,oth_T[kp_prev_tg_notsw])</f>
        <v>0</v>
      </c>
      <c r="Q5" s="74" t="n">
        <f aca="false">SUBTOTAL(109,oth_T[kp_prev_tg_sw])</f>
        <v>0</v>
      </c>
      <c r="R5" s="74" t="n">
        <f aca="false">SUBTOTAL(109,oth_T[kp_mat_f])</f>
        <v>0</v>
      </c>
      <c r="S5" s="74" t="n">
        <f aca="false">SUBTOTAL(109,oth_T[kp_mat_m])</f>
        <v>0</v>
      </c>
      <c r="T5" s="74" t="n">
        <f aca="false">SUBTOTAL(109,oth_T[ovc_hivstat])</f>
        <v>0</v>
      </c>
      <c r="U5" s="74" t="n">
        <f aca="false">SUBTOTAL(109,oth_T[D_pmtct_art_already_fy19])</f>
        <v>0</v>
      </c>
      <c r="V5" s="74" t="n">
        <f aca="false">SUBTOTAL(109,oth_T[D_pmtct_art_new_fy19])</f>
        <v>0</v>
      </c>
      <c r="W5" s="74" t="n">
        <f aca="false">SUBTOTAL(109,oth_T[D_pmtct_eid_u2mo_fy19 ])</f>
        <v>0</v>
      </c>
      <c r="X5" s="74" t="n">
        <f aca="false">SUBTOTAL(109,oth_T[D_pmtct_eid_o2mo_fy19])</f>
        <v>0</v>
      </c>
    </row>
    <row r="6" customFormat="false" ht="15" hidden="false" customHeight="false" outlineLevel="0" collapsed="false">
      <c r="A6" s="48"/>
      <c r="C6" s="50" t="s">
        <v>1168</v>
      </c>
      <c r="D6" s="50" t="s">
        <v>1169</v>
      </c>
      <c r="E6" s="50" t="s">
        <v>1170</v>
      </c>
      <c r="F6" s="50" t="s">
        <v>1171</v>
      </c>
      <c r="G6" s="50" t="s">
        <v>1172</v>
      </c>
      <c r="H6" s="50" t="s">
        <v>1173</v>
      </c>
      <c r="I6" s="50" t="s">
        <v>1174</v>
      </c>
      <c r="J6" s="50" t="s">
        <v>1154</v>
      </c>
      <c r="K6" s="50" t="s">
        <v>1152</v>
      </c>
      <c r="L6" s="50" t="s">
        <v>1153</v>
      </c>
      <c r="M6" s="50" t="s">
        <v>1149</v>
      </c>
      <c r="N6" s="50" t="s">
        <v>1148</v>
      </c>
      <c r="O6" s="50" t="s">
        <v>1155</v>
      </c>
      <c r="P6" s="50" t="s">
        <v>1151</v>
      </c>
      <c r="Q6" s="50" t="s">
        <v>1150</v>
      </c>
      <c r="R6" s="50" t="s">
        <v>1665</v>
      </c>
      <c r="S6" s="50" t="s">
        <v>1666</v>
      </c>
      <c r="T6" s="50" t="s">
        <v>1147</v>
      </c>
      <c r="U6" s="50" t="s">
        <v>1043</v>
      </c>
      <c r="V6" s="50" t="s">
        <v>1042</v>
      </c>
      <c r="W6" s="50" t="s">
        <v>1146</v>
      </c>
      <c r="X6" s="50" t="s">
        <v>1046</v>
      </c>
    </row>
    <row r="7" customFormat="false" ht="15" hidden="false" customHeight="false" outlineLevel="0" collapsed="false">
      <c r="A7" s="51"/>
      <c r="J7" s="49" t="n">
        <f aca="false">IFERROR(INDEX(targets[#data],MATCH(oth_T[[#This Row],[psnu_type]]&amp;" "&amp;oth_T[[#This Row],[mechid]],targets[psnu_type_mechid],0),MATCH(J$6,targets[#headers],0)),0)</f>
        <v>0</v>
      </c>
      <c r="K7" s="49" t="n">
        <f aca="false">IFERROR(INDEX(targets[#data],MATCH(oth_T[[#This Row],[psnu_type]]&amp;" "&amp;oth_T[[#This Row],[mechid]],targets[psnu_type_mechid],0),MATCH(K$6,targets[#headers],0)),0)</f>
        <v>0</v>
      </c>
      <c r="L7" s="49" t="n">
        <f aca="false">IFERROR(INDEX(targets[#data],MATCH(oth_T[[#This Row],[psnu_type]]&amp;" "&amp;oth_T[[#This Row],[mechid]],targets[psnu_type_mechid],0),MATCH(L$6,targets[#headers],0)),0)</f>
        <v>0</v>
      </c>
      <c r="M7" s="49" t="n">
        <f aca="false">IFERROR(INDEX(targets[#data],MATCH(oth_T[[#This Row],[psnu_type]]&amp;" "&amp;oth_T[[#This Row],[mechid]],targets[psnu_type_mechid],0),MATCH(M$6,targets[#headers],0)),0)</f>
        <v>0</v>
      </c>
      <c r="N7" s="49" t="n">
        <f aca="false">IFERROR(INDEX(targets[#data],MATCH(oth_T[[#This Row],[psnu_type]]&amp;" "&amp;oth_T[[#This Row],[mechid]],targets[psnu_type_mechid],0),MATCH(N$6,targets[#headers],0)),0)</f>
        <v>0</v>
      </c>
      <c r="O7" s="49" t="n">
        <f aca="false">IFERROR(INDEX(targets[#data],MATCH(oth_T[[#This Row],[psnu_type]]&amp;" "&amp;oth_T[[#This Row],[mechid]],targets[psnu_type_mechid],0),MATCH(O$6,targets[#headers],0)),0)</f>
        <v>0</v>
      </c>
      <c r="P7" s="49" t="n">
        <f aca="false">IFERROR(INDEX(targets[#data],MATCH(oth_T[[#This Row],[psnu_type]]&amp;" "&amp;oth_T[[#This Row],[mechid]],targets[psnu_type_mechid],0),MATCH(P$6,targets[#headers],0)),0)</f>
        <v>0</v>
      </c>
      <c r="Q7" s="49" t="n">
        <f aca="false">IFERROR(INDEX(targets[#data],MATCH(oth_T[[#This Row],[psnu_type]]&amp;" "&amp;oth_T[[#This Row],[mechid]],targets[psnu_type_mechid],0),MATCH(Q$6,targets[#headers],0)),0)</f>
        <v>0</v>
      </c>
      <c r="R7" s="49" t="n">
        <f aca="false">IFERROR(INDEX(targets[#data],MATCH(oth_T[[#This Row],[psnu_type]]&amp;" "&amp;oth_T[[#This Row],[mechid]],targets[psnu_type_mechid],0),MATCH(R$6,targets[#headers],0)),0)</f>
        <v>0</v>
      </c>
      <c r="S7" s="49" t="n">
        <f aca="false">IFERROR(INDEX(targets[#data],MATCH(oth_T[[#This Row],[psnu_type]]&amp;" "&amp;oth_T[[#This Row],[mechid]],targets[psnu_type_mechid],0),MATCH(S$6,targets[#headers],0)),0)</f>
        <v>0</v>
      </c>
      <c r="T7" s="49" t="n">
        <f aca="false">IFERROR(INDEX(targets[#data],MATCH(oth_T[[#This Row],[psnu_type]]&amp;" "&amp;oth_T[[#This Row],[mechid]],targets[psnu_type_mechid],0),MATCH(T$6,targets[#headers],0)),0)</f>
        <v>0</v>
      </c>
      <c r="U7" s="49" t="n">
        <f aca="false">IFERROR(INDEX(targets[#data],MATCH(oth_T[[#This Row],[psnu_type]]&amp;" "&amp;oth_T[[#This Row],[mechid]],targets[psnu_type_mechid],0),MATCH(U$6,targets[#headers],0)),0)</f>
        <v>0</v>
      </c>
      <c r="V7" s="49" t="n">
        <f aca="false">IFERROR(INDEX(targets[#data],MATCH(oth_T[[#This Row],[psnu_type]]&amp;" "&amp;oth_T[[#This Row],[mechid]],targets[psnu_type_mechid],0),MATCH(V$6,targets[#headers],0)),0)</f>
        <v>0</v>
      </c>
      <c r="W7" s="49" t="n">
        <f aca="false">IFERROR(INDEX(targets[#data],MATCH(oth_T[[#This Row],[psnu_type]]&amp;" "&amp;oth_T[[#This Row],[mechid]],targets[psnu_type_mechid],0),MATCH(W$6,targets[#headers],0)),0)</f>
        <v>0</v>
      </c>
      <c r="X7" s="49" t="n">
        <f aca="false">IFERROR(INDEX(targets[#data],MATCH(oth_T[[#This Row],[psnu_type]]&amp;" "&amp;oth_T[[#This Row],[mechid]],targets[psnu_type_mechid],0),MATCH(X$6,targets[#headers],0)),0)</f>
        <v>0</v>
      </c>
    </row>
    <row r="8" customFormat="false" ht="15" hidden="false" customHeight="false" outlineLevel="0" collapsed="false">
      <c r="A8" s="76"/>
      <c r="C8" s="8"/>
      <c r="D8" s="8"/>
      <c r="E8" s="8"/>
      <c r="F8" s="8"/>
      <c r="G8" s="8"/>
      <c r="H8" s="8"/>
      <c r="I8" s="8"/>
      <c r="J8" s="8"/>
      <c r="K8" s="8"/>
      <c r="L8" s="8"/>
      <c r="M8" s="8"/>
      <c r="N8" s="8"/>
      <c r="O8" s="8"/>
      <c r="P8" s="8"/>
      <c r="Q8" s="8"/>
      <c r="R8" s="8"/>
      <c r="S8" s="8"/>
    </row>
    <row r="9" customFormat="false" ht="15" hidden="false" customHeight="false" outlineLevel="0" collapsed="false">
      <c r="A9" s="76"/>
      <c r="C9" s="8"/>
      <c r="D9" s="8"/>
      <c r="E9" s="8"/>
      <c r="F9" s="8"/>
      <c r="G9" s="8"/>
      <c r="H9" s="8"/>
      <c r="I9" s="8"/>
      <c r="J9" s="8"/>
      <c r="K9" s="8"/>
      <c r="L9" s="8"/>
      <c r="M9" s="8"/>
      <c r="N9" s="8"/>
      <c r="O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row>
  </sheetData>
  <mergeCells count="1">
    <mergeCell ref="A1: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 min="1" style="0" width="13.3886639676113"/>
    <col collapsed="false" hidden="false" max="2" min="2" style="0" width="2.89068825910931"/>
    <col collapsed="false" hidden="false" max="4" min="3" style="33" width="22.3886639676113"/>
    <col collapsed="false" hidden="false" max="5" min="5" style="33" width="13.0688259109312"/>
    <col collapsed="false" hidden="false" max="6" min="6" style="0" width="11.5708502024291"/>
    <col collapsed="false" hidden="false" max="1025" min="7" style="0" width="9.10526315789474"/>
  </cols>
  <sheetData>
    <row r="1" s="33" customFormat="true" ht="23.25" hidden="false" customHeight="true" outlineLevel="0" collapsed="false">
      <c r="A1" s="34" t="s">
        <v>1667</v>
      </c>
      <c r="C1" s="35" t="s">
        <v>808</v>
      </c>
      <c r="D1" s="35"/>
      <c r="E1" s="37" t="s">
        <v>1668</v>
      </c>
      <c r="F1" s="55"/>
    </row>
    <row r="2" s="35" customFormat="true" ht="15" hidden="false" customHeight="false" outlineLevel="0" collapsed="false">
      <c r="A2" s="34"/>
      <c r="B2" s="35" t="s">
        <v>808</v>
      </c>
      <c r="C2" s="35" t="s">
        <v>808</v>
      </c>
      <c r="F2" s="35" t="s">
        <v>808</v>
      </c>
    </row>
    <row r="3" s="4" customFormat="true" ht="15" hidden="false" customHeight="false" outlineLevel="0" collapsed="false">
      <c r="A3" s="38"/>
      <c r="C3" s="35" t="s">
        <v>808</v>
      </c>
      <c r="D3" s="35"/>
      <c r="E3" s="57"/>
      <c r="F3" s="79"/>
    </row>
    <row r="4" s="33" customFormat="true" ht="135.75" hidden="false" customHeight="true" outlineLevel="0" collapsed="false">
      <c r="A4" s="38"/>
      <c r="C4" s="44" t="s">
        <v>910</v>
      </c>
      <c r="D4" s="44" t="s">
        <v>1164</v>
      </c>
      <c r="E4" s="66" t="s">
        <v>1669</v>
      </c>
      <c r="F4" s="85" t="s">
        <v>1670</v>
      </c>
    </row>
    <row r="5" customFormat="false" ht="15" hidden="false" customHeight="false" outlineLevel="0" collapsed="false">
      <c r="A5" s="48"/>
      <c r="C5" s="33" t="s">
        <v>1140</v>
      </c>
      <c r="D5" s="0"/>
      <c r="E5" s="0"/>
      <c r="F5" s="74" t="n">
        <f aca="false">SUBTOTAL(109,impatt[plhiv_fy19])</f>
        <v>0</v>
      </c>
    </row>
    <row r="6" customFormat="false" ht="15" hidden="false" customHeight="false" outlineLevel="0" collapsed="false">
      <c r="A6" s="48"/>
      <c r="C6" s="50" t="s">
        <v>1168</v>
      </c>
      <c r="D6" s="50" t="s">
        <v>1169</v>
      </c>
      <c r="E6" s="50" t="s">
        <v>1671</v>
      </c>
      <c r="F6" s="50" t="s">
        <v>1672</v>
      </c>
    </row>
  </sheetData>
  <mergeCells count="1">
    <mergeCell ref="A1: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false" showRowColHeaders="true" showZeros="true" rightToLeft="false" tabSelected="true" showOutlineSymbols="true" defaultGridColor="true" view="normal" topLeftCell="A1" colorId="64" zoomScale="85" zoomScaleNormal="85" zoomScalePageLayoutView="100" workbookViewId="0">
      <selection pane="topLeft" activeCell="E5" activeCellId="0" sqref="E5"/>
    </sheetView>
  </sheetViews>
  <sheetFormatPr defaultRowHeight="15"/>
  <cols>
    <col collapsed="false" hidden="false" max="1" min="1" style="0" width="13.3886639676113"/>
    <col collapsed="false" hidden="false" max="2" min="2" style="0" width="2.89068825910931"/>
    <col collapsed="false" hidden="false" max="4" min="3" style="33" width="22.3886639676113"/>
    <col collapsed="false" hidden="false" max="5" min="5" style="33" width="44.0242914979757"/>
    <col collapsed="false" hidden="false" max="7" min="6" style="0" width="11.5708502024291"/>
    <col collapsed="false" hidden="false" max="1025" min="8" style="0" width="8.57085020242915"/>
  </cols>
  <sheetData>
    <row r="1" s="33" customFormat="true" ht="23.25" hidden="false" customHeight="false" outlineLevel="0" collapsed="false">
      <c r="A1" s="34"/>
      <c r="C1" s="37" t="s">
        <v>1673</v>
      </c>
      <c r="D1" s="37"/>
      <c r="E1" s="55"/>
    </row>
    <row r="2" s="35" customFormat="true" ht="15" hidden="false" customHeight="false" outlineLevel="0" collapsed="false">
      <c r="A2" s="34"/>
      <c r="B2" s="35" t="s">
        <v>808</v>
      </c>
      <c r="C2" s="35" t="s">
        <v>808</v>
      </c>
      <c r="D2" s="35" t="s">
        <v>808</v>
      </c>
      <c r="E2" s="35" t="s">
        <v>808</v>
      </c>
    </row>
    <row r="3" s="4" customFormat="true" ht="15" hidden="false" customHeight="false" outlineLevel="0" collapsed="false">
      <c r="A3" s="38"/>
      <c r="C3" s="57" t="s">
        <v>1674</v>
      </c>
      <c r="D3" s="79"/>
      <c r="E3" s="59"/>
    </row>
    <row r="4" customFormat="false" ht="27.75" hidden="false" customHeight="true" outlineLevel="0" collapsed="false">
      <c r="A4" s="48"/>
      <c r="C4" s="104" t="s">
        <v>1675</v>
      </c>
      <c r="D4" s="105" t="s">
        <v>1676</v>
      </c>
      <c r="E4" s="106" t="s">
        <v>1677</v>
      </c>
    </row>
    <row r="5" customFormat="false" ht="13.8" hidden="false" customHeight="false" outlineLevel="0" collapsed="false">
      <c r="A5" s="51"/>
      <c r="C5" s="107"/>
      <c r="D5" s="107"/>
      <c r="E5" s="108"/>
    </row>
  </sheetData>
  <mergeCells count="1">
    <mergeCell ref="A1: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sheetPr filterMode="false">
    <tabColor rgb="FFB1A089"/>
    <pageSetUpPr fitToPage="false"/>
  </sheetPr>
  <dimension ref="A1:K17"/>
  <sheetViews>
    <sheetView windowProtection="true"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K2" activeCellId="0" sqref="K2"/>
    </sheetView>
  </sheetViews>
  <sheetFormatPr defaultRowHeight="15"/>
  <cols>
    <col collapsed="false" hidden="false" max="1" min="1" style="0" width="9.10526315789474"/>
    <col collapsed="false" hidden="false" max="2" min="2" style="0" width="37.919028340081"/>
    <col collapsed="false" hidden="false" max="3" min="3" style="0" width="9.10526315789474"/>
    <col collapsed="false" hidden="false" max="4" min="4" style="1" width="9.10526315789474"/>
    <col collapsed="false" hidden="false" max="8" min="5" style="0" width="9.10526315789474"/>
    <col collapsed="false" hidden="false" max="9" min="9" style="0" width="29.7773279352227"/>
    <col collapsed="false" hidden="false" max="10" min="10" style="0" width="28.4939271255061"/>
    <col collapsed="false" hidden="false" max="11" min="11" style="0" width="37.5991902834008"/>
    <col collapsed="false" hidden="false" max="1025" min="12" style="0" width="9.10526315789474"/>
  </cols>
  <sheetData>
    <row r="1" customFormat="false" ht="15" hidden="false" customHeight="false" outlineLevel="0" collapsed="false">
      <c r="A1" s="2" t="s">
        <v>0</v>
      </c>
      <c r="B1" s="2" t="s">
        <v>1</v>
      </c>
      <c r="C1" s="2" t="s">
        <v>2</v>
      </c>
      <c r="D1" s="3" t="s">
        <v>3</v>
      </c>
      <c r="E1" s="2" t="s">
        <v>4</v>
      </c>
      <c r="F1" s="2" t="s">
        <v>5</v>
      </c>
      <c r="G1" s="2" t="s">
        <v>6</v>
      </c>
      <c r="H1" s="2" t="s">
        <v>7</v>
      </c>
      <c r="I1" s="4" t="s">
        <v>8</v>
      </c>
      <c r="J1" s="4" t="s">
        <v>9</v>
      </c>
      <c r="K1" s="2" t="s">
        <v>10</v>
      </c>
    </row>
    <row r="2" customFormat="false" ht="15" hidden="false" customHeight="false" outlineLevel="0" collapsed="false">
      <c r="A2" s="0" t="s">
        <v>11</v>
      </c>
      <c r="B2" s="1" t="s">
        <v>96</v>
      </c>
      <c r="C2" s="1"/>
      <c r="E2" s="1"/>
      <c r="F2" s="1"/>
      <c r="G2" s="1"/>
      <c r="H2" s="1" t="s">
        <v>16</v>
      </c>
      <c r="I2" s="8" t="s">
        <v>96</v>
      </c>
      <c r="J2" s="8" t="s">
        <v>96</v>
      </c>
      <c r="K2" s="8" t="s">
        <v>97</v>
      </c>
    </row>
    <row r="3" customFormat="false" ht="15" hidden="false" customHeight="false" outlineLevel="0" collapsed="false">
      <c r="A3" s="0" t="s">
        <v>451</v>
      </c>
      <c r="B3" s="0" t="s">
        <v>466</v>
      </c>
      <c r="C3" s="1"/>
      <c r="E3" s="1"/>
      <c r="F3" s="1" t="s">
        <v>467</v>
      </c>
      <c r="G3" s="1"/>
      <c r="H3" s="1" t="s">
        <v>16</v>
      </c>
      <c r="I3" s="0" t="s">
        <v>468</v>
      </c>
      <c r="J3" s="0" t="s">
        <v>467</v>
      </c>
      <c r="K3" s="0" t="s">
        <v>469</v>
      </c>
    </row>
    <row r="4" customFormat="false" ht="15" hidden="false" customHeight="false" outlineLevel="0" collapsed="false">
      <c r="A4" s="0" t="s">
        <v>451</v>
      </c>
      <c r="B4" s="0" t="s">
        <v>466</v>
      </c>
      <c r="C4" s="1"/>
      <c r="E4" s="1"/>
      <c r="F4" s="1" t="s">
        <v>470</v>
      </c>
      <c r="G4" s="1"/>
      <c r="H4" s="1" t="s">
        <v>16</v>
      </c>
      <c r="I4" s="0" t="s">
        <v>468</v>
      </c>
      <c r="J4" s="0" t="s">
        <v>470</v>
      </c>
      <c r="K4" s="0" t="s">
        <v>471</v>
      </c>
    </row>
    <row r="5" customFormat="false" ht="15" hidden="false" customHeight="false" outlineLevel="0" collapsed="false">
      <c r="A5" s="0" t="s">
        <v>451</v>
      </c>
      <c r="B5" s="0" t="s">
        <v>466</v>
      </c>
      <c r="C5" s="1"/>
      <c r="E5" s="1"/>
      <c r="F5" s="1" t="s">
        <v>474</v>
      </c>
      <c r="G5" s="1"/>
      <c r="H5" s="1" t="s">
        <v>16</v>
      </c>
      <c r="I5" s="0" t="s">
        <v>468</v>
      </c>
      <c r="J5" s="0" t="s">
        <v>474</v>
      </c>
      <c r="K5" s="0" t="s">
        <v>475</v>
      </c>
    </row>
    <row r="6" customFormat="false" ht="15" hidden="false" customHeight="false" outlineLevel="0" collapsed="false">
      <c r="A6" s="0" t="s">
        <v>573</v>
      </c>
      <c r="B6" s="1" t="s">
        <v>468</v>
      </c>
      <c r="C6" s="1"/>
      <c r="E6" s="1"/>
      <c r="F6" s="1" t="s">
        <v>467</v>
      </c>
      <c r="G6" s="1"/>
      <c r="H6" s="1" t="s">
        <v>16</v>
      </c>
      <c r="I6" s="0" t="s">
        <v>592</v>
      </c>
      <c r="J6" s="0" t="s">
        <v>593</v>
      </c>
      <c r="K6" s="0" t="s">
        <v>594</v>
      </c>
    </row>
    <row r="7" customFormat="false" ht="15" hidden="false" customHeight="false" outlineLevel="0" collapsed="false">
      <c r="A7" s="0" t="s">
        <v>573</v>
      </c>
      <c r="B7" s="1" t="s">
        <v>468</v>
      </c>
      <c r="C7" s="1"/>
      <c r="E7" s="1"/>
      <c r="F7" s="1" t="s">
        <v>470</v>
      </c>
      <c r="G7" s="1"/>
      <c r="H7" s="1" t="s">
        <v>16</v>
      </c>
      <c r="I7" s="0" t="s">
        <v>592</v>
      </c>
      <c r="J7" s="0" t="s">
        <v>595</v>
      </c>
      <c r="K7" s="0" t="s">
        <v>596</v>
      </c>
    </row>
    <row r="8" customFormat="false" ht="15" hidden="false" customHeight="false" outlineLevel="0" collapsed="false">
      <c r="A8" s="0" t="s">
        <v>573</v>
      </c>
      <c r="B8" s="1" t="s">
        <v>468</v>
      </c>
      <c r="C8" s="1"/>
      <c r="E8" s="1"/>
      <c r="F8" s="1" t="s">
        <v>597</v>
      </c>
      <c r="G8" s="1"/>
      <c r="H8" s="1" t="s">
        <v>16</v>
      </c>
      <c r="I8" s="0" t="s">
        <v>592</v>
      </c>
      <c r="J8" s="0" t="s">
        <v>598</v>
      </c>
      <c r="K8" s="0" t="s">
        <v>599</v>
      </c>
    </row>
    <row r="9" customFormat="false" ht="15" hidden="false" customHeight="false" outlineLevel="0" collapsed="false">
      <c r="A9" s="0" t="s">
        <v>573</v>
      </c>
      <c r="B9" s="1" t="s">
        <v>468</v>
      </c>
      <c r="C9" s="1"/>
      <c r="E9" s="1"/>
      <c r="F9" s="1" t="s">
        <v>600</v>
      </c>
      <c r="G9" s="1"/>
      <c r="H9" s="1" t="s">
        <v>16</v>
      </c>
      <c r="I9" s="0" t="s">
        <v>592</v>
      </c>
      <c r="J9" s="0" t="s">
        <v>601</v>
      </c>
      <c r="K9" s="0" t="s">
        <v>602</v>
      </c>
    </row>
    <row r="10" customFormat="false" ht="15" hidden="false" customHeight="false" outlineLevel="0" collapsed="false">
      <c r="A10" s="0" t="s">
        <v>573</v>
      </c>
      <c r="B10" s="1" t="s">
        <v>468</v>
      </c>
      <c r="C10" s="1"/>
      <c r="E10" s="1"/>
      <c r="F10" s="1" t="s">
        <v>474</v>
      </c>
      <c r="G10" s="1"/>
      <c r="H10" s="1" t="s">
        <v>16</v>
      </c>
      <c r="I10" s="0" t="s">
        <v>592</v>
      </c>
      <c r="J10" s="0" t="s">
        <v>603</v>
      </c>
      <c r="K10" s="0" t="s">
        <v>604</v>
      </c>
    </row>
    <row r="11" customFormat="false" ht="15" hidden="false" customHeight="false" outlineLevel="0" collapsed="false">
      <c r="A11" s="0" t="s">
        <v>573</v>
      </c>
      <c r="B11" s="0" t="s">
        <v>720</v>
      </c>
      <c r="C11" s="1"/>
      <c r="E11" s="1"/>
      <c r="F11" s="1" t="s">
        <v>606</v>
      </c>
      <c r="G11" s="1"/>
      <c r="H11" s="1" t="s">
        <v>16</v>
      </c>
      <c r="I11" s="0" t="s">
        <v>605</v>
      </c>
      <c r="J11" s="0" t="s">
        <v>607</v>
      </c>
      <c r="K11" s="0" t="s">
        <v>608</v>
      </c>
    </row>
    <row r="12" customFormat="false" ht="15" hidden="false" customHeight="false" outlineLevel="0" collapsed="false">
      <c r="A12" s="0" t="s">
        <v>573</v>
      </c>
      <c r="B12" s="0" t="s">
        <v>720</v>
      </c>
      <c r="C12" s="1"/>
      <c r="E12" s="1"/>
      <c r="F12" s="1" t="s">
        <v>609</v>
      </c>
      <c r="G12" s="1"/>
      <c r="H12" s="1" t="s">
        <v>16</v>
      </c>
      <c r="I12" s="0" t="s">
        <v>605</v>
      </c>
      <c r="J12" s="0" t="s">
        <v>610</v>
      </c>
      <c r="K12" s="0" t="s">
        <v>611</v>
      </c>
    </row>
    <row r="13" customFormat="false" ht="15" hidden="false" customHeight="false" outlineLevel="0" collapsed="false">
      <c r="A13" s="0" t="s">
        <v>650</v>
      </c>
      <c r="B13" s="1" t="s">
        <v>720</v>
      </c>
      <c r="C13" s="1"/>
      <c r="E13" s="1"/>
      <c r="F13" s="1" t="s">
        <v>606</v>
      </c>
      <c r="G13" s="1"/>
      <c r="H13" s="1" t="s">
        <v>346</v>
      </c>
      <c r="I13" s="0" t="s">
        <v>657</v>
      </c>
      <c r="J13" s="0" t="s">
        <v>607</v>
      </c>
      <c r="K13" s="0" t="s">
        <v>658</v>
      </c>
    </row>
    <row r="14" customFormat="false" ht="15" hidden="false" customHeight="false" outlineLevel="0" collapsed="false">
      <c r="A14" s="0" t="s">
        <v>650</v>
      </c>
      <c r="B14" s="1" t="s">
        <v>720</v>
      </c>
      <c r="C14" s="1"/>
      <c r="E14" s="1"/>
      <c r="F14" s="1" t="s">
        <v>609</v>
      </c>
      <c r="G14" s="1"/>
      <c r="H14" s="1" t="s">
        <v>346</v>
      </c>
      <c r="I14" s="0" t="s">
        <v>657</v>
      </c>
      <c r="J14" s="0" t="s">
        <v>610</v>
      </c>
      <c r="K14" s="0" t="s">
        <v>659</v>
      </c>
    </row>
    <row r="15" customFormat="false" ht="15" hidden="false" customHeight="false" outlineLevel="0" collapsed="false">
      <c r="A15" s="0" t="s">
        <v>650</v>
      </c>
      <c r="B15" s="1" t="s">
        <v>720</v>
      </c>
      <c r="C15" s="1"/>
      <c r="E15" s="1"/>
      <c r="F15" s="1" t="s">
        <v>606</v>
      </c>
      <c r="G15" s="1"/>
      <c r="H15" s="1" t="s">
        <v>16</v>
      </c>
      <c r="I15" s="0" t="s">
        <v>605</v>
      </c>
      <c r="J15" s="0" t="s">
        <v>607</v>
      </c>
      <c r="K15" s="0" t="s">
        <v>666</v>
      </c>
    </row>
    <row r="16" customFormat="false" ht="15" hidden="false" customHeight="false" outlineLevel="0" collapsed="false">
      <c r="A16" s="0" t="s">
        <v>650</v>
      </c>
      <c r="B16" s="1" t="s">
        <v>720</v>
      </c>
      <c r="C16" s="1"/>
      <c r="E16" s="1"/>
      <c r="F16" s="1" t="s">
        <v>609</v>
      </c>
      <c r="G16" s="1"/>
      <c r="H16" s="1" t="s">
        <v>16</v>
      </c>
      <c r="I16" s="0" t="s">
        <v>605</v>
      </c>
      <c r="J16" s="0" t="s">
        <v>610</v>
      </c>
      <c r="K16" s="0" t="s">
        <v>667</v>
      </c>
    </row>
    <row r="17" customFormat="false" ht="15" hidden="false" customHeight="false" outlineLevel="0" collapsed="false">
      <c r="A17" s="0" t="s">
        <v>668</v>
      </c>
      <c r="B17" s="1" t="s">
        <v>673</v>
      </c>
      <c r="C17" s="1"/>
      <c r="E17" s="1"/>
      <c r="F17" s="1"/>
      <c r="G17" s="1"/>
      <c r="H17" s="1" t="s">
        <v>346</v>
      </c>
      <c r="I17" s="1" t="s">
        <v>673</v>
      </c>
      <c r="J17" s="1" t="s">
        <v>673</v>
      </c>
      <c r="K17" s="1" t="s">
        <v>674</v>
      </c>
    </row>
  </sheetData>
  <autoFilter ref="A1:K17"/>
  <conditionalFormatting sqref="K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1A089"/>
    <pageSetUpPr fitToPage="false"/>
  </sheetPr>
  <dimension ref="B1:F3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5"/>
  <cols>
    <col collapsed="false" hidden="false" max="1" min="1" style="0" width="4.92712550607287"/>
    <col collapsed="false" hidden="false" max="2" min="2" style="0" width="32.0283400809717"/>
    <col collapsed="false" hidden="false" max="3" min="3" style="0" width="3.64372469635628"/>
    <col collapsed="false" hidden="false" max="4" min="4" style="0" width="13.9271255060729"/>
    <col collapsed="false" hidden="false" max="5" min="5" style="0" width="3.64372469635628"/>
    <col collapsed="false" hidden="false" max="6" min="6" style="0" width="30.5303643724696"/>
    <col collapsed="false" hidden="false" max="9" min="7" style="0" width="8.57085020242915"/>
    <col collapsed="false" hidden="false" max="10" min="10" style="0" width="24.9595141700405"/>
    <col collapsed="false" hidden="false" max="11" min="11" style="0" width="16.2834008097166"/>
    <col collapsed="false" hidden="false" max="1025" min="12" style="0" width="8.57085020242915"/>
  </cols>
  <sheetData>
    <row r="1" customFormat="false" ht="15" hidden="false" customHeight="false" outlineLevel="0" collapsed="false">
      <c r="B1" s="15" t="s">
        <v>721</v>
      </c>
      <c r="D1" s="16" t="s">
        <v>722</v>
      </c>
      <c r="F1" s="15" t="s">
        <v>723</v>
      </c>
    </row>
    <row r="2" customFormat="false" ht="15" hidden="false" customHeight="false" outlineLevel="0" collapsed="false">
      <c r="B2" s="17" t="s">
        <v>724</v>
      </c>
      <c r="D2" s="18" t="str">
        <f aca="true">YEAR(NOW())&amp;"."&amp;MONTH(NOW())&amp;"."&amp;DAY(NOW())</f>
        <v>2018.3.15</v>
      </c>
      <c r="F2" s="17" t="s">
        <v>725</v>
      </c>
    </row>
    <row r="3" customFormat="false" ht="15" hidden="false" customHeight="false" outlineLevel="0" collapsed="false">
      <c r="B3" s="17" t="s">
        <v>726</v>
      </c>
      <c r="D3" s="19"/>
      <c r="F3" s="17"/>
    </row>
    <row r="4" customFormat="false" ht="15" hidden="false" customHeight="false" outlineLevel="0" collapsed="false">
      <c r="B4" s="17" t="s">
        <v>727</v>
      </c>
      <c r="D4" s="15" t="s">
        <v>723</v>
      </c>
      <c r="F4" s="17"/>
    </row>
    <row r="5" customFormat="false" ht="15" hidden="false" customHeight="false" outlineLevel="0" collapsed="false">
      <c r="B5" s="17" t="s">
        <v>728</v>
      </c>
      <c r="D5" s="18" t="n">
        <f aca="false">COUNTA(F2:F37)</f>
        <v>1</v>
      </c>
      <c r="F5" s="17"/>
    </row>
    <row r="6" customFormat="false" ht="15" hidden="false" customHeight="false" outlineLevel="0" collapsed="false">
      <c r="B6" s="17" t="s">
        <v>729</v>
      </c>
      <c r="F6" s="17"/>
    </row>
    <row r="7" customFormat="false" ht="15" hidden="false" customHeight="false" outlineLevel="0" collapsed="false">
      <c r="B7" s="17" t="s">
        <v>730</v>
      </c>
      <c r="D7" s="15" t="s">
        <v>731</v>
      </c>
      <c r="F7" s="17"/>
    </row>
    <row r="8" customFormat="false" ht="15" hidden="false" customHeight="false" outlineLevel="0" collapsed="false">
      <c r="B8" s="17" t="s">
        <v>732</v>
      </c>
      <c r="D8" s="20" t="n">
        <v>43150</v>
      </c>
      <c r="F8" s="17"/>
    </row>
    <row r="9" customFormat="false" ht="15" hidden="false" customHeight="false" outlineLevel="0" collapsed="false">
      <c r="B9" s="17" t="s">
        <v>733</v>
      </c>
      <c r="D9" s="21" t="str">
        <f aca="false">"Updated: "&amp;TEXT(D8,"mmmm d")</f>
        <v>Updated: February 19</v>
      </c>
      <c r="F9" s="17"/>
    </row>
    <row r="10" customFormat="false" ht="15" hidden="false" customHeight="false" outlineLevel="0" collapsed="false">
      <c r="B10" s="17" t="s">
        <v>734</v>
      </c>
      <c r="D10" s="22" t="s">
        <v>735</v>
      </c>
      <c r="F10" s="17"/>
    </row>
    <row r="11" customFormat="false" ht="15" hidden="false" customHeight="false" outlineLevel="0" collapsed="false">
      <c r="B11" s="17" t="s">
        <v>736</v>
      </c>
      <c r="D11" s="18" t="s">
        <v>737</v>
      </c>
      <c r="F11" s="17"/>
    </row>
    <row r="12" customFormat="false" ht="15" hidden="false" customHeight="false" outlineLevel="0" collapsed="false">
      <c r="B12" s="17" t="s">
        <v>725</v>
      </c>
      <c r="F12" s="17"/>
    </row>
    <row r="13" customFormat="false" ht="15" hidden="false" customHeight="false" outlineLevel="0" collapsed="false">
      <c r="B13" s="17" t="s">
        <v>738</v>
      </c>
      <c r="D13" s="15" t="s">
        <v>739</v>
      </c>
      <c r="F13" s="17"/>
    </row>
    <row r="14" customFormat="false" ht="15" hidden="false" customHeight="false" outlineLevel="0" collapsed="false">
      <c r="B14" s="17" t="s">
        <v>740</v>
      </c>
      <c r="D14" s="18" t="s">
        <v>741</v>
      </c>
      <c r="F14" s="17"/>
    </row>
    <row r="15" customFormat="false" ht="15" hidden="false" customHeight="false" outlineLevel="0" collapsed="false">
      <c r="B15" s="17" t="s">
        <v>742</v>
      </c>
      <c r="D15" s="23"/>
      <c r="F15" s="17"/>
    </row>
    <row r="16" customFormat="false" ht="15" hidden="false" customHeight="false" outlineLevel="0" collapsed="false">
      <c r="B16" s="17" t="s">
        <v>743</v>
      </c>
      <c r="D16" s="22" t="s">
        <v>744</v>
      </c>
      <c r="F16" s="17"/>
    </row>
    <row r="17" customFormat="false" ht="15" hidden="false" customHeight="false" outlineLevel="0" collapsed="false">
      <c r="B17" s="17" t="s">
        <v>745</v>
      </c>
      <c r="D17" s="24" t="s">
        <v>746</v>
      </c>
      <c r="F17" s="17"/>
    </row>
    <row r="18" customFormat="false" ht="15" hidden="false" customHeight="false" outlineLevel="0" collapsed="false">
      <c r="B18" s="17" t="s">
        <v>747</v>
      </c>
      <c r="D18" s="23"/>
      <c r="F18" s="17"/>
    </row>
    <row r="19" customFormat="false" ht="15" hidden="false" customHeight="false" outlineLevel="0" collapsed="false">
      <c r="B19" s="17" t="s">
        <v>748</v>
      </c>
      <c r="D19" s="25"/>
      <c r="F19" s="17"/>
    </row>
    <row r="20" customFormat="false" ht="15" hidden="false" customHeight="false" outlineLevel="0" collapsed="false">
      <c r="B20" s="17" t="s">
        <v>749</v>
      </c>
      <c r="D20" s="26"/>
      <c r="F20" s="17"/>
    </row>
    <row r="21" customFormat="false" ht="15" hidden="false" customHeight="false" outlineLevel="0" collapsed="false">
      <c r="B21" s="17" t="s">
        <v>750</v>
      </c>
      <c r="F21" s="17"/>
    </row>
    <row r="22" customFormat="false" ht="15" hidden="false" customHeight="false" outlineLevel="0" collapsed="false">
      <c r="B22" s="17" t="s">
        <v>751</v>
      </c>
      <c r="F22" s="17"/>
    </row>
    <row r="23" customFormat="false" ht="15" hidden="false" customHeight="false" outlineLevel="0" collapsed="false">
      <c r="B23" s="17" t="s">
        <v>752</v>
      </c>
      <c r="F23" s="17"/>
    </row>
    <row r="24" customFormat="false" ht="15" hidden="false" customHeight="false" outlineLevel="0" collapsed="false">
      <c r="B24" s="17" t="s">
        <v>753</v>
      </c>
      <c r="F24" s="17"/>
    </row>
    <row r="25" customFormat="false" ht="15" hidden="false" customHeight="false" outlineLevel="0" collapsed="false">
      <c r="B25" s="17"/>
      <c r="F25" s="17"/>
    </row>
    <row r="26" customFormat="false" ht="15" hidden="false" customHeight="false" outlineLevel="0" collapsed="false">
      <c r="B26" s="17"/>
      <c r="F26" s="17"/>
    </row>
    <row r="27" customFormat="false" ht="15" hidden="false" customHeight="false" outlineLevel="0" collapsed="false">
      <c r="B27" s="17"/>
      <c r="F27" s="17"/>
    </row>
    <row r="28" customFormat="false" ht="15" hidden="false" customHeight="false" outlineLevel="0" collapsed="false">
      <c r="B28" s="17"/>
      <c r="F28" s="17"/>
    </row>
    <row r="29" customFormat="false" ht="15" hidden="false" customHeight="false" outlineLevel="0" collapsed="false">
      <c r="B29" s="17"/>
      <c r="F29" s="17"/>
    </row>
    <row r="30" customFormat="false" ht="15" hidden="false" customHeight="false" outlineLevel="0" collapsed="false">
      <c r="B30" s="17"/>
      <c r="F30" s="17"/>
    </row>
    <row r="31" customFormat="false" ht="15" hidden="false" customHeight="false" outlineLevel="0" collapsed="false">
      <c r="B31" s="17"/>
      <c r="F31" s="17"/>
    </row>
    <row r="32" customFormat="false" ht="15" hidden="false" customHeight="false" outlineLevel="0" collapsed="false">
      <c r="B32" s="17"/>
      <c r="F32" s="17"/>
    </row>
    <row r="33" customFormat="false" ht="15" hidden="false" customHeight="false" outlineLevel="0" collapsed="false">
      <c r="B33" s="17"/>
      <c r="F33" s="17"/>
    </row>
    <row r="34" customFormat="false" ht="15" hidden="false" customHeight="false" outlineLevel="0" collapsed="false">
      <c r="B34" s="17"/>
      <c r="F34" s="17"/>
    </row>
    <row r="35" customFormat="false" ht="15" hidden="false" customHeight="false" outlineLevel="0" collapsed="false">
      <c r="B35" s="17"/>
      <c r="F35" s="17"/>
    </row>
    <row r="36" customFormat="false" ht="15" hidden="false" customHeight="false" outlineLevel="0" collapsed="false">
      <c r="B36" s="17"/>
      <c r="F36" s="17"/>
    </row>
    <row r="37" customFormat="false" ht="15" hidden="false" customHeight="false" outlineLevel="0" collapsed="false">
      <c r="B37" s="27"/>
      <c r="F37"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N1:AC36"/>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N1" s="21" t="str">
        <f aca="true">"generated: "&amp;TEXT(NOW(),"mmmm d")</f>
        <v>generated: March 15</v>
      </c>
      <c r="O1" s="21" t="s">
        <v>754</v>
      </c>
      <c r="P1" s="21" t="s">
        <v>755</v>
      </c>
      <c r="X1" s="28"/>
      <c r="Y1" s="29"/>
      <c r="Z1" s="21"/>
      <c r="AB1" s="30" t="s">
        <v>756</v>
      </c>
      <c r="AC1" s="30" t="s">
        <v>757</v>
      </c>
    </row>
    <row r="2" customFormat="false" ht="15" hidden="false" customHeight="false" outlineLevel="0" collapsed="false">
      <c r="N2" s="21" t="str">
        <f aca="false">"Data Sources:  ICPI Fact View FY17Q4v2_1 [PSNU, PSNU by IM]"</f>
        <v>Data Sources:  ICPI Fact View FY17Q4v2_1 [PSNU, PSNU by IM]</v>
      </c>
      <c r="O2" s="21" t="str">
        <f aca="false">UPPER(O1)</f>
        <v>OU</v>
      </c>
      <c r="P2" s="21" t="s">
        <v>758</v>
      </c>
      <c r="X2" s="28"/>
      <c r="Y2" s="29"/>
      <c r="Z2" s="21"/>
      <c r="AB2" s="31" t="s">
        <v>759</v>
      </c>
      <c r="AC2" s="31" t="s">
        <v>760</v>
      </c>
    </row>
    <row r="3" customFormat="false" ht="15" hidden="false" customHeight="false" outlineLevel="0" collapsed="false">
      <c r="O3" s="21" t="s">
        <v>761</v>
      </c>
      <c r="X3" s="28"/>
      <c r="Y3" s="32"/>
      <c r="Z3" s="21"/>
      <c r="AB3" s="31" t="s">
        <v>762</v>
      </c>
      <c r="AC3" s="31" t="s">
        <v>763</v>
      </c>
    </row>
    <row r="4" customFormat="false" ht="15" hidden="false" customHeight="false" outlineLevel="0" collapsed="false">
      <c r="O4" s="21" t="str">
        <f aca="false">IFERROR(INDEX(Home!$AC$2:$AC$36,MATCH(O1,Home!$AB$2:$AB$36,0)),"")</f>
        <v/>
      </c>
      <c r="Z4" s="21"/>
      <c r="AB4" s="31" t="s">
        <v>724</v>
      </c>
      <c r="AC4" s="31" t="s">
        <v>764</v>
      </c>
    </row>
    <row r="5" customFormat="false" ht="15" hidden="false" customHeight="false" outlineLevel="0" collapsed="false">
      <c r="X5" s="21"/>
      <c r="Y5" s="21"/>
      <c r="Z5" s="21"/>
      <c r="AB5" s="31" t="s">
        <v>765</v>
      </c>
      <c r="AC5" s="31" t="s">
        <v>766</v>
      </c>
    </row>
    <row r="6" customFormat="false" ht="15" hidden="false" customHeight="false" outlineLevel="0" collapsed="false">
      <c r="X6" s="21"/>
      <c r="Y6" s="21"/>
      <c r="Z6" s="21"/>
      <c r="AB6" s="31" t="s">
        <v>726</v>
      </c>
      <c r="AC6" s="31" t="s">
        <v>767</v>
      </c>
    </row>
    <row r="7" customFormat="false" ht="15" hidden="false" customHeight="false" outlineLevel="0" collapsed="false">
      <c r="X7" s="21"/>
      <c r="Y7" s="21"/>
      <c r="Z7" s="21"/>
      <c r="AB7" s="31" t="s">
        <v>768</v>
      </c>
      <c r="AC7" s="31" t="s">
        <v>769</v>
      </c>
    </row>
    <row r="8" customFormat="false" ht="15" hidden="false" customHeight="false" outlineLevel="0" collapsed="false">
      <c r="X8" s="21"/>
      <c r="Y8" s="21"/>
      <c r="Z8" s="21"/>
      <c r="AB8" s="31" t="s">
        <v>727</v>
      </c>
      <c r="AC8" s="31" t="s">
        <v>770</v>
      </c>
    </row>
    <row r="9" customFormat="false" ht="15" hidden="false" customHeight="false" outlineLevel="0" collapsed="false">
      <c r="X9" s="21"/>
      <c r="Y9" s="21"/>
      <c r="Z9" s="21"/>
      <c r="AB9" s="31" t="s">
        <v>771</v>
      </c>
      <c r="AC9" s="31" t="s">
        <v>772</v>
      </c>
    </row>
    <row r="10" customFormat="false" ht="15" hidden="false" customHeight="false" outlineLevel="0" collapsed="false">
      <c r="AB10" s="31" t="s">
        <v>773</v>
      </c>
      <c r="AC10" s="31" t="s">
        <v>774</v>
      </c>
    </row>
    <row r="11" customFormat="false" ht="15" hidden="false" customHeight="false" outlineLevel="0" collapsed="false">
      <c r="AB11" s="31" t="s">
        <v>775</v>
      </c>
      <c r="AC11" s="31" t="s">
        <v>776</v>
      </c>
    </row>
    <row r="12" customFormat="false" ht="15" hidden="false" customHeight="false" outlineLevel="0" collapsed="false">
      <c r="AB12" s="31" t="s">
        <v>728</v>
      </c>
      <c r="AC12" s="31" t="s">
        <v>777</v>
      </c>
    </row>
    <row r="13" customFormat="false" ht="15" hidden="false" customHeight="false" outlineLevel="0" collapsed="false">
      <c r="AB13" s="31" t="s">
        <v>729</v>
      </c>
      <c r="AC13" s="31" t="s">
        <v>778</v>
      </c>
    </row>
    <row r="14" customFormat="false" ht="15" hidden="false" customHeight="false" outlineLevel="0" collapsed="false">
      <c r="AB14" s="31" t="s">
        <v>779</v>
      </c>
      <c r="AC14" s="31" t="s">
        <v>780</v>
      </c>
    </row>
    <row r="15" customFormat="false" ht="15" hidden="false" customHeight="false" outlineLevel="0" collapsed="false">
      <c r="AB15" s="31" t="s">
        <v>730</v>
      </c>
      <c r="AC15" s="31" t="s">
        <v>781</v>
      </c>
    </row>
    <row r="16" customFormat="false" ht="15" hidden="false" customHeight="false" outlineLevel="0" collapsed="false">
      <c r="AB16" s="31" t="s">
        <v>782</v>
      </c>
      <c r="AC16" s="31" t="s">
        <v>783</v>
      </c>
    </row>
    <row r="17" customFormat="false" ht="15" hidden="false" customHeight="false" outlineLevel="0" collapsed="false">
      <c r="AB17" s="31" t="s">
        <v>732</v>
      </c>
      <c r="AC17" s="31" t="s">
        <v>784</v>
      </c>
    </row>
    <row r="18" customFormat="false" ht="15" hidden="false" customHeight="false" outlineLevel="0" collapsed="false">
      <c r="AB18" s="31" t="s">
        <v>785</v>
      </c>
      <c r="AC18" s="31" t="s">
        <v>786</v>
      </c>
    </row>
    <row r="19" customFormat="false" ht="15" hidden="false" customHeight="false" outlineLevel="0" collapsed="false">
      <c r="AB19" s="31" t="s">
        <v>787</v>
      </c>
      <c r="AC19" s="31" t="s">
        <v>788</v>
      </c>
    </row>
    <row r="20" customFormat="false" ht="15" hidden="false" customHeight="false" outlineLevel="0" collapsed="false">
      <c r="AB20" s="31" t="s">
        <v>733</v>
      </c>
      <c r="AC20" s="31" t="s">
        <v>789</v>
      </c>
    </row>
    <row r="21" customFormat="false" ht="15" hidden="false" customHeight="false" outlineLevel="0" collapsed="false">
      <c r="AB21" s="31" t="s">
        <v>734</v>
      </c>
      <c r="AC21" s="31" t="s">
        <v>790</v>
      </c>
    </row>
    <row r="22" customFormat="false" ht="15" hidden="false" customHeight="false" outlineLevel="0" collapsed="false">
      <c r="AB22" s="31" t="s">
        <v>736</v>
      </c>
      <c r="AC22" s="31" t="s">
        <v>791</v>
      </c>
    </row>
    <row r="23" customFormat="false" ht="15" hidden="false" customHeight="false" outlineLevel="0" collapsed="false">
      <c r="AB23" s="31" t="s">
        <v>725</v>
      </c>
      <c r="AC23" s="31" t="s">
        <v>792</v>
      </c>
    </row>
    <row r="24" customFormat="false" ht="15" hidden="false" customHeight="false" outlineLevel="0" collapsed="false">
      <c r="AB24" s="31" t="s">
        <v>738</v>
      </c>
      <c r="AC24" s="31" t="s">
        <v>793</v>
      </c>
    </row>
    <row r="25" customFormat="false" ht="15" hidden="false" customHeight="false" outlineLevel="0" collapsed="false">
      <c r="AB25" s="31" t="s">
        <v>740</v>
      </c>
      <c r="AC25" s="31" t="s">
        <v>794</v>
      </c>
    </row>
    <row r="26" customFormat="false" ht="15" hidden="false" customHeight="false" outlineLevel="0" collapsed="false">
      <c r="AB26" s="31" t="s">
        <v>795</v>
      </c>
      <c r="AC26" s="31" t="s">
        <v>796</v>
      </c>
    </row>
    <row r="27" customFormat="false" ht="15" hidden="false" customHeight="false" outlineLevel="0" collapsed="false">
      <c r="AB27" s="31" t="s">
        <v>742</v>
      </c>
      <c r="AC27" s="31" t="s">
        <v>797</v>
      </c>
    </row>
    <row r="28" customFormat="false" ht="15" hidden="false" customHeight="false" outlineLevel="0" collapsed="false">
      <c r="AB28" s="31" t="s">
        <v>743</v>
      </c>
      <c r="AC28" s="31" t="s">
        <v>798</v>
      </c>
    </row>
    <row r="29" customFormat="false" ht="15" hidden="false" customHeight="false" outlineLevel="0" collapsed="false">
      <c r="AB29" s="31" t="s">
        <v>745</v>
      </c>
      <c r="AC29" s="31" t="s">
        <v>799</v>
      </c>
    </row>
    <row r="30" customFormat="false" ht="15" hidden="false" customHeight="false" outlineLevel="0" collapsed="false">
      <c r="AB30" s="31" t="s">
        <v>747</v>
      </c>
      <c r="AC30" s="31" t="s">
        <v>800</v>
      </c>
    </row>
    <row r="31" customFormat="false" ht="15" hidden="false" customHeight="false" outlineLevel="0" collapsed="false">
      <c r="AB31" s="31" t="s">
        <v>748</v>
      </c>
      <c r="AC31" s="31" t="s">
        <v>801</v>
      </c>
    </row>
    <row r="32" customFormat="false" ht="15" hidden="false" customHeight="false" outlineLevel="0" collapsed="false">
      <c r="AB32" s="31" t="s">
        <v>749</v>
      </c>
      <c r="AC32" s="31" t="s">
        <v>802</v>
      </c>
    </row>
    <row r="33" customFormat="false" ht="15" hidden="false" customHeight="false" outlineLevel="0" collapsed="false">
      <c r="AB33" s="31" t="s">
        <v>750</v>
      </c>
      <c r="AC33" s="31" t="s">
        <v>803</v>
      </c>
    </row>
    <row r="34" customFormat="false" ht="15" hidden="false" customHeight="false" outlineLevel="0" collapsed="false">
      <c r="AB34" s="31" t="s">
        <v>751</v>
      </c>
      <c r="AC34" s="31" t="s">
        <v>804</v>
      </c>
    </row>
    <row r="35" customFormat="false" ht="15" hidden="false" customHeight="false" outlineLevel="0" collapsed="false">
      <c r="AB35" s="31" t="s">
        <v>752</v>
      </c>
      <c r="AC35" s="31" t="s">
        <v>805</v>
      </c>
    </row>
    <row r="36" customFormat="false" ht="15" hidden="false" customHeight="false" outlineLevel="0" collapsed="false">
      <c r="AB36" s="31" t="s">
        <v>753</v>
      </c>
      <c r="AC36" s="31" t="s">
        <v>806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HX7"/>
  <sheetViews>
    <sheetView windowProtection="true" showFormulas="false" showGridLines="false" showRowColHeaders="true" showZeros="true" rightToLeft="false" tabSelected="false" showOutlineSymbols="true" defaultGridColor="true" view="normal" topLeftCell="HK1" colorId="64" zoomScale="85" zoomScaleNormal="85" zoomScalePageLayoutView="100" workbookViewId="0">
      <pane xSplit="0" ySplit="4" topLeftCell="CZ5" activePane="bottomLeft" state="frozen"/>
      <selection pane="topLeft" activeCell="HK1" activeCellId="0" sqref="HK1"/>
      <selection pane="bottomLeft" activeCell="HT6" activeCellId="0" sqref="HT6"/>
    </sheetView>
  </sheetViews>
  <sheetFormatPr defaultRowHeight="15"/>
  <cols>
    <col collapsed="false" hidden="false" max="1" min="1" style="0" width="13.3886639676113"/>
    <col collapsed="false" hidden="false" max="2" min="2" style="0" width="13.497975708502"/>
    <col collapsed="false" hidden="false" max="4" min="3" style="33" width="22.3886639676113"/>
    <col collapsed="false" hidden="false" max="5" min="5" style="33" width="10.9271255060729"/>
    <col collapsed="false" hidden="false" max="6" min="6" style="33" width="7.2834008097166"/>
    <col collapsed="false" hidden="false" max="10" min="7" style="0" width="11.5708502024291"/>
    <col collapsed="false" hidden="false" max="12" min="11" style="0" width="12.6396761133603"/>
    <col collapsed="false" hidden="false" max="14" min="13" style="0" width="12.748987854251"/>
    <col collapsed="false" hidden="false" max="15" min="15" style="0" width="12.3198380566802"/>
    <col collapsed="false" hidden="false" max="30" min="16" style="0" width="13.1740890688259"/>
    <col collapsed="false" hidden="false" max="35" min="31" style="0" width="11.5708502024291"/>
    <col collapsed="false" hidden="false" max="50" min="36" style="0" width="13.1740890688259"/>
    <col collapsed="false" hidden="false" max="121" min="51" style="0" width="8.57085020242915"/>
    <col collapsed="false" hidden="false" max="122" min="122" style="0" width="9.10526315789474"/>
    <col collapsed="false" hidden="false" max="123" min="123" style="0" width="8.57085020242915"/>
    <col collapsed="false" hidden="false" max="124" min="124" style="0" width="9.10526315789474"/>
    <col collapsed="false" hidden="false" max="125" min="125" style="0" width="8.57085020242915"/>
    <col collapsed="false" hidden="false" max="126" min="126" style="0" width="9.10526315789474"/>
    <col collapsed="false" hidden="false" max="127" min="127" style="0" width="8.57085020242915"/>
    <col collapsed="false" hidden="false" max="128" min="128" style="0" width="9.10526315789474"/>
    <col collapsed="false" hidden="false" max="1025" min="129" style="0" width="8.57085020242915"/>
  </cols>
  <sheetData>
    <row r="1" s="33" customFormat="true" ht="23.25" hidden="false" customHeight="true" outlineLevel="0" collapsed="false">
      <c r="A1" s="34" t="s">
        <v>807</v>
      </c>
      <c r="C1" s="35" t="s">
        <v>808</v>
      </c>
      <c r="G1" s="36" t="s">
        <v>809</v>
      </c>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7" t="s">
        <v>810</v>
      </c>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row>
    <row r="2" s="35" customFormat="true" ht="15" hidden="false" customHeight="false" outlineLevel="0" collapsed="false">
      <c r="A2" s="34"/>
      <c r="B2" s="35" t="s">
        <v>808</v>
      </c>
      <c r="C2" s="35" t="s">
        <v>808</v>
      </c>
      <c r="D2" s="35" t="s">
        <v>808</v>
      </c>
      <c r="E2" s="35" t="s">
        <v>808</v>
      </c>
      <c r="F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c r="AV2" s="35" t="s">
        <v>808</v>
      </c>
      <c r="AW2" s="35" t="s">
        <v>808</v>
      </c>
      <c r="AX2" s="35" t="s">
        <v>808</v>
      </c>
      <c r="AY2" s="35" t="s">
        <v>808</v>
      </c>
      <c r="AZ2" s="35" t="s">
        <v>808</v>
      </c>
      <c r="BA2" s="35" t="s">
        <v>808</v>
      </c>
      <c r="BB2" s="35" t="s">
        <v>808</v>
      </c>
      <c r="BC2" s="35" t="s">
        <v>808</v>
      </c>
      <c r="BD2" s="35" t="s">
        <v>808</v>
      </c>
      <c r="BE2" s="35" t="s">
        <v>808</v>
      </c>
      <c r="BF2" s="35" t="s">
        <v>808</v>
      </c>
      <c r="BG2" s="35" t="s">
        <v>808</v>
      </c>
      <c r="BH2" s="35" t="s">
        <v>808</v>
      </c>
      <c r="BI2" s="35" t="s">
        <v>808</v>
      </c>
      <c r="BJ2" s="35" t="s">
        <v>808</v>
      </c>
      <c r="BK2" s="35" t="s">
        <v>808</v>
      </c>
      <c r="BL2" s="35" t="s">
        <v>808</v>
      </c>
      <c r="BM2" s="35" t="s">
        <v>808</v>
      </c>
      <c r="BN2" s="35" t="s">
        <v>808</v>
      </c>
      <c r="BO2" s="35" t="s">
        <v>808</v>
      </c>
      <c r="BP2" s="35" t="s">
        <v>808</v>
      </c>
      <c r="BQ2" s="35" t="s">
        <v>808</v>
      </c>
      <c r="BR2" s="35" t="s">
        <v>808</v>
      </c>
      <c r="BS2" s="35" t="s">
        <v>808</v>
      </c>
      <c r="BT2" s="35" t="s">
        <v>808</v>
      </c>
      <c r="BU2" s="35" t="s">
        <v>808</v>
      </c>
      <c r="BV2" s="35" t="s">
        <v>808</v>
      </c>
      <c r="BW2" s="35" t="s">
        <v>808</v>
      </c>
      <c r="BX2" s="35" t="s">
        <v>808</v>
      </c>
      <c r="BY2" s="35" t="s">
        <v>808</v>
      </c>
      <c r="BZ2" s="35" t="s">
        <v>808</v>
      </c>
      <c r="CA2" s="35" t="s">
        <v>808</v>
      </c>
      <c r="CB2" s="35" t="s">
        <v>808</v>
      </c>
      <c r="CC2" s="35" t="s">
        <v>808</v>
      </c>
      <c r="CD2" s="35" t="s">
        <v>808</v>
      </c>
      <c r="CE2" s="35" t="s">
        <v>808</v>
      </c>
      <c r="CF2" s="35" t="s">
        <v>808</v>
      </c>
      <c r="CG2" s="35" t="s">
        <v>808</v>
      </c>
      <c r="CH2" s="35" t="s">
        <v>808</v>
      </c>
      <c r="CI2" s="35" t="s">
        <v>808</v>
      </c>
      <c r="CJ2" s="35" t="s">
        <v>808</v>
      </c>
      <c r="CK2" s="35" t="s">
        <v>808</v>
      </c>
      <c r="CL2" s="35" t="s">
        <v>808</v>
      </c>
      <c r="CM2" s="35" t="s">
        <v>808</v>
      </c>
      <c r="CN2" s="35" t="s">
        <v>808</v>
      </c>
      <c r="CO2" s="35" t="s">
        <v>808</v>
      </c>
      <c r="CP2" s="35" t="s">
        <v>808</v>
      </c>
      <c r="CQ2" s="35" t="s">
        <v>808</v>
      </c>
      <c r="CR2" s="35" t="s">
        <v>808</v>
      </c>
      <c r="CS2" s="35" t="s">
        <v>808</v>
      </c>
      <c r="CT2" s="35" t="s">
        <v>808</v>
      </c>
      <c r="CU2" s="35" t="s">
        <v>808</v>
      </c>
      <c r="CV2" s="35" t="s">
        <v>808</v>
      </c>
      <c r="CW2" s="35" t="s">
        <v>808</v>
      </c>
      <c r="CX2" s="35" t="s">
        <v>808</v>
      </c>
      <c r="CY2" s="35" t="s">
        <v>808</v>
      </c>
      <c r="CZ2" s="35" t="s">
        <v>808</v>
      </c>
      <c r="DA2" s="35" t="s">
        <v>808</v>
      </c>
      <c r="DB2" s="35" t="s">
        <v>808</v>
      </c>
      <c r="DC2" s="35" t="s">
        <v>808</v>
      </c>
      <c r="DD2" s="35" t="s">
        <v>808</v>
      </c>
      <c r="DE2" s="35" t="s">
        <v>808</v>
      </c>
      <c r="DF2" s="35" t="s">
        <v>808</v>
      </c>
      <c r="DG2" s="35" t="s">
        <v>808</v>
      </c>
      <c r="DH2" s="35" t="s">
        <v>808</v>
      </c>
      <c r="DI2" s="35" t="s">
        <v>808</v>
      </c>
      <c r="DJ2" s="35" t="s">
        <v>808</v>
      </c>
      <c r="DK2" s="35" t="s">
        <v>808</v>
      </c>
      <c r="DL2" s="35" t="s">
        <v>808</v>
      </c>
      <c r="DM2" s="35" t="s">
        <v>808</v>
      </c>
      <c r="DN2" s="35" t="s">
        <v>808</v>
      </c>
      <c r="DO2" s="35" t="s">
        <v>808</v>
      </c>
      <c r="DP2" s="35" t="s">
        <v>808</v>
      </c>
      <c r="DQ2" s="35" t="s">
        <v>808</v>
      </c>
      <c r="DR2" s="35" t="s">
        <v>808</v>
      </c>
      <c r="DS2" s="35" t="s">
        <v>808</v>
      </c>
      <c r="DT2" s="35" t="s">
        <v>808</v>
      </c>
      <c r="DU2" s="35" t="s">
        <v>808</v>
      </c>
      <c r="DV2" s="35" t="s">
        <v>808</v>
      </c>
      <c r="DW2" s="35" t="s">
        <v>808</v>
      </c>
      <c r="DX2" s="35" t="s">
        <v>808</v>
      </c>
      <c r="DY2" s="35" t="s">
        <v>808</v>
      </c>
      <c r="DZ2" s="35" t="s">
        <v>808</v>
      </c>
      <c r="EA2" s="35" t="s">
        <v>808</v>
      </c>
      <c r="EB2" s="35" t="s">
        <v>808</v>
      </c>
      <c r="EC2" s="35" t="s">
        <v>808</v>
      </c>
      <c r="ED2" s="35" t="s">
        <v>808</v>
      </c>
      <c r="EE2" s="35" t="s">
        <v>808</v>
      </c>
      <c r="EF2" s="35" t="s">
        <v>808</v>
      </c>
      <c r="EG2" s="35" t="s">
        <v>808</v>
      </c>
      <c r="EH2" s="35" t="s">
        <v>808</v>
      </c>
      <c r="EI2" s="35" t="s">
        <v>808</v>
      </c>
      <c r="EJ2" s="35" t="s">
        <v>808</v>
      </c>
      <c r="EK2" s="35" t="s">
        <v>808</v>
      </c>
      <c r="EL2" s="35" t="s">
        <v>808</v>
      </c>
      <c r="EM2" s="35" t="s">
        <v>808</v>
      </c>
      <c r="EN2" s="35" t="s">
        <v>808</v>
      </c>
      <c r="EO2" s="35" t="s">
        <v>808</v>
      </c>
      <c r="EP2" s="35" t="s">
        <v>808</v>
      </c>
      <c r="EQ2" s="35" t="s">
        <v>808</v>
      </c>
      <c r="ER2" s="35" t="s">
        <v>808</v>
      </c>
      <c r="ES2" s="35" t="s">
        <v>808</v>
      </c>
      <c r="ET2" s="35" t="s">
        <v>808</v>
      </c>
      <c r="EU2" s="35" t="s">
        <v>808</v>
      </c>
      <c r="EV2" s="35" t="s">
        <v>808</v>
      </c>
      <c r="EW2" s="35" t="s">
        <v>808</v>
      </c>
      <c r="EX2" s="35" t="s">
        <v>808</v>
      </c>
      <c r="EY2" s="35" t="s">
        <v>808</v>
      </c>
      <c r="EZ2" s="35" t="s">
        <v>808</v>
      </c>
      <c r="FA2" s="35" t="s">
        <v>808</v>
      </c>
      <c r="FB2" s="35" t="s">
        <v>808</v>
      </c>
      <c r="FC2" s="35" t="s">
        <v>808</v>
      </c>
      <c r="FD2" s="35" t="s">
        <v>808</v>
      </c>
      <c r="FE2" s="35" t="s">
        <v>808</v>
      </c>
      <c r="FF2" s="35" t="s">
        <v>808</v>
      </c>
      <c r="FG2" s="35" t="s">
        <v>808</v>
      </c>
      <c r="FH2" s="35" t="s">
        <v>808</v>
      </c>
      <c r="FI2" s="35" t="s">
        <v>808</v>
      </c>
      <c r="FJ2" s="35" t="s">
        <v>808</v>
      </c>
      <c r="FK2" s="35" t="s">
        <v>808</v>
      </c>
      <c r="FL2" s="35" t="s">
        <v>808</v>
      </c>
      <c r="FM2" s="35" t="s">
        <v>808</v>
      </c>
      <c r="FN2" s="35" t="s">
        <v>808</v>
      </c>
      <c r="FO2" s="35" t="s">
        <v>808</v>
      </c>
      <c r="FP2" s="35" t="s">
        <v>808</v>
      </c>
      <c r="FQ2" s="35" t="s">
        <v>808</v>
      </c>
      <c r="FR2" s="35" t="s">
        <v>808</v>
      </c>
      <c r="FS2" s="35" t="s">
        <v>808</v>
      </c>
      <c r="FT2" s="35" t="s">
        <v>808</v>
      </c>
      <c r="FU2" s="35" t="s">
        <v>808</v>
      </c>
      <c r="FV2" s="35" t="s">
        <v>808</v>
      </c>
      <c r="FW2" s="35" t="s">
        <v>808</v>
      </c>
      <c r="FX2" s="35" t="s">
        <v>808</v>
      </c>
      <c r="FY2" s="35" t="s">
        <v>808</v>
      </c>
      <c r="FZ2" s="35" t="s">
        <v>808</v>
      </c>
      <c r="GA2" s="35" t="s">
        <v>808</v>
      </c>
      <c r="GB2" s="35" t="s">
        <v>808</v>
      </c>
      <c r="GC2" s="35" t="s">
        <v>808</v>
      </c>
      <c r="GD2" s="35" t="s">
        <v>808</v>
      </c>
      <c r="GE2" s="35" t="s">
        <v>808</v>
      </c>
      <c r="GF2" s="35" t="s">
        <v>808</v>
      </c>
      <c r="GG2" s="35" t="s">
        <v>808</v>
      </c>
      <c r="GH2" s="35" t="s">
        <v>808</v>
      </c>
      <c r="GI2" s="35" t="s">
        <v>808</v>
      </c>
      <c r="GJ2" s="35" t="s">
        <v>808</v>
      </c>
      <c r="GK2" s="35" t="s">
        <v>808</v>
      </c>
      <c r="GL2" s="35" t="s">
        <v>808</v>
      </c>
      <c r="GM2" s="35" t="s">
        <v>808</v>
      </c>
      <c r="GN2" s="35" t="s">
        <v>808</v>
      </c>
      <c r="GO2" s="35" t="s">
        <v>808</v>
      </c>
      <c r="GP2" s="35" t="s">
        <v>808</v>
      </c>
      <c r="GQ2" s="35" t="s">
        <v>808</v>
      </c>
      <c r="GR2" s="35" t="s">
        <v>808</v>
      </c>
      <c r="GS2" s="35" t="s">
        <v>808</v>
      </c>
      <c r="GT2" s="35" t="s">
        <v>808</v>
      </c>
      <c r="GU2" s="35" t="s">
        <v>808</v>
      </c>
      <c r="GV2" s="35" t="s">
        <v>808</v>
      </c>
      <c r="GW2" s="35" t="s">
        <v>808</v>
      </c>
      <c r="GX2" s="35" t="s">
        <v>808</v>
      </c>
      <c r="GY2" s="35" t="s">
        <v>808</v>
      </c>
      <c r="GZ2" s="35" t="s">
        <v>808</v>
      </c>
      <c r="HA2" s="35" t="s">
        <v>808</v>
      </c>
      <c r="HB2" s="35" t="s">
        <v>808</v>
      </c>
      <c r="HC2" s="35" t="s">
        <v>808</v>
      </c>
      <c r="HD2" s="35" t="s">
        <v>808</v>
      </c>
      <c r="HE2" s="35" t="s">
        <v>808</v>
      </c>
      <c r="HF2" s="35" t="s">
        <v>808</v>
      </c>
      <c r="HG2" s="35" t="s">
        <v>808</v>
      </c>
      <c r="HH2" s="35" t="s">
        <v>808</v>
      </c>
      <c r="HI2" s="35" t="s">
        <v>808</v>
      </c>
      <c r="HJ2" s="35" t="s">
        <v>808</v>
      </c>
      <c r="HK2" s="35" t="s">
        <v>808</v>
      </c>
      <c r="HL2" s="35" t="s">
        <v>808</v>
      </c>
      <c r="HM2" s="35" t="s">
        <v>808</v>
      </c>
      <c r="HN2" s="35" t="s">
        <v>808</v>
      </c>
      <c r="HO2" s="35" t="s">
        <v>808</v>
      </c>
      <c r="HP2" s="35" t="s">
        <v>808</v>
      </c>
      <c r="HQ2" s="35" t="s">
        <v>808</v>
      </c>
      <c r="HR2" s="35" t="s">
        <v>808</v>
      </c>
      <c r="HS2" s="35" t="s">
        <v>808</v>
      </c>
      <c r="HT2" s="35" t="s">
        <v>808</v>
      </c>
      <c r="HU2" s="35" t="s">
        <v>808</v>
      </c>
      <c r="HV2" s="35" t="s">
        <v>808</v>
      </c>
      <c r="HW2" s="35" t="s">
        <v>808</v>
      </c>
      <c r="HX2" s="35" t="s">
        <v>808</v>
      </c>
    </row>
    <row r="3" s="4" customFormat="true" ht="105" hidden="false" customHeight="true" outlineLevel="0" collapsed="false">
      <c r="A3" s="38"/>
      <c r="C3" s="35" t="s">
        <v>808</v>
      </c>
      <c r="D3" s="39"/>
      <c r="E3" s="39"/>
      <c r="F3" s="40"/>
      <c r="G3" s="41" t="s">
        <v>811</v>
      </c>
      <c r="H3" s="42" t="s">
        <v>812</v>
      </c>
      <c r="I3" s="42" t="s">
        <v>650</v>
      </c>
      <c r="J3" s="42" t="s">
        <v>813</v>
      </c>
      <c r="K3" s="42" t="s">
        <v>573</v>
      </c>
      <c r="L3" s="42" t="s">
        <v>814</v>
      </c>
      <c r="M3" s="42" t="s">
        <v>534</v>
      </c>
      <c r="N3" s="42" t="s">
        <v>815</v>
      </c>
      <c r="O3" s="42" t="s">
        <v>816</v>
      </c>
      <c r="P3" s="42" t="s">
        <v>817</v>
      </c>
      <c r="Q3" s="42" t="s">
        <v>345</v>
      </c>
      <c r="R3" s="42" t="s">
        <v>818</v>
      </c>
      <c r="S3" s="42" t="s">
        <v>819</v>
      </c>
      <c r="T3" s="42" t="s">
        <v>820</v>
      </c>
      <c r="U3" s="42" t="s">
        <v>821</v>
      </c>
      <c r="V3" s="42" t="s">
        <v>822</v>
      </c>
      <c r="W3" s="42" t="s">
        <v>823</v>
      </c>
      <c r="X3" s="42" t="s">
        <v>333</v>
      </c>
      <c r="Y3" s="42" t="s">
        <v>824</v>
      </c>
      <c r="Z3" s="42" t="s">
        <v>825</v>
      </c>
      <c r="AA3" s="42" t="s">
        <v>826</v>
      </c>
      <c r="AB3" s="42" t="s">
        <v>476</v>
      </c>
      <c r="AC3" s="42" t="s">
        <v>827</v>
      </c>
      <c r="AD3" s="42" t="s">
        <v>828</v>
      </c>
      <c r="AE3" s="42" t="s">
        <v>829</v>
      </c>
      <c r="AF3" s="42" t="s">
        <v>497</v>
      </c>
      <c r="AG3" s="42" t="s">
        <v>830</v>
      </c>
      <c r="AH3" s="42" t="s">
        <v>831</v>
      </c>
      <c r="AI3" s="42" t="s">
        <v>832</v>
      </c>
      <c r="AJ3" s="42" t="s">
        <v>833</v>
      </c>
      <c r="AK3" s="42" t="s">
        <v>509</v>
      </c>
      <c r="AL3" s="42" t="s">
        <v>834</v>
      </c>
      <c r="AM3" s="42" t="s">
        <v>835</v>
      </c>
      <c r="AN3" s="42" t="s">
        <v>836</v>
      </c>
      <c r="AO3" s="42" t="s">
        <v>837</v>
      </c>
      <c r="AP3" s="42" t="s">
        <v>838</v>
      </c>
      <c r="AQ3" s="42" t="s">
        <v>839</v>
      </c>
      <c r="AR3" s="42" t="s">
        <v>840</v>
      </c>
      <c r="AS3" s="42" t="s">
        <v>841</v>
      </c>
      <c r="AT3" s="42" t="s">
        <v>842</v>
      </c>
      <c r="AU3" s="42" t="s">
        <v>843</v>
      </c>
      <c r="AV3" s="42" t="s">
        <v>844</v>
      </c>
      <c r="AW3" s="42" t="s">
        <v>845</v>
      </c>
      <c r="AX3" s="42" t="s">
        <v>846</v>
      </c>
      <c r="AY3" s="42" t="s">
        <v>847</v>
      </c>
      <c r="AZ3" s="42" t="s">
        <v>848</v>
      </c>
      <c r="BA3" s="42" t="s">
        <v>849</v>
      </c>
      <c r="BB3" s="42" t="s">
        <v>850</v>
      </c>
      <c r="BC3" s="42" t="s">
        <v>851</v>
      </c>
      <c r="BD3" s="42" t="s">
        <v>852</v>
      </c>
      <c r="BE3" s="42" t="s">
        <v>853</v>
      </c>
      <c r="BF3" s="42" t="s">
        <v>854</v>
      </c>
      <c r="BG3" s="42" t="s">
        <v>855</v>
      </c>
      <c r="BH3" s="42" t="s">
        <v>856</v>
      </c>
      <c r="BI3" s="42" t="s">
        <v>857</v>
      </c>
      <c r="BJ3" s="42" t="s">
        <v>858</v>
      </c>
      <c r="BK3" s="42" t="s">
        <v>859</v>
      </c>
      <c r="BL3" s="42" t="s">
        <v>860</v>
      </c>
      <c r="BM3" s="42" t="s">
        <v>861</v>
      </c>
      <c r="BN3" s="42" t="s">
        <v>862</v>
      </c>
      <c r="BO3" s="42" t="s">
        <v>863</v>
      </c>
      <c r="BP3" s="42" t="s">
        <v>864</v>
      </c>
      <c r="BQ3" s="42" t="s">
        <v>865</v>
      </c>
      <c r="BR3" s="42" t="s">
        <v>866</v>
      </c>
      <c r="BS3" s="42" t="s">
        <v>867</v>
      </c>
      <c r="BT3" s="42" t="s">
        <v>868</v>
      </c>
      <c r="BU3" s="42" t="s">
        <v>869</v>
      </c>
      <c r="BV3" s="42" t="s">
        <v>870</v>
      </c>
      <c r="BW3" s="42" t="s">
        <v>871</v>
      </c>
      <c r="BX3" s="42" t="s">
        <v>872</v>
      </c>
      <c r="BY3" s="42" t="s">
        <v>873</v>
      </c>
      <c r="BZ3" s="42" t="s">
        <v>874</v>
      </c>
      <c r="CA3" s="42" t="s">
        <v>875</v>
      </c>
      <c r="CB3" s="42" t="s">
        <v>876</v>
      </c>
      <c r="CC3" s="42" t="s">
        <v>877</v>
      </c>
      <c r="CD3" s="42" t="s">
        <v>878</v>
      </c>
      <c r="CE3" s="42" t="s">
        <v>879</v>
      </c>
      <c r="CF3" s="42" t="s">
        <v>880</v>
      </c>
      <c r="CG3" s="42" t="s">
        <v>881</v>
      </c>
      <c r="CH3" s="42" t="s">
        <v>882</v>
      </c>
      <c r="CI3" s="42" t="s">
        <v>98</v>
      </c>
      <c r="CJ3" s="42" t="s">
        <v>695</v>
      </c>
      <c r="CK3" s="42" t="s">
        <v>883</v>
      </c>
      <c r="CL3" s="42" t="s">
        <v>192</v>
      </c>
      <c r="CM3" s="42" t="s">
        <v>884</v>
      </c>
      <c r="CN3" s="42" t="s">
        <v>885</v>
      </c>
      <c r="CO3" s="42" t="s">
        <v>886</v>
      </c>
      <c r="CP3" s="42" t="s">
        <v>887</v>
      </c>
      <c r="CQ3" s="42" t="s">
        <v>888</v>
      </c>
      <c r="CR3" s="42" t="s">
        <v>889</v>
      </c>
      <c r="CS3" s="42" t="s">
        <v>890</v>
      </c>
      <c r="CT3" s="42" t="s">
        <v>891</v>
      </c>
      <c r="CU3" s="42" t="s">
        <v>892</v>
      </c>
      <c r="CV3" s="42" t="s">
        <v>893</v>
      </c>
      <c r="CW3" s="42" t="s">
        <v>894</v>
      </c>
      <c r="CX3" s="42" t="s">
        <v>895</v>
      </c>
      <c r="CY3" s="42" t="s">
        <v>896</v>
      </c>
      <c r="CZ3" s="42" t="s">
        <v>897</v>
      </c>
      <c r="DA3" s="42" t="s">
        <v>898</v>
      </c>
      <c r="DB3" s="42" t="s">
        <v>899</v>
      </c>
      <c r="DC3" s="42" t="s">
        <v>900</v>
      </c>
      <c r="DD3" s="42" t="s">
        <v>901</v>
      </c>
      <c r="DE3" s="42" t="s">
        <v>902</v>
      </c>
      <c r="DF3" s="42" t="s">
        <v>903</v>
      </c>
      <c r="DG3" s="42" t="s">
        <v>904</v>
      </c>
      <c r="DH3" s="42" t="s">
        <v>905</v>
      </c>
      <c r="DI3" s="42" t="s">
        <v>906</v>
      </c>
      <c r="DJ3" s="42" t="s">
        <v>907</v>
      </c>
      <c r="DK3" s="42" t="s">
        <v>907</v>
      </c>
      <c r="DL3" s="42" t="s">
        <v>426</v>
      </c>
      <c r="DM3" s="42" t="s">
        <v>908</v>
      </c>
      <c r="DN3" s="42" t="s">
        <v>11</v>
      </c>
      <c r="DO3" s="42" t="s">
        <v>451</v>
      </c>
      <c r="DP3" s="41" t="s">
        <v>811</v>
      </c>
      <c r="DQ3" s="42" t="s">
        <v>812</v>
      </c>
      <c r="DR3" s="42" t="s">
        <v>650</v>
      </c>
      <c r="DS3" s="42" t="s">
        <v>813</v>
      </c>
      <c r="DT3" s="42" t="s">
        <v>573</v>
      </c>
      <c r="DU3" s="42" t="s">
        <v>814</v>
      </c>
      <c r="DV3" s="42" t="s">
        <v>534</v>
      </c>
      <c r="DW3" s="42" t="s">
        <v>815</v>
      </c>
      <c r="DX3" s="42" t="s">
        <v>816</v>
      </c>
      <c r="DY3" s="42" t="s">
        <v>817</v>
      </c>
      <c r="DZ3" s="42" t="s">
        <v>345</v>
      </c>
      <c r="EA3" s="42" t="s">
        <v>818</v>
      </c>
      <c r="EB3" s="42" t="s">
        <v>819</v>
      </c>
      <c r="EC3" s="42" t="s">
        <v>820</v>
      </c>
      <c r="ED3" s="42" t="s">
        <v>821</v>
      </c>
      <c r="EE3" s="42" t="s">
        <v>822</v>
      </c>
      <c r="EF3" s="42" t="s">
        <v>823</v>
      </c>
      <c r="EG3" s="42" t="s">
        <v>333</v>
      </c>
      <c r="EH3" s="42" t="s">
        <v>824</v>
      </c>
      <c r="EI3" s="42" t="s">
        <v>825</v>
      </c>
      <c r="EJ3" s="42" t="s">
        <v>826</v>
      </c>
      <c r="EK3" s="42" t="s">
        <v>476</v>
      </c>
      <c r="EL3" s="42" t="s">
        <v>827</v>
      </c>
      <c r="EM3" s="42" t="s">
        <v>828</v>
      </c>
      <c r="EN3" s="42" t="s">
        <v>829</v>
      </c>
      <c r="EO3" s="42" t="s">
        <v>497</v>
      </c>
      <c r="EP3" s="42" t="s">
        <v>830</v>
      </c>
      <c r="EQ3" s="42" t="s">
        <v>831</v>
      </c>
      <c r="ER3" s="42" t="s">
        <v>832</v>
      </c>
      <c r="ES3" s="42" t="s">
        <v>833</v>
      </c>
      <c r="ET3" s="42" t="s">
        <v>509</v>
      </c>
      <c r="EU3" s="42" t="s">
        <v>834</v>
      </c>
      <c r="EV3" s="42" t="s">
        <v>835</v>
      </c>
      <c r="EW3" s="42" t="s">
        <v>836</v>
      </c>
      <c r="EX3" s="42" t="s">
        <v>837</v>
      </c>
      <c r="EY3" s="42" t="s">
        <v>838</v>
      </c>
      <c r="EZ3" s="42" t="s">
        <v>839</v>
      </c>
      <c r="FA3" s="42" t="s">
        <v>840</v>
      </c>
      <c r="FB3" s="42" t="s">
        <v>841</v>
      </c>
      <c r="FC3" s="42" t="s">
        <v>842</v>
      </c>
      <c r="FD3" s="42" t="s">
        <v>843</v>
      </c>
      <c r="FE3" s="42" t="s">
        <v>844</v>
      </c>
      <c r="FF3" s="42" t="s">
        <v>845</v>
      </c>
      <c r="FG3" s="42" t="s">
        <v>846</v>
      </c>
      <c r="FH3" s="42" t="s">
        <v>847</v>
      </c>
      <c r="FI3" s="42" t="s">
        <v>848</v>
      </c>
      <c r="FJ3" s="42" t="s">
        <v>849</v>
      </c>
      <c r="FK3" s="42" t="s">
        <v>850</v>
      </c>
      <c r="FL3" s="42" t="s">
        <v>851</v>
      </c>
      <c r="FM3" s="42" t="s">
        <v>852</v>
      </c>
      <c r="FN3" s="42" t="s">
        <v>853</v>
      </c>
      <c r="FO3" s="42" t="s">
        <v>854</v>
      </c>
      <c r="FP3" s="42" t="s">
        <v>855</v>
      </c>
      <c r="FQ3" s="42" t="s">
        <v>856</v>
      </c>
      <c r="FR3" s="42" t="s">
        <v>857</v>
      </c>
      <c r="FS3" s="42" t="s">
        <v>858</v>
      </c>
      <c r="FT3" s="42" t="s">
        <v>859</v>
      </c>
      <c r="FU3" s="42" t="s">
        <v>860</v>
      </c>
      <c r="FV3" s="42" t="s">
        <v>861</v>
      </c>
      <c r="FW3" s="42" t="s">
        <v>862</v>
      </c>
      <c r="FX3" s="42" t="s">
        <v>863</v>
      </c>
      <c r="FY3" s="42" t="s">
        <v>864</v>
      </c>
      <c r="FZ3" s="42" t="s">
        <v>865</v>
      </c>
      <c r="GA3" s="42" t="s">
        <v>866</v>
      </c>
      <c r="GB3" s="42" t="s">
        <v>867</v>
      </c>
      <c r="GC3" s="42" t="s">
        <v>868</v>
      </c>
      <c r="GD3" s="42" t="s">
        <v>869</v>
      </c>
      <c r="GE3" s="42" t="s">
        <v>870</v>
      </c>
      <c r="GF3" s="42" t="s">
        <v>871</v>
      </c>
      <c r="GG3" s="42" t="s">
        <v>872</v>
      </c>
      <c r="GH3" s="42" t="s">
        <v>873</v>
      </c>
      <c r="GI3" s="42" t="s">
        <v>874</v>
      </c>
      <c r="GJ3" s="42" t="s">
        <v>875</v>
      </c>
      <c r="GK3" s="42" t="s">
        <v>876</v>
      </c>
      <c r="GL3" s="42" t="s">
        <v>877</v>
      </c>
      <c r="GM3" s="42" t="s">
        <v>878</v>
      </c>
      <c r="GN3" s="42" t="s">
        <v>879</v>
      </c>
      <c r="GO3" s="42" t="s">
        <v>880</v>
      </c>
      <c r="GP3" s="42" t="s">
        <v>881</v>
      </c>
      <c r="GQ3" s="42" t="s">
        <v>882</v>
      </c>
      <c r="GR3" s="42" t="s">
        <v>98</v>
      </c>
      <c r="GS3" s="42" t="s">
        <v>695</v>
      </c>
      <c r="GT3" s="42" t="s">
        <v>883</v>
      </c>
      <c r="GU3" s="42" t="s">
        <v>192</v>
      </c>
      <c r="GV3" s="42" t="s">
        <v>884</v>
      </c>
      <c r="GW3" s="42" t="s">
        <v>885</v>
      </c>
      <c r="GX3" s="42" t="s">
        <v>886</v>
      </c>
      <c r="GY3" s="42" t="s">
        <v>887</v>
      </c>
      <c r="GZ3" s="42" t="s">
        <v>888</v>
      </c>
      <c r="HA3" s="42" t="s">
        <v>889</v>
      </c>
      <c r="HB3" s="42" t="s">
        <v>890</v>
      </c>
      <c r="HC3" s="42" t="s">
        <v>891</v>
      </c>
      <c r="HD3" s="42" t="s">
        <v>892</v>
      </c>
      <c r="HE3" s="42" t="s">
        <v>893</v>
      </c>
      <c r="HF3" s="42" t="s">
        <v>894</v>
      </c>
      <c r="HG3" s="42" t="s">
        <v>895</v>
      </c>
      <c r="HH3" s="42" t="s">
        <v>896</v>
      </c>
      <c r="HI3" s="42" t="s">
        <v>897</v>
      </c>
      <c r="HJ3" s="42" t="s">
        <v>898</v>
      </c>
      <c r="HK3" s="42" t="s">
        <v>899</v>
      </c>
      <c r="HL3" s="42" t="s">
        <v>900</v>
      </c>
      <c r="HM3" s="42" t="s">
        <v>901</v>
      </c>
      <c r="HN3" s="42" t="s">
        <v>902</v>
      </c>
      <c r="HO3" s="42" t="s">
        <v>903</v>
      </c>
      <c r="HP3" s="42" t="s">
        <v>904</v>
      </c>
      <c r="HQ3" s="42" t="s">
        <v>905</v>
      </c>
      <c r="HR3" s="42" t="s">
        <v>906</v>
      </c>
      <c r="HS3" s="42" t="s">
        <v>907</v>
      </c>
      <c r="HT3" s="42" t="s">
        <v>907</v>
      </c>
      <c r="HU3" s="42" t="s">
        <v>426</v>
      </c>
      <c r="HV3" s="42" t="s">
        <v>908</v>
      </c>
      <c r="HW3" s="42" t="s">
        <v>11</v>
      </c>
      <c r="HX3" s="43" t="s">
        <v>451</v>
      </c>
    </row>
    <row r="4" s="33" customFormat="true" ht="15" hidden="false" customHeight="true" outlineLevel="0" collapsed="false">
      <c r="A4" s="38"/>
      <c r="B4" s="33" t="s">
        <v>909</v>
      </c>
      <c r="C4" s="44" t="s">
        <v>910</v>
      </c>
      <c r="D4" s="44" t="s">
        <v>911</v>
      </c>
      <c r="E4" s="44" t="s">
        <v>912</v>
      </c>
      <c r="F4" s="44" t="s">
        <v>913</v>
      </c>
      <c r="G4" s="45" t="s">
        <v>914</v>
      </c>
      <c r="H4" s="46" t="s">
        <v>915</v>
      </c>
      <c r="I4" s="46" t="s">
        <v>916</v>
      </c>
      <c r="J4" s="46" t="s">
        <v>917</v>
      </c>
      <c r="K4" s="46" t="s">
        <v>918</v>
      </c>
      <c r="L4" s="46" t="s">
        <v>919</v>
      </c>
      <c r="M4" s="46" t="s">
        <v>920</v>
      </c>
      <c r="N4" s="46" t="s">
        <v>921</v>
      </c>
      <c r="O4" s="46" t="s">
        <v>922</v>
      </c>
      <c r="P4" s="46" t="s">
        <v>923</v>
      </c>
      <c r="Q4" s="46" t="s">
        <v>924</v>
      </c>
      <c r="R4" s="46" t="s">
        <v>925</v>
      </c>
      <c r="S4" s="46" t="s">
        <v>926</v>
      </c>
      <c r="T4" s="46" t="s">
        <v>927</v>
      </c>
      <c r="U4" s="46" t="s">
        <v>928</v>
      </c>
      <c r="V4" s="46" t="s">
        <v>929</v>
      </c>
      <c r="W4" s="46" t="s">
        <v>930</v>
      </c>
      <c r="X4" s="46" t="s">
        <v>931</v>
      </c>
      <c r="Y4" s="46" t="s">
        <v>932</v>
      </c>
      <c r="Z4" s="46" t="s">
        <v>933</v>
      </c>
      <c r="AA4" s="46" t="s">
        <v>934</v>
      </c>
      <c r="AB4" s="46" t="s">
        <v>935</v>
      </c>
      <c r="AC4" s="46" t="s">
        <v>936</v>
      </c>
      <c r="AD4" s="46" t="s">
        <v>937</v>
      </c>
      <c r="AE4" s="46" t="s">
        <v>938</v>
      </c>
      <c r="AF4" s="46" t="s">
        <v>939</v>
      </c>
      <c r="AG4" s="46" t="s">
        <v>940</v>
      </c>
      <c r="AH4" s="46" t="s">
        <v>941</v>
      </c>
      <c r="AI4" s="46" t="s">
        <v>942</v>
      </c>
      <c r="AJ4" s="46" t="s">
        <v>943</v>
      </c>
      <c r="AK4" s="46" t="s">
        <v>944</v>
      </c>
      <c r="AL4" s="46" t="s">
        <v>945</v>
      </c>
      <c r="AM4" s="46" t="s">
        <v>946</v>
      </c>
      <c r="AN4" s="46" t="s">
        <v>947</v>
      </c>
      <c r="AO4" s="46" t="s">
        <v>948</v>
      </c>
      <c r="AP4" s="46" t="s">
        <v>949</v>
      </c>
      <c r="AQ4" s="46" t="s">
        <v>950</v>
      </c>
      <c r="AR4" s="46" t="s">
        <v>951</v>
      </c>
      <c r="AS4" s="46" t="s">
        <v>952</v>
      </c>
      <c r="AT4" s="46" t="s">
        <v>953</v>
      </c>
      <c r="AU4" s="46" t="s">
        <v>954</v>
      </c>
      <c r="AV4" s="46" t="s">
        <v>955</v>
      </c>
      <c r="AW4" s="46" t="s">
        <v>956</v>
      </c>
      <c r="AX4" s="46" t="s">
        <v>957</v>
      </c>
      <c r="AY4" s="46" t="s">
        <v>958</v>
      </c>
      <c r="AZ4" s="46" t="s">
        <v>959</v>
      </c>
      <c r="BA4" s="46" t="s">
        <v>960</v>
      </c>
      <c r="BB4" s="46" t="s">
        <v>961</v>
      </c>
      <c r="BC4" s="46" t="s">
        <v>962</v>
      </c>
      <c r="BD4" s="46" t="s">
        <v>963</v>
      </c>
      <c r="BE4" s="46" t="s">
        <v>964</v>
      </c>
      <c r="BF4" s="46" t="s">
        <v>965</v>
      </c>
      <c r="BG4" s="46" t="s">
        <v>966</v>
      </c>
      <c r="BH4" s="46" t="s">
        <v>967</v>
      </c>
      <c r="BI4" s="46" t="s">
        <v>968</v>
      </c>
      <c r="BJ4" s="46" t="s">
        <v>969</v>
      </c>
      <c r="BK4" s="46" t="s">
        <v>970</v>
      </c>
      <c r="BL4" s="46" t="s">
        <v>971</v>
      </c>
      <c r="BM4" s="46" t="s">
        <v>972</v>
      </c>
      <c r="BN4" s="46" t="s">
        <v>973</v>
      </c>
      <c r="BO4" s="46" t="s">
        <v>974</v>
      </c>
      <c r="BP4" s="46" t="s">
        <v>975</v>
      </c>
      <c r="BQ4" s="46" t="s">
        <v>976</v>
      </c>
      <c r="BR4" s="46" t="s">
        <v>977</v>
      </c>
      <c r="BS4" s="46" t="s">
        <v>978</v>
      </c>
      <c r="BT4" s="46" t="s">
        <v>979</v>
      </c>
      <c r="BU4" s="46" t="s">
        <v>980</v>
      </c>
      <c r="BV4" s="46" t="s">
        <v>981</v>
      </c>
      <c r="BW4" s="46" t="s">
        <v>982</v>
      </c>
      <c r="BX4" s="46" t="s">
        <v>983</v>
      </c>
      <c r="BY4" s="46" t="s">
        <v>984</v>
      </c>
      <c r="BZ4" s="46" t="s">
        <v>985</v>
      </c>
      <c r="CA4" s="46" t="s">
        <v>986</v>
      </c>
      <c r="CB4" s="46" t="s">
        <v>987</v>
      </c>
      <c r="CC4" s="46" t="s">
        <v>988</v>
      </c>
      <c r="CD4" s="46" t="s">
        <v>989</v>
      </c>
      <c r="CE4" s="46" t="s">
        <v>990</v>
      </c>
      <c r="CF4" s="46" t="s">
        <v>991</v>
      </c>
      <c r="CG4" s="46" t="s">
        <v>992</v>
      </c>
      <c r="CH4" s="46" t="s">
        <v>993</v>
      </c>
      <c r="CI4" s="46" t="s">
        <v>994</v>
      </c>
      <c r="CJ4" s="46" t="s">
        <v>995</v>
      </c>
      <c r="CK4" s="46" t="s">
        <v>996</v>
      </c>
      <c r="CL4" s="46" t="s">
        <v>997</v>
      </c>
      <c r="CM4" s="46" t="s">
        <v>998</v>
      </c>
      <c r="CN4" s="46" t="s">
        <v>999</v>
      </c>
      <c r="CO4" s="46" t="s">
        <v>1000</v>
      </c>
      <c r="CP4" s="46" t="s">
        <v>1001</v>
      </c>
      <c r="CQ4" s="46" t="s">
        <v>1002</v>
      </c>
      <c r="CR4" s="46" t="s">
        <v>1003</v>
      </c>
      <c r="CS4" s="46" t="s">
        <v>1004</v>
      </c>
      <c r="CT4" s="46" t="s">
        <v>1005</v>
      </c>
      <c r="CU4" s="46" t="s">
        <v>1006</v>
      </c>
      <c r="CV4" s="46" t="s">
        <v>1007</v>
      </c>
      <c r="CW4" s="46" t="s">
        <v>1008</v>
      </c>
      <c r="CX4" s="46" t="s">
        <v>1009</v>
      </c>
      <c r="CY4" s="46" t="s">
        <v>1010</v>
      </c>
      <c r="CZ4" s="46" t="s">
        <v>1011</v>
      </c>
      <c r="DA4" s="46" t="s">
        <v>1012</v>
      </c>
      <c r="DB4" s="46" t="s">
        <v>1013</v>
      </c>
      <c r="DC4" s="46" t="s">
        <v>1014</v>
      </c>
      <c r="DD4" s="46" t="s">
        <v>1015</v>
      </c>
      <c r="DE4" s="46" t="s">
        <v>1016</v>
      </c>
      <c r="DF4" s="46" t="s">
        <v>1017</v>
      </c>
      <c r="DG4" s="46" t="s">
        <v>1018</v>
      </c>
      <c r="DH4" s="46" t="s">
        <v>1019</v>
      </c>
      <c r="DI4" s="46" t="s">
        <v>1020</v>
      </c>
      <c r="DJ4" s="46" t="s">
        <v>1021</v>
      </c>
      <c r="DK4" s="46" t="s">
        <v>1022</v>
      </c>
      <c r="DL4" s="46" t="s">
        <v>1023</v>
      </c>
      <c r="DM4" s="46" t="s">
        <v>1024</v>
      </c>
      <c r="DN4" s="46" t="s">
        <v>1025</v>
      </c>
      <c r="DO4" s="46" t="s">
        <v>1026</v>
      </c>
      <c r="DP4" s="45" t="s">
        <v>1027</v>
      </c>
      <c r="DQ4" s="46" t="s">
        <v>1028</v>
      </c>
      <c r="DR4" s="46" t="s">
        <v>1029</v>
      </c>
      <c r="DS4" s="46" t="s">
        <v>1030</v>
      </c>
      <c r="DT4" s="46" t="s">
        <v>1031</v>
      </c>
      <c r="DU4" s="46" t="s">
        <v>1032</v>
      </c>
      <c r="DV4" s="46" t="s">
        <v>1033</v>
      </c>
      <c r="DW4" s="46" t="s">
        <v>1034</v>
      </c>
      <c r="DX4" s="46" t="s">
        <v>1035</v>
      </c>
      <c r="DY4" s="46" t="s">
        <v>1036</v>
      </c>
      <c r="DZ4" s="46" t="s">
        <v>1037</v>
      </c>
      <c r="EA4" s="46" t="s">
        <v>1038</v>
      </c>
      <c r="EB4" s="46" t="s">
        <v>1039</v>
      </c>
      <c r="EC4" s="46" t="s">
        <v>1040</v>
      </c>
      <c r="ED4" s="46" t="s">
        <v>1041</v>
      </c>
      <c r="EE4" s="46" t="s">
        <v>1042</v>
      </c>
      <c r="EF4" s="46" t="s">
        <v>1043</v>
      </c>
      <c r="EG4" s="46" t="s">
        <v>1044</v>
      </c>
      <c r="EH4" s="46" t="s">
        <v>1045</v>
      </c>
      <c r="EI4" s="46" t="s">
        <v>1046</v>
      </c>
      <c r="EJ4" s="46" t="s">
        <v>1047</v>
      </c>
      <c r="EK4" s="46" t="s">
        <v>1048</v>
      </c>
      <c r="EL4" s="46" t="s">
        <v>1049</v>
      </c>
      <c r="EM4" s="46" t="s">
        <v>1050</v>
      </c>
      <c r="EN4" s="46" t="s">
        <v>1051</v>
      </c>
      <c r="EO4" s="46" t="s">
        <v>1052</v>
      </c>
      <c r="EP4" s="46" t="s">
        <v>1053</v>
      </c>
      <c r="EQ4" s="46" t="s">
        <v>1054</v>
      </c>
      <c r="ER4" s="46" t="s">
        <v>1055</v>
      </c>
      <c r="ES4" s="46" t="s">
        <v>1056</v>
      </c>
      <c r="ET4" s="46" t="s">
        <v>1057</v>
      </c>
      <c r="EU4" s="46" t="s">
        <v>1058</v>
      </c>
      <c r="EV4" s="46" t="s">
        <v>1059</v>
      </c>
      <c r="EW4" s="46" t="s">
        <v>1060</v>
      </c>
      <c r="EX4" s="46" t="s">
        <v>1061</v>
      </c>
      <c r="EY4" s="46" t="s">
        <v>1062</v>
      </c>
      <c r="EZ4" s="46" t="s">
        <v>1063</v>
      </c>
      <c r="FA4" s="46" t="s">
        <v>1064</v>
      </c>
      <c r="FB4" s="46" t="s">
        <v>1065</v>
      </c>
      <c r="FC4" s="46" t="s">
        <v>1066</v>
      </c>
      <c r="FD4" s="46" t="s">
        <v>1067</v>
      </c>
      <c r="FE4" s="46" t="s">
        <v>1068</v>
      </c>
      <c r="FF4" s="46" t="s">
        <v>1069</v>
      </c>
      <c r="FG4" s="46" t="s">
        <v>1070</v>
      </c>
      <c r="FH4" s="46" t="s">
        <v>1071</v>
      </c>
      <c r="FI4" s="46" t="s">
        <v>1072</v>
      </c>
      <c r="FJ4" s="46" t="s">
        <v>1073</v>
      </c>
      <c r="FK4" s="46" t="s">
        <v>1074</v>
      </c>
      <c r="FL4" s="46" t="s">
        <v>1075</v>
      </c>
      <c r="FM4" s="46" t="s">
        <v>1076</v>
      </c>
      <c r="FN4" s="46" t="s">
        <v>1077</v>
      </c>
      <c r="FO4" s="46" t="s">
        <v>1078</v>
      </c>
      <c r="FP4" s="46" t="s">
        <v>1079</v>
      </c>
      <c r="FQ4" s="46" t="s">
        <v>1080</v>
      </c>
      <c r="FR4" s="46" t="s">
        <v>1081</v>
      </c>
      <c r="FS4" s="46" t="s">
        <v>1082</v>
      </c>
      <c r="FT4" s="46" t="s">
        <v>1083</v>
      </c>
      <c r="FU4" s="46" t="s">
        <v>1084</v>
      </c>
      <c r="FV4" s="46" t="s">
        <v>1085</v>
      </c>
      <c r="FW4" s="46" t="s">
        <v>1086</v>
      </c>
      <c r="FX4" s="46" t="s">
        <v>1087</v>
      </c>
      <c r="FY4" s="46" t="s">
        <v>1088</v>
      </c>
      <c r="FZ4" s="46" t="s">
        <v>1089</v>
      </c>
      <c r="GA4" s="46" t="s">
        <v>1090</v>
      </c>
      <c r="GB4" s="46" t="s">
        <v>1091</v>
      </c>
      <c r="GC4" s="46" t="s">
        <v>1092</v>
      </c>
      <c r="GD4" s="46" t="s">
        <v>1093</v>
      </c>
      <c r="GE4" s="46" t="s">
        <v>1094</v>
      </c>
      <c r="GF4" s="46" t="s">
        <v>1095</v>
      </c>
      <c r="GG4" s="46" t="s">
        <v>1096</v>
      </c>
      <c r="GH4" s="46" t="s">
        <v>1097</v>
      </c>
      <c r="GI4" s="46" t="s">
        <v>1098</v>
      </c>
      <c r="GJ4" s="46" t="s">
        <v>1099</v>
      </c>
      <c r="GK4" s="46" t="s">
        <v>1100</v>
      </c>
      <c r="GL4" s="46" t="s">
        <v>1101</v>
      </c>
      <c r="GM4" s="46" t="s">
        <v>1102</v>
      </c>
      <c r="GN4" s="46" t="s">
        <v>1103</v>
      </c>
      <c r="GO4" s="46" t="s">
        <v>1104</v>
      </c>
      <c r="GP4" s="46" t="s">
        <v>1105</v>
      </c>
      <c r="GQ4" s="46" t="s">
        <v>1106</v>
      </c>
      <c r="GR4" s="46" t="s">
        <v>1107</v>
      </c>
      <c r="GS4" s="46" t="s">
        <v>1108</v>
      </c>
      <c r="GT4" s="46" t="s">
        <v>1109</v>
      </c>
      <c r="GU4" s="46" t="s">
        <v>1110</v>
      </c>
      <c r="GV4" s="46" t="s">
        <v>1111</v>
      </c>
      <c r="GW4" s="46" t="s">
        <v>1112</v>
      </c>
      <c r="GX4" s="46" t="s">
        <v>1113</v>
      </c>
      <c r="GY4" s="46" t="s">
        <v>1114</v>
      </c>
      <c r="GZ4" s="46" t="s">
        <v>1115</v>
      </c>
      <c r="HA4" s="46" t="s">
        <v>1116</v>
      </c>
      <c r="HB4" s="46" t="s">
        <v>1117</v>
      </c>
      <c r="HC4" s="46" t="s">
        <v>1118</v>
      </c>
      <c r="HD4" s="46" t="s">
        <v>1119</v>
      </c>
      <c r="HE4" s="46" t="s">
        <v>1120</v>
      </c>
      <c r="HF4" s="46" t="s">
        <v>1121</v>
      </c>
      <c r="HG4" s="46" t="s">
        <v>1122</v>
      </c>
      <c r="HH4" s="46" t="s">
        <v>1123</v>
      </c>
      <c r="HI4" s="46" t="s">
        <v>1124</v>
      </c>
      <c r="HJ4" s="46" t="s">
        <v>1125</v>
      </c>
      <c r="HK4" s="46" t="s">
        <v>1126</v>
      </c>
      <c r="HL4" s="46" t="s">
        <v>1127</v>
      </c>
      <c r="HM4" s="46" t="s">
        <v>1128</v>
      </c>
      <c r="HN4" s="46" t="s">
        <v>1129</v>
      </c>
      <c r="HO4" s="46" t="s">
        <v>1130</v>
      </c>
      <c r="HP4" s="46" t="s">
        <v>1131</v>
      </c>
      <c r="HQ4" s="46" t="s">
        <v>1132</v>
      </c>
      <c r="HR4" s="46" t="s">
        <v>1133</v>
      </c>
      <c r="HS4" s="46" t="s">
        <v>1134</v>
      </c>
      <c r="HT4" s="46" t="s">
        <v>1135</v>
      </c>
      <c r="HU4" s="46" t="s">
        <v>1136</v>
      </c>
      <c r="HV4" s="46" t="s">
        <v>1137</v>
      </c>
      <c r="HW4" s="46" t="s">
        <v>1138</v>
      </c>
      <c r="HX4" s="47" t="s">
        <v>1139</v>
      </c>
    </row>
    <row r="5" customFormat="false" ht="15" hidden="false" customHeight="false" outlineLevel="0" collapsed="false">
      <c r="A5" s="48"/>
      <c r="C5" s="33" t="s">
        <v>1140</v>
      </c>
      <c r="D5" s="0"/>
      <c r="E5" s="0"/>
      <c r="F5" s="0"/>
      <c r="G5" s="33"/>
      <c r="H5" s="33"/>
      <c r="I5" s="33"/>
      <c r="J5" s="33"/>
      <c r="K5" s="33"/>
      <c r="L5" s="33"/>
      <c r="M5" s="33"/>
      <c r="N5" s="33"/>
      <c r="O5" s="33"/>
      <c r="P5" s="33"/>
      <c r="Q5" s="33"/>
      <c r="R5" s="33"/>
      <c r="S5" s="33"/>
      <c r="T5" s="33"/>
      <c r="U5" s="33"/>
      <c r="V5" s="33"/>
      <c r="W5" s="33"/>
      <c r="X5" s="33"/>
      <c r="Y5" s="33"/>
      <c r="Z5" s="33"/>
      <c r="AA5" s="33"/>
      <c r="AB5" s="33"/>
      <c r="AC5" s="33"/>
      <c r="AD5" s="33"/>
      <c r="AE5" s="49"/>
      <c r="AF5" s="49"/>
      <c r="AG5" s="49"/>
      <c r="AH5" s="49"/>
      <c r="AI5" s="49"/>
      <c r="AJ5" s="49"/>
      <c r="AK5" s="49"/>
      <c r="AL5" s="49"/>
      <c r="AM5" s="49"/>
      <c r="AN5" s="49"/>
      <c r="AO5" s="49"/>
      <c r="AP5" s="49"/>
      <c r="AQ5" s="49"/>
      <c r="AR5" s="49"/>
      <c r="AS5" s="49"/>
      <c r="AT5" s="49"/>
      <c r="AU5" s="49"/>
      <c r="AV5" s="49"/>
      <c r="AW5" s="49"/>
      <c r="AX5" s="49"/>
    </row>
    <row r="6" customFormat="false" ht="15" hidden="false" customHeight="false" outlineLevel="0" collapsed="false">
      <c r="A6" s="48"/>
      <c r="B6" s="50" t="s">
        <v>1141</v>
      </c>
      <c r="C6" s="50" t="s">
        <v>1142</v>
      </c>
      <c r="D6" s="50" t="s">
        <v>1143</v>
      </c>
      <c r="E6" s="50" t="s">
        <v>1144</v>
      </c>
      <c r="F6" s="50" t="s">
        <v>1145</v>
      </c>
      <c r="G6" s="50" t="s">
        <v>914</v>
      </c>
      <c r="H6" s="50" t="s">
        <v>915</v>
      </c>
      <c r="I6" s="50" t="s">
        <v>916</v>
      </c>
      <c r="J6" s="50" t="s">
        <v>917</v>
      </c>
      <c r="K6" s="50" t="s">
        <v>918</v>
      </c>
      <c r="L6" s="50" t="s">
        <v>919</v>
      </c>
      <c r="M6" s="50" t="s">
        <v>920</v>
      </c>
      <c r="N6" s="50" t="s">
        <v>921</v>
      </c>
      <c r="O6" s="50" t="s">
        <v>922</v>
      </c>
      <c r="P6" s="50" t="s">
        <v>923</v>
      </c>
      <c r="Q6" s="50" t="s">
        <v>924</v>
      </c>
      <c r="R6" s="50" t="s">
        <v>925</v>
      </c>
      <c r="S6" s="50" t="s">
        <v>926</v>
      </c>
      <c r="T6" s="50" t="s">
        <v>927</v>
      </c>
      <c r="U6" s="50" t="s">
        <v>928</v>
      </c>
      <c r="V6" s="50" t="s">
        <v>929</v>
      </c>
      <c r="W6" s="50" t="s">
        <v>930</v>
      </c>
      <c r="X6" s="50" t="s">
        <v>931</v>
      </c>
      <c r="Y6" s="50" t="s">
        <v>932</v>
      </c>
      <c r="Z6" s="50" t="s">
        <v>933</v>
      </c>
      <c r="AA6" s="50" t="s">
        <v>934</v>
      </c>
      <c r="AB6" s="50" t="s">
        <v>935</v>
      </c>
      <c r="AC6" s="50" t="s">
        <v>936</v>
      </c>
      <c r="AD6" s="50" t="s">
        <v>937</v>
      </c>
      <c r="AE6" s="50" t="s">
        <v>938</v>
      </c>
      <c r="AF6" s="50" t="s">
        <v>939</v>
      </c>
      <c r="AG6" s="50" t="s">
        <v>940</v>
      </c>
      <c r="AH6" s="50" t="s">
        <v>941</v>
      </c>
      <c r="AI6" s="50" t="s">
        <v>942</v>
      </c>
      <c r="AJ6" s="50" t="s">
        <v>943</v>
      </c>
      <c r="AK6" s="50" t="s">
        <v>944</v>
      </c>
      <c r="AL6" s="50" t="s">
        <v>945</v>
      </c>
      <c r="AM6" s="50" t="s">
        <v>946</v>
      </c>
      <c r="AN6" s="50" t="s">
        <v>947</v>
      </c>
      <c r="AO6" s="50" t="s">
        <v>948</v>
      </c>
      <c r="AP6" s="50" t="s">
        <v>949</v>
      </c>
      <c r="AQ6" s="50" t="s">
        <v>950</v>
      </c>
      <c r="AR6" s="50" t="s">
        <v>951</v>
      </c>
      <c r="AS6" s="50" t="s">
        <v>952</v>
      </c>
      <c r="AT6" s="50" t="s">
        <v>953</v>
      </c>
      <c r="AU6" s="50" t="s">
        <v>954</v>
      </c>
      <c r="AV6" s="50" t="s">
        <v>955</v>
      </c>
      <c r="AW6" s="50" t="s">
        <v>956</v>
      </c>
      <c r="AX6" s="50" t="s">
        <v>957</v>
      </c>
      <c r="AY6" s="50" t="s">
        <v>958</v>
      </c>
      <c r="AZ6" s="50" t="s">
        <v>959</v>
      </c>
      <c r="BA6" s="50" t="s">
        <v>960</v>
      </c>
      <c r="BB6" s="50" t="s">
        <v>961</v>
      </c>
      <c r="BC6" s="50" t="s">
        <v>962</v>
      </c>
      <c r="BD6" s="50" t="s">
        <v>963</v>
      </c>
      <c r="BE6" s="50" t="s">
        <v>964</v>
      </c>
      <c r="BF6" s="50" t="s">
        <v>965</v>
      </c>
      <c r="BG6" s="50" t="s">
        <v>966</v>
      </c>
      <c r="BH6" s="50" t="s">
        <v>967</v>
      </c>
      <c r="BI6" s="50" t="s">
        <v>968</v>
      </c>
      <c r="BJ6" s="50" t="s">
        <v>969</v>
      </c>
      <c r="BK6" s="50" t="s">
        <v>970</v>
      </c>
      <c r="BL6" s="50" t="s">
        <v>971</v>
      </c>
      <c r="BM6" s="50" t="s">
        <v>972</v>
      </c>
      <c r="BN6" s="50" t="s">
        <v>973</v>
      </c>
      <c r="BO6" s="50" t="s">
        <v>974</v>
      </c>
      <c r="BP6" s="50" t="s">
        <v>975</v>
      </c>
      <c r="BQ6" s="50" t="s">
        <v>976</v>
      </c>
      <c r="BR6" s="50" t="s">
        <v>977</v>
      </c>
      <c r="BS6" s="50" t="s">
        <v>978</v>
      </c>
      <c r="BT6" s="50" t="s">
        <v>979</v>
      </c>
      <c r="BU6" s="50" t="s">
        <v>980</v>
      </c>
      <c r="BV6" s="50" t="s">
        <v>981</v>
      </c>
      <c r="BW6" s="50" t="s">
        <v>982</v>
      </c>
      <c r="BX6" s="50" t="s">
        <v>983</v>
      </c>
      <c r="BY6" s="50" t="s">
        <v>984</v>
      </c>
      <c r="BZ6" s="50" t="s">
        <v>985</v>
      </c>
      <c r="CA6" s="50" t="s">
        <v>986</v>
      </c>
      <c r="CB6" s="50" t="s">
        <v>987</v>
      </c>
      <c r="CC6" s="50" t="s">
        <v>988</v>
      </c>
      <c r="CD6" s="50" t="s">
        <v>989</v>
      </c>
      <c r="CE6" s="50" t="s">
        <v>990</v>
      </c>
      <c r="CF6" s="50" t="s">
        <v>991</v>
      </c>
      <c r="CG6" s="50" t="s">
        <v>992</v>
      </c>
      <c r="CH6" s="50" t="s">
        <v>993</v>
      </c>
      <c r="CI6" s="50" t="s">
        <v>994</v>
      </c>
      <c r="CJ6" s="50" t="s">
        <v>995</v>
      </c>
      <c r="CK6" s="50" t="s">
        <v>996</v>
      </c>
      <c r="CL6" s="50" t="s">
        <v>997</v>
      </c>
      <c r="CM6" s="50" t="s">
        <v>998</v>
      </c>
      <c r="CN6" s="50" t="s">
        <v>999</v>
      </c>
      <c r="CO6" s="50" t="s">
        <v>1000</v>
      </c>
      <c r="CP6" s="50" t="s">
        <v>1001</v>
      </c>
      <c r="CQ6" s="50" t="s">
        <v>1002</v>
      </c>
      <c r="CR6" s="50" t="s">
        <v>1003</v>
      </c>
      <c r="CS6" s="50" t="s">
        <v>1004</v>
      </c>
      <c r="CT6" s="50" t="s">
        <v>1005</v>
      </c>
      <c r="CU6" s="50" t="s">
        <v>1006</v>
      </c>
      <c r="CV6" s="50" t="s">
        <v>1007</v>
      </c>
      <c r="CW6" s="50" t="s">
        <v>1008</v>
      </c>
      <c r="CX6" s="50" t="s">
        <v>1009</v>
      </c>
      <c r="CY6" s="50" t="s">
        <v>1010</v>
      </c>
      <c r="CZ6" s="50" t="s">
        <v>1011</v>
      </c>
      <c r="DA6" s="50" t="s">
        <v>1012</v>
      </c>
      <c r="DB6" s="50" t="s">
        <v>1013</v>
      </c>
      <c r="DC6" s="50" t="s">
        <v>1014</v>
      </c>
      <c r="DD6" s="50" t="s">
        <v>1015</v>
      </c>
      <c r="DE6" s="50" t="s">
        <v>1016</v>
      </c>
      <c r="DF6" s="50" t="s">
        <v>1017</v>
      </c>
      <c r="DG6" s="50" t="s">
        <v>1018</v>
      </c>
      <c r="DH6" s="50" t="s">
        <v>1019</v>
      </c>
      <c r="DI6" s="50" t="s">
        <v>1020</v>
      </c>
      <c r="DJ6" s="50" t="s">
        <v>1021</v>
      </c>
      <c r="DK6" s="50" t="s">
        <v>1022</v>
      </c>
      <c r="DL6" s="50" t="s">
        <v>1023</v>
      </c>
      <c r="DM6" s="50" t="s">
        <v>1024</v>
      </c>
      <c r="DN6" s="50" t="s">
        <v>1025</v>
      </c>
      <c r="DO6" s="50" t="s">
        <v>1026</v>
      </c>
      <c r="DP6" s="50" t="s">
        <v>1027</v>
      </c>
      <c r="DQ6" s="50" t="s">
        <v>1028</v>
      </c>
      <c r="DR6" s="50" t="s">
        <v>1029</v>
      </c>
      <c r="DS6" s="50" t="s">
        <v>1030</v>
      </c>
      <c r="DT6" s="50" t="s">
        <v>1031</v>
      </c>
      <c r="DU6" s="50" t="s">
        <v>1032</v>
      </c>
      <c r="DV6" s="50" t="s">
        <v>1033</v>
      </c>
      <c r="DW6" s="50" t="s">
        <v>1034</v>
      </c>
      <c r="DX6" s="50" t="s">
        <v>1035</v>
      </c>
      <c r="DY6" s="50" t="s">
        <v>1036</v>
      </c>
      <c r="DZ6" s="50" t="s">
        <v>1037</v>
      </c>
      <c r="EA6" s="50" t="s">
        <v>1038</v>
      </c>
      <c r="EB6" s="50" t="s">
        <v>1039</v>
      </c>
      <c r="EC6" s="50" t="s">
        <v>1040</v>
      </c>
      <c r="ED6" s="50" t="s">
        <v>1041</v>
      </c>
      <c r="EE6" s="50" t="s">
        <v>1042</v>
      </c>
      <c r="EF6" s="50" t="s">
        <v>1043</v>
      </c>
      <c r="EG6" s="50" t="s">
        <v>1044</v>
      </c>
      <c r="EH6" s="50" t="s">
        <v>1146</v>
      </c>
      <c r="EI6" s="50" t="s">
        <v>1046</v>
      </c>
      <c r="EJ6" s="50" t="s">
        <v>1047</v>
      </c>
      <c r="EK6" s="50" t="s">
        <v>1048</v>
      </c>
      <c r="EL6" s="50" t="s">
        <v>1049</v>
      </c>
      <c r="EM6" s="50" t="s">
        <v>1050</v>
      </c>
      <c r="EN6" s="50" t="s">
        <v>1051</v>
      </c>
      <c r="EO6" s="50" t="s">
        <v>1052</v>
      </c>
      <c r="EP6" s="50" t="s">
        <v>1053</v>
      </c>
      <c r="EQ6" s="50" t="s">
        <v>1054</v>
      </c>
      <c r="ER6" s="50" t="s">
        <v>1055</v>
      </c>
      <c r="ES6" s="50" t="s">
        <v>1056</v>
      </c>
      <c r="ET6" s="50" t="s">
        <v>1057</v>
      </c>
      <c r="EU6" s="50" t="s">
        <v>1058</v>
      </c>
      <c r="EV6" s="50" t="s">
        <v>1059</v>
      </c>
      <c r="EW6" s="50" t="s">
        <v>1060</v>
      </c>
      <c r="EX6" s="50" t="s">
        <v>1061</v>
      </c>
      <c r="EY6" s="50" t="s">
        <v>1062</v>
      </c>
      <c r="EZ6" s="50" t="s">
        <v>1063</v>
      </c>
      <c r="FA6" s="50" t="s">
        <v>1064</v>
      </c>
      <c r="FB6" s="50" t="s">
        <v>1065</v>
      </c>
      <c r="FC6" s="50" t="s">
        <v>1066</v>
      </c>
      <c r="FD6" s="50" t="s">
        <v>1067</v>
      </c>
      <c r="FE6" s="50" t="s">
        <v>1068</v>
      </c>
      <c r="FF6" s="50" t="s">
        <v>1069</v>
      </c>
      <c r="FG6" s="50" t="s">
        <v>1070</v>
      </c>
      <c r="FH6" s="50" t="s">
        <v>1071</v>
      </c>
      <c r="FI6" s="50" t="s">
        <v>1072</v>
      </c>
      <c r="FJ6" s="50" t="s">
        <v>1073</v>
      </c>
      <c r="FK6" s="50" t="s">
        <v>1074</v>
      </c>
      <c r="FL6" s="50" t="s">
        <v>1075</v>
      </c>
      <c r="FM6" s="50" t="s">
        <v>1076</v>
      </c>
      <c r="FN6" s="50" t="s">
        <v>1077</v>
      </c>
      <c r="FO6" s="50" t="s">
        <v>1078</v>
      </c>
      <c r="FP6" s="50" t="s">
        <v>1079</v>
      </c>
      <c r="FQ6" s="50" t="s">
        <v>1080</v>
      </c>
      <c r="FR6" s="50" t="s">
        <v>1081</v>
      </c>
      <c r="FS6" s="50" t="s">
        <v>1082</v>
      </c>
      <c r="FT6" s="50" t="s">
        <v>1083</v>
      </c>
      <c r="FU6" s="50" t="s">
        <v>1084</v>
      </c>
      <c r="FV6" s="50" t="s">
        <v>1085</v>
      </c>
      <c r="FW6" s="50" t="s">
        <v>1086</v>
      </c>
      <c r="FX6" s="50" t="s">
        <v>1087</v>
      </c>
      <c r="FY6" s="50" t="s">
        <v>1088</v>
      </c>
      <c r="FZ6" s="50" t="s">
        <v>1089</v>
      </c>
      <c r="GA6" s="50" t="s">
        <v>1090</v>
      </c>
      <c r="GB6" s="50" t="s">
        <v>1091</v>
      </c>
      <c r="GC6" s="50" t="s">
        <v>1092</v>
      </c>
      <c r="GD6" s="50" t="s">
        <v>1093</v>
      </c>
      <c r="GE6" s="50" t="s">
        <v>1094</v>
      </c>
      <c r="GF6" s="50" t="s">
        <v>1095</v>
      </c>
      <c r="GG6" s="50" t="s">
        <v>1096</v>
      </c>
      <c r="GH6" s="50" t="s">
        <v>1097</v>
      </c>
      <c r="GI6" s="50" t="s">
        <v>1098</v>
      </c>
      <c r="GJ6" s="50" t="s">
        <v>1099</v>
      </c>
      <c r="GK6" s="50" t="s">
        <v>1100</v>
      </c>
      <c r="GL6" s="50" t="s">
        <v>1101</v>
      </c>
      <c r="GM6" s="50" t="s">
        <v>1102</v>
      </c>
      <c r="GN6" s="50" t="s">
        <v>1103</v>
      </c>
      <c r="GO6" s="50" t="s">
        <v>1104</v>
      </c>
      <c r="GP6" s="50" t="s">
        <v>1105</v>
      </c>
      <c r="GQ6" s="50" t="s">
        <v>1106</v>
      </c>
      <c r="GR6" s="50" t="s">
        <v>1107</v>
      </c>
      <c r="GS6" s="50" t="s">
        <v>1108</v>
      </c>
      <c r="GT6" s="50" t="s">
        <v>1109</v>
      </c>
      <c r="GU6" s="50" t="s">
        <v>1110</v>
      </c>
      <c r="GV6" s="50" t="s">
        <v>1111</v>
      </c>
      <c r="GW6" s="50" t="s">
        <v>1112</v>
      </c>
      <c r="GX6" s="50" t="s">
        <v>1113</v>
      </c>
      <c r="GY6" s="50" t="s">
        <v>1147</v>
      </c>
      <c r="GZ6" s="50" t="s">
        <v>1115</v>
      </c>
      <c r="HA6" s="50" t="s">
        <v>1116</v>
      </c>
      <c r="HB6" s="50" t="s">
        <v>1117</v>
      </c>
      <c r="HC6" s="50" t="s">
        <v>1118</v>
      </c>
      <c r="HD6" s="50" t="s">
        <v>1119</v>
      </c>
      <c r="HE6" s="50" t="s">
        <v>1120</v>
      </c>
      <c r="HF6" s="50" t="s">
        <v>1148</v>
      </c>
      <c r="HG6" s="50" t="s">
        <v>1122</v>
      </c>
      <c r="HH6" s="50" t="s">
        <v>1149</v>
      </c>
      <c r="HI6" s="50" t="s">
        <v>1124</v>
      </c>
      <c r="HJ6" s="50" t="s">
        <v>1150</v>
      </c>
      <c r="HK6" s="50" t="s">
        <v>1126</v>
      </c>
      <c r="HL6" s="50" t="s">
        <v>1151</v>
      </c>
      <c r="HM6" s="50" t="s">
        <v>1128</v>
      </c>
      <c r="HN6" s="50" t="s">
        <v>1152</v>
      </c>
      <c r="HO6" s="50" t="s">
        <v>1130</v>
      </c>
      <c r="HP6" s="50" t="s">
        <v>1153</v>
      </c>
      <c r="HQ6" s="50" t="s">
        <v>1132</v>
      </c>
      <c r="HR6" s="50" t="s">
        <v>1154</v>
      </c>
      <c r="HS6" s="50" t="s">
        <v>1134</v>
      </c>
      <c r="HT6" s="50" t="s">
        <v>1155</v>
      </c>
      <c r="HU6" s="50" t="s">
        <v>1136</v>
      </c>
      <c r="HV6" s="50" t="s">
        <v>1137</v>
      </c>
      <c r="HW6" s="50" t="s">
        <v>1138</v>
      </c>
      <c r="HX6" s="50" t="s">
        <v>1139</v>
      </c>
    </row>
    <row r="7" customFormat="false" ht="15" hidden="false" customHeight="false" outlineLevel="0" collapsed="false">
      <c r="A7" s="51"/>
      <c r="B7" s="52" t="str">
        <f aca="false">targets[Dsnulist]&amp;" "&amp;targets[D_indicatortype]&amp;" "&amp;targets[D_mechanismid]</f>
        <v>Paste Data Pack Values here (starting in cell C7)</v>
      </c>
      <c r="C7" s="33" t="s">
        <v>1156</v>
      </c>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c r="HT7" s="49"/>
      <c r="HU7" s="49"/>
      <c r="HV7" s="49"/>
      <c r="HW7" s="49"/>
      <c r="HX7" s="49"/>
    </row>
  </sheetData>
  <mergeCells count="3">
    <mergeCell ref="A1:A2"/>
    <mergeCell ref="G1:DO1"/>
    <mergeCell ref="DP1:HX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7.xml><?xml version="1.0" encoding="utf-8"?>
<worksheet xmlns="http://schemas.openxmlformats.org/spreadsheetml/2006/main" xmlns:r="http://schemas.openxmlformats.org/officeDocument/2006/relationships">
  <sheetPr filterMode="false">
    <pageSetUpPr fitToPage="false"/>
  </sheetPr>
  <dimension ref="A1:CI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F4" activeCellId="0" sqref="F4"/>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47" min="10" style="33" width="11.5708502024291"/>
    <col collapsed="false" hidden="false" max="48" min="48" style="33" width="13.1740890688259"/>
    <col collapsed="false" hidden="false" max="50" min="49" style="0" width="11.5708502024291"/>
    <col collapsed="false" hidden="false" max="51" min="51" style="0" width="12.6396761133603"/>
    <col collapsed="false" hidden="false" max="52" min="52" style="0" width="12.748987854251"/>
    <col collapsed="false" hidden="false" max="53" min="53" style="0" width="12.3198380566802"/>
    <col collapsed="false" hidden="false" max="68" min="54" style="0" width="13.1740890688259"/>
    <col collapsed="false" hidden="false" max="73" min="69" style="0" width="11.5708502024291"/>
    <col collapsed="false" hidden="false" max="87" min="74" style="0" width="13.1740890688259"/>
    <col collapsed="false" hidden="false" max="1025" min="88" style="0" width="8.57085020242915"/>
  </cols>
  <sheetData>
    <row r="1" s="33" customFormat="true" ht="23.25" hidden="false" customHeight="false" outlineLevel="0" collapsed="false">
      <c r="A1" s="34"/>
      <c r="C1" s="54" t="s">
        <v>11</v>
      </c>
      <c r="D1" s="35"/>
      <c r="J1" s="55" t="s">
        <v>1157</v>
      </c>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6"/>
      <c r="AU1" s="56" t="s">
        <v>1158</v>
      </c>
      <c r="AV1" s="36" t="s">
        <v>1159</v>
      </c>
      <c r="AW1" s="37" t="s">
        <v>1160</v>
      </c>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row>
    <row r="2" s="35" customFormat="true" ht="15" hidden="false" customHeight="false" outlineLevel="0" collapsed="false">
      <c r="A2" s="34"/>
      <c r="B2" s="35" t="s">
        <v>808</v>
      </c>
      <c r="C2" s="35" t="s">
        <v>808</v>
      </c>
      <c r="D2" s="35" t="s">
        <v>808</v>
      </c>
      <c r="E2" s="35" t="s">
        <v>808</v>
      </c>
      <c r="F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c r="AV2" s="35" t="s">
        <v>808</v>
      </c>
      <c r="AW2" s="35" t="s">
        <v>808</v>
      </c>
      <c r="AX2" s="35" t="s">
        <v>808</v>
      </c>
      <c r="AY2" s="35" t="s">
        <v>808</v>
      </c>
      <c r="AZ2" s="35" t="s">
        <v>808</v>
      </c>
      <c r="BA2" s="35" t="s">
        <v>808</v>
      </c>
      <c r="BB2" s="35" t="s">
        <v>808</v>
      </c>
      <c r="BC2" s="35" t="s">
        <v>808</v>
      </c>
      <c r="BD2" s="35" t="s">
        <v>808</v>
      </c>
      <c r="BE2" s="35" t="s">
        <v>808</v>
      </c>
      <c r="BF2" s="35" t="s">
        <v>808</v>
      </c>
      <c r="BG2" s="35" t="s">
        <v>808</v>
      </c>
      <c r="BH2" s="35" t="s">
        <v>808</v>
      </c>
      <c r="BI2" s="35" t="s">
        <v>808</v>
      </c>
      <c r="BJ2" s="35" t="s">
        <v>808</v>
      </c>
      <c r="BK2" s="35" t="s">
        <v>808</v>
      </c>
      <c r="BL2" s="35" t="s">
        <v>808</v>
      </c>
      <c r="BM2" s="35" t="s">
        <v>808</v>
      </c>
      <c r="BN2" s="35" t="s">
        <v>808</v>
      </c>
      <c r="BO2" s="35" t="s">
        <v>808</v>
      </c>
      <c r="BP2" s="35" t="s">
        <v>808</v>
      </c>
      <c r="BQ2" s="35" t="s">
        <v>808</v>
      </c>
      <c r="BR2" s="35" t="s">
        <v>808</v>
      </c>
      <c r="BS2" s="35" t="s">
        <v>808</v>
      </c>
      <c r="BT2" s="35" t="s">
        <v>808</v>
      </c>
      <c r="BU2" s="35" t="s">
        <v>808</v>
      </c>
      <c r="BV2" s="35" t="s">
        <v>808</v>
      </c>
      <c r="BW2" s="35" t="s">
        <v>808</v>
      </c>
      <c r="BX2" s="35" t="s">
        <v>808</v>
      </c>
      <c r="BY2" s="35" t="s">
        <v>808</v>
      </c>
      <c r="BZ2" s="35" t="s">
        <v>808</v>
      </c>
      <c r="CA2" s="35" t="s">
        <v>808</v>
      </c>
      <c r="CB2" s="35" t="s">
        <v>808</v>
      </c>
      <c r="CC2" s="35" t="s">
        <v>808</v>
      </c>
      <c r="CD2" s="35" t="s">
        <v>808</v>
      </c>
      <c r="CE2" s="35" t="s">
        <v>808</v>
      </c>
      <c r="CF2" s="35" t="s">
        <v>808</v>
      </c>
      <c r="CG2" s="35" t="s">
        <v>808</v>
      </c>
      <c r="CH2" s="35" t="s">
        <v>808</v>
      </c>
      <c r="CI2" s="35" t="s">
        <v>808</v>
      </c>
    </row>
    <row r="3" s="4" customFormat="true" ht="15" hidden="false" customHeight="false" outlineLevel="0" collapsed="false">
      <c r="A3" s="38"/>
      <c r="C3" s="33"/>
      <c r="D3" s="35"/>
      <c r="E3" s="39"/>
      <c r="F3" s="39"/>
      <c r="G3" s="39"/>
      <c r="H3" s="40"/>
      <c r="I3" s="40"/>
      <c r="J3" s="57" t="s">
        <v>17</v>
      </c>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9"/>
      <c r="AU3" s="60" t="s">
        <v>1161</v>
      </c>
      <c r="AV3" s="61" t="s">
        <v>1162</v>
      </c>
      <c r="AW3" s="62" t="s">
        <v>17</v>
      </c>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4" t="s">
        <v>96</v>
      </c>
      <c r="CH3" s="62" t="s">
        <v>1163</v>
      </c>
      <c r="CI3" s="65"/>
    </row>
    <row r="4" s="33" customFormat="true" ht="135.75" hidden="false" customHeight="true" outlineLevel="0" collapsed="false">
      <c r="A4" s="38"/>
      <c r="C4" s="44" t="s">
        <v>910</v>
      </c>
      <c r="D4" s="44" t="s">
        <v>1164</v>
      </c>
      <c r="E4" s="44" t="s">
        <v>911</v>
      </c>
      <c r="F4" s="44" t="s">
        <v>912</v>
      </c>
      <c r="G4" s="44" t="s">
        <v>1165</v>
      </c>
      <c r="H4" s="44" t="s">
        <v>913</v>
      </c>
      <c r="I4" s="44" t="s">
        <v>1166</v>
      </c>
      <c r="J4" s="66" t="s">
        <v>18</v>
      </c>
      <c r="K4" s="67" t="s">
        <v>21</v>
      </c>
      <c r="L4" s="67" t="s">
        <v>24</v>
      </c>
      <c r="M4" s="67" t="s">
        <v>26</v>
      </c>
      <c r="N4" s="67" t="s">
        <v>29</v>
      </c>
      <c r="O4" s="67" t="s">
        <v>31</v>
      </c>
      <c r="P4" s="67" t="s">
        <v>33</v>
      </c>
      <c r="Q4" s="67" t="s">
        <v>35</v>
      </c>
      <c r="R4" s="67" t="s">
        <v>38</v>
      </c>
      <c r="S4" s="67" t="s">
        <v>40</v>
      </c>
      <c r="T4" s="67" t="s">
        <v>42</v>
      </c>
      <c r="U4" s="67" t="s">
        <v>44</v>
      </c>
      <c r="V4" s="67" t="s">
        <v>47</v>
      </c>
      <c r="W4" s="67" t="s">
        <v>49</v>
      </c>
      <c r="X4" s="67" t="s">
        <v>51</v>
      </c>
      <c r="Y4" s="67" t="s">
        <v>53</v>
      </c>
      <c r="Z4" s="67" t="s">
        <v>55</v>
      </c>
      <c r="AA4" s="67" t="s">
        <v>57</v>
      </c>
      <c r="AB4" s="67" t="s">
        <v>59</v>
      </c>
      <c r="AC4" s="67" t="s">
        <v>61</v>
      </c>
      <c r="AD4" s="67" t="s">
        <v>63</v>
      </c>
      <c r="AE4" s="67" t="s">
        <v>65</v>
      </c>
      <c r="AF4" s="67" t="s">
        <v>67</v>
      </c>
      <c r="AG4" s="67" t="s">
        <v>69</v>
      </c>
      <c r="AH4" s="67" t="s">
        <v>71</v>
      </c>
      <c r="AI4" s="67" t="s">
        <v>73</v>
      </c>
      <c r="AJ4" s="67" t="s">
        <v>75</v>
      </c>
      <c r="AK4" s="67" t="s">
        <v>77</v>
      </c>
      <c r="AL4" s="67" t="s">
        <v>79</v>
      </c>
      <c r="AM4" s="67" t="s">
        <v>81</v>
      </c>
      <c r="AN4" s="67" t="s">
        <v>83</v>
      </c>
      <c r="AO4" s="67" t="s">
        <v>85</v>
      </c>
      <c r="AP4" s="67" t="s">
        <v>88</v>
      </c>
      <c r="AQ4" s="67" t="s">
        <v>90</v>
      </c>
      <c r="AR4" s="67" t="s">
        <v>92</v>
      </c>
      <c r="AS4" s="67" t="s">
        <v>94</v>
      </c>
      <c r="AT4" s="68" t="s">
        <v>1167</v>
      </c>
      <c r="AU4" s="69" t="s">
        <v>17</v>
      </c>
      <c r="AV4" s="45" t="s">
        <v>11</v>
      </c>
      <c r="AW4" s="70" t="s">
        <v>18</v>
      </c>
      <c r="AX4" s="71" t="s">
        <v>21</v>
      </c>
      <c r="AY4" s="71" t="s">
        <v>24</v>
      </c>
      <c r="AZ4" s="71" t="s">
        <v>26</v>
      </c>
      <c r="BA4" s="71" t="s">
        <v>29</v>
      </c>
      <c r="BB4" s="71" t="s">
        <v>31</v>
      </c>
      <c r="BC4" s="71" t="s">
        <v>33</v>
      </c>
      <c r="BD4" s="71" t="s">
        <v>35</v>
      </c>
      <c r="BE4" s="71" t="s">
        <v>38</v>
      </c>
      <c r="BF4" s="71" t="s">
        <v>40</v>
      </c>
      <c r="BG4" s="71" t="s">
        <v>42</v>
      </c>
      <c r="BH4" s="71" t="s">
        <v>44</v>
      </c>
      <c r="BI4" s="71" t="s">
        <v>47</v>
      </c>
      <c r="BJ4" s="71" t="s">
        <v>49</v>
      </c>
      <c r="BK4" s="71" t="s">
        <v>51</v>
      </c>
      <c r="BL4" s="71" t="s">
        <v>53</v>
      </c>
      <c r="BM4" s="71" t="s">
        <v>55</v>
      </c>
      <c r="BN4" s="71" t="s">
        <v>57</v>
      </c>
      <c r="BO4" s="71" t="s">
        <v>59</v>
      </c>
      <c r="BP4" s="71" t="s">
        <v>61</v>
      </c>
      <c r="BQ4" s="71" t="s">
        <v>63</v>
      </c>
      <c r="BR4" s="71" t="s">
        <v>65</v>
      </c>
      <c r="BS4" s="71" t="s">
        <v>67</v>
      </c>
      <c r="BT4" s="71" t="s">
        <v>69</v>
      </c>
      <c r="BU4" s="71" t="s">
        <v>71</v>
      </c>
      <c r="BV4" s="71" t="s">
        <v>73</v>
      </c>
      <c r="BW4" s="71" t="s">
        <v>75</v>
      </c>
      <c r="BX4" s="71" t="s">
        <v>77</v>
      </c>
      <c r="BY4" s="71" t="s">
        <v>79</v>
      </c>
      <c r="BZ4" s="71" t="s">
        <v>81</v>
      </c>
      <c r="CA4" s="71" t="s">
        <v>83</v>
      </c>
      <c r="CB4" s="71" t="s">
        <v>85</v>
      </c>
      <c r="CC4" s="71" t="s">
        <v>88</v>
      </c>
      <c r="CD4" s="71" t="s">
        <v>90</v>
      </c>
      <c r="CE4" s="71" t="s">
        <v>92</v>
      </c>
      <c r="CF4" s="71" t="s">
        <v>94</v>
      </c>
      <c r="CG4" s="72" t="s">
        <v>96</v>
      </c>
      <c r="CH4" s="70" t="s">
        <v>15</v>
      </c>
      <c r="CI4" s="73" t="s">
        <v>20</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0"/>
      <c r="AW5" s="74" t="n">
        <f aca="false">SUBTOTAL(109,gend_gbv_T[gend_gbv_u10_f_pev])</f>
        <v>0</v>
      </c>
      <c r="AX5" s="74" t="n">
        <f aca="false">SUBTOTAL(109,gend_gbv_T[gend_gbv_u10_f_sv])</f>
        <v>0</v>
      </c>
      <c r="AY5" s="74" t="n">
        <f aca="false">SUBTOTAL(109,gend_gbv_T[gend_gbv_u10_m_pev])</f>
        <v>0</v>
      </c>
      <c r="AZ5" s="74" t="n">
        <f aca="false">SUBTOTAL(109,gend_gbv_T[gend_gbv_u10_m_sv])</f>
        <v>0</v>
      </c>
      <c r="BA5" s="74" t="n">
        <f aca="false">SUBTOTAL(109,gend_gbv_T[gend_gbv_1014_f_pev])</f>
        <v>0</v>
      </c>
      <c r="BB5" s="74" t="n">
        <f aca="false">SUBTOTAL(109,gend_gbv_T[gend_gbv_1014_f_sv])</f>
        <v>0</v>
      </c>
      <c r="BC5" s="74" t="n">
        <f aca="false">SUBTOTAL(109,gend_gbv_T[gend_gbv_1014_m_pev])</f>
        <v>0</v>
      </c>
      <c r="BD5" s="74" t="n">
        <f aca="false">SUBTOTAL(109,gend_gbv_T[gend_gbv_1014_m_sv])</f>
        <v>0</v>
      </c>
      <c r="BE5" s="74" t="n">
        <f aca="false">SUBTOTAL(109,gend_gbv_T[gend_gbv_1519_f_pev])</f>
        <v>0</v>
      </c>
      <c r="BF5" s="74" t="n">
        <f aca="false">SUBTOTAL(109,gend_gbv_T[gend_gbv_1519_f_sv])</f>
        <v>0</v>
      </c>
      <c r="BG5" s="74" t="n">
        <f aca="false">SUBTOTAL(109,gend_gbv_T[gend_gbv_1519_m_pev])</f>
        <v>0</v>
      </c>
      <c r="BH5" s="74" t="n">
        <f aca="false">SUBTOTAL(109,gend_gbv_T[gend_gbv_1519_m_sv])</f>
        <v>0</v>
      </c>
      <c r="BI5" s="74" t="n">
        <f aca="false">SUBTOTAL(109,gend_gbv_T[gend_gbv_2024_f_pev])</f>
        <v>0</v>
      </c>
      <c r="BJ5" s="74" t="n">
        <f aca="false">SUBTOTAL(109,gend_gbv_T[gend_gbv_2024_f_sv])</f>
        <v>0</v>
      </c>
      <c r="BK5" s="74" t="n">
        <f aca="false">SUBTOTAL(109,gend_gbv_T[gend_gbv_2024_m_pev])</f>
        <v>0</v>
      </c>
      <c r="BL5" s="74" t="n">
        <f aca="false">SUBTOTAL(109,gend_gbv_T[gend_gbv_2024_m_sv])</f>
        <v>0</v>
      </c>
      <c r="BM5" s="74" t="n">
        <f aca="false">SUBTOTAL(109,gend_gbv_T[gend_gbv_2529_f_pev])</f>
        <v>0</v>
      </c>
      <c r="BN5" s="74" t="n">
        <f aca="false">SUBTOTAL(109,gend_gbv_T[gend_gbv_2529_f_sv])</f>
        <v>0</v>
      </c>
      <c r="BO5" s="74" t="n">
        <f aca="false">SUBTOTAL(109,gend_gbv_T[gend_gbv_2529_m_pev])</f>
        <v>0</v>
      </c>
      <c r="BP5" s="74" t="n">
        <f aca="false">SUBTOTAL(109,gend_gbv_T[gend_gbv_2529_m_sv])</f>
        <v>0</v>
      </c>
      <c r="BQ5" s="74" t="n">
        <f aca="false">SUBTOTAL(109,gend_gbv_T[gend_gbv_3034_f_pev])</f>
        <v>0</v>
      </c>
      <c r="BR5" s="74" t="n">
        <f aca="false">SUBTOTAL(109,gend_gbv_T[gend_gbv_3034_f_sv])</f>
        <v>0</v>
      </c>
      <c r="BS5" s="74" t="n">
        <f aca="false">SUBTOTAL(109,gend_gbv_T[gend_gbv_3034_m_pev])</f>
        <v>0</v>
      </c>
      <c r="BT5" s="74" t="n">
        <f aca="false">SUBTOTAL(109,gend_gbv_T[gend_gbv_3034_m_sv])</f>
        <v>0</v>
      </c>
      <c r="BU5" s="74" t="n">
        <f aca="false">SUBTOTAL(109,gend_gbv_T[gend_gbv_3539_f_pev])</f>
        <v>0</v>
      </c>
      <c r="BV5" s="74" t="n">
        <f aca="false">SUBTOTAL(109,gend_gbv_T[gend_gbv_3539_f_sv])</f>
        <v>0</v>
      </c>
      <c r="BW5" s="74" t="n">
        <f aca="false">SUBTOTAL(109,gend_gbv_T[gend_gbv_3539_m_pev])</f>
        <v>0</v>
      </c>
      <c r="BX5" s="74" t="n">
        <f aca="false">SUBTOTAL(109,gend_gbv_T[gend_gbv_3539_m_sv])</f>
        <v>0</v>
      </c>
      <c r="BY5" s="74" t="n">
        <f aca="false">SUBTOTAL(109,gend_gbv_T[gend_gbv_4049_f_pev])</f>
        <v>0</v>
      </c>
      <c r="BZ5" s="74" t="n">
        <f aca="false">SUBTOTAL(109,gend_gbv_T[gend_gbv_4049_f_sv])</f>
        <v>0</v>
      </c>
      <c r="CA5" s="74" t="n">
        <f aca="false">SUBTOTAL(109,gend_gbv_T[gend_gbv_4049_m_pev])</f>
        <v>0</v>
      </c>
      <c r="CB5" s="74" t="n">
        <f aca="false">SUBTOTAL(109,gend_gbv_T[gend_gbv_4049_m_sv])</f>
        <v>0</v>
      </c>
      <c r="CC5" s="74" t="n">
        <f aca="false">SUBTOTAL(109,gend_gbv_T[gend_gbv_o50_f_pev])</f>
        <v>0</v>
      </c>
      <c r="CD5" s="74" t="n">
        <f aca="false">SUBTOTAL(109,gend_gbv_T[gend_gbv_o50_f_sv])</f>
        <v>0</v>
      </c>
      <c r="CE5" s="74" t="n">
        <f aca="false">SUBTOTAL(109,gend_gbv_T[gend_gbv_o50_m_pev])</f>
        <v>0</v>
      </c>
      <c r="CF5" s="74" t="n">
        <f aca="false">SUBTOTAL(109,gend_gbv_T[gend_gbv_o50_m_sv])</f>
        <v>0</v>
      </c>
      <c r="CG5" s="74" t="n">
        <f aca="false">SUBTOTAL(109,gend_gbv_T[gend_gbv_pep])</f>
        <v>0</v>
      </c>
      <c r="CH5" s="74" t="n">
        <f aca="false">SUBTOTAL(109,gend_gbv_T[gend_gbv_pev])</f>
        <v>0</v>
      </c>
      <c r="CI5" s="74" t="n">
        <f aca="false">SUBTOTAL(109,gend_gbv_T[gend_gbv_sv])</f>
        <v>0</v>
      </c>
    </row>
    <row r="6" customFormat="false" ht="15" hidden="false" customHeight="false" outlineLevel="0" collapsed="false">
      <c r="A6" s="48"/>
      <c r="C6" s="50" t="s">
        <v>1168</v>
      </c>
      <c r="D6" s="50" t="s">
        <v>1169</v>
      </c>
      <c r="E6" s="50" t="s">
        <v>1170</v>
      </c>
      <c r="F6" s="50" t="s">
        <v>1171</v>
      </c>
      <c r="G6" s="50" t="s">
        <v>1172</v>
      </c>
      <c r="H6" s="50" t="s">
        <v>1173</v>
      </c>
      <c r="I6" s="50" t="s">
        <v>1174</v>
      </c>
      <c r="J6" s="50" t="s">
        <v>19</v>
      </c>
      <c r="K6" s="50" t="s">
        <v>22</v>
      </c>
      <c r="L6" s="50" t="s">
        <v>25</v>
      </c>
      <c r="M6" s="50" t="s">
        <v>27</v>
      </c>
      <c r="N6" s="50" t="s">
        <v>30</v>
      </c>
      <c r="O6" s="50" t="s">
        <v>32</v>
      </c>
      <c r="P6" s="50" t="s">
        <v>34</v>
      </c>
      <c r="Q6" s="50" t="s">
        <v>36</v>
      </c>
      <c r="R6" s="50" t="s">
        <v>39</v>
      </c>
      <c r="S6" s="50" t="s">
        <v>41</v>
      </c>
      <c r="T6" s="50" t="s">
        <v>43</v>
      </c>
      <c r="U6" s="50" t="s">
        <v>45</v>
      </c>
      <c r="V6" s="50" t="s">
        <v>48</v>
      </c>
      <c r="W6" s="50" t="s">
        <v>50</v>
      </c>
      <c r="X6" s="50" t="s">
        <v>52</v>
      </c>
      <c r="Y6" s="50" t="s">
        <v>54</v>
      </c>
      <c r="Z6" s="50" t="s">
        <v>56</v>
      </c>
      <c r="AA6" s="50" t="s">
        <v>58</v>
      </c>
      <c r="AB6" s="50" t="s">
        <v>60</v>
      </c>
      <c r="AC6" s="50" t="s">
        <v>62</v>
      </c>
      <c r="AD6" s="50" t="s">
        <v>64</v>
      </c>
      <c r="AE6" s="50" t="s">
        <v>66</v>
      </c>
      <c r="AF6" s="50" t="s">
        <v>68</v>
      </c>
      <c r="AG6" s="50" t="s">
        <v>70</v>
      </c>
      <c r="AH6" s="50" t="s">
        <v>72</v>
      </c>
      <c r="AI6" s="50" t="s">
        <v>74</v>
      </c>
      <c r="AJ6" s="50" t="s">
        <v>76</v>
      </c>
      <c r="AK6" s="50" t="s">
        <v>78</v>
      </c>
      <c r="AL6" s="50" t="s">
        <v>80</v>
      </c>
      <c r="AM6" s="50" t="s">
        <v>82</v>
      </c>
      <c r="AN6" s="50" t="s">
        <v>84</v>
      </c>
      <c r="AO6" s="50" t="s">
        <v>86</v>
      </c>
      <c r="AP6" s="50" t="s">
        <v>89</v>
      </c>
      <c r="AQ6" s="50" t="s">
        <v>91</v>
      </c>
      <c r="AR6" s="50" t="s">
        <v>93</v>
      </c>
      <c r="AS6" s="50" t="s">
        <v>95</v>
      </c>
      <c r="AT6" s="50" t="s">
        <v>97</v>
      </c>
      <c r="AU6" s="50" t="s">
        <v>1175</v>
      </c>
      <c r="AV6" s="50" t="s">
        <v>1138</v>
      </c>
      <c r="AW6" s="50" t="s">
        <v>1176</v>
      </c>
      <c r="AX6" s="50" t="s">
        <v>1177</v>
      </c>
      <c r="AY6" s="50" t="s">
        <v>1178</v>
      </c>
      <c r="AZ6" s="50" t="s">
        <v>1179</v>
      </c>
      <c r="BA6" s="50" t="s">
        <v>1180</v>
      </c>
      <c r="BB6" s="50" t="s">
        <v>1181</v>
      </c>
      <c r="BC6" s="50" t="s">
        <v>1182</v>
      </c>
      <c r="BD6" s="50" t="s">
        <v>1183</v>
      </c>
      <c r="BE6" s="50" t="s">
        <v>1184</v>
      </c>
      <c r="BF6" s="50" t="s">
        <v>1185</v>
      </c>
      <c r="BG6" s="50" t="s">
        <v>1186</v>
      </c>
      <c r="BH6" s="50" t="s">
        <v>1187</v>
      </c>
      <c r="BI6" s="50" t="s">
        <v>1188</v>
      </c>
      <c r="BJ6" s="50" t="s">
        <v>1189</v>
      </c>
      <c r="BK6" s="50" t="s">
        <v>1190</v>
      </c>
      <c r="BL6" s="50" t="s">
        <v>1191</v>
      </c>
      <c r="BM6" s="50" t="s">
        <v>1192</v>
      </c>
      <c r="BN6" s="50" t="s">
        <v>1193</v>
      </c>
      <c r="BO6" s="50" t="s">
        <v>1194</v>
      </c>
      <c r="BP6" s="50" t="s">
        <v>1195</v>
      </c>
      <c r="BQ6" s="50" t="s">
        <v>1196</v>
      </c>
      <c r="BR6" s="50" t="s">
        <v>1197</v>
      </c>
      <c r="BS6" s="50" t="s">
        <v>1198</v>
      </c>
      <c r="BT6" s="50" t="s">
        <v>1199</v>
      </c>
      <c r="BU6" s="50" t="s">
        <v>1200</v>
      </c>
      <c r="BV6" s="50" t="s">
        <v>1201</v>
      </c>
      <c r="BW6" s="50" t="s">
        <v>1202</v>
      </c>
      <c r="BX6" s="50" t="s">
        <v>1203</v>
      </c>
      <c r="BY6" s="50" t="s">
        <v>1204</v>
      </c>
      <c r="BZ6" s="50" t="s">
        <v>1205</v>
      </c>
      <c r="CA6" s="50" t="s">
        <v>1206</v>
      </c>
      <c r="CB6" s="50" t="s">
        <v>1207</v>
      </c>
      <c r="CC6" s="50" t="s">
        <v>1208</v>
      </c>
      <c r="CD6" s="50" t="s">
        <v>1209</v>
      </c>
      <c r="CE6" s="50" t="s">
        <v>1210</v>
      </c>
      <c r="CF6" s="50" t="s">
        <v>1211</v>
      </c>
      <c r="CG6" s="50" t="s">
        <v>1212</v>
      </c>
      <c r="CH6" s="50" t="s">
        <v>1213</v>
      </c>
      <c r="CI6" s="50" t="s">
        <v>1214</v>
      </c>
    </row>
    <row r="7" customFormat="false" ht="15" hidden="false" customHeight="false" outlineLevel="0" collapsed="false">
      <c r="A7" s="51"/>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75" t="n">
        <f aca="false">SUM(gend_gbv_T[[#This Row],[A_gend_gbv_u10_f_pev]:[A_gend_gbv_o50_m_sv]])</f>
        <v>0</v>
      </c>
      <c r="AV7" s="49"/>
      <c r="AW7" s="49" t="n">
        <f aca="false">gend_gbv_T[[D_gend_gbv_fy19]:[D_gend_gbv_fy19]]*gend_gbv_T[A_gend_gbv_u10_f_pev]</f>
        <v>0</v>
      </c>
      <c r="AX7" s="49" t="n">
        <f aca="false">gend_gbv_T[[D_gend_gbv_fy19]:[D_gend_gbv_fy19]]*gend_gbv_T[A_gend_gbv_u10_f_sv]</f>
        <v>0</v>
      </c>
      <c r="AY7" s="49" t="n">
        <f aca="false">gend_gbv_T[[D_gend_gbv_fy19]:[D_gend_gbv_fy19]]*gend_gbv_T[A_gend_gbv_u10_m_pev]</f>
        <v>0</v>
      </c>
      <c r="AZ7" s="49" t="n">
        <f aca="false">gend_gbv_T[[D_gend_gbv_fy19]:[D_gend_gbv_fy19]]*gend_gbv_T[A_gend_gbv_u10_m_sv]</f>
        <v>0</v>
      </c>
      <c r="BA7" s="49" t="n">
        <f aca="false">gend_gbv_T[[D_gend_gbv_fy19]:[D_gend_gbv_fy19]]*gend_gbv_T[A_gend_gbv_1014_f_pev]</f>
        <v>0</v>
      </c>
      <c r="BB7" s="49" t="n">
        <f aca="false">gend_gbv_T[[D_gend_gbv_fy19]:[D_gend_gbv_fy19]]*gend_gbv_T[A_gend_gbv_1014_f_sv]</f>
        <v>0</v>
      </c>
      <c r="BC7" s="49" t="n">
        <f aca="false">gend_gbv_T[[D_gend_gbv_fy19]:[D_gend_gbv_fy19]]*gend_gbv_T[A_gend_gbv_1014_m_pev]</f>
        <v>0</v>
      </c>
      <c r="BD7" s="49" t="n">
        <f aca="false">gend_gbv_T[[D_gend_gbv_fy19]:[D_gend_gbv_fy19]]*gend_gbv_T[A_gend_gbv_1014_m_sv]</f>
        <v>0</v>
      </c>
      <c r="BE7" s="49" t="n">
        <f aca="false">gend_gbv_T[[D_gend_gbv_fy19]:[D_gend_gbv_fy19]]*gend_gbv_T[A_gend_gbv_1519_f_pev]</f>
        <v>0</v>
      </c>
      <c r="BF7" s="49" t="n">
        <f aca="false">gend_gbv_T[[D_gend_gbv_fy19]:[D_gend_gbv_fy19]]*gend_gbv_T[A_gend_gbv_1519_f_sv]</f>
        <v>0</v>
      </c>
      <c r="BG7" s="49" t="n">
        <f aca="false">gend_gbv_T[[D_gend_gbv_fy19]:[D_gend_gbv_fy19]]*gend_gbv_T[A_gend_gbv_1519_m_pev]</f>
        <v>0</v>
      </c>
      <c r="BH7" s="49" t="n">
        <f aca="false">gend_gbv_T[[D_gend_gbv_fy19]:[D_gend_gbv_fy19]]*gend_gbv_T[A_gend_gbv_1519_m_sv]</f>
        <v>0</v>
      </c>
      <c r="BI7" s="49" t="n">
        <f aca="false">gend_gbv_T[[D_gend_gbv_fy19]:[D_gend_gbv_fy19]]*gend_gbv_T[A_gend_gbv_2024_f_pev]</f>
        <v>0</v>
      </c>
      <c r="BJ7" s="49" t="n">
        <f aca="false">gend_gbv_T[[D_gend_gbv_fy19]:[D_gend_gbv_fy19]]*gend_gbv_T[A_gend_gbv_2024_f_sv]</f>
        <v>0</v>
      </c>
      <c r="BK7" s="49" t="n">
        <f aca="false">gend_gbv_T[[D_gend_gbv_fy19]:[D_gend_gbv_fy19]]*gend_gbv_T[A_gend_gbv_2024_m_pev]</f>
        <v>0</v>
      </c>
      <c r="BL7" s="49" t="n">
        <f aca="false">gend_gbv_T[[D_gend_gbv_fy19]:[D_gend_gbv_fy19]]*gend_gbv_T[A_gend_gbv_2024_m_sv]</f>
        <v>0</v>
      </c>
      <c r="BM7" s="49" t="n">
        <f aca="false">gend_gbv_T[[D_gend_gbv_fy19]:[D_gend_gbv_fy19]]*gend_gbv_T[A_gend_gbv_2529_f_pev]</f>
        <v>0</v>
      </c>
      <c r="BN7" s="49" t="n">
        <f aca="false">gend_gbv_T[[D_gend_gbv_fy19]:[D_gend_gbv_fy19]]*gend_gbv_T[A_gend_gbv_2529_f_sv]</f>
        <v>0</v>
      </c>
      <c r="BO7" s="49" t="n">
        <f aca="false">gend_gbv_T[[D_gend_gbv_fy19]:[D_gend_gbv_fy19]]*gend_gbv_T[A_gend_gbv_2529_m_pev]</f>
        <v>0</v>
      </c>
      <c r="BP7" s="49" t="n">
        <f aca="false">gend_gbv_T[[D_gend_gbv_fy19]:[D_gend_gbv_fy19]]*gend_gbv_T[A_gend_gbv_2529_m_sv]</f>
        <v>0</v>
      </c>
      <c r="BQ7" s="49" t="n">
        <f aca="false">gend_gbv_T[[D_gend_gbv_fy19]:[D_gend_gbv_fy19]]*gend_gbv_T[A_gend_gbv_3034_f_pev]</f>
        <v>0</v>
      </c>
      <c r="BR7" s="49" t="n">
        <f aca="false">gend_gbv_T[[D_gend_gbv_fy19]:[D_gend_gbv_fy19]]*gend_gbv_T[A_gend_gbv_3034_f_sv]</f>
        <v>0</v>
      </c>
      <c r="BS7" s="49" t="n">
        <f aca="false">gend_gbv_T[[D_gend_gbv_fy19]:[D_gend_gbv_fy19]]*gend_gbv_T[A_gend_gbv_3034_m_pev]</f>
        <v>0</v>
      </c>
      <c r="BT7" s="49" t="n">
        <f aca="false">gend_gbv_T[[D_gend_gbv_fy19]:[D_gend_gbv_fy19]]*gend_gbv_T[A_gend_gbv_3034_m_sv]</f>
        <v>0</v>
      </c>
      <c r="BU7" s="49" t="n">
        <f aca="false">gend_gbv_T[[D_gend_gbv_fy19]:[D_gend_gbv_fy19]]*gend_gbv_T[A_gend_gbv_3539_f_pev]</f>
        <v>0</v>
      </c>
      <c r="BV7" s="49" t="n">
        <f aca="false">gend_gbv_T[[D_gend_gbv_fy19]:[D_gend_gbv_fy19]]*gend_gbv_T[A_gend_gbv_3539_f_sv]</f>
        <v>0</v>
      </c>
      <c r="BW7" s="49" t="n">
        <f aca="false">gend_gbv_T[[D_gend_gbv_fy19]:[D_gend_gbv_fy19]]*gend_gbv_T[A_gend_gbv_3539_m_pev]</f>
        <v>0</v>
      </c>
      <c r="BX7" s="49" t="n">
        <f aca="false">gend_gbv_T[[D_gend_gbv_fy19]:[D_gend_gbv_fy19]]*gend_gbv_T[A_gend_gbv_3539_m_sv]</f>
        <v>0</v>
      </c>
      <c r="BY7" s="49" t="n">
        <f aca="false">gend_gbv_T[[D_gend_gbv_fy19]:[D_gend_gbv_fy19]]*gend_gbv_T[A_gend_gbv_4049_f_pev]</f>
        <v>0</v>
      </c>
      <c r="BZ7" s="49" t="n">
        <f aca="false">gend_gbv_T[[D_gend_gbv_fy19]:[D_gend_gbv_fy19]]*gend_gbv_T[A_gend_gbv_4049_f_sv]</f>
        <v>0</v>
      </c>
      <c r="CA7" s="49" t="n">
        <f aca="false">gend_gbv_T[[D_gend_gbv_fy19]:[D_gend_gbv_fy19]]*gend_gbv_T[A_gend_gbv_4049_m_pev]</f>
        <v>0</v>
      </c>
      <c r="CB7" s="49" t="n">
        <f aca="false">gend_gbv_T[[D_gend_gbv_fy19]:[D_gend_gbv_fy19]]*gend_gbv_T[A_gend_gbv_4049_m_sv]</f>
        <v>0</v>
      </c>
      <c r="CC7" s="49" t="n">
        <f aca="false">gend_gbv_T[[D_gend_gbv_fy19]:[D_gend_gbv_fy19]]*gend_gbv_T[A_gend_gbv_o50_f_pev]</f>
        <v>0</v>
      </c>
      <c r="CD7" s="49" t="n">
        <f aca="false">gend_gbv_T[[D_gend_gbv_fy19]:[D_gend_gbv_fy19]]*gend_gbv_T[A_gend_gbv_o50_f_sv]</f>
        <v>0</v>
      </c>
      <c r="CE7" s="49" t="n">
        <f aca="false">gend_gbv_T[[D_gend_gbv_fy19]:[D_gend_gbv_fy19]]*gend_gbv_T[A_gend_gbv_o50_m_pev]</f>
        <v>0</v>
      </c>
      <c r="CF7" s="49" t="n">
        <f aca="false">gend_gbv_T[[D_gend_gbv_fy19]:[D_gend_gbv_fy19]]*gend_gbv_T[A_gend_gbv_o50_m_sv]</f>
        <v>0</v>
      </c>
      <c r="CG7" s="49" t="n">
        <f aca="false">gend_gbv_T[gend_gbv_sv]*gend_gbv_T[A_gend_gbv_pep]</f>
        <v>0</v>
      </c>
      <c r="CH7" s="49" t="n">
        <f aca="false">SUMIF($AW$4:$CF$4,"*Violence*",gend_gbv_T[[gend_gbv_u10_f_pev]:[gend_gbv_o50_m_sv]])</f>
        <v>0</v>
      </c>
      <c r="CI7" s="49" t="n">
        <f aca="false">SUMIF($AW$4:$CF$4,"*Care*",gend_gbv_T[[gend_gbv_u10_f_pev]:[gend_gbv_o50_m_sv]])</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row>
  </sheetData>
  <mergeCells count="1">
    <mergeCell ref="A1:A2"/>
  </mergeCells>
  <conditionalFormatting sqref="J7:AU7">
    <cfRule type="expression" priority="2" aboveAverage="0" equalAverage="0" bottom="0" percent="0" rank="0" text="" dxfId="0">
      <formula>$AV7=0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DA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F4" activeCellId="0" sqref="F4"/>
    </sheetView>
  </sheetViews>
  <sheetFormatPr defaultRowHeight="15"/>
  <cols>
    <col collapsed="false" hidden="false" max="1" min="1" style="0" width="13.3886639676113"/>
    <col collapsed="false" hidden="false" max="2" min="2" style="0" width="2.89068825910931"/>
    <col collapsed="false" hidden="false" max="7" min="3" style="33" width="22.3886639676113"/>
    <col collapsed="false" hidden="false" max="9" min="8" style="33" width="7.2834008097166"/>
    <col collapsed="false" hidden="false" max="57" min="10" style="33" width="11.4615384615385"/>
    <col collapsed="false" hidden="false" max="58" min="58" style="33" width="11.5708502024291"/>
    <col collapsed="false" hidden="false" max="105" min="59" style="0" width="11.5708502024291"/>
    <col collapsed="false" hidden="false" max="1025" min="106" style="0" width="8.57085020242915"/>
  </cols>
  <sheetData>
    <row r="1" s="33" customFormat="true" ht="23.25" hidden="false" customHeight="false" outlineLevel="0" collapsed="false">
      <c r="A1" s="34"/>
      <c r="C1" s="77" t="s">
        <v>98</v>
      </c>
      <c r="D1" s="35"/>
      <c r="J1" s="37" t="s">
        <v>1157</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37" t="s">
        <v>1158</v>
      </c>
      <c r="BD1" s="55"/>
      <c r="BE1" s="55"/>
      <c r="BF1" s="37" t="s">
        <v>1159</v>
      </c>
      <c r="BG1" s="37" t="s">
        <v>1160</v>
      </c>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row>
    <row r="2" s="35" customFormat="true" ht="15" hidden="false" customHeight="false" outlineLevel="0" collapsed="false">
      <c r="A2" s="34"/>
      <c r="B2" s="35" t="s">
        <v>808</v>
      </c>
      <c r="C2" s="35" t="s">
        <v>808</v>
      </c>
      <c r="D2" s="35" t="s">
        <v>808</v>
      </c>
      <c r="E2" s="35" t="s">
        <v>808</v>
      </c>
      <c r="F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c r="AV2" s="35" t="s">
        <v>808</v>
      </c>
      <c r="AW2" s="35" t="s">
        <v>808</v>
      </c>
      <c r="AX2" s="35" t="s">
        <v>808</v>
      </c>
      <c r="AY2" s="35" t="s">
        <v>808</v>
      </c>
      <c r="AZ2" s="35" t="s">
        <v>808</v>
      </c>
      <c r="BA2" s="35" t="s">
        <v>808</v>
      </c>
      <c r="BB2" s="35" t="s">
        <v>808</v>
      </c>
      <c r="BC2" s="35" t="s">
        <v>808</v>
      </c>
      <c r="BD2" s="35" t="s">
        <v>808</v>
      </c>
      <c r="BE2" s="35" t="s">
        <v>808</v>
      </c>
      <c r="BF2" s="35" t="s">
        <v>808</v>
      </c>
      <c r="BG2" s="35" t="s">
        <v>808</v>
      </c>
      <c r="BH2" s="35" t="s">
        <v>808</v>
      </c>
      <c r="BI2" s="35" t="s">
        <v>808</v>
      </c>
      <c r="BJ2" s="35" t="s">
        <v>808</v>
      </c>
      <c r="BK2" s="35" t="s">
        <v>808</v>
      </c>
      <c r="BL2" s="35" t="s">
        <v>808</v>
      </c>
      <c r="BM2" s="35" t="s">
        <v>808</v>
      </c>
      <c r="BN2" s="35" t="s">
        <v>808</v>
      </c>
      <c r="BO2" s="35" t="s">
        <v>808</v>
      </c>
      <c r="BP2" s="35" t="s">
        <v>808</v>
      </c>
      <c r="BQ2" s="35" t="s">
        <v>808</v>
      </c>
      <c r="BR2" s="35" t="s">
        <v>808</v>
      </c>
      <c r="BS2" s="35" t="s">
        <v>808</v>
      </c>
      <c r="BT2" s="35" t="s">
        <v>808</v>
      </c>
      <c r="BU2" s="35" t="s">
        <v>808</v>
      </c>
      <c r="BV2" s="35" t="s">
        <v>808</v>
      </c>
      <c r="BW2" s="35" t="s">
        <v>808</v>
      </c>
      <c r="BX2" s="35" t="s">
        <v>808</v>
      </c>
      <c r="BY2" s="35" t="s">
        <v>808</v>
      </c>
      <c r="BZ2" s="35" t="s">
        <v>808</v>
      </c>
      <c r="CA2" s="35" t="s">
        <v>808</v>
      </c>
      <c r="CB2" s="35" t="s">
        <v>808</v>
      </c>
      <c r="CC2" s="35" t="s">
        <v>808</v>
      </c>
      <c r="CD2" s="35" t="s">
        <v>808</v>
      </c>
      <c r="CE2" s="35" t="s">
        <v>808</v>
      </c>
      <c r="CF2" s="35" t="s">
        <v>808</v>
      </c>
      <c r="CG2" s="35" t="s">
        <v>808</v>
      </c>
      <c r="CH2" s="35" t="s">
        <v>808</v>
      </c>
      <c r="CI2" s="35" t="s">
        <v>808</v>
      </c>
      <c r="CJ2" s="35" t="s">
        <v>808</v>
      </c>
      <c r="CK2" s="35" t="s">
        <v>808</v>
      </c>
      <c r="CL2" s="35" t="s">
        <v>808</v>
      </c>
      <c r="CM2" s="35" t="s">
        <v>808</v>
      </c>
      <c r="CN2" s="35" t="s">
        <v>808</v>
      </c>
      <c r="CO2" s="35" t="s">
        <v>808</v>
      </c>
      <c r="CP2" s="35" t="s">
        <v>808</v>
      </c>
      <c r="CQ2" s="35" t="s">
        <v>808</v>
      </c>
      <c r="CR2" s="35" t="s">
        <v>808</v>
      </c>
      <c r="CS2" s="35" t="s">
        <v>808</v>
      </c>
      <c r="CT2" s="35" t="s">
        <v>808</v>
      </c>
      <c r="CU2" s="35" t="s">
        <v>808</v>
      </c>
      <c r="CV2" s="35" t="s">
        <v>808</v>
      </c>
      <c r="CW2" s="35" t="s">
        <v>808</v>
      </c>
      <c r="CX2" s="35" t="s">
        <v>808</v>
      </c>
      <c r="CY2" s="35" t="s">
        <v>808</v>
      </c>
      <c r="CZ2" s="35" t="s">
        <v>808</v>
      </c>
      <c r="DA2" s="35" t="s">
        <v>808</v>
      </c>
    </row>
    <row r="3" s="4" customFormat="true" ht="15" hidden="false" customHeight="false" outlineLevel="0" collapsed="false">
      <c r="A3" s="38"/>
      <c r="C3" s="35" t="s">
        <v>808</v>
      </c>
      <c r="D3" s="35"/>
      <c r="E3" s="39"/>
      <c r="F3" s="39"/>
      <c r="G3" s="39"/>
      <c r="H3" s="40"/>
      <c r="I3" s="40"/>
      <c r="J3" s="57" t="s">
        <v>99</v>
      </c>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7" t="s">
        <v>164</v>
      </c>
      <c r="AQ3" s="58"/>
      <c r="AR3" s="79"/>
      <c r="AS3" s="57" t="s">
        <v>1215</v>
      </c>
      <c r="AT3" s="80"/>
      <c r="AU3" s="80"/>
      <c r="AV3" s="80"/>
      <c r="AW3" s="80"/>
      <c r="AX3" s="80"/>
      <c r="AY3" s="80"/>
      <c r="AZ3" s="80"/>
      <c r="BA3" s="80"/>
      <c r="BB3" s="81"/>
      <c r="BC3" s="82" t="s">
        <v>1161</v>
      </c>
      <c r="BD3" s="82"/>
      <c r="BE3" s="82"/>
      <c r="BF3" s="61" t="s">
        <v>1162</v>
      </c>
      <c r="BG3" s="62" t="s">
        <v>99</v>
      </c>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2" t="s">
        <v>1216</v>
      </c>
      <c r="CN3" s="65"/>
      <c r="CO3" s="62" t="s">
        <v>164</v>
      </c>
      <c r="CP3" s="63"/>
      <c r="CQ3" s="65"/>
      <c r="CR3" s="62" t="s">
        <v>171</v>
      </c>
      <c r="CS3" s="83"/>
      <c r="CT3" s="83"/>
      <c r="CU3" s="83"/>
      <c r="CV3" s="83"/>
      <c r="CW3" s="83"/>
      <c r="CX3" s="83"/>
      <c r="CY3" s="83"/>
      <c r="CZ3" s="83"/>
      <c r="DA3" s="84"/>
    </row>
    <row r="4" s="33" customFormat="true" ht="135.75" hidden="false" customHeight="true" outlineLevel="0" collapsed="false">
      <c r="A4" s="38"/>
      <c r="C4" s="44" t="s">
        <v>910</v>
      </c>
      <c r="D4" s="44" t="s">
        <v>1164</v>
      </c>
      <c r="E4" s="44" t="s">
        <v>911</v>
      </c>
      <c r="F4" s="44" t="s">
        <v>912</v>
      </c>
      <c r="G4" s="44" t="s">
        <v>1165</v>
      </c>
      <c r="H4" s="44" t="s">
        <v>913</v>
      </c>
      <c r="I4" s="44" t="s">
        <v>1166</v>
      </c>
      <c r="J4" s="66" t="s">
        <v>100</v>
      </c>
      <c r="K4" s="67" t="s">
        <v>102</v>
      </c>
      <c r="L4" s="67" t="s">
        <v>104</v>
      </c>
      <c r="M4" s="67" t="s">
        <v>106</v>
      </c>
      <c r="N4" s="67" t="s">
        <v>108</v>
      </c>
      <c r="O4" s="67" t="s">
        <v>110</v>
      </c>
      <c r="P4" s="67" t="s">
        <v>112</v>
      </c>
      <c r="Q4" s="67" t="s">
        <v>114</v>
      </c>
      <c r="R4" s="67" t="s">
        <v>116</v>
      </c>
      <c r="S4" s="67" t="s">
        <v>118</v>
      </c>
      <c r="T4" s="67" t="s">
        <v>120</v>
      </c>
      <c r="U4" s="67" t="s">
        <v>122</v>
      </c>
      <c r="V4" s="67" t="s">
        <v>124</v>
      </c>
      <c r="W4" s="67" t="s">
        <v>126</v>
      </c>
      <c r="X4" s="67" t="s">
        <v>128</v>
      </c>
      <c r="Y4" s="67" t="s">
        <v>130</v>
      </c>
      <c r="Z4" s="67" t="s">
        <v>132</v>
      </c>
      <c r="AA4" s="67" t="s">
        <v>134</v>
      </c>
      <c r="AB4" s="67" t="s">
        <v>136</v>
      </c>
      <c r="AC4" s="67" t="s">
        <v>138</v>
      </c>
      <c r="AD4" s="67" t="s">
        <v>140</v>
      </c>
      <c r="AE4" s="67" t="s">
        <v>142</v>
      </c>
      <c r="AF4" s="67" t="s">
        <v>144</v>
      </c>
      <c r="AG4" s="67" t="s">
        <v>146</v>
      </c>
      <c r="AH4" s="67" t="s">
        <v>148</v>
      </c>
      <c r="AI4" s="67" t="s">
        <v>150</v>
      </c>
      <c r="AJ4" s="67" t="s">
        <v>152</v>
      </c>
      <c r="AK4" s="67" t="s">
        <v>154</v>
      </c>
      <c r="AL4" s="67" t="s">
        <v>156</v>
      </c>
      <c r="AM4" s="67" t="s">
        <v>158</v>
      </c>
      <c r="AN4" s="67" t="s">
        <v>160</v>
      </c>
      <c r="AO4" s="67" t="s">
        <v>162</v>
      </c>
      <c r="AP4" s="66" t="s">
        <v>165</v>
      </c>
      <c r="AQ4" s="67" t="s">
        <v>167</v>
      </c>
      <c r="AR4" s="85" t="s">
        <v>169</v>
      </c>
      <c r="AS4" s="66" t="s">
        <v>172</v>
      </c>
      <c r="AT4" s="67" t="s">
        <v>174</v>
      </c>
      <c r="AU4" s="67" t="s">
        <v>176</v>
      </c>
      <c r="AV4" s="67" t="s">
        <v>178</v>
      </c>
      <c r="AW4" s="67" t="s">
        <v>180</v>
      </c>
      <c r="AX4" s="67" t="s">
        <v>182</v>
      </c>
      <c r="AY4" s="67" t="s">
        <v>184</v>
      </c>
      <c r="AZ4" s="67" t="s">
        <v>186</v>
      </c>
      <c r="BA4" s="67" t="s">
        <v>188</v>
      </c>
      <c r="BB4" s="85" t="s">
        <v>190</v>
      </c>
      <c r="BC4" s="86" t="s">
        <v>99</v>
      </c>
      <c r="BD4" s="86" t="s">
        <v>164</v>
      </c>
      <c r="BE4" s="86" t="s">
        <v>1217</v>
      </c>
      <c r="BF4" s="45" t="s">
        <v>98</v>
      </c>
      <c r="BG4" s="70" t="s">
        <v>100</v>
      </c>
      <c r="BH4" s="71" t="s">
        <v>102</v>
      </c>
      <c r="BI4" s="71" t="s">
        <v>104</v>
      </c>
      <c r="BJ4" s="71" t="s">
        <v>106</v>
      </c>
      <c r="BK4" s="71" t="s">
        <v>108</v>
      </c>
      <c r="BL4" s="71" t="s">
        <v>110</v>
      </c>
      <c r="BM4" s="71" t="s">
        <v>112</v>
      </c>
      <c r="BN4" s="71" t="s">
        <v>114</v>
      </c>
      <c r="BO4" s="71" t="s">
        <v>116</v>
      </c>
      <c r="BP4" s="71" t="s">
        <v>118</v>
      </c>
      <c r="BQ4" s="71" t="s">
        <v>120</v>
      </c>
      <c r="BR4" s="71" t="s">
        <v>122</v>
      </c>
      <c r="BS4" s="71" t="s">
        <v>124</v>
      </c>
      <c r="BT4" s="71" t="s">
        <v>126</v>
      </c>
      <c r="BU4" s="71" t="s">
        <v>128</v>
      </c>
      <c r="BV4" s="71" t="s">
        <v>130</v>
      </c>
      <c r="BW4" s="71" t="s">
        <v>132</v>
      </c>
      <c r="BX4" s="71" t="s">
        <v>134</v>
      </c>
      <c r="BY4" s="71" t="s">
        <v>136</v>
      </c>
      <c r="BZ4" s="71" t="s">
        <v>138</v>
      </c>
      <c r="CA4" s="71" t="s">
        <v>140</v>
      </c>
      <c r="CB4" s="71" t="s">
        <v>142</v>
      </c>
      <c r="CC4" s="71" t="s">
        <v>144</v>
      </c>
      <c r="CD4" s="71" t="s">
        <v>146</v>
      </c>
      <c r="CE4" s="71" t="s">
        <v>148</v>
      </c>
      <c r="CF4" s="71" t="s">
        <v>150</v>
      </c>
      <c r="CG4" s="71" t="s">
        <v>152</v>
      </c>
      <c r="CH4" s="71" t="s">
        <v>154</v>
      </c>
      <c r="CI4" s="71" t="s">
        <v>156</v>
      </c>
      <c r="CJ4" s="71" t="s">
        <v>158</v>
      </c>
      <c r="CK4" s="71" t="s">
        <v>160</v>
      </c>
      <c r="CL4" s="71" t="s">
        <v>162</v>
      </c>
      <c r="CM4" s="70" t="s">
        <v>1218</v>
      </c>
      <c r="CN4" s="73" t="s">
        <v>1219</v>
      </c>
      <c r="CO4" s="70" t="s">
        <v>165</v>
      </c>
      <c r="CP4" s="71" t="s">
        <v>167</v>
      </c>
      <c r="CQ4" s="73" t="s">
        <v>169</v>
      </c>
      <c r="CR4" s="70" t="s">
        <v>172</v>
      </c>
      <c r="CS4" s="71" t="s">
        <v>174</v>
      </c>
      <c r="CT4" s="71" t="s">
        <v>176</v>
      </c>
      <c r="CU4" s="71" t="s">
        <v>178</v>
      </c>
      <c r="CV4" s="71" t="s">
        <v>180</v>
      </c>
      <c r="CW4" s="71" t="s">
        <v>182</v>
      </c>
      <c r="CX4" s="71" t="s">
        <v>184</v>
      </c>
      <c r="CY4" s="71" t="s">
        <v>186</v>
      </c>
      <c r="CZ4" s="71" t="s">
        <v>188</v>
      </c>
      <c r="DA4" s="73" t="s">
        <v>190</v>
      </c>
    </row>
    <row r="5" customFormat="false" ht="15" hidden="false" customHeight="false" outlineLevel="0" collapsed="false">
      <c r="A5" s="48"/>
      <c r="C5" s="33" t="s">
        <v>1140</v>
      </c>
      <c r="D5" s="0"/>
      <c r="E5" s="0"/>
      <c r="F5" s="0"/>
      <c r="G5" s="0"/>
      <c r="H5" s="0"/>
      <c r="I5" s="0"/>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0"/>
      <c r="BG5" s="53" t="n">
        <f aca="false">SUBTOTAL(109,hts_self_T[hts_self_1014_f_direct])</f>
        <v>0</v>
      </c>
      <c r="BH5" s="53" t="n">
        <f aca="false">SUBTOTAL(109,hts_self_T[hts_self_1014_f_unasst])</f>
        <v>0</v>
      </c>
      <c r="BI5" s="53" t="n">
        <f aca="false">SUBTOTAL(109,hts_self_T[hts_self_1014_m_direct])</f>
        <v>0</v>
      </c>
      <c r="BJ5" s="53" t="n">
        <f aca="false">SUBTOTAL(109,hts_self_T[hts_self_1014_m_unasst])</f>
        <v>0</v>
      </c>
      <c r="BK5" s="53" t="n">
        <f aca="false">SUBTOTAL(109,hts_self_T[hts_self_1519_f_direct])</f>
        <v>0</v>
      </c>
      <c r="BL5" s="53" t="n">
        <f aca="false">SUBTOTAL(109,hts_self_T[hts_self_1519_f_unasst])</f>
        <v>0</v>
      </c>
      <c r="BM5" s="53" t="n">
        <f aca="false">SUBTOTAL(109,hts_self_T[hts_self_1519_m_direct])</f>
        <v>0</v>
      </c>
      <c r="BN5" s="53" t="n">
        <f aca="false">SUBTOTAL(109,hts_self_T[hts_self_1519_m_unasst])</f>
        <v>0</v>
      </c>
      <c r="BO5" s="53" t="n">
        <f aca="false">SUBTOTAL(109,hts_self_T[hts_self_2024_f_direct])</f>
        <v>0</v>
      </c>
      <c r="BP5" s="53" t="n">
        <f aca="false">SUBTOTAL(109,hts_self_T[hts_self_2024_f_unasst])</f>
        <v>0</v>
      </c>
      <c r="BQ5" s="53" t="n">
        <f aca="false">SUBTOTAL(109,hts_self_T[hts_self_2024_m_direct])</f>
        <v>0</v>
      </c>
      <c r="BR5" s="53" t="n">
        <f aca="false">SUBTOTAL(109,hts_self_T[hts_self_2024_m_unasst])</f>
        <v>0</v>
      </c>
      <c r="BS5" s="53" t="n">
        <f aca="false">SUBTOTAL(109,hts_self_T[hts_self_2529_f_direct])</f>
        <v>0</v>
      </c>
      <c r="BT5" s="53" t="n">
        <f aca="false">SUBTOTAL(109,hts_self_T[hts_self_2529_f_unasst])</f>
        <v>0</v>
      </c>
      <c r="BU5" s="53" t="n">
        <f aca="false">SUBTOTAL(109,hts_self_T[hts_self_2529_m_direct])</f>
        <v>0</v>
      </c>
      <c r="BV5" s="53" t="n">
        <f aca="false">SUBTOTAL(109,hts_self_T[hts_self_2529_m_unasst])</f>
        <v>0</v>
      </c>
      <c r="BW5" s="53" t="n">
        <f aca="false">SUBTOTAL(109,hts_self_T[hts_self_3034_f_direct])</f>
        <v>0</v>
      </c>
      <c r="BX5" s="53" t="n">
        <f aca="false">SUBTOTAL(109,hts_self_T[hts_self_3034_f_unasst])</f>
        <v>0</v>
      </c>
      <c r="BY5" s="53" t="n">
        <f aca="false">SUBTOTAL(109,hts_self_T[hts_self_3034_m_direct])</f>
        <v>0</v>
      </c>
      <c r="BZ5" s="53" t="n">
        <f aca="false">SUBTOTAL(109,hts_self_T[hts_self_3034_m_unasst])</f>
        <v>0</v>
      </c>
      <c r="CA5" s="53" t="n">
        <f aca="false">SUBTOTAL(109,hts_self_T[hts_self_3539_f_direct])</f>
        <v>0</v>
      </c>
      <c r="CB5" s="53" t="n">
        <f aca="false">SUBTOTAL(109,hts_self_T[hts_self_3539_f_unasst])</f>
        <v>0</v>
      </c>
      <c r="CC5" s="53" t="n">
        <f aca="false">SUBTOTAL(109,hts_self_T[hts_self_3539_m_direct])</f>
        <v>0</v>
      </c>
      <c r="CD5" s="53" t="n">
        <f aca="false">SUBTOTAL(109,hts_self_T[hts_self_3539_m_unasst])</f>
        <v>0</v>
      </c>
      <c r="CE5" s="53" t="n">
        <f aca="false">SUBTOTAL(109,hts_self_T[hts_self_4049_f_direct])</f>
        <v>0</v>
      </c>
      <c r="CF5" s="53" t="n">
        <f aca="false">SUBTOTAL(109,hts_self_T[hts_self_4049_f_unasst])</f>
        <v>0</v>
      </c>
      <c r="CG5" s="53" t="n">
        <f aca="false">SUBTOTAL(109,hts_self_T[hts_self_4049_m_direct])</f>
        <v>0</v>
      </c>
      <c r="CH5" s="53" t="n">
        <f aca="false">SUBTOTAL(109,hts_self_T[hts_self_4049_m_unasst])</f>
        <v>0</v>
      </c>
      <c r="CI5" s="53" t="n">
        <f aca="false">SUBTOTAL(109,hts_self_T[hts_self_o50_f_direct])</f>
        <v>0</v>
      </c>
      <c r="CJ5" s="53" t="n">
        <f aca="false">SUBTOTAL(109,hts_self_T[hts_self_o50_f_unasst])</f>
        <v>0</v>
      </c>
      <c r="CK5" s="53" t="n">
        <f aca="false">SUBTOTAL(109,hts_self_T[hts_self_o50_m_direct])</f>
        <v>0</v>
      </c>
      <c r="CL5" s="53" t="n">
        <f aca="false">SUBTOTAL(109,hts_self_T[hts_self_o50_m_unasst])</f>
        <v>0</v>
      </c>
      <c r="CM5" s="53" t="n">
        <f aca="false">SUBTOTAL(109,hts_self_T[hts_self_direct])</f>
        <v>0</v>
      </c>
      <c r="CN5" s="53" t="n">
        <f aca="false">SUBTOTAL(109,hts_self_T[hts_self_unasst])</f>
        <v>0</v>
      </c>
      <c r="CO5" s="53" t="n">
        <f aca="false">SUBTOTAL(109,hts_self_T[hts_self_unasst_oth])</f>
        <v>0</v>
      </c>
      <c r="CP5" s="53" t="n">
        <f aca="false">SUBTOTAL(109,hts_self_T[hts_self_unasst_self])</f>
        <v>0</v>
      </c>
      <c r="CQ5" s="53" t="n">
        <f aca="false">SUBTOTAL(109,hts_self_T[hts_self_unasst_partner])</f>
        <v>0</v>
      </c>
      <c r="CR5" s="53" t="n">
        <f aca="false">SUBTOTAL(109,hts_self_T[hts_self_fsw_direct])</f>
        <v>0</v>
      </c>
      <c r="CS5" s="53" t="n">
        <f aca="false">SUBTOTAL(109,hts_self_T[hts_self_fsw_unasst])</f>
        <v>0</v>
      </c>
      <c r="CT5" s="53" t="n">
        <f aca="false">SUBTOTAL(109,hts_self_T[hts_self_msm_direct])</f>
        <v>0</v>
      </c>
      <c r="CU5" s="53" t="n">
        <f aca="false">SUBTOTAL(109,hts_self_T[hts_self_msm_unasst])</f>
        <v>0</v>
      </c>
      <c r="CV5" s="53" t="n">
        <f aca="false">SUBTOTAL(109,hts_self_T[hts_self_prison_direct])</f>
        <v>0</v>
      </c>
      <c r="CW5" s="53" t="n">
        <f aca="false">SUBTOTAL(109,hts_self_T[hts_self_prison_unasst])</f>
        <v>0</v>
      </c>
      <c r="CX5" s="53" t="n">
        <f aca="false">SUBTOTAL(109,hts_self_T[hts_self_pwid_direct])</f>
        <v>0</v>
      </c>
      <c r="CY5" s="53" t="n">
        <f aca="false">SUBTOTAL(109,hts_self_T[hts_self_pwid_unasst])</f>
        <v>0</v>
      </c>
      <c r="CZ5" s="53" t="n">
        <f aca="false">SUBTOTAL(109,hts_self_T[hts_self_tg_direct])</f>
        <v>0</v>
      </c>
      <c r="DA5" s="53" t="n">
        <f aca="false">SUBTOTAL(109,hts_self_T[hts_self_tg_unasst])</f>
        <v>0</v>
      </c>
    </row>
    <row r="6" customFormat="false" ht="15" hidden="false" customHeight="false" outlineLevel="0" collapsed="false">
      <c r="A6" s="48"/>
      <c r="C6" s="50" t="s">
        <v>1168</v>
      </c>
      <c r="D6" s="50" t="s">
        <v>1169</v>
      </c>
      <c r="E6" s="50" t="s">
        <v>1170</v>
      </c>
      <c r="F6" s="50" t="s">
        <v>1171</v>
      </c>
      <c r="G6" s="50" t="s">
        <v>1172</v>
      </c>
      <c r="H6" s="50" t="s">
        <v>1173</v>
      </c>
      <c r="I6" s="50" t="s">
        <v>1174</v>
      </c>
      <c r="J6" s="50" t="s">
        <v>101</v>
      </c>
      <c r="K6" s="50" t="s">
        <v>103</v>
      </c>
      <c r="L6" s="50" t="s">
        <v>105</v>
      </c>
      <c r="M6" s="50" t="s">
        <v>107</v>
      </c>
      <c r="N6" s="50" t="s">
        <v>109</v>
      </c>
      <c r="O6" s="50" t="s">
        <v>111</v>
      </c>
      <c r="P6" s="50" t="s">
        <v>113</v>
      </c>
      <c r="Q6" s="50" t="s">
        <v>115</v>
      </c>
      <c r="R6" s="50" t="s">
        <v>117</v>
      </c>
      <c r="S6" s="50" t="s">
        <v>119</v>
      </c>
      <c r="T6" s="50" t="s">
        <v>121</v>
      </c>
      <c r="U6" s="50" t="s">
        <v>123</v>
      </c>
      <c r="V6" s="50" t="s">
        <v>125</v>
      </c>
      <c r="W6" s="50" t="s">
        <v>127</v>
      </c>
      <c r="X6" s="50" t="s">
        <v>129</v>
      </c>
      <c r="Y6" s="50" t="s">
        <v>131</v>
      </c>
      <c r="Z6" s="50" t="s">
        <v>133</v>
      </c>
      <c r="AA6" s="50" t="s">
        <v>135</v>
      </c>
      <c r="AB6" s="50" t="s">
        <v>137</v>
      </c>
      <c r="AC6" s="50" t="s">
        <v>139</v>
      </c>
      <c r="AD6" s="50" t="s">
        <v>141</v>
      </c>
      <c r="AE6" s="50" t="s">
        <v>143</v>
      </c>
      <c r="AF6" s="50" t="s">
        <v>145</v>
      </c>
      <c r="AG6" s="50" t="s">
        <v>147</v>
      </c>
      <c r="AH6" s="50" t="s">
        <v>149</v>
      </c>
      <c r="AI6" s="50" t="s">
        <v>151</v>
      </c>
      <c r="AJ6" s="50" t="s">
        <v>153</v>
      </c>
      <c r="AK6" s="50" t="s">
        <v>155</v>
      </c>
      <c r="AL6" s="50" t="s">
        <v>157</v>
      </c>
      <c r="AM6" s="50" t="s">
        <v>159</v>
      </c>
      <c r="AN6" s="50" t="s">
        <v>161</v>
      </c>
      <c r="AO6" s="50" t="s">
        <v>163</v>
      </c>
      <c r="AP6" s="50" t="s">
        <v>166</v>
      </c>
      <c r="AQ6" s="50" t="s">
        <v>168</v>
      </c>
      <c r="AR6" s="50" t="s">
        <v>170</v>
      </c>
      <c r="AS6" s="50" t="s">
        <v>173</v>
      </c>
      <c r="AT6" s="50" t="s">
        <v>175</v>
      </c>
      <c r="AU6" s="50" t="s">
        <v>177</v>
      </c>
      <c r="AV6" s="50" t="s">
        <v>179</v>
      </c>
      <c r="AW6" s="50" t="s">
        <v>181</v>
      </c>
      <c r="AX6" s="50" t="s">
        <v>183</v>
      </c>
      <c r="AY6" s="50" t="s">
        <v>185</v>
      </c>
      <c r="AZ6" s="50" t="s">
        <v>187</v>
      </c>
      <c r="BA6" s="50" t="s">
        <v>189</v>
      </c>
      <c r="BB6" s="50" t="s">
        <v>191</v>
      </c>
      <c r="BC6" s="50" t="s">
        <v>1175</v>
      </c>
      <c r="BD6" s="50" t="s">
        <v>1220</v>
      </c>
      <c r="BE6" s="50" t="s">
        <v>1221</v>
      </c>
      <c r="BF6" s="50" t="s">
        <v>1107</v>
      </c>
      <c r="BG6" s="50" t="s">
        <v>1222</v>
      </c>
      <c r="BH6" s="50" t="s">
        <v>1223</v>
      </c>
      <c r="BI6" s="50" t="s">
        <v>1224</v>
      </c>
      <c r="BJ6" s="50" t="s">
        <v>1225</v>
      </c>
      <c r="BK6" s="50" t="s">
        <v>1226</v>
      </c>
      <c r="BL6" s="50" t="s">
        <v>1227</v>
      </c>
      <c r="BM6" s="50" t="s">
        <v>1228</v>
      </c>
      <c r="BN6" s="50" t="s">
        <v>1229</v>
      </c>
      <c r="BO6" s="50" t="s">
        <v>1230</v>
      </c>
      <c r="BP6" s="50" t="s">
        <v>1231</v>
      </c>
      <c r="BQ6" s="50" t="s">
        <v>1232</v>
      </c>
      <c r="BR6" s="50" t="s">
        <v>1233</v>
      </c>
      <c r="BS6" s="50" t="s">
        <v>1234</v>
      </c>
      <c r="BT6" s="50" t="s">
        <v>1235</v>
      </c>
      <c r="BU6" s="50" t="s">
        <v>1236</v>
      </c>
      <c r="BV6" s="50" t="s">
        <v>1237</v>
      </c>
      <c r="BW6" s="50" t="s">
        <v>1238</v>
      </c>
      <c r="BX6" s="50" t="s">
        <v>1239</v>
      </c>
      <c r="BY6" s="50" t="s">
        <v>1240</v>
      </c>
      <c r="BZ6" s="50" t="s">
        <v>1241</v>
      </c>
      <c r="CA6" s="50" t="s">
        <v>1242</v>
      </c>
      <c r="CB6" s="50" t="s">
        <v>1243</v>
      </c>
      <c r="CC6" s="50" t="s">
        <v>1244</v>
      </c>
      <c r="CD6" s="50" t="s">
        <v>1245</v>
      </c>
      <c r="CE6" s="50" t="s">
        <v>1246</v>
      </c>
      <c r="CF6" s="50" t="s">
        <v>1247</v>
      </c>
      <c r="CG6" s="50" t="s">
        <v>1248</v>
      </c>
      <c r="CH6" s="50" t="s">
        <v>1249</v>
      </c>
      <c r="CI6" s="50" t="s">
        <v>1250</v>
      </c>
      <c r="CJ6" s="50" t="s">
        <v>1251</v>
      </c>
      <c r="CK6" s="50" t="s">
        <v>1252</v>
      </c>
      <c r="CL6" s="50" t="s">
        <v>1253</v>
      </c>
      <c r="CM6" s="50" t="s">
        <v>1254</v>
      </c>
      <c r="CN6" s="50" t="s">
        <v>1255</v>
      </c>
      <c r="CO6" s="50" t="s">
        <v>1256</v>
      </c>
      <c r="CP6" s="50" t="s">
        <v>1257</v>
      </c>
      <c r="CQ6" s="50" t="s">
        <v>1258</v>
      </c>
      <c r="CR6" s="50" t="s">
        <v>1259</v>
      </c>
      <c r="CS6" s="50" t="s">
        <v>1260</v>
      </c>
      <c r="CT6" s="50" t="s">
        <v>1261</v>
      </c>
      <c r="CU6" s="50" t="s">
        <v>1262</v>
      </c>
      <c r="CV6" s="50" t="s">
        <v>1263</v>
      </c>
      <c r="CW6" s="50" t="s">
        <v>1264</v>
      </c>
      <c r="CX6" s="50" t="s">
        <v>1265</v>
      </c>
      <c r="CY6" s="50" t="s">
        <v>1266</v>
      </c>
      <c r="CZ6" s="50" t="s">
        <v>1267</v>
      </c>
      <c r="DA6" s="50" t="s">
        <v>1268</v>
      </c>
    </row>
    <row r="7" customFormat="false" ht="15" hidden="false" customHeight="false" outlineLevel="0" collapsed="false">
      <c r="A7" s="51"/>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75" t="n">
        <f aca="false">SUM(hts_self_T[[#This Row],[A_hts_self_1014_f_direct]:[A_hts_self_o50_m_unasst]])</f>
        <v>0</v>
      </c>
      <c r="BD7" s="75" t="n">
        <f aca="false">SUM(hts_self_T[[#This Row],[A_hts_self_unasst_oth]:[A_hts_self_unasst_partner]])</f>
        <v>0</v>
      </c>
      <c r="BE7" s="87" t="n">
        <f aca="false">SUM(hts_self_T[[#This Row],[A_hts_self_fsw_direct]:[A_hts_self_tg_unasst]])</f>
        <v>0</v>
      </c>
      <c r="BF7" s="49"/>
      <c r="BG7" s="53" t="n">
        <f aca="false">hts_self_T[[D_hts_self_fy19]:[D_hts_self_fy19]]*hts_self_T[A_hts_self_1014_f_direct]</f>
        <v>0</v>
      </c>
      <c r="BH7" s="53" t="n">
        <f aca="false">hts_self_T[[D_hts_self_fy19]:[D_hts_self_fy19]]*hts_self_T[A_hts_self_1014_f_unasst]</f>
        <v>0</v>
      </c>
      <c r="BI7" s="53" t="n">
        <f aca="false">hts_self_T[[D_hts_self_fy19]:[D_hts_self_fy19]]*hts_self_T[A_hts_self_1014_m_direct]</f>
        <v>0</v>
      </c>
      <c r="BJ7" s="53" t="n">
        <f aca="false">hts_self_T[[D_hts_self_fy19]:[D_hts_self_fy19]]*hts_self_T[A_hts_self_1014_m_unasst]</f>
        <v>0</v>
      </c>
      <c r="BK7" s="53" t="n">
        <f aca="false">hts_self_T[[D_hts_self_fy19]:[D_hts_self_fy19]]*hts_self_T[A_hts_self_1519_f_direct]</f>
        <v>0</v>
      </c>
      <c r="BL7" s="53" t="n">
        <f aca="false">hts_self_T[[D_hts_self_fy19]:[D_hts_self_fy19]]*hts_self_T[A_hts_self_1519_f_unasst]</f>
        <v>0</v>
      </c>
      <c r="BM7" s="53" t="n">
        <f aca="false">hts_self_T[[D_hts_self_fy19]:[D_hts_self_fy19]]*hts_self_T[A_hts_self_1519_m_direct]</f>
        <v>0</v>
      </c>
      <c r="BN7" s="53" t="n">
        <f aca="false">hts_self_T[[D_hts_self_fy19]:[D_hts_self_fy19]]*hts_self_T[A_hts_self_1519_m_unasst]</f>
        <v>0</v>
      </c>
      <c r="BO7" s="53" t="n">
        <f aca="false">hts_self_T[[D_hts_self_fy19]:[D_hts_self_fy19]]*hts_self_T[A_hts_self_2024_f_direct]</f>
        <v>0</v>
      </c>
      <c r="BP7" s="53" t="n">
        <f aca="false">hts_self_T[[D_hts_self_fy19]:[D_hts_self_fy19]]*hts_self_T[A_hts_self_2024_f_unasst]</f>
        <v>0</v>
      </c>
      <c r="BQ7" s="53" t="n">
        <f aca="false">hts_self_T[[D_hts_self_fy19]:[D_hts_self_fy19]]*hts_self_T[A_hts_self_2024_m_direct]</f>
        <v>0</v>
      </c>
      <c r="BR7" s="53" t="n">
        <f aca="false">hts_self_T[[D_hts_self_fy19]:[D_hts_self_fy19]]*hts_self_T[A_hts_self_2024_m_unasst]</f>
        <v>0</v>
      </c>
      <c r="BS7" s="53" t="n">
        <f aca="false">hts_self_T[[D_hts_self_fy19]:[D_hts_self_fy19]]*hts_self_T[A_hts_self_2529_f_direct]</f>
        <v>0</v>
      </c>
      <c r="BT7" s="53" t="n">
        <f aca="false">hts_self_T[[D_hts_self_fy19]:[D_hts_self_fy19]]*hts_self_T[A_hts_self_2529_f_unasst]</f>
        <v>0</v>
      </c>
      <c r="BU7" s="53" t="n">
        <f aca="false">hts_self_T[[D_hts_self_fy19]:[D_hts_self_fy19]]*hts_self_T[A_hts_self_2529_m_direct]</f>
        <v>0</v>
      </c>
      <c r="BV7" s="53" t="n">
        <f aca="false">hts_self_T[[D_hts_self_fy19]:[D_hts_self_fy19]]*hts_self_T[A_hts_self_2529_m_unasst]</f>
        <v>0</v>
      </c>
      <c r="BW7" s="53" t="n">
        <f aca="false">hts_self_T[[D_hts_self_fy19]:[D_hts_self_fy19]]*hts_self_T[A_hts_self_3034_f_direct]</f>
        <v>0</v>
      </c>
      <c r="BX7" s="53" t="n">
        <f aca="false">hts_self_T[[D_hts_self_fy19]:[D_hts_self_fy19]]*hts_self_T[A_hts_self_3034_f_unasst]</f>
        <v>0</v>
      </c>
      <c r="BY7" s="53" t="n">
        <f aca="false">hts_self_T[[D_hts_self_fy19]:[D_hts_self_fy19]]*hts_self_T[A_hts_self_3034_m_direct]</f>
        <v>0</v>
      </c>
      <c r="BZ7" s="53" t="n">
        <f aca="false">hts_self_T[[D_hts_self_fy19]:[D_hts_self_fy19]]*hts_self_T[A_hts_self_3034_m_unasst]</f>
        <v>0</v>
      </c>
      <c r="CA7" s="53" t="n">
        <f aca="false">hts_self_T[[D_hts_self_fy19]:[D_hts_self_fy19]]*hts_self_T[A_hts_self_3539_f_direct]</f>
        <v>0</v>
      </c>
      <c r="CB7" s="53" t="n">
        <f aca="false">hts_self_T[[D_hts_self_fy19]:[D_hts_self_fy19]]*hts_self_T[A_hts_self_3539_f_unasst]</f>
        <v>0</v>
      </c>
      <c r="CC7" s="53" t="n">
        <f aca="false">hts_self_T[[D_hts_self_fy19]:[D_hts_self_fy19]]*hts_self_T[A_hts_self_3539_m_direct]</f>
        <v>0</v>
      </c>
      <c r="CD7" s="53" t="n">
        <f aca="false">hts_self_T[[D_hts_self_fy19]:[D_hts_self_fy19]]*hts_self_T[A_hts_self_3539_m_unasst]</f>
        <v>0</v>
      </c>
      <c r="CE7" s="53" t="n">
        <f aca="false">hts_self_T[[D_hts_self_fy19]:[D_hts_self_fy19]]*hts_self_T[A_hts_self_4049_f_direct]</f>
        <v>0</v>
      </c>
      <c r="CF7" s="53" t="n">
        <f aca="false">hts_self_T[[D_hts_self_fy19]:[D_hts_self_fy19]]*hts_self_T[A_hts_self_4049_f_unasst]</f>
        <v>0</v>
      </c>
      <c r="CG7" s="53" t="n">
        <f aca="false">hts_self_T[[D_hts_self_fy19]:[D_hts_self_fy19]]*hts_self_T[A_hts_self_4049_m_direct]</f>
        <v>0</v>
      </c>
      <c r="CH7" s="53" t="n">
        <f aca="false">hts_self_T[[D_hts_self_fy19]:[D_hts_self_fy19]]*hts_self_T[A_hts_self_4049_m_unasst]</f>
        <v>0</v>
      </c>
      <c r="CI7" s="53" t="n">
        <f aca="false">hts_self_T[[D_hts_self_fy19]:[D_hts_self_fy19]]*hts_self_T[A_hts_self_o50_f_direct]</f>
        <v>0</v>
      </c>
      <c r="CJ7" s="53" t="n">
        <f aca="false">hts_self_T[[D_hts_self_fy19]:[D_hts_self_fy19]]*hts_self_T[A_hts_self_o50_f_unasst]</f>
        <v>0</v>
      </c>
      <c r="CK7" s="53" t="n">
        <f aca="false">hts_self_T[[D_hts_self_fy19]:[D_hts_self_fy19]]*hts_self_T[A_hts_self_o50_m_direct]</f>
        <v>0</v>
      </c>
      <c r="CL7" s="53" t="n">
        <f aca="false">hts_self_T[[D_hts_self_fy19]:[D_hts_self_fy19]]*hts_self_T[A_hts_self_o50_m_unasst]</f>
        <v>0</v>
      </c>
      <c r="CM7" s="53" t="n">
        <f aca="false">SUMIF($BG$4:$CL$5,"*Directly*",hts_self_T[[hts_self_1014_f_direct]:[hts_self_o50_m_unasst]])</f>
        <v>0</v>
      </c>
      <c r="CN7" s="53" t="n">
        <f aca="false">SUMIF($BG$4:$CL$4,"*Unassisted*",hts_self_T[[hts_self_1014_f_direct]:[hts_self_o50_m_unasst]])</f>
        <v>0</v>
      </c>
      <c r="CO7" s="53" t="n">
        <f aca="false">hts_self_T[[D_hts_self_fy19]:[D_hts_self_fy19]]*hts_self_T[A_hts_self_unasst_oth]</f>
        <v>0</v>
      </c>
      <c r="CP7" s="53" t="n">
        <f aca="false">hts_self_T[[D_hts_self_fy19]:[D_hts_self_fy19]]*hts_self_T[A_hts_self_unasst_self]</f>
        <v>0</v>
      </c>
      <c r="CQ7" s="53" t="n">
        <f aca="false">hts_self_T[[D_hts_self_fy19]:[D_hts_self_fy19]]*hts_self_T[A_hts_self_unasst_partner]</f>
        <v>0</v>
      </c>
      <c r="CR7" s="53" t="n">
        <f aca="false">hts_self_T[[D_hts_self_fy19]:[D_hts_self_fy19]]*hts_self_T[A_hts_self_fsw_direct]</f>
        <v>0</v>
      </c>
      <c r="CS7" s="53" t="n">
        <f aca="false">hts_self_T[[D_hts_self_fy19]:[D_hts_self_fy19]]*hts_self_T[A_hts_self_fsw_unasst]</f>
        <v>0</v>
      </c>
      <c r="CT7" s="53" t="n">
        <f aca="false">hts_self_T[[D_hts_self_fy19]:[D_hts_self_fy19]]*hts_self_T[A_hts_self_msm_direct]</f>
        <v>0</v>
      </c>
      <c r="CU7" s="53" t="n">
        <f aca="false">hts_self_T[[D_hts_self_fy19]:[D_hts_self_fy19]]*hts_self_T[A_hts_self_msm_unasst]</f>
        <v>0</v>
      </c>
      <c r="CV7" s="53" t="n">
        <f aca="false">hts_self_T[[D_hts_self_fy19]:[D_hts_self_fy19]]*hts_self_T[A_hts_self_prison_direct]</f>
        <v>0</v>
      </c>
      <c r="CW7" s="53" t="n">
        <f aca="false">hts_self_T[[D_hts_self_fy19]:[D_hts_self_fy19]]*hts_self_T[A_hts_self_prison_unasst]</f>
        <v>0</v>
      </c>
      <c r="CX7" s="53" t="n">
        <f aca="false">hts_self_T[[D_hts_self_fy19]:[D_hts_self_fy19]]*hts_self_T[A_hts_self_pwid_direct]</f>
        <v>0</v>
      </c>
      <c r="CY7" s="53" t="n">
        <f aca="false">hts_self_T[[D_hts_self_fy19]:[D_hts_self_fy19]]*hts_self_T[A_hts_self_pwid_unasst]</f>
        <v>0</v>
      </c>
      <c r="CZ7" s="53" t="n">
        <f aca="false">hts_self_T[[D_hts_self_fy19]:[D_hts_self_fy19]]*hts_self_T[A_hts_self_tg_direct]</f>
        <v>0</v>
      </c>
      <c r="DA7" s="53" t="n">
        <f aca="false">hts_self_T[[D_hts_self_fy19]:[D_hts_self_fy19]]*hts_self_T[A_hts_self_tg_unasst]</f>
        <v>0</v>
      </c>
    </row>
    <row r="8" customFormat="false" ht="15" hidden="false" customHeight="false" outlineLevel="0" collapsed="false">
      <c r="A8" s="7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R8" s="8"/>
      <c r="CS8" s="8"/>
      <c r="CT8" s="8"/>
      <c r="CU8" s="8"/>
      <c r="CV8" s="8"/>
      <c r="CW8" s="8"/>
      <c r="CX8" s="8"/>
      <c r="CY8" s="8"/>
      <c r="CZ8" s="8"/>
      <c r="DA8" s="8"/>
    </row>
    <row r="9" customFormat="false" ht="15" hidden="false" customHeight="false" outlineLevel="0" collapsed="false">
      <c r="A9" s="7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row>
    <row r="10" customFormat="false" ht="15" hidden="false" customHeight="false" outlineLevel="0" collapsed="false">
      <c r="A10" s="7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row>
    <row r="11" customFormat="false" ht="15" hidden="false" customHeight="false" outlineLevel="0" collapsed="false">
      <c r="A11" s="7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row>
  </sheetData>
  <mergeCells count="1">
    <mergeCell ref="A1:A2"/>
  </mergeCells>
  <conditionalFormatting sqref="J7:BE7">
    <cfRule type="expression" priority="2" aboveAverage="0" equalAverage="0" bottom="0" percent="0" rank="0" text="" dxfId="0">
      <formula>$BF7=0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Company>USAID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2017-01-18T17:27:39Z</dcterms:created>
  <dc:creator>Aaron Chafetz (GH/OHA/SPER)</dc:creator>
  <dc:description/>
  <dc:language>en-US</dc:language>
  <cp:lastModifiedBy/>
  <dcterms:modified xsi:type="dcterms:W3CDTF">2018-03-15T10:39:39Z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USAID</vt:lpwstr>
  </property>
  <property fmtid="{D5CDD505-2E9C-101B-9397-08002B2CF9AE}" pid="4" name="ContentTypeId">
    <vt:lpwstr>0x01010012BE98611EB2BF4C8D0EE8F12C18138100B5121C3CF2B9F34981497C23D202BB81</vt:lpwstr>
  </property>
  <property fmtid="{D5CDD505-2E9C-101B-9397-08002B2CF9AE}" pid="5" name="DocSecurity">
    <vt:i4>0</vt:i4>
  </property>
  <property fmtid="{D5CDD505-2E9C-101B-9397-08002B2CF9AE}" pid="6" name="ESRI_WORKBOOK_ID">
    <vt:lpwstr>eda3d1bcd418451f90471af3ed05c169</vt:lpwstr>
  </property>
  <property fmtid="{D5CDD505-2E9C-101B-9397-08002B2CF9AE}" pid="7" name="HyperlinksChanged">
    <vt:bool>0</vt:bool>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