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drawings/drawing4.xml" ContentType="application/vnd.openxmlformats-officedocument.drawing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7.xml" ContentType="application/vnd.openxmlformats-officedocument.spreadsheetml.worksheet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xl/tables/table18.xml" ContentType="application/vnd.openxmlformats-officedocument.spreadsheetml.table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tables/table1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7.xml" ContentType="application/vnd.openxmlformats-officedocument.spreadsheetml.table+xml"/>
  <Override PartName="/xl/tables/table6.xml" ContentType="application/vnd.openxmlformats-officedocument.spreadsheetml.table+xml"/>
  <Override PartName="/xl/tables/table5.xml" ContentType="application/vnd.openxmlformats-officedocument.spreadsheetml.table+xml"/>
  <Override PartName="/xl/tables/table3.xml" ContentType="application/vnd.openxmlformats-officedocument.spreadsheetml.table+xml"/>
  <Override PartName="/xl/tables/table2.xml" ContentType="application/vnd.openxmlformats-officedocument.spreadsheetml.table+xml"/>
  <Override PartName="/xl/tables/table10.xml" ContentType="application/vnd.openxmlformats-officedocument.spreadsheetml.table+xml"/>
  <Override PartName="/xl/tables/table15.xml" ContentType="application/vnd.openxmlformats-officedocument.spreadsheetml.table+xml"/>
  <Override PartName="/xl/tables/table1.xml" ContentType="application/vnd.openxmlformats-officedocument.spreadsheetml.table+xml"/>
  <Override PartName="/xl/tables/table16.xml" ContentType="application/vnd.openxmlformats-officedocument.spreadsheetml.table+xml"/>
  <Override PartName="/xl/tables/table14.xml" ContentType="application/vnd.openxmlformats-officedocument.spreadsheetml.table+xml"/>
  <Override PartName="/xl/tables/table13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cop18dpp\Documents\"/>
    </mc:Choice>
  </mc:AlternateContent>
  <xr:revisionPtr revIDLastSave="0" documentId="8_{596B83C9-FB70-4375-8DF8-1CBDBB72222A}" xr6:coauthVersionLast="28" xr6:coauthVersionMax="28" xr10:uidLastSave="{00000000-0000-0000-0000-000000000000}"/>
  <bookViews>
    <workbookView xWindow="-5745" yWindow="1695" windowWidth="13125" windowHeight="2640" tabRatio="860" xr2:uid="{00000000-000D-0000-FFFF-FFFF00000000}"/>
  </bookViews>
  <sheets>
    <sheet name="POPrun" sheetId="29" r:id="rId1"/>
    <sheet name="POPsubset" sheetId="70" r:id="rId2"/>
    <sheet name="POPref" sheetId="28" r:id="rId3"/>
    <sheet name="template" sheetId="53" r:id="rId4"/>
    <sheet name="Home" sheetId="23" r:id="rId5"/>
    <sheet name="Allocation by SNUxIM" sheetId="1" r:id="rId6"/>
    <sheet name="ESRI_MAPINFO_SHEET" sheetId="31" state="veryHidden" r:id="rId7"/>
    <sheet name="IndexMod" sheetId="90" r:id="rId8"/>
    <sheet name="MobileMod" sheetId="91" r:id="rId9"/>
    <sheet name="VCTMod" sheetId="92" r:id="rId10"/>
    <sheet name="OtherMod" sheetId="93" r:id="rId11"/>
    <sheet name="Index" sheetId="94" r:id="rId12"/>
    <sheet name="STI" sheetId="95" r:id="rId13"/>
    <sheet name="Inpat" sheetId="96" r:id="rId14"/>
    <sheet name="Emergency" sheetId="97" r:id="rId15"/>
    <sheet name="VCT" sheetId="98" r:id="rId16"/>
    <sheet name="VMMC" sheetId="99" r:id="rId17"/>
    <sheet name="TBClinic" sheetId="106" r:id="rId18"/>
    <sheet name="PMTCTANC" sheetId="100" r:id="rId19"/>
    <sheet name="PediatricServices" sheetId="103" r:id="rId20"/>
    <sheet name="Malnutrition" sheetId="104" r:id="rId21"/>
    <sheet name="OtherPITC" sheetId="102" r:id="rId22"/>
    <sheet name="KeyPop" sheetId="107" r:id="rId23"/>
  </sheets>
  <definedNames>
    <definedName name="_xlnm._FilterDatabase" localSheetId="1" hidden="1">POPsubset!$A$1:$K$1</definedName>
  </definedNames>
  <calcPr calcId="171027"/>
</workbook>
</file>

<file path=xl/calcChain.xml><?xml version="1.0" encoding="utf-8"?>
<calcChain xmlns="http://schemas.openxmlformats.org/spreadsheetml/2006/main">
  <c r="W7" i="107" l="1"/>
  <c r="X7" i="107"/>
  <c r="Y7" i="107"/>
  <c r="Z7" i="107"/>
  <c r="AA7" i="107"/>
  <c r="AB7" i="107"/>
  <c r="AC7" i="107"/>
  <c r="AD7" i="107"/>
  <c r="AE7" i="107"/>
  <c r="V7" i="107"/>
  <c r="B7" i="1" l="1"/>
  <c r="T7" i="107" l="1"/>
  <c r="AW7" i="102"/>
  <c r="AV7" i="102"/>
  <c r="AU7" i="102"/>
  <c r="AT7" i="102"/>
  <c r="AE7" i="100"/>
  <c r="AD7" i="100"/>
  <c r="AU7" i="106"/>
  <c r="AT7" i="106"/>
  <c r="AE7" i="99"/>
  <c r="AD7" i="99"/>
  <c r="AW7" i="98"/>
  <c r="AV7" i="98"/>
  <c r="AU7" i="98"/>
  <c r="AT7" i="98"/>
  <c r="AW7" i="97"/>
  <c r="AV7" i="97"/>
  <c r="AU7" i="97"/>
  <c r="AT7" i="97"/>
  <c r="AW7" i="96"/>
  <c r="AV7" i="96"/>
  <c r="AU7" i="96"/>
  <c r="AT7" i="96"/>
  <c r="AW7" i="95"/>
  <c r="AV7" i="95"/>
  <c r="AU7" i="95"/>
  <c r="AT7" i="95"/>
  <c r="AW7" i="94"/>
  <c r="AV7" i="94"/>
  <c r="AU7" i="94"/>
  <c r="AT7" i="94"/>
  <c r="AW7" i="93"/>
  <c r="AV7" i="93"/>
  <c r="AU7" i="93"/>
  <c r="AT7" i="93"/>
  <c r="AW7" i="92"/>
  <c r="AV7" i="92"/>
  <c r="AU7" i="92"/>
  <c r="AT7" i="92"/>
  <c r="AW7" i="91"/>
  <c r="AV7" i="91"/>
  <c r="AU7" i="91"/>
  <c r="AT7" i="91"/>
  <c r="AW7" i="90"/>
  <c r="AV7" i="90"/>
  <c r="AU7" i="90"/>
  <c r="AT7" i="90"/>
  <c r="N2" i="23" l="1"/>
  <c r="U5" i="107" l="1"/>
  <c r="AE5" i="107"/>
  <c r="AD5" i="107"/>
  <c r="AC5" i="107"/>
  <c r="AB5" i="107"/>
  <c r="AA5" i="107"/>
  <c r="Z5" i="107"/>
  <c r="Y5" i="107"/>
  <c r="X5" i="107"/>
  <c r="W5" i="107"/>
  <c r="V5" i="107"/>
  <c r="AT7" i="99"/>
  <c r="AT5" i="99" s="1"/>
  <c r="AU7" i="99"/>
  <c r="AV7" i="99"/>
  <c r="AV5" i="99" s="1"/>
  <c r="AW7" i="99"/>
  <c r="AW5" i="99" s="1"/>
  <c r="AX7" i="99"/>
  <c r="AX5" i="99" s="1"/>
  <c r="AY7" i="99"/>
  <c r="AZ7" i="99"/>
  <c r="AZ5" i="99" s="1"/>
  <c r="BA7" i="99"/>
  <c r="BA5" i="99" s="1"/>
  <c r="BB7" i="99"/>
  <c r="BB5" i="99" s="1"/>
  <c r="AS7" i="99"/>
  <c r="AJ7" i="99"/>
  <c r="AJ5" i="99" s="1"/>
  <c r="AK7" i="99"/>
  <c r="AK5" i="99" s="1"/>
  <c r="AL7" i="99"/>
  <c r="AL5" i="99" s="1"/>
  <c r="AM7" i="99"/>
  <c r="AN7" i="99"/>
  <c r="AN5" i="99" s="1"/>
  <c r="AO7" i="99"/>
  <c r="AO5" i="99" s="1"/>
  <c r="AP7" i="99"/>
  <c r="AP5" i="99" s="1"/>
  <c r="AQ7" i="99"/>
  <c r="AR7" i="99"/>
  <c r="AR5" i="99" s="1"/>
  <c r="AS5" i="99"/>
  <c r="AI7" i="99"/>
  <c r="AI5" i="99" s="1"/>
  <c r="BR7" i="106"/>
  <c r="BR5" i="106" s="1"/>
  <c r="BS7" i="106"/>
  <c r="BS5" i="106" s="1"/>
  <c r="BT7" i="106"/>
  <c r="BT5" i="106" s="1"/>
  <c r="BU7" i="106"/>
  <c r="BU5" i="106" s="1"/>
  <c r="BV7" i="106"/>
  <c r="BW7" i="106"/>
  <c r="BW5" i="106" s="1"/>
  <c r="BX7" i="106"/>
  <c r="BX5" i="106" s="1"/>
  <c r="BY7" i="106"/>
  <c r="BY5" i="106" s="1"/>
  <c r="BZ7" i="106"/>
  <c r="BZ5" i="106" s="1"/>
  <c r="CA7" i="106"/>
  <c r="CA5" i="106" s="1"/>
  <c r="CB7" i="106"/>
  <c r="CB5" i="106" s="1"/>
  <c r="CC7" i="106"/>
  <c r="CC5" i="106" s="1"/>
  <c r="CD7" i="106"/>
  <c r="CD5" i="106" s="1"/>
  <c r="CE7" i="106"/>
  <c r="CE5" i="106" s="1"/>
  <c r="CF7" i="106"/>
  <c r="CF5" i="106" s="1"/>
  <c r="CG7" i="106"/>
  <c r="CG5" i="106" s="1"/>
  <c r="CH7" i="106"/>
  <c r="BQ7" i="106"/>
  <c r="BQ5" i="106" s="1"/>
  <c r="AZ7" i="106"/>
  <c r="AZ5" i="106" s="1"/>
  <c r="BA7" i="106"/>
  <c r="BA5" i="106" s="1"/>
  <c r="BB7" i="106"/>
  <c r="BB5" i="106" s="1"/>
  <c r="BC7" i="106"/>
  <c r="BC5" i="106" s="1"/>
  <c r="BD7" i="106"/>
  <c r="BD5" i="106" s="1"/>
  <c r="BE7" i="106"/>
  <c r="BE5" i="106" s="1"/>
  <c r="BF7" i="106"/>
  <c r="BF5" i="106" s="1"/>
  <c r="BG7" i="106"/>
  <c r="BH7" i="106"/>
  <c r="BH5" i="106" s="1"/>
  <c r="BI7" i="106"/>
  <c r="BI5" i="106" s="1"/>
  <c r="BJ7" i="106"/>
  <c r="BJ5" i="106" s="1"/>
  <c r="BK7" i="106"/>
  <c r="BK5" i="106" s="1"/>
  <c r="BL7" i="106"/>
  <c r="BL5" i="106" s="1"/>
  <c r="BM7" i="106"/>
  <c r="BM5" i="106" s="1"/>
  <c r="BN7" i="106"/>
  <c r="BN5" i="106" s="1"/>
  <c r="BO7" i="106"/>
  <c r="BO5" i="106" s="1"/>
  <c r="BP7" i="106"/>
  <c r="BP5" i="106" s="1"/>
  <c r="AY7" i="106"/>
  <c r="AY5" i="106" s="1"/>
  <c r="CH5" i="106"/>
  <c r="BV5" i="106"/>
  <c r="BG5" i="106"/>
  <c r="BB7" i="100"/>
  <c r="AT7" i="100"/>
  <c r="AT5" i="100" s="1"/>
  <c r="AU7" i="100"/>
  <c r="AU5" i="100" s="1"/>
  <c r="AV7" i="100"/>
  <c r="AV5" i="100" s="1"/>
  <c r="AW7" i="100"/>
  <c r="AW5" i="100" s="1"/>
  <c r="AX7" i="100"/>
  <c r="AX5" i="100" s="1"/>
  <c r="AY7" i="100"/>
  <c r="AY5" i="100" s="1"/>
  <c r="AZ7" i="100"/>
  <c r="AZ5" i="100" s="1"/>
  <c r="BA7" i="100"/>
  <c r="BA5" i="100" s="1"/>
  <c r="AS7" i="100"/>
  <c r="AS5" i="100" s="1"/>
  <c r="AJ7" i="100"/>
  <c r="AJ5" i="100" s="1"/>
  <c r="AK7" i="100"/>
  <c r="AK5" i="100" s="1"/>
  <c r="AL7" i="100"/>
  <c r="AL5" i="100" s="1"/>
  <c r="AM7" i="100"/>
  <c r="AM5" i="100" s="1"/>
  <c r="AN7" i="100"/>
  <c r="AN5" i="100" s="1"/>
  <c r="AO7" i="100"/>
  <c r="AO5" i="100" s="1"/>
  <c r="AP7" i="100"/>
  <c r="AP5" i="100" s="1"/>
  <c r="AQ7" i="100"/>
  <c r="AQ5" i="100" s="1"/>
  <c r="AR7" i="100"/>
  <c r="AR5" i="100" s="1"/>
  <c r="AI7" i="100"/>
  <c r="AI5" i="100" s="1"/>
  <c r="CM7" i="102"/>
  <c r="CL7" i="102"/>
  <c r="CK7" i="102"/>
  <c r="CJ7" i="102"/>
  <c r="CI7" i="102"/>
  <c r="CH7" i="102"/>
  <c r="CG7" i="102"/>
  <c r="CF7" i="102"/>
  <c r="CE7" i="102"/>
  <c r="CD7" i="102"/>
  <c r="CC7" i="102"/>
  <c r="CB7" i="102"/>
  <c r="CA7" i="102"/>
  <c r="BZ7" i="102"/>
  <c r="BY7" i="102"/>
  <c r="BX7" i="102"/>
  <c r="BW7" i="102"/>
  <c r="BV7" i="102"/>
  <c r="BU7" i="102"/>
  <c r="BT7" i="102"/>
  <c r="BS7" i="102"/>
  <c r="BR7" i="102"/>
  <c r="BQ7" i="102"/>
  <c r="BP7" i="102"/>
  <c r="BO7" i="102"/>
  <c r="BN7" i="102"/>
  <c r="BM7" i="102"/>
  <c r="BL7" i="102"/>
  <c r="BK7" i="102"/>
  <c r="BJ7" i="102"/>
  <c r="BI7" i="102"/>
  <c r="BH7" i="102"/>
  <c r="BG7" i="102"/>
  <c r="BF7" i="102"/>
  <c r="BE7" i="102"/>
  <c r="BD7" i="102"/>
  <c r="CM5" i="102"/>
  <c r="CL5" i="102"/>
  <c r="CK5" i="102"/>
  <c r="CJ5" i="102"/>
  <c r="CI5" i="102"/>
  <c r="CH5" i="102"/>
  <c r="CG5" i="102"/>
  <c r="CF5" i="102"/>
  <c r="CE5" i="102"/>
  <c r="CD5" i="102"/>
  <c r="CC5" i="102"/>
  <c r="CB5" i="102"/>
  <c r="CA5" i="102"/>
  <c r="BZ5" i="102"/>
  <c r="BY5" i="102"/>
  <c r="BX5" i="102"/>
  <c r="BW5" i="102"/>
  <c r="BV5" i="102"/>
  <c r="BU5" i="102"/>
  <c r="BT5" i="102"/>
  <c r="BS5" i="102"/>
  <c r="BR5" i="102"/>
  <c r="BQ5" i="102"/>
  <c r="BP5" i="102"/>
  <c r="BO5" i="102"/>
  <c r="BN5" i="102"/>
  <c r="BM5" i="102"/>
  <c r="BL5" i="102"/>
  <c r="BK5" i="102"/>
  <c r="BJ5" i="102"/>
  <c r="BI5" i="102"/>
  <c r="BH5" i="102"/>
  <c r="BG5" i="102"/>
  <c r="BF5" i="102"/>
  <c r="BE5" i="102"/>
  <c r="BD5" i="102"/>
  <c r="BB5" i="100"/>
  <c r="AY5" i="99"/>
  <c r="AQ5" i="99"/>
  <c r="AM5" i="99"/>
  <c r="AU5" i="99"/>
  <c r="CM7" i="98"/>
  <c r="CL7" i="98"/>
  <c r="CK7" i="98"/>
  <c r="CJ7" i="98"/>
  <c r="CI7" i="98"/>
  <c r="CH7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BM7" i="98"/>
  <c r="BL7" i="98"/>
  <c r="BK7" i="98"/>
  <c r="BJ7" i="98"/>
  <c r="BI7" i="98"/>
  <c r="BH7" i="98"/>
  <c r="BG7" i="98"/>
  <c r="BF7" i="98"/>
  <c r="BE7" i="98"/>
  <c r="BD7" i="98"/>
  <c r="CM5" i="98"/>
  <c r="CL5" i="98"/>
  <c r="CK5" i="98"/>
  <c r="CJ5" i="98"/>
  <c r="CI5" i="98"/>
  <c r="CH5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BM5" i="98"/>
  <c r="BL5" i="98"/>
  <c r="BK5" i="98"/>
  <c r="BJ5" i="98"/>
  <c r="BI5" i="98"/>
  <c r="BH5" i="98"/>
  <c r="BG5" i="98"/>
  <c r="BF5" i="98"/>
  <c r="BE5" i="98"/>
  <c r="BD5" i="98"/>
  <c r="CM7" i="97"/>
  <c r="CL7" i="97"/>
  <c r="CK7" i="97"/>
  <c r="CJ7" i="97"/>
  <c r="CI7" i="97"/>
  <c r="CH7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BM7" i="97"/>
  <c r="BL7" i="97"/>
  <c r="BK7" i="97"/>
  <c r="BJ7" i="97"/>
  <c r="BI7" i="97"/>
  <c r="BH7" i="97"/>
  <c r="BG7" i="97"/>
  <c r="BF7" i="97"/>
  <c r="BE7" i="97"/>
  <c r="BD7" i="97"/>
  <c r="CM5" i="97"/>
  <c r="CL5" i="97"/>
  <c r="CK5" i="97"/>
  <c r="CJ5" i="97"/>
  <c r="CI5" i="97"/>
  <c r="CH5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BM5" i="97"/>
  <c r="BL5" i="97"/>
  <c r="BK5" i="97"/>
  <c r="BJ5" i="97"/>
  <c r="BI5" i="97"/>
  <c r="BH5" i="97"/>
  <c r="BG5" i="97"/>
  <c r="BF5" i="97"/>
  <c r="BE5" i="97"/>
  <c r="BD5" i="97"/>
  <c r="CM7" i="96"/>
  <c r="CL7" i="96"/>
  <c r="CK7" i="96"/>
  <c r="CJ7" i="96"/>
  <c r="CI7" i="96"/>
  <c r="CH7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BM7" i="96"/>
  <c r="BL7" i="96"/>
  <c r="BK7" i="96"/>
  <c r="BJ7" i="96"/>
  <c r="BI7" i="96"/>
  <c r="BH7" i="96"/>
  <c r="BG7" i="96"/>
  <c r="BF7" i="96"/>
  <c r="BE7" i="96"/>
  <c r="BD7" i="96"/>
  <c r="CM5" i="96"/>
  <c r="CL5" i="96"/>
  <c r="CK5" i="96"/>
  <c r="CJ5" i="96"/>
  <c r="CI5" i="96"/>
  <c r="CH5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BM5" i="96"/>
  <c r="BL5" i="96"/>
  <c r="BK5" i="96"/>
  <c r="BJ5" i="96"/>
  <c r="BI5" i="96"/>
  <c r="BH5" i="96"/>
  <c r="BG5" i="96"/>
  <c r="BF5" i="96"/>
  <c r="BE5" i="96"/>
  <c r="BD5" i="96"/>
  <c r="CM7" i="95"/>
  <c r="CL7" i="95"/>
  <c r="CK7" i="95"/>
  <c r="CJ7" i="95"/>
  <c r="CI7" i="95"/>
  <c r="CH7" i="95"/>
  <c r="CG7" i="95"/>
  <c r="CF7" i="95"/>
  <c r="CE7" i="95"/>
  <c r="CD7" i="95"/>
  <c r="CC7" i="95"/>
  <c r="CB7" i="95"/>
  <c r="CA7" i="95"/>
  <c r="BZ7" i="95"/>
  <c r="BY7" i="95"/>
  <c r="BX7" i="95"/>
  <c r="BW7" i="95"/>
  <c r="BV7" i="95"/>
  <c r="BU7" i="95"/>
  <c r="BT7" i="95"/>
  <c r="BS7" i="95"/>
  <c r="BR7" i="95"/>
  <c r="BQ7" i="95"/>
  <c r="BP7" i="95"/>
  <c r="BO7" i="95"/>
  <c r="BN7" i="95"/>
  <c r="BM7" i="95"/>
  <c r="BL7" i="95"/>
  <c r="BK7" i="95"/>
  <c r="BJ7" i="95"/>
  <c r="BI7" i="95"/>
  <c r="BH7" i="95"/>
  <c r="BG7" i="95"/>
  <c r="BF7" i="95"/>
  <c r="BE7" i="95"/>
  <c r="BD7" i="95"/>
  <c r="CM5" i="95"/>
  <c r="CL5" i="95"/>
  <c r="CK5" i="95"/>
  <c r="CJ5" i="95"/>
  <c r="CI5" i="95"/>
  <c r="CH5" i="95"/>
  <c r="CG5" i="95"/>
  <c r="CF5" i="95"/>
  <c r="CE5" i="95"/>
  <c r="CD5" i="95"/>
  <c r="CC5" i="95"/>
  <c r="CB5" i="95"/>
  <c r="CA5" i="95"/>
  <c r="BZ5" i="95"/>
  <c r="BY5" i="95"/>
  <c r="BX5" i="95"/>
  <c r="BW5" i="95"/>
  <c r="BV5" i="95"/>
  <c r="BU5" i="95"/>
  <c r="BT5" i="95"/>
  <c r="BS5" i="95"/>
  <c r="BR5" i="95"/>
  <c r="BQ5" i="95"/>
  <c r="BP5" i="95"/>
  <c r="BO5" i="95"/>
  <c r="BN5" i="95"/>
  <c r="BM5" i="95"/>
  <c r="BL5" i="95"/>
  <c r="BK5" i="95"/>
  <c r="BJ5" i="95"/>
  <c r="BI5" i="95"/>
  <c r="BH5" i="95"/>
  <c r="BG5" i="95"/>
  <c r="BF5" i="95"/>
  <c r="BE5" i="95"/>
  <c r="BD5" i="95"/>
  <c r="CM7" i="94"/>
  <c r="CL7" i="94"/>
  <c r="CK7" i="94"/>
  <c r="CJ7" i="94"/>
  <c r="CI7" i="94"/>
  <c r="CH7" i="94"/>
  <c r="CG7" i="94"/>
  <c r="CF7" i="94"/>
  <c r="CE7" i="94"/>
  <c r="CD7" i="94"/>
  <c r="CC7" i="94"/>
  <c r="CB7" i="94"/>
  <c r="CA7" i="94"/>
  <c r="BZ7" i="94"/>
  <c r="BY7" i="94"/>
  <c r="BX7" i="94"/>
  <c r="BW7" i="94"/>
  <c r="BV7" i="94"/>
  <c r="BU7" i="94"/>
  <c r="BT7" i="94"/>
  <c r="BS7" i="94"/>
  <c r="BR7" i="94"/>
  <c r="BQ7" i="94"/>
  <c r="BP7" i="94"/>
  <c r="BO7" i="94"/>
  <c r="BN7" i="94"/>
  <c r="BM7" i="94"/>
  <c r="BL7" i="94"/>
  <c r="BK7" i="94"/>
  <c r="BJ7" i="94"/>
  <c r="BI7" i="94"/>
  <c r="BH7" i="94"/>
  <c r="BG7" i="94"/>
  <c r="BF7" i="94"/>
  <c r="BE7" i="94"/>
  <c r="BD7" i="94"/>
  <c r="CM5" i="94"/>
  <c r="CL5" i="94"/>
  <c r="CK5" i="94"/>
  <c r="CJ5" i="94"/>
  <c r="CI5" i="94"/>
  <c r="CH5" i="94"/>
  <c r="CG5" i="94"/>
  <c r="CF5" i="94"/>
  <c r="CE5" i="94"/>
  <c r="CD5" i="94"/>
  <c r="CC5" i="94"/>
  <c r="CB5" i="94"/>
  <c r="CA5" i="94"/>
  <c r="BZ5" i="94"/>
  <c r="BY5" i="94"/>
  <c r="BX5" i="94"/>
  <c r="BW5" i="94"/>
  <c r="BV5" i="94"/>
  <c r="BU5" i="94"/>
  <c r="BT5" i="94"/>
  <c r="BS5" i="94"/>
  <c r="BR5" i="94"/>
  <c r="BQ5" i="94"/>
  <c r="BP5" i="94"/>
  <c r="BO5" i="94"/>
  <c r="BN5" i="94"/>
  <c r="BM5" i="94"/>
  <c r="BL5" i="94"/>
  <c r="BK5" i="94"/>
  <c r="BJ5" i="94"/>
  <c r="BI5" i="94"/>
  <c r="BH5" i="94"/>
  <c r="BG5" i="94"/>
  <c r="BF5" i="94"/>
  <c r="BE5" i="94"/>
  <c r="BD5" i="94"/>
  <c r="CM7" i="93"/>
  <c r="CL7" i="93"/>
  <c r="CK7" i="93"/>
  <c r="CJ7" i="93"/>
  <c r="CI7" i="93"/>
  <c r="CH7" i="93"/>
  <c r="CG7" i="93"/>
  <c r="CF7" i="93"/>
  <c r="CE7" i="93"/>
  <c r="CD7" i="93"/>
  <c r="CC7" i="93"/>
  <c r="CB7" i="93"/>
  <c r="CA7" i="93"/>
  <c r="BZ7" i="93"/>
  <c r="BY7" i="93"/>
  <c r="BX7" i="93"/>
  <c r="BW7" i="93"/>
  <c r="BV7" i="93"/>
  <c r="BU7" i="93"/>
  <c r="BT7" i="93"/>
  <c r="BS7" i="93"/>
  <c r="BR7" i="93"/>
  <c r="BQ7" i="93"/>
  <c r="BP7" i="93"/>
  <c r="BO7" i="93"/>
  <c r="BN7" i="93"/>
  <c r="BM7" i="93"/>
  <c r="BL7" i="93"/>
  <c r="BK7" i="93"/>
  <c r="BJ7" i="93"/>
  <c r="BI7" i="93"/>
  <c r="BH7" i="93"/>
  <c r="BG7" i="93"/>
  <c r="BF7" i="93"/>
  <c r="BE7" i="93"/>
  <c r="BD7" i="93"/>
  <c r="CM5" i="93"/>
  <c r="CL5" i="93"/>
  <c r="CK5" i="93"/>
  <c r="CJ5" i="93"/>
  <c r="CI5" i="93"/>
  <c r="CH5" i="93"/>
  <c r="CG5" i="93"/>
  <c r="CF5" i="93"/>
  <c r="CE5" i="93"/>
  <c r="CD5" i="93"/>
  <c r="CC5" i="93"/>
  <c r="CB5" i="93"/>
  <c r="CA5" i="93"/>
  <c r="BZ5" i="93"/>
  <c r="BY5" i="93"/>
  <c r="BX5" i="93"/>
  <c r="BW5" i="93"/>
  <c r="BV5" i="93"/>
  <c r="BU5" i="93"/>
  <c r="BT5" i="93"/>
  <c r="BS5" i="93"/>
  <c r="BR5" i="93"/>
  <c r="BQ5" i="93"/>
  <c r="BP5" i="93"/>
  <c r="BO5" i="93"/>
  <c r="BN5" i="93"/>
  <c r="BM5" i="93"/>
  <c r="BL5" i="93"/>
  <c r="BK5" i="93"/>
  <c r="BJ5" i="93"/>
  <c r="BI5" i="93"/>
  <c r="BH5" i="93"/>
  <c r="BG5" i="93"/>
  <c r="BF5" i="93"/>
  <c r="BE5" i="93"/>
  <c r="BD5" i="93"/>
  <c r="CM7" i="92"/>
  <c r="CL7" i="92"/>
  <c r="CK7" i="92"/>
  <c r="CJ7" i="92"/>
  <c r="CI7" i="92"/>
  <c r="CH7" i="92"/>
  <c r="CG7" i="92"/>
  <c r="CF7" i="92"/>
  <c r="CE7" i="92"/>
  <c r="CD7" i="92"/>
  <c r="CC7" i="92"/>
  <c r="CB7" i="92"/>
  <c r="CA7" i="92"/>
  <c r="BZ7" i="92"/>
  <c r="BY7" i="92"/>
  <c r="BX7" i="92"/>
  <c r="BW7" i="92"/>
  <c r="BV7" i="92"/>
  <c r="BU7" i="92"/>
  <c r="BT7" i="92"/>
  <c r="BS7" i="92"/>
  <c r="BR7" i="92"/>
  <c r="BQ7" i="92"/>
  <c r="BP7" i="92"/>
  <c r="BO7" i="92"/>
  <c r="BN7" i="92"/>
  <c r="BM7" i="92"/>
  <c r="BL7" i="92"/>
  <c r="BK7" i="92"/>
  <c r="BJ7" i="92"/>
  <c r="BI7" i="92"/>
  <c r="BH7" i="92"/>
  <c r="BG7" i="92"/>
  <c r="BF7" i="92"/>
  <c r="BE7" i="92"/>
  <c r="BD7" i="92"/>
  <c r="CM5" i="92"/>
  <c r="CL5" i="92"/>
  <c r="CK5" i="92"/>
  <c r="CJ5" i="92"/>
  <c r="CI5" i="92"/>
  <c r="CH5" i="92"/>
  <c r="CG5" i="92"/>
  <c r="CF5" i="92"/>
  <c r="CE5" i="92"/>
  <c r="CD5" i="92"/>
  <c r="CC5" i="92"/>
  <c r="CB5" i="92"/>
  <c r="CA5" i="92"/>
  <c r="BZ5" i="92"/>
  <c r="BY5" i="92"/>
  <c r="BX5" i="92"/>
  <c r="BW5" i="92"/>
  <c r="BV5" i="92"/>
  <c r="BU5" i="92"/>
  <c r="BT5" i="92"/>
  <c r="BS5" i="92"/>
  <c r="BR5" i="92"/>
  <c r="BQ5" i="92"/>
  <c r="BP5" i="92"/>
  <c r="BO5" i="92"/>
  <c r="BN5" i="92"/>
  <c r="BM5" i="92"/>
  <c r="BL5" i="92"/>
  <c r="BK5" i="92"/>
  <c r="BJ5" i="92"/>
  <c r="BI5" i="92"/>
  <c r="BH5" i="92"/>
  <c r="BG5" i="92"/>
  <c r="BF5" i="92"/>
  <c r="BE5" i="92"/>
  <c r="BD5" i="92"/>
  <c r="CM7" i="91"/>
  <c r="CL7" i="91"/>
  <c r="CK7" i="91"/>
  <c r="CJ7" i="91"/>
  <c r="CI7" i="91"/>
  <c r="CH7" i="91"/>
  <c r="CG7" i="91"/>
  <c r="CF7" i="91"/>
  <c r="CE7" i="91"/>
  <c r="CD7" i="91"/>
  <c r="CC7" i="91"/>
  <c r="CB7" i="91"/>
  <c r="CA7" i="91"/>
  <c r="BZ7" i="91"/>
  <c r="BY7" i="91"/>
  <c r="BX7" i="91"/>
  <c r="BW7" i="91"/>
  <c r="BV7" i="91"/>
  <c r="BU7" i="91"/>
  <c r="BT7" i="91"/>
  <c r="BS7" i="91"/>
  <c r="BR7" i="91"/>
  <c r="BQ7" i="91"/>
  <c r="BP7" i="91"/>
  <c r="BO7" i="91"/>
  <c r="BN7" i="91"/>
  <c r="BM7" i="91"/>
  <c r="BL7" i="91"/>
  <c r="BK7" i="91"/>
  <c r="BJ7" i="91"/>
  <c r="BI7" i="91"/>
  <c r="BH7" i="91"/>
  <c r="BG7" i="91"/>
  <c r="BF7" i="91"/>
  <c r="BE7" i="91"/>
  <c r="BD7" i="91"/>
  <c r="CM5" i="91"/>
  <c r="CL5" i="91"/>
  <c r="CK5" i="91"/>
  <c r="CJ5" i="91"/>
  <c r="CI5" i="91"/>
  <c r="CH5" i="91"/>
  <c r="CG5" i="91"/>
  <c r="CF5" i="91"/>
  <c r="CE5" i="91"/>
  <c r="CD5" i="91"/>
  <c r="CC5" i="91"/>
  <c r="CB5" i="91"/>
  <c r="CA5" i="91"/>
  <c r="BZ5" i="91"/>
  <c r="BY5" i="91"/>
  <c r="BX5" i="91"/>
  <c r="BW5" i="91"/>
  <c r="BV5" i="91"/>
  <c r="BU5" i="91"/>
  <c r="BT5" i="91"/>
  <c r="BS5" i="91"/>
  <c r="BR5" i="91"/>
  <c r="BQ5" i="91"/>
  <c r="BP5" i="91"/>
  <c r="BO5" i="91"/>
  <c r="BN5" i="91"/>
  <c r="BM5" i="91"/>
  <c r="BL5" i="91"/>
  <c r="BK5" i="91"/>
  <c r="BJ5" i="91"/>
  <c r="BI5" i="91"/>
  <c r="BH5" i="91"/>
  <c r="BG5" i="91"/>
  <c r="BF5" i="91"/>
  <c r="BE5" i="91"/>
  <c r="BD5" i="91"/>
  <c r="CM7" i="90"/>
  <c r="CL7" i="90"/>
  <c r="CK7" i="90"/>
  <c r="CJ7" i="90"/>
  <c r="CI7" i="90"/>
  <c r="CH7" i="90"/>
  <c r="CG7" i="90"/>
  <c r="CF7" i="90"/>
  <c r="CE7" i="90"/>
  <c r="CD7" i="90"/>
  <c r="CC7" i="90"/>
  <c r="CB7" i="90"/>
  <c r="CA7" i="90"/>
  <c r="BZ7" i="90"/>
  <c r="BY7" i="90"/>
  <c r="BX7" i="90"/>
  <c r="BW7" i="90"/>
  <c r="BV7" i="90"/>
  <c r="BU7" i="90"/>
  <c r="BT7" i="90"/>
  <c r="BS7" i="90"/>
  <c r="BR7" i="90"/>
  <c r="BQ7" i="90"/>
  <c r="BP7" i="90"/>
  <c r="BO7" i="90"/>
  <c r="BN7" i="90"/>
  <c r="BM7" i="90"/>
  <c r="BL7" i="90"/>
  <c r="BK7" i="90"/>
  <c r="BJ7" i="90"/>
  <c r="BI7" i="90"/>
  <c r="BH7" i="90"/>
  <c r="BG7" i="90"/>
  <c r="BF7" i="90"/>
  <c r="BE7" i="90"/>
  <c r="BD7" i="90"/>
  <c r="CM5" i="90"/>
  <c r="CL5" i="90"/>
  <c r="CK5" i="90"/>
  <c r="CJ5" i="90"/>
  <c r="CI5" i="90"/>
  <c r="CH5" i="90"/>
  <c r="CG5" i="90"/>
  <c r="CF5" i="90"/>
  <c r="CE5" i="90"/>
  <c r="CD5" i="90"/>
  <c r="CC5" i="90"/>
  <c r="CB5" i="90"/>
  <c r="CA5" i="90"/>
  <c r="BZ5" i="90"/>
  <c r="BY5" i="90"/>
  <c r="BX5" i="90"/>
  <c r="BW5" i="90"/>
  <c r="BV5" i="90"/>
  <c r="BU5" i="90"/>
  <c r="BT5" i="90"/>
  <c r="BS5" i="90"/>
  <c r="BR5" i="90"/>
  <c r="BQ5" i="90"/>
  <c r="BP5" i="90"/>
  <c r="BO5" i="90"/>
  <c r="BN5" i="90"/>
  <c r="BM5" i="90"/>
  <c r="BL5" i="90"/>
  <c r="BK5" i="90"/>
  <c r="BJ5" i="90"/>
  <c r="BI5" i="90"/>
  <c r="BH5" i="90"/>
  <c r="BG5" i="90"/>
  <c r="BF5" i="90"/>
  <c r="BE5" i="90"/>
  <c r="BD5" i="90"/>
  <c r="BX7" i="53" l="1"/>
  <c r="BY7" i="53"/>
  <c r="BZ7" i="53"/>
  <c r="CA7" i="53"/>
  <c r="CB7" i="53"/>
  <c r="CC7" i="53"/>
  <c r="CD7" i="53"/>
  <c r="CE7" i="53"/>
  <c r="CF7" i="53"/>
  <c r="CG7" i="53"/>
  <c r="CH7" i="53"/>
  <c r="CI7" i="53"/>
  <c r="BW7" i="53"/>
  <c r="BV7" i="53"/>
  <c r="BI7" i="53"/>
  <c r="BJ7" i="53"/>
  <c r="BK7" i="53"/>
  <c r="BL7" i="53"/>
  <c r="BM7" i="53"/>
  <c r="BN7" i="53"/>
  <c r="BO7" i="53"/>
  <c r="BP7" i="53"/>
  <c r="BQ7" i="53"/>
  <c r="BR7" i="53"/>
  <c r="BS7" i="53"/>
  <c r="BT7" i="53"/>
  <c r="BU7" i="53"/>
  <c r="BH7" i="53"/>
  <c r="BE7" i="53"/>
  <c r="BF7" i="53"/>
  <c r="BG7" i="53"/>
  <c r="BD7" i="53"/>
  <c r="AZ7" i="53"/>
  <c r="BA7" i="53"/>
  <c r="BB7" i="53"/>
  <c r="BC7" i="53"/>
  <c r="O4" i="23" l="1"/>
  <c r="N1" i="23" l="1"/>
  <c r="BD5" i="53" l="1"/>
  <c r="BE5" i="53"/>
  <c r="BF5" i="53"/>
  <c r="BG5" i="53"/>
  <c r="BH5" i="53"/>
  <c r="BI5" i="53"/>
  <c r="BJ5" i="53"/>
  <c r="BK5" i="53"/>
  <c r="BL5" i="53"/>
  <c r="BM5" i="53"/>
  <c r="BN5" i="53"/>
  <c r="BO5" i="53"/>
  <c r="BP5" i="53"/>
  <c r="BQ5" i="53"/>
  <c r="BR5" i="53"/>
  <c r="BS5" i="53"/>
  <c r="BT5" i="53"/>
  <c r="BU5" i="53"/>
  <c r="BV5" i="53"/>
  <c r="BW5" i="53"/>
  <c r="BX5" i="53"/>
  <c r="BY5" i="53"/>
  <c r="BZ5" i="53"/>
  <c r="CA5" i="53"/>
  <c r="CB5" i="53"/>
  <c r="CC5" i="53"/>
  <c r="CD5" i="53"/>
  <c r="CE5" i="53"/>
  <c r="CF5" i="53"/>
  <c r="CG5" i="53"/>
  <c r="CH5" i="53"/>
  <c r="CI5" i="53"/>
  <c r="BB5" i="53"/>
  <c r="BC5" i="53"/>
  <c r="AZ5" i="53" l="1"/>
  <c r="BA5" i="53"/>
  <c r="D9" i="28" l="1"/>
  <c r="D5" i="28"/>
  <c r="D2" i="28"/>
  <c r="O2" i="23" l="1"/>
</calcChain>
</file>

<file path=xl/sharedStrings.xml><?xml version="1.0" encoding="utf-8"?>
<sst xmlns="http://schemas.openxmlformats.org/spreadsheetml/2006/main" count="7573" uniqueCount="1644">
  <si>
    <t>X</t>
  </si>
  <si>
    <t>Mech ID</t>
  </si>
  <si>
    <t>Type</t>
  </si>
  <si>
    <t>psnuuid</t>
  </si>
  <si>
    <t>TX_NEW</t>
  </si>
  <si>
    <t>&lt;01</t>
  </si>
  <si>
    <t>01-09</t>
  </si>
  <si>
    <t>10-14</t>
  </si>
  <si>
    <t>15-19</t>
  </si>
  <si>
    <t>TX_CURR</t>
  </si>
  <si>
    <t>Female</t>
  </si>
  <si>
    <t>Male</t>
  </si>
  <si>
    <t>TB_STAT</t>
  </si>
  <si>
    <t>TB_ART</t>
  </si>
  <si>
    <t>VMMC_CIRC</t>
  </si>
  <si>
    <t>20-24</t>
  </si>
  <si>
    <t>50+</t>
  </si>
  <si>
    <t>OVC_SERV</t>
  </si>
  <si>
    <t>PP_PREV</t>
  </si>
  <si>
    <t>PMTCT_STAT</t>
  </si>
  <si>
    <t>PSNU</t>
  </si>
  <si>
    <t>PMTCT_EID</t>
  </si>
  <si>
    <t>N</t>
  </si>
  <si>
    <t>otherdisaggregate</t>
  </si>
  <si>
    <t>resultstatus</t>
  </si>
  <si>
    <t>age</t>
  </si>
  <si>
    <t>sex</t>
  </si>
  <si>
    <t>indicator</t>
  </si>
  <si>
    <t>OU</t>
  </si>
  <si>
    <t>IM Targeting Appendix</t>
  </si>
  <si>
    <t>psnu</t>
  </si>
  <si>
    <t xml:space="preserve">OUs </t>
  </si>
  <si>
    <t>File Save Date</t>
  </si>
  <si>
    <t xml:space="preserve">Selected OUs </t>
  </si>
  <si>
    <t>Botswana</t>
  </si>
  <si>
    <t>Burundi</t>
  </si>
  <si>
    <t>Tool Updated</t>
  </si>
  <si>
    <t>Cameroon</t>
  </si>
  <si>
    <t>View output?</t>
  </si>
  <si>
    <t>No</t>
  </si>
  <si>
    <t>Cote d'Ivoire</t>
  </si>
  <si>
    <t>Democratic Republic of the Congo</t>
  </si>
  <si>
    <t>Zip folder?</t>
  </si>
  <si>
    <t>Ethiopia</t>
  </si>
  <si>
    <t>File Path</t>
  </si>
  <si>
    <t>Haiti</t>
  </si>
  <si>
    <t>Kenya</t>
  </si>
  <si>
    <t>Lesotho</t>
  </si>
  <si>
    <t>Malawi</t>
  </si>
  <si>
    <t>Mozambique</t>
  </si>
  <si>
    <t>Namibia</t>
  </si>
  <si>
    <t>Nigeria</t>
  </si>
  <si>
    <t>Rwanda</t>
  </si>
  <si>
    <t>South Africa</t>
  </si>
  <si>
    <t>South Sudan</t>
  </si>
  <si>
    <t>Swaziland</t>
  </si>
  <si>
    <t>Tanzania</t>
  </si>
  <si>
    <t>Uganda</t>
  </si>
  <si>
    <t>Ukraine</t>
  </si>
  <si>
    <t>Vietnam</t>
  </si>
  <si>
    <t>Zambia</t>
  </si>
  <si>
    <t>Zimbabwe</t>
  </si>
  <si>
    <t>Yes</t>
  </si>
  <si>
    <t>mechname</t>
  </si>
  <si>
    <t>FY19 Targets</t>
  </si>
  <si>
    <t>Dsnulist</t>
  </si>
  <si>
    <t>Priority</t>
  </si>
  <si>
    <t>D_priority</t>
  </si>
  <si>
    <t>D_mechanismid</t>
  </si>
  <si>
    <t>D_indicatortype</t>
  </si>
  <si>
    <t>FY17 APR Distribution</t>
  </si>
  <si>
    <t>FY19 Target Allocation</t>
  </si>
  <si>
    <t>GEND_GBV</t>
  </si>
  <si>
    <t>HTS_SELF</t>
  </si>
  <si>
    <t>KP_MAT</t>
  </si>
  <si>
    <t>OVC_HIVSTAT</t>
  </si>
  <si>
    <t>PMTCT_ART</t>
  </si>
  <si>
    <t>PrEP_NEW</t>
  </si>
  <si>
    <t>Positive</t>
  </si>
  <si>
    <t>TB_PREV</t>
  </si>
  <si>
    <t>&lt;1, Unknown Sex, Positive</t>
  </si>
  <si>
    <t>10-14, Female, Positive</t>
  </si>
  <si>
    <t>10-14, Male, Positive</t>
  </si>
  <si>
    <t>15-19, Female, Positive</t>
  </si>
  <si>
    <t>15-19, Male, Positive</t>
  </si>
  <si>
    <t>1-9, Unknown Sex, Positive</t>
  </si>
  <si>
    <t>20-24, Female, Positive</t>
  </si>
  <si>
    <t>20-24, Male, Positive</t>
  </si>
  <si>
    <t>25-29, Female, Positive</t>
  </si>
  <si>
    <t>25-29, Male, Positive</t>
  </si>
  <si>
    <t>30-34, Female, Positive</t>
  </si>
  <si>
    <t>30-34, Male, Positive</t>
  </si>
  <si>
    <t>35-39, Female, Positive</t>
  </si>
  <si>
    <t>35-39, Male, Positive</t>
  </si>
  <si>
    <t>40-49, Female, Positive</t>
  </si>
  <si>
    <t>40-49, Male, Positive</t>
  </si>
  <si>
    <t>50+, Female, Positive</t>
  </si>
  <si>
    <t>50+, Male, Positive</t>
  </si>
  <si>
    <t>FSW, Positive</t>
  </si>
  <si>
    <t>MSM, Positive</t>
  </si>
  <si>
    <t>People in prisons and other enclosed settings, Positive</t>
  </si>
  <si>
    <t>PWID, Positive</t>
  </si>
  <si>
    <t>TG, Positive</t>
  </si>
  <si>
    <t>TX_RET</t>
  </si>
  <si>
    <t>priority</t>
  </si>
  <si>
    <t>type</t>
  </si>
  <si>
    <t>FY19 Target</t>
  </si>
  <si>
    <t>Mech Name</t>
  </si>
  <si>
    <t>mechid</t>
  </si>
  <si>
    <t>OVC_SERV &lt;18</t>
  </si>
  <si>
    <t>OVC_SERV Education Support [DREAMS]</t>
  </si>
  <si>
    <t>OVC_SERV Parenting/Caregiver Support [DREAMS]</t>
  </si>
  <si>
    <t>OVC_SERV Social Protection [DREAMS]</t>
  </si>
  <si>
    <t>OVC_SERV Economic Strengthening [DREAMS]</t>
  </si>
  <si>
    <t>OVC_SERV Other Service [DREAMS]</t>
  </si>
  <si>
    <t>PMTCT_STAT (Denom.)</t>
  </si>
  <si>
    <t>TX_NEW &lt;15</t>
  </si>
  <si>
    <t>TX_CURR &lt;15</t>
  </si>
  <si>
    <t>TX_PVLS (Denom.)</t>
  </si>
  <si>
    <t>TX_RET (Denom.)</t>
  </si>
  <si>
    <t>TX_TB (Denom.)</t>
  </si>
  <si>
    <t>VMMC_CIRC 15-29</t>
  </si>
  <si>
    <t>TX_RET &lt;15 (Denom.)</t>
  </si>
  <si>
    <t>TX_RET &lt;15</t>
  </si>
  <si>
    <t>C:\Users\achafetz\Documents\GitHub\DataPack\</t>
  </si>
  <si>
    <t>Negative</t>
  </si>
  <si>
    <t>modality</t>
  </si>
  <si>
    <t>dt_categoryoptioncombo</t>
  </si>
  <si>
    <t>dt_ind_name</t>
  </si>
  <si>
    <t>dt_dataelementgrp</t>
  </si>
  <si>
    <t>standardizeddisaggregate</t>
  </si>
  <si>
    <t>numeratordenom</t>
  </si>
  <si>
    <t xml:space="preserve">PMTCT_STAT newly identified HIV-positive </t>
  </si>
  <si>
    <t xml:space="preserve">PMTCT_STAT newly identified HIV-negative </t>
  </si>
  <si>
    <t>PMTCT_ART- New on Treatment</t>
  </si>
  <si>
    <t>PMTCT_ART- Already on Treatment</t>
  </si>
  <si>
    <t>TB_PREV (Denom.)</t>
  </si>
  <si>
    <t>HTS_TST 15+: Index Testing Community</t>
  </si>
  <si>
    <t>HTS_TST 15+: Mobile Testing Community</t>
  </si>
  <si>
    <t xml:space="preserve">HTS_TST 15+: VCT Community </t>
  </si>
  <si>
    <t xml:space="preserve">HTS_TST 15+: Other Community </t>
  </si>
  <si>
    <t>HTS_TST 15+: Index Testing</t>
  </si>
  <si>
    <t>HTS_TST 15+: STI</t>
  </si>
  <si>
    <t>HTS_TST 15+: Inpatient</t>
  </si>
  <si>
    <t>HTS_TST 15+: Emergency</t>
  </si>
  <si>
    <t>HTS_TST 15+: Voluntary Counseling &amp; Testing co-located</t>
  </si>
  <si>
    <t>HTS_TST 15+: Other Facility</t>
  </si>
  <si>
    <t>HTS_TST_POS 15+: Index Testing Community</t>
  </si>
  <si>
    <t>HTS_TST_POS 15+: Mobile Testing Community</t>
  </si>
  <si>
    <t xml:space="preserve">HTS_TST_POS 15+: VCT Community </t>
  </si>
  <si>
    <t xml:space="preserve">HTS_TST_POS 15+: Other Community </t>
  </si>
  <si>
    <t>HTS_TST_POS 15+: Index Testing</t>
  </si>
  <si>
    <t>HTS_TST_POS 15+: STI</t>
  </si>
  <si>
    <t>HTS_TST_POS 15+: Inpatient</t>
  </si>
  <si>
    <t>HTS_TST_POS 15+: Emergency</t>
  </si>
  <si>
    <t>HTS_TST_POS 15+: Voluntary Counseling &amp; Testing co-located</t>
  </si>
  <si>
    <t>HTS_TST_POS 15+: Other Facility</t>
  </si>
  <si>
    <t>HTS_TST &lt;15: Index Testing Community</t>
  </si>
  <si>
    <t>HTS_TST &lt;15: Mobile Testing Community</t>
  </si>
  <si>
    <t xml:space="preserve">HTS_TST &lt;15: VCT Community </t>
  </si>
  <si>
    <t xml:space="preserve">HTS_TST &lt;15: Other Community </t>
  </si>
  <si>
    <t>HTS_TST &lt;15: Index Testing</t>
  </si>
  <si>
    <t>HTS_TST &lt;15: STI</t>
  </si>
  <si>
    <t>HTS_TST &lt;15: Inpatient</t>
  </si>
  <si>
    <t>HTS_TST &lt;15: Emergency</t>
  </si>
  <si>
    <t>HTS_TST &lt;15: Voluntary Counseling &amp; Testing co-located</t>
  </si>
  <si>
    <t>HTS_TST &lt;15: Pediatric Clinic</t>
  </si>
  <si>
    <t>HTS_TST &lt;15: Malnutrition Clinic</t>
  </si>
  <si>
    <t>HTS_TST &lt;15: Other Facility</t>
  </si>
  <si>
    <t>HTS_TST_POS &lt;15: Index Testing Community</t>
  </si>
  <si>
    <t>HTS_TST_POS &lt;15: Mobile Testing Community</t>
  </si>
  <si>
    <t xml:space="preserve">HTS_TST_POS &lt;15: VCT Community </t>
  </si>
  <si>
    <t xml:space="preserve">HTS_TST_POS &lt;15: Other Community </t>
  </si>
  <si>
    <t>HTS_TST_POS &lt;15: Index Testing</t>
  </si>
  <si>
    <t>HTS_TST_POS &lt;15: STI</t>
  </si>
  <si>
    <t>HTS_TST_POS &lt;15: Inpatient</t>
  </si>
  <si>
    <t>HTS_TST_POS &lt;15: Emergency</t>
  </si>
  <si>
    <t>HTS_TST_POS &lt;15: Voluntary Counseling &amp; Testing co-located</t>
  </si>
  <si>
    <t>HTS_TST_POS &lt;15: Pediatric Clinic</t>
  </si>
  <si>
    <t>HTS_TST_POS &lt;15: Malnutrition Clinic</t>
  </si>
  <si>
    <t>HTS_TST_POS &lt;15: Other Facility</t>
  </si>
  <si>
    <t>HTS_TST Key Populations</t>
  </si>
  <si>
    <t>OVC_SERV Graduated</t>
  </si>
  <si>
    <t>OVC_SERV Active</t>
  </si>
  <si>
    <t>KP_PREV MSM SW (Denom.)</t>
  </si>
  <si>
    <t>KP_PREV MSM SW</t>
  </si>
  <si>
    <t>KP_PREV MSM not SW (Denom.)</t>
  </si>
  <si>
    <t>KP_PREV MSM not SW</t>
  </si>
  <si>
    <t>KP_PREV TG SW (Denom.)</t>
  </si>
  <si>
    <t>KP_PREV TG SW</t>
  </si>
  <si>
    <t>KP_PREV TG not SW (Denom.)</t>
  </si>
  <si>
    <t>KP_PREV TG not SW</t>
  </si>
  <si>
    <t>KP_PREV FSW (Denom.)</t>
  </si>
  <si>
    <t>KP_PREV FSW</t>
  </si>
  <si>
    <t>KP_PREV PWID Male (Denom.)</t>
  </si>
  <si>
    <t>KP_PREV PWID Male</t>
  </si>
  <si>
    <t>KP_PREV PWID Female (Denom.)</t>
  </si>
  <si>
    <t>KP_PREV PWID Female</t>
  </si>
  <si>
    <t>KP_PREV People in prisons &amp; other closed settings (Denom.)</t>
  </si>
  <si>
    <t>D_tx_ret_D_fy19</t>
  </si>
  <si>
    <t>D_tx_ret_fy19</t>
  </si>
  <si>
    <t>D_tx_new_fy19</t>
  </si>
  <si>
    <t>D_tx_curr_fy19</t>
  </si>
  <si>
    <t>D_tx_pvls_D_fy19</t>
  </si>
  <si>
    <t>D_pmtct_stat_D_fy19</t>
  </si>
  <si>
    <t>D_pmtct_stat_fy19</t>
  </si>
  <si>
    <t>D_pmtct_stat_newpos_fy19</t>
  </si>
  <si>
    <t>D_pmtct_stat_newneg_fy19</t>
  </si>
  <si>
    <t>D_pmtct_stat_known_fy19</t>
  </si>
  <si>
    <t>D_pmtct_art_fy19</t>
  </si>
  <si>
    <t>D_pmtct_art_new_fy19</t>
  </si>
  <si>
    <t>D_pmtct_art_already_fy19</t>
  </si>
  <si>
    <t>D_pmtct_eid_fy19</t>
  </si>
  <si>
    <t>D_tb_stat_fy19</t>
  </si>
  <si>
    <t>D_tb_art_fy19</t>
  </si>
  <si>
    <t>D_tb_prev_D_fy19</t>
  </si>
  <si>
    <t>D_tb_prev_fy19</t>
  </si>
  <si>
    <t>D_tx_tb_D_fy19</t>
  </si>
  <si>
    <t>D_hts_tst_indexmod_o15_fy19</t>
  </si>
  <si>
    <t>D_hts_tst_mobilemod_o15_fy19</t>
  </si>
  <si>
    <t>D_hts_tst_vctmod_o15_fy19</t>
  </si>
  <si>
    <t>D_hts_tst_othermod_o15_fy19</t>
  </si>
  <si>
    <t>D_hts_tst_index_o15_fy19</t>
  </si>
  <si>
    <t>D_hts_tst_sti_o15_fy19</t>
  </si>
  <si>
    <t>D_hts_tst_inpat_o15_fy19</t>
  </si>
  <si>
    <t>D_hts_tst_emergency_o15_fy19</t>
  </si>
  <si>
    <t>D_hts_tst_vct_o15_fy19</t>
  </si>
  <si>
    <t>D_hts_tst_otherpitc_o15_fy19</t>
  </si>
  <si>
    <t>D_hts_tst_pos_indexmod_o15_fy19</t>
  </si>
  <si>
    <t>D_hts_tst_pos_mobilemod_o15_fy19</t>
  </si>
  <si>
    <t>D_hts_tst_pos_vctmod_o15_fy19</t>
  </si>
  <si>
    <t>D_hts_tst_pos_othermod_o15_fy19</t>
  </si>
  <si>
    <t>D_hts_tst_pos_index_o15_fy19</t>
  </si>
  <si>
    <t>D_hts_tst_pos_sti_o15_fy19</t>
  </si>
  <si>
    <t>D_hts_tst_pos_inpat_o15_fy19</t>
  </si>
  <si>
    <t>D_hts_tst_pos_emergency_o15_fy19</t>
  </si>
  <si>
    <t>D_hts_tst_pos_vct_o15_fy19</t>
  </si>
  <si>
    <t>D_hts_tst_pos_otherpitc_o15_fy19</t>
  </si>
  <si>
    <t>D_hts_tst_indexmod_u15_fy19</t>
  </si>
  <si>
    <t>D_hts_tst_mobilemod_u15_fy19</t>
  </si>
  <si>
    <t>D_hts_tst_vctmod_u15_fy19</t>
  </si>
  <si>
    <t>D_hts_tst_othermod_u15_fy19</t>
  </si>
  <si>
    <t>D_hts_tst_index_u15_fy19</t>
  </si>
  <si>
    <t>D_hts_tst_sti_u15_fy19</t>
  </si>
  <si>
    <t>D_hts_tst_inpat_u15_fy19</t>
  </si>
  <si>
    <t>D_hts_tst_emergency_u15_fy19</t>
  </si>
  <si>
    <t>D_hts_tst_vct_u15_fy19</t>
  </si>
  <si>
    <t>D_hts_tst_pediatric_u15_fy19</t>
  </si>
  <si>
    <t>D_hts_tst_malnutrition_u15_fy19</t>
  </si>
  <si>
    <t>D_hts_tst_otherpitc_u15_fy19</t>
  </si>
  <si>
    <t>D_hts_tst_pos_indexmod_u15_fy19</t>
  </si>
  <si>
    <t>D_hts_tst_pos_mobilemod_u15_fy19</t>
  </si>
  <si>
    <t>D_hts_tst_pos_vctmod_u15_fy19</t>
  </si>
  <si>
    <t>D_hts_tst_pos_othermod_u15_fy19</t>
  </si>
  <si>
    <t>D_hts_tst_pos_index_u15_fy19</t>
  </si>
  <si>
    <t>D_hts_tst_pos_sti_u15_fy19</t>
  </si>
  <si>
    <t>D_hts_tst_pos_inpat_u15_fy19</t>
  </si>
  <si>
    <t>D_hts_tst_pos_emergency_u15_fy19</t>
  </si>
  <si>
    <t>D_hts_tst_pos_vct_u15_fy19</t>
  </si>
  <si>
    <t>D_hts_tst_pos_pediatric_u15_fy19</t>
  </si>
  <si>
    <t>D_hts_tst_pos_malnutrition_u15_fy19</t>
  </si>
  <si>
    <t>D_hts_tst_pos_otherpitc_u15_fy19</t>
  </si>
  <si>
    <t>D_hts_tst_keypop_fy19</t>
  </si>
  <si>
    <t>D_hts_self_fy19</t>
  </si>
  <si>
    <t>D_vmmc_circ_fy19</t>
  </si>
  <si>
    <t>D_ovc_serv_fy19</t>
  </si>
  <si>
    <t>D_ovc_serv_grad_fy19</t>
  </si>
  <si>
    <t>D_ovc_serv_active_fy19</t>
  </si>
  <si>
    <t>D_ovc_serv_u18_fy19</t>
  </si>
  <si>
    <t>D_ovc_hivstat_fy19</t>
  </si>
  <si>
    <t>D_ovc_serv_edu_fy19</t>
  </si>
  <si>
    <t>D_ovc_serv_care_fy19</t>
  </si>
  <si>
    <t>D_ovc_serv_econ_fy19</t>
  </si>
  <si>
    <t>D_ovc_serv_sp_fy19</t>
  </si>
  <si>
    <t>D_ovc_serv_oth_fy19</t>
  </si>
  <si>
    <t>D_kp_prev_msm_sw_D_fy19</t>
  </si>
  <si>
    <t>D_kp_prev_msm_sw_fy19</t>
  </si>
  <si>
    <t>D_kp_prev_msm_not_sw_D_fy19</t>
  </si>
  <si>
    <t>D_kp_prev_msm_not_sw_fy19</t>
  </si>
  <si>
    <t>D_kp_prev_tg_sw_D_fy19</t>
  </si>
  <si>
    <t>D_kp_prev_tg_sw_fy19</t>
  </si>
  <si>
    <t>D_kp_prev_tg_not_sw_D_fy19</t>
  </si>
  <si>
    <t>D_kp_prev_tg_not_sw_fy19</t>
  </si>
  <si>
    <t>D_kp_prev_fsw_D_fy19</t>
  </si>
  <si>
    <t>D_kp_prev_fsw_fy19</t>
  </si>
  <si>
    <t>D_kp_prev_pwid_m_D_fy19</t>
  </si>
  <si>
    <t>D_kp_prev_pwid_m_fy19</t>
  </si>
  <si>
    <t>D_kp_prev_pwid_f_D_fy19</t>
  </si>
  <si>
    <t>D_kp_prev_pwid_f_fy19</t>
  </si>
  <si>
    <t>D_kp_prev_prison_fy19</t>
  </si>
  <si>
    <t>D_pp_prev_fy19</t>
  </si>
  <si>
    <t>D_kp_mat_fy19</t>
  </si>
  <si>
    <t>D_gend_gbv_fy19</t>
  </si>
  <si>
    <t>D_prep_new_fy19</t>
  </si>
  <si>
    <t>D_tx_ret_D_pct</t>
  </si>
  <si>
    <t>D_tx_ret_pct</t>
  </si>
  <si>
    <t>D_tx_new_pct</t>
  </si>
  <si>
    <t>D_tx_curr_pct</t>
  </si>
  <si>
    <t>D_tx_pvls_D_pct</t>
  </si>
  <si>
    <t>D_pmtct_stat_D_pct</t>
  </si>
  <si>
    <t>D_pmtct_stat_pct</t>
  </si>
  <si>
    <t>D_pmtct_stat_newpos_pct</t>
  </si>
  <si>
    <t>D_pmtct_stat_newneg_pct</t>
  </si>
  <si>
    <t>D_pmtct_stat_known_pct</t>
  </si>
  <si>
    <t>D_pmtct_art_pct</t>
  </si>
  <si>
    <t>D_pmtct_art_new_pct</t>
  </si>
  <si>
    <t>D_pmtct_art_already_pct</t>
  </si>
  <si>
    <t>D_pmtct_eid_pct</t>
  </si>
  <si>
    <t>D_tb_stat_pct</t>
  </si>
  <si>
    <t>D_tb_art_pct</t>
  </si>
  <si>
    <t>D_tb_prev_D_pct</t>
  </si>
  <si>
    <t>D_tb_prev_pct</t>
  </si>
  <si>
    <t>D_tx_tb_D_pct</t>
  </si>
  <si>
    <t>D_hts_tst_indexmod_o15_pct</t>
  </si>
  <si>
    <t>D_hts_tst_mobilemod_o15_pct</t>
  </si>
  <si>
    <t>D_hts_tst_vctmod_o15_pct</t>
  </si>
  <si>
    <t>D_hts_tst_othermod_o15_pct</t>
  </si>
  <si>
    <t>D_hts_tst_index_o15_pct</t>
  </si>
  <si>
    <t>D_hts_tst_sti_o15_pct</t>
  </si>
  <si>
    <t>D_hts_tst_inpat_o15_pct</t>
  </si>
  <si>
    <t>D_hts_tst_emergency_o15_pct</t>
  </si>
  <si>
    <t>D_hts_tst_vct_o15_pct</t>
  </si>
  <si>
    <t>D_hts_tst_otherpitc_o15_pct</t>
  </si>
  <si>
    <t>D_hts_tst_pos_indexmod_o15_pct</t>
  </si>
  <si>
    <t>D_hts_tst_pos_mobilemod_o15_pct</t>
  </si>
  <si>
    <t>D_hts_tst_pos_vctmod_o15_pct</t>
  </si>
  <si>
    <t>D_hts_tst_pos_othermod_o15_pct</t>
  </si>
  <si>
    <t>D_hts_tst_pos_index_o15_pct</t>
  </si>
  <si>
    <t>D_hts_tst_pos_sti_o15_pct</t>
  </si>
  <si>
    <t>D_hts_tst_pos_inpat_o15_pct</t>
  </si>
  <si>
    <t>D_hts_tst_pos_emergency_o15_pct</t>
  </si>
  <si>
    <t>D_hts_tst_pos_vct_o15_pct</t>
  </si>
  <si>
    <t>D_hts_tst_pos_otherpitc_o15_pct</t>
  </si>
  <si>
    <t>D_hts_tst_indexmod_u15_pct</t>
  </si>
  <si>
    <t>D_hts_tst_mobilemod_u15_pct</t>
  </si>
  <si>
    <t>D_hts_tst_vctmod_u15_pct</t>
  </si>
  <si>
    <t>D_hts_tst_othermod_u15_pct</t>
  </si>
  <si>
    <t>D_hts_tst_index_u15_pct</t>
  </si>
  <si>
    <t>D_hts_tst_sti_u15_pct</t>
  </si>
  <si>
    <t>D_hts_tst_inpat_u15_pct</t>
  </si>
  <si>
    <t>D_hts_tst_emergency_u15_pct</t>
  </si>
  <si>
    <t>D_hts_tst_vct_u15_pct</t>
  </si>
  <si>
    <t>D_hts_tst_pediatric_u15_pct</t>
  </si>
  <si>
    <t>D_hts_tst_malnutrition_u15_pct</t>
  </si>
  <si>
    <t>D_hts_tst_otherpitc_u15_pct</t>
  </si>
  <si>
    <t>D_hts_tst_pos_indexmod_u15_pct</t>
  </si>
  <si>
    <t>D_hts_tst_pos_mobilemod_u15_pct</t>
  </si>
  <si>
    <t>D_hts_tst_pos_vctmod_u15_pct</t>
  </si>
  <si>
    <t>D_hts_tst_pos_othermod_u15_pct</t>
  </si>
  <si>
    <t>D_hts_tst_pos_index_u15_pct</t>
  </si>
  <si>
    <t>D_hts_tst_pos_sti_u15_pct</t>
  </si>
  <si>
    <t>D_hts_tst_pos_inpat_u15_pct</t>
  </si>
  <si>
    <t>D_hts_tst_pos_emergency_u15_pct</t>
  </si>
  <si>
    <t>D_hts_tst_pos_vct_u15_pct</t>
  </si>
  <si>
    <t>D_hts_tst_pos_pediatric_u15_pct</t>
  </si>
  <si>
    <t>D_hts_tst_pos_malnutrition_u15_pct</t>
  </si>
  <si>
    <t>D_hts_tst_pos_otherpitc_u15_pct</t>
  </si>
  <si>
    <t>D_hts_tst_keypop_pct</t>
  </si>
  <si>
    <t>D_hts_self_pct</t>
  </si>
  <si>
    <t>D_vmmc_circ_pct</t>
  </si>
  <si>
    <t>D_ovc_serv_pct</t>
  </si>
  <si>
    <t>D_ovc_serv_grad_pct</t>
  </si>
  <si>
    <t>D_ovc_serv_active_pct</t>
  </si>
  <si>
    <t>D_ovc_serv_u18_pct</t>
  </si>
  <si>
    <t>D_ovc_hivstat_pct</t>
  </si>
  <si>
    <t>D_ovc_serv_edu_pct</t>
  </si>
  <si>
    <t>D_ovc_serv_care_pct</t>
  </si>
  <si>
    <t>D_ovc_serv_econ_pct</t>
  </si>
  <si>
    <t>D_ovc_serv_sp_pct</t>
  </si>
  <si>
    <t>D_ovc_serv_oth_pct</t>
  </si>
  <si>
    <t>D_kp_prev_msm_sw_D_pct</t>
  </si>
  <si>
    <t>D_kp_prev_msm_sw_pct</t>
  </si>
  <si>
    <t>D_kp_prev_msm_not_sw_D_pct</t>
  </si>
  <si>
    <t>D_kp_prev_msm_not_sw_pct</t>
  </si>
  <si>
    <t>D_kp_prev_tg_sw_D_pct</t>
  </si>
  <si>
    <t>D_kp_prev_tg_sw_pct</t>
  </si>
  <si>
    <t>D_kp_prev_tg_not_sw_D_pct</t>
  </si>
  <si>
    <t>D_kp_prev_tg_not_sw_pct</t>
  </si>
  <si>
    <t>D_kp_prev_fsw_D_pct</t>
  </si>
  <si>
    <t>D_kp_prev_fsw_pct</t>
  </si>
  <si>
    <t>D_kp_prev_pwid_m_D_pct</t>
  </si>
  <si>
    <t>D_kp_prev_pwid_m_pct</t>
  </si>
  <si>
    <t>D_kp_prev_pwid_f_D_pct</t>
  </si>
  <si>
    <t>D_kp_prev_pwid_f_pct</t>
  </si>
  <si>
    <t>D_kp_prev_prison_pct</t>
  </si>
  <si>
    <t>D_pp_prev_pct</t>
  </si>
  <si>
    <t>D_kp_mat_pct</t>
  </si>
  <si>
    <t>D_gend_gbv_pct</t>
  </si>
  <si>
    <t>D_prep_new_pct</t>
  </si>
  <si>
    <t>ALLOCATION BY IM</t>
  </si>
  <si>
    <t>Total</t>
  </si>
  <si>
    <t>PSNU UID</t>
  </si>
  <si>
    <t>D_tx_curr_u15_fy19</t>
  </si>
  <si>
    <t>D_tx_ret_u15_fy19</t>
  </si>
  <si>
    <t>D_tx_new_u15_fy19</t>
  </si>
  <si>
    <t>D_tx_ret_u15_D_fy19</t>
  </si>
  <si>
    <t>D_tx_ret_u15_D_pct</t>
  </si>
  <si>
    <t>D_tx_ret_u15_pct</t>
  </si>
  <si>
    <t>D_tx_new_u15_pct</t>
  </si>
  <si>
    <t>D_tx_curr_u15_pct</t>
  </si>
  <si>
    <t>PMTCT_EID 0-2mo</t>
  </si>
  <si>
    <t>PMTCT_EID 2-12mo</t>
  </si>
  <si>
    <t>TB_STAT (Denom.)</t>
  </si>
  <si>
    <t>HTS_TST: PMTCT ANC</t>
  </si>
  <si>
    <t>HTS_TST: Tuberculosis</t>
  </si>
  <si>
    <t>D_pmtct_eid_u2mo_pct</t>
  </si>
  <si>
    <t>D_pmtct_eid_o2mo_pct</t>
  </si>
  <si>
    <t>D_tb_stat_D_pct</t>
  </si>
  <si>
    <t>D_hts_tst_pmtctanc_pct</t>
  </si>
  <si>
    <t>D_hts_tst_tbclinic_pct</t>
  </si>
  <si>
    <t>D_hts_tst_vmmc_pct</t>
  </si>
  <si>
    <t>D_vmmc_circ_1529_pct</t>
  </si>
  <si>
    <t>D_kp_prev_prison_D_pct</t>
  </si>
  <si>
    <t>D_pmtct_eid_u2mo_fy19</t>
  </si>
  <si>
    <t>D_pmtct_eid_o2mo_fy19</t>
  </si>
  <si>
    <t>D_tb_stat_D_fy19</t>
  </si>
  <si>
    <t>D_hts_tst_pmtctanc_fy19</t>
  </si>
  <si>
    <t>D_hts_tst_tbclinic_fy19</t>
  </si>
  <si>
    <t>D_hts_tst_vmmc_fy19</t>
  </si>
  <si>
    <t>D_vmmc_circ_1529_fy19</t>
  </si>
  <si>
    <t>D_kp_prev_prison_D_fy19</t>
  </si>
  <si>
    <t>PMTCT_STAT known (at entry) HIV+</t>
  </si>
  <si>
    <t xml:space="preserve">TB_STAT newly identified HIV-positive </t>
  </si>
  <si>
    <t xml:space="preserve">TB_STAT newly identified HIV-negative </t>
  </si>
  <si>
    <t>TB_STAT known (at entry) HIV+</t>
  </si>
  <si>
    <t>TB_ART- New on Treatment</t>
  </si>
  <si>
    <t>TB_ART- Already on Treatment</t>
  </si>
  <si>
    <t>HTS_TST_POS: VMMC</t>
  </si>
  <si>
    <t>HTS_TST: VMMC</t>
  </si>
  <si>
    <t>D_tb_stat_newpos_pct</t>
  </si>
  <si>
    <t>D_tb_stat_newneg_pct</t>
  </si>
  <si>
    <t>D_tb_stat_known_pct</t>
  </si>
  <si>
    <t>D_tb_art_new_pct</t>
  </si>
  <si>
    <t>D_tb_art_already_pct</t>
  </si>
  <si>
    <t>D_hts_tst_pos_vmmc_pct</t>
  </si>
  <si>
    <t>D_tb_stat_newpos_fy19</t>
  </si>
  <si>
    <t>D_tb_stat_newneg_fy19</t>
  </si>
  <si>
    <t>D_tb_stat_known_fy19</t>
  </si>
  <si>
    <t>D_tb_art_new_fy19</t>
  </si>
  <si>
    <t>D_tb_art_already_fy19</t>
  </si>
  <si>
    <t>D_hts_tst_pos_vmmc_fy19</t>
  </si>
  <si>
    <t>psnu_type</t>
  </si>
  <si>
    <t>PSNU-Type</t>
  </si>
  <si>
    <t>Target Lookup</t>
  </si>
  <si>
    <t>psnu_type_mechid</t>
  </si>
  <si>
    <t>ALLOCATION</t>
  </si>
  <si>
    <t>DISAGGREGATE TARGETS</t>
  </si>
  <si>
    <t>DP TARGETS</t>
  </si>
  <si>
    <t>operatingunit</t>
  </si>
  <si>
    <t>operatingunituid</t>
  </si>
  <si>
    <t>Angola</t>
  </si>
  <si>
    <t>XOivy2uDpMF</t>
  </si>
  <si>
    <t>Asia Regional Program</t>
  </si>
  <si>
    <t>iD2i0aynOGm</t>
  </si>
  <si>
    <t>l1KFEXKI4Dg</t>
  </si>
  <si>
    <t>Burma</t>
  </si>
  <si>
    <t>wChmwjpXOw2</t>
  </si>
  <si>
    <t>Qh4XMQJhbk8</t>
  </si>
  <si>
    <t>Cambodia</t>
  </si>
  <si>
    <t>XWZK2nop7pM</t>
  </si>
  <si>
    <t>bQQJe0cC1eD</t>
  </si>
  <si>
    <t>Caribbean Region</t>
  </si>
  <si>
    <t>nBo9Y4yZubB</t>
  </si>
  <si>
    <t>Central America Region</t>
  </si>
  <si>
    <t>vSu0nPMbq7b</t>
  </si>
  <si>
    <t>Central Asia Region</t>
  </si>
  <si>
    <t>t25400wXrNB</t>
  </si>
  <si>
    <t>ds0ADyc9UCU</t>
  </si>
  <si>
    <t>ANN4YCOufcP</t>
  </si>
  <si>
    <t>Dominican Republic</t>
  </si>
  <si>
    <t>NzelIFhEv3C</t>
  </si>
  <si>
    <t>IH1kchw86uA</t>
  </si>
  <si>
    <t>Ghana</t>
  </si>
  <si>
    <t>y3zhsvdXlhN</t>
  </si>
  <si>
    <t>JTypsdEUNPw</t>
  </si>
  <si>
    <t>India</t>
  </si>
  <si>
    <t>skj3e4YSiJY</t>
  </si>
  <si>
    <t>Indonesia</t>
  </si>
  <si>
    <t>W73PRZcjFIU</t>
  </si>
  <si>
    <t>HfVjCurKxh2</t>
  </si>
  <si>
    <t>qllxzIjjurr</t>
  </si>
  <si>
    <t>lZsCb6y0KDX</t>
  </si>
  <si>
    <t>h11OyvlPxpJ</t>
  </si>
  <si>
    <t>FFVkaV9Zk1S</t>
  </si>
  <si>
    <t>PqlFzhuPcF1</t>
  </si>
  <si>
    <t>Papua New Guinea</t>
  </si>
  <si>
    <t>cl7jVQOW3Ks</t>
  </si>
  <si>
    <t>XtxUYCsDWrR</t>
  </si>
  <si>
    <t>cDGPF739ZZr</t>
  </si>
  <si>
    <t>WLG0z5NxQs8</t>
  </si>
  <si>
    <t>V0qMZH29CtN</t>
  </si>
  <si>
    <t>mdXu6iCbn2G</t>
  </si>
  <si>
    <t>FETQ6OmnsKB</t>
  </si>
  <si>
    <t>ligZVIYs2rL</t>
  </si>
  <si>
    <t>YM6xn5QxNpY</t>
  </si>
  <si>
    <t>f5RoebaDLMx</t>
  </si>
  <si>
    <t>a71G4Gtcttv</t>
  </si>
  <si>
    <t>&lt;15, Total</t>
  </si>
  <si>
    <t>15+, Total</t>
  </si>
  <si>
    <t>&lt;15, Pos</t>
  </si>
  <si>
    <t>15+, Pos</t>
  </si>
  <si>
    <t>&lt;15, Neg</t>
  </si>
  <si>
    <t>15+, Neg</t>
  </si>
  <si>
    <t>D_hts_tst_neg_indexmod_u15_fy19</t>
  </si>
  <si>
    <t>D_hts_tst_neg_indexmod_o15_fy19</t>
  </si>
  <si>
    <t>Modality/Age/Sex/Result - &lt;15, Pos</t>
  </si>
  <si>
    <t>Modality/Age/Sex/Result - &lt;15, Neg</t>
  </si>
  <si>
    <t>Modality/Age/Sex/Result  - 15+, Pos</t>
  </si>
  <si>
    <t>Modality/Age/Sex/Result  - 15+, Neg</t>
  </si>
  <si>
    <t>&lt;1, Unknown Sex, Negative</t>
  </si>
  <si>
    <t>1-9, Unknown Sex, Negative</t>
  </si>
  <si>
    <t>10-14, Female, Negative</t>
  </si>
  <si>
    <t>10-14, Male, Negative</t>
  </si>
  <si>
    <t>15-19, Female, Negative</t>
  </si>
  <si>
    <t>15-19, Male, Negative</t>
  </si>
  <si>
    <t>20-24, Female, Negative</t>
  </si>
  <si>
    <t>20-24, Male, Negative</t>
  </si>
  <si>
    <t>25-29, Female, Negative</t>
  </si>
  <si>
    <t>25-29, Male, Negative</t>
  </si>
  <si>
    <t>30-34, Female, Negative</t>
  </si>
  <si>
    <t>30-34, Male, Negative</t>
  </si>
  <si>
    <t>35-39, Female, Negative</t>
  </si>
  <si>
    <t>35-39, Male, Negative</t>
  </si>
  <si>
    <t>40-49, Female, Negative</t>
  </si>
  <si>
    <t>40-49, Male, Negative</t>
  </si>
  <si>
    <t>50+, Female, Negative</t>
  </si>
  <si>
    <t>50+, Male, Negative</t>
  </si>
  <si>
    <t>u1_unk_pos</t>
  </si>
  <si>
    <t>0109_unk_pos</t>
  </si>
  <si>
    <t>1014_f_pos</t>
  </si>
  <si>
    <t>1014_m_pos</t>
  </si>
  <si>
    <t>u1_unk_neg</t>
  </si>
  <si>
    <t>0109_unk_neg</t>
  </si>
  <si>
    <t>1014_f_neg</t>
  </si>
  <si>
    <t>1014_m_neg</t>
  </si>
  <si>
    <t>1519_f_pos</t>
  </si>
  <si>
    <t>1519_m_pos</t>
  </si>
  <si>
    <t>2024_f_pos</t>
  </si>
  <si>
    <t>2024_m_pos</t>
  </si>
  <si>
    <t>2529_f_pos</t>
  </si>
  <si>
    <t>2529_m_pos</t>
  </si>
  <si>
    <t>3034_f_pos</t>
  </si>
  <si>
    <t>3034_m_pos</t>
  </si>
  <si>
    <t>3539_f_pos</t>
  </si>
  <si>
    <t>3539_m_pos</t>
  </si>
  <si>
    <t>4049_f_pos</t>
  </si>
  <si>
    <t>4049_m_pos</t>
  </si>
  <si>
    <t>o50_f_pos</t>
  </si>
  <si>
    <t>o50_m_pos</t>
  </si>
  <si>
    <t>1519_f_neg</t>
  </si>
  <si>
    <t>1519_m_neg</t>
  </si>
  <si>
    <t>2024_f_neg</t>
  </si>
  <si>
    <t>2024_m_neg</t>
  </si>
  <si>
    <t>2529_f_neg</t>
  </si>
  <si>
    <t>2529_m_neg</t>
  </si>
  <si>
    <t>3034_f_neg</t>
  </si>
  <si>
    <t>3034_m_neg</t>
  </si>
  <si>
    <t>3539_f_neg</t>
  </si>
  <si>
    <t>3539_m_neg</t>
  </si>
  <si>
    <t>4049_f_neg</t>
  </si>
  <si>
    <t>4049_m_neg</t>
  </si>
  <si>
    <t>o50_f_neg</t>
  </si>
  <si>
    <t>o50_m_neg</t>
  </si>
  <si>
    <t xml:space="preserve"> Age/Sex/HIVStatus - &lt;15, Neg</t>
  </si>
  <si>
    <t xml:space="preserve"> Age/Sex/HIVStatus - &lt;15, Pos</t>
  </si>
  <si>
    <t>TEMPLATE</t>
  </si>
  <si>
    <t>A_u1_unk_pos</t>
  </si>
  <si>
    <t>A_0109_unk_pos</t>
  </si>
  <si>
    <t>A_1014_f_pos</t>
  </si>
  <si>
    <t>A_1014_m_pos</t>
  </si>
  <si>
    <t>A_u1_unk_neg</t>
  </si>
  <si>
    <t>A_0109_unk_neg</t>
  </si>
  <si>
    <t>A_1014_f_neg</t>
  </si>
  <si>
    <t>A_1014_m_neg</t>
  </si>
  <si>
    <t>A_1519_f_pos</t>
  </si>
  <si>
    <t>A_1519_m_pos</t>
  </si>
  <si>
    <t>A_2024_f_pos</t>
  </si>
  <si>
    <t>A_2024_m_pos</t>
  </si>
  <si>
    <t>A_2529_f_pos</t>
  </si>
  <si>
    <t>A_2529_m_pos</t>
  </si>
  <si>
    <t>A_3034_f_pos</t>
  </si>
  <si>
    <t>A_3034_m__pos</t>
  </si>
  <si>
    <t>A_3539_f_pos</t>
  </si>
  <si>
    <t>A_3539_m__pos</t>
  </si>
  <si>
    <t>A_4049_f_pos</t>
  </si>
  <si>
    <t>A_4049_m_pos</t>
  </si>
  <si>
    <t>A_o50_f_pos</t>
  </si>
  <si>
    <t>A_o50_m_pos</t>
  </si>
  <si>
    <t>A_1519_f_neg</t>
  </si>
  <si>
    <t>A_1519_m_neg</t>
  </si>
  <si>
    <t>A_2024_f_neg</t>
  </si>
  <si>
    <t>A_2024_m_neg</t>
  </si>
  <si>
    <t>A_2529_f_neg</t>
  </si>
  <si>
    <t>A_2529_m_neg</t>
  </si>
  <si>
    <t>A_3034_f_neg</t>
  </si>
  <si>
    <t>A_3034_m_neg</t>
  </si>
  <si>
    <t>A_3539_f_neg</t>
  </si>
  <si>
    <t>A_3539_m_neg</t>
  </si>
  <si>
    <t>A_4049_f_neg</t>
  </si>
  <si>
    <t>A_4049_m_neg</t>
  </si>
  <si>
    <t>A_o50_f_neg</t>
  </si>
  <si>
    <t>A_o50_m_neg</t>
  </si>
  <si>
    <t>D_hts_tst_u15_fy19</t>
  </si>
  <si>
    <t>D_hts_tst_o15_fy19</t>
  </si>
  <si>
    <t>D_hts_tst_pos_u15_fy19</t>
  </si>
  <si>
    <t>D_hts_tst_pos_o15_fy19</t>
  </si>
  <si>
    <t>D_hts_tst_neg_u15_fy19</t>
  </si>
  <si>
    <t>D_hts_tst_neg_o15_fy19</t>
  </si>
  <si>
    <t>HTS_TST: IndexMod</t>
  </si>
  <si>
    <t>A_hts_tst_indexmod_u1_unk_pos</t>
  </si>
  <si>
    <t>A_hts_tst_indexmod_0109_unk_pos</t>
  </si>
  <si>
    <t>A_hts_tst_indexmod_1014_f_pos</t>
  </si>
  <si>
    <t>A_hts_tst_indexmod_1014_m_pos</t>
  </si>
  <si>
    <t>A_hts_tst_indexmod_u1_unk_neg</t>
  </si>
  <si>
    <t>A_hts_tst_indexmod_0109_unk_neg</t>
  </si>
  <si>
    <t>A_hts_tst_indexmod_1014_f_neg</t>
  </si>
  <si>
    <t>A_hts_tst_indexmod_1014_m_neg</t>
  </si>
  <si>
    <t>A_hts_tst_indexmod_1519_f_pos</t>
  </si>
  <si>
    <t>A_hts_tst_indexmod_1519_m_pos</t>
  </si>
  <si>
    <t>A_hts_tst_indexmod_2024_f_pos</t>
  </si>
  <si>
    <t>A_hts_tst_indexmod_2024_m_pos</t>
  </si>
  <si>
    <t>A_hts_tst_indexmod_2529_f_pos</t>
  </si>
  <si>
    <t>A_hts_tst_indexmod_2529_m_pos</t>
  </si>
  <si>
    <t>A_hts_tst_indexmod_3034_f_pos</t>
  </si>
  <si>
    <t>A_hts_tst_indexmod_3034_m__pos</t>
  </si>
  <si>
    <t>A_hts_tst_indexmod_3539_f_pos</t>
  </si>
  <si>
    <t>A_hts_tst_indexmod_3539_m__pos</t>
  </si>
  <si>
    <t>A_hts_tst_indexmod_4049_f_pos</t>
  </si>
  <si>
    <t>A_hts_tst_indexmod_4049_m_pos</t>
  </si>
  <si>
    <t>A_hts_tst_indexmod_o50_f_pos</t>
  </si>
  <si>
    <t>A_hts_tst_indexmod_o50_m_pos</t>
  </si>
  <si>
    <t>A_hts_tst_indexmod_1519_f_neg</t>
  </si>
  <si>
    <t>A_hts_tst_indexmod_1519_m_neg</t>
  </si>
  <si>
    <t>A_hts_tst_indexmod_2024_f_neg</t>
  </si>
  <si>
    <t>A_hts_tst_indexmod_2024_m_neg</t>
  </si>
  <si>
    <t>A_hts_tst_indexmod_2529_f_neg</t>
  </si>
  <si>
    <t>A_hts_tst_indexmod_2529_m_neg</t>
  </si>
  <si>
    <t>A_hts_tst_indexmod_3034_f_neg</t>
  </si>
  <si>
    <t>A_hts_tst_indexmod_3034_m_neg</t>
  </si>
  <si>
    <t>A_hts_tst_indexmod_3539_f_neg</t>
  </si>
  <si>
    <t>A_hts_tst_indexmod_3539_m_neg</t>
  </si>
  <si>
    <t>A_hts_tst_indexmod_4049_f_neg</t>
  </si>
  <si>
    <t>A_hts_tst_indexmod_4049_m_neg</t>
  </si>
  <si>
    <t>A_hts_tst_indexmod_o50_f_neg</t>
  </si>
  <si>
    <t>A_hts_tst_indexmod_o50_m_neg</t>
  </si>
  <si>
    <t>hts_tst_indexmod_0109_unk_pos</t>
  </si>
  <si>
    <t>hts_tst_indexmod_u1_unk_pos</t>
  </si>
  <si>
    <t>hts_tst_indexmod_1014_f_pos</t>
  </si>
  <si>
    <t>hts_tst_indexmod_1014_m_pos</t>
  </si>
  <si>
    <t>hts_tst_indexmod_u1_unk_neg</t>
  </si>
  <si>
    <t>hts_tst_indexmod_0109_unk_neg</t>
  </si>
  <si>
    <t>hts_tst_indexmod_1014_f_neg</t>
  </si>
  <si>
    <t>hts_tst_indexmod_1014_m_neg</t>
  </si>
  <si>
    <t>hts_tst_indexmod_1519_f_pos</t>
  </si>
  <si>
    <t>hts_tst_indexmod_1519_m_pos</t>
  </si>
  <si>
    <t>hts_tst_indexmod_2024_f_pos</t>
  </si>
  <si>
    <t>hts_tst_indexmod_2024_m_pos</t>
  </si>
  <si>
    <t>hts_tst_indexmod_2529_f_pos</t>
  </si>
  <si>
    <t>hts_tst_indexmod_2529_m_pos</t>
  </si>
  <si>
    <t>hts_tst_indexmod_3034_f_pos</t>
  </si>
  <si>
    <t>hts_tst_indexmod_3539_f_pos</t>
  </si>
  <si>
    <t>hts_tst_indexmod_4049_f_pos</t>
  </si>
  <si>
    <t>hts_tst_indexmod_4049_m_pos</t>
  </si>
  <si>
    <t>hts_tst_indexmod_o50_f_pos</t>
  </si>
  <si>
    <t>hts_tst_indexmod_o50_m_pos</t>
  </si>
  <si>
    <t>hts_tst_indexmod_1519_f_neg</t>
  </si>
  <si>
    <t>hts_tst_indexmod_1519_m_neg</t>
  </si>
  <si>
    <t>hts_tst_indexmod_2024_f_neg</t>
  </si>
  <si>
    <t>hts_tst_indexmod_2024_m_neg</t>
  </si>
  <si>
    <t>hts_tst_indexmod_2529_f_neg</t>
  </si>
  <si>
    <t>hts_tst_indexmod_2529_m_neg</t>
  </si>
  <si>
    <t>hts_tst_indexmod_3034_f_neg</t>
  </si>
  <si>
    <t>hts_tst_indexmod_3034_m_neg</t>
  </si>
  <si>
    <t>hts_tst_indexmod_3539_f_neg</t>
  </si>
  <si>
    <t>hts_tst_indexmod_3539_m_neg</t>
  </si>
  <si>
    <t>hts_tst_indexmod_4049_f_neg</t>
  </si>
  <si>
    <t>hts_tst_indexmod_4049_m_neg</t>
  </si>
  <si>
    <t>hts_tst_indexmod_o50_f_neg</t>
  </si>
  <si>
    <t>hts_tst_indexmod_o50_m_neg</t>
  </si>
  <si>
    <t>hts_tst_indexmod_3034_m_pos</t>
  </si>
  <si>
    <t>hts_tst_indexmod_3539_m_pos</t>
  </si>
  <si>
    <t>HTS_TST: MobileMod</t>
  </si>
  <si>
    <t>A_hts_tst_mobilemod_u1_unk_pos</t>
  </si>
  <si>
    <t>A_hts_tst_mobilemod_0109_unk_pos</t>
  </si>
  <si>
    <t>A_hts_tst_mobilemod_1014_f_pos</t>
  </si>
  <si>
    <t>A_hts_tst_mobilemod_1014_m_pos</t>
  </si>
  <si>
    <t>A_hts_tst_mobilemod_u1_unk_neg</t>
  </si>
  <si>
    <t>A_hts_tst_mobilemod_0109_unk_neg</t>
  </si>
  <si>
    <t>A_hts_tst_mobilemod_1014_f_neg</t>
  </si>
  <si>
    <t>A_hts_tst_mobilemod_1014_m_neg</t>
  </si>
  <si>
    <t>A_hts_tst_mobilemod_1519_f_pos</t>
  </si>
  <si>
    <t>A_hts_tst_mobilemod_1519_m_pos</t>
  </si>
  <si>
    <t>A_hts_tst_mobilemod_2024_f_pos</t>
  </si>
  <si>
    <t>A_hts_tst_mobilemod_2024_m_pos</t>
  </si>
  <si>
    <t>A_hts_tst_mobilemod_2529_f_pos</t>
  </si>
  <si>
    <t>A_hts_tst_mobilemod_2529_m_pos</t>
  </si>
  <si>
    <t>A_hts_tst_mobilemod_3034_f_pos</t>
  </si>
  <si>
    <t>A_hts_tst_mobilemod_3034_m__pos</t>
  </si>
  <si>
    <t>A_hts_tst_mobilemod_3539_f_pos</t>
  </si>
  <si>
    <t>A_hts_tst_mobilemod_3539_m__pos</t>
  </si>
  <si>
    <t>A_hts_tst_mobilemod_4049_f_pos</t>
  </si>
  <si>
    <t>A_hts_tst_mobilemod_4049_m_pos</t>
  </si>
  <si>
    <t>A_hts_tst_mobilemod_o50_f_pos</t>
  </si>
  <si>
    <t>A_hts_tst_mobilemod_o50_m_pos</t>
  </si>
  <si>
    <t>A_hts_tst_mobilemod_1519_f_neg</t>
  </si>
  <si>
    <t>A_hts_tst_mobilemod_1519_m_neg</t>
  </si>
  <si>
    <t>A_hts_tst_mobilemod_2024_f_neg</t>
  </si>
  <si>
    <t>A_hts_tst_mobilemod_2024_m_neg</t>
  </si>
  <si>
    <t>A_hts_tst_mobilemod_2529_f_neg</t>
  </si>
  <si>
    <t>A_hts_tst_mobilemod_2529_m_neg</t>
  </si>
  <si>
    <t>A_hts_tst_mobilemod_3034_f_neg</t>
  </si>
  <si>
    <t>A_hts_tst_mobilemod_3034_m_neg</t>
  </si>
  <si>
    <t>A_hts_tst_mobilemod_3539_f_neg</t>
  </si>
  <si>
    <t>A_hts_tst_mobilemod_3539_m_neg</t>
  </si>
  <si>
    <t>A_hts_tst_mobilemod_4049_f_neg</t>
  </si>
  <si>
    <t>A_hts_tst_mobilemod_4049_m_neg</t>
  </si>
  <si>
    <t>A_hts_tst_mobilemod_o50_f_neg</t>
  </si>
  <si>
    <t>A_hts_tst_mobilemod_o50_m_neg</t>
  </si>
  <si>
    <t>D_hts_tst_neg_mobilemod_u15_fy19</t>
  </si>
  <si>
    <t>D_hts_tst_neg_mobilemod_o15_fy19</t>
  </si>
  <si>
    <t>hts_tst_mobilemod_u1_unk_pos</t>
  </si>
  <si>
    <t>hts_tst_mobilemod_0109_unk_pos</t>
  </si>
  <si>
    <t>hts_tst_mobilemod_1014_f_pos</t>
  </si>
  <si>
    <t>hts_tst_mobilemod_1014_m_pos</t>
  </si>
  <si>
    <t>hts_tst_mobilemod_u1_unk_neg</t>
  </si>
  <si>
    <t>hts_tst_mobilemod_0109_unk_neg</t>
  </si>
  <si>
    <t>hts_tst_mobilemod_1014_f_neg</t>
  </si>
  <si>
    <t>hts_tst_mobilemod_1014_m_neg</t>
  </si>
  <si>
    <t>hts_tst_mobilemod_1519_f_pos</t>
  </si>
  <si>
    <t>hts_tst_mobilemod_1519_m_pos</t>
  </si>
  <si>
    <t>hts_tst_mobilemod_2024_f_pos</t>
  </si>
  <si>
    <t>hts_tst_mobilemod_2024_m_pos</t>
  </si>
  <si>
    <t>hts_tst_mobilemod_2529_f_pos</t>
  </si>
  <si>
    <t>hts_tst_mobilemod_2529_m_pos</t>
  </si>
  <si>
    <t>hts_tst_mobilemod_3034_f_pos</t>
  </si>
  <si>
    <t>hts_tst_mobilemod_3034_m_pos</t>
  </si>
  <si>
    <t>hts_tst_mobilemod_3539_f_pos</t>
  </si>
  <si>
    <t>hts_tst_mobilemod_3539_m_pos</t>
  </si>
  <si>
    <t>hts_tst_mobilemod_4049_f_pos</t>
  </si>
  <si>
    <t>hts_tst_mobilemod_4049_m_pos</t>
  </si>
  <si>
    <t>hts_tst_mobilemod_o50_f_pos</t>
  </si>
  <si>
    <t>hts_tst_mobilemod_o50_m_pos</t>
  </si>
  <si>
    <t>hts_tst_mobilemod_1519_f_neg</t>
  </si>
  <si>
    <t>hts_tst_mobilemod_1519_m_neg</t>
  </si>
  <si>
    <t>hts_tst_mobilemod_2024_f_neg</t>
  </si>
  <si>
    <t>hts_tst_mobilemod_2024_m_neg</t>
  </si>
  <si>
    <t>hts_tst_mobilemod_2529_f_neg</t>
  </si>
  <si>
    <t>hts_tst_mobilemod_2529_m_neg</t>
  </si>
  <si>
    <t>hts_tst_mobilemod_3034_f_neg</t>
  </si>
  <si>
    <t>hts_tst_mobilemod_3034_m_neg</t>
  </si>
  <si>
    <t>hts_tst_mobilemod_3539_f_neg</t>
  </si>
  <si>
    <t>hts_tst_mobilemod_3539_m_neg</t>
  </si>
  <si>
    <t>hts_tst_mobilemod_4049_f_neg</t>
  </si>
  <si>
    <t>hts_tst_mobilemod_4049_m_neg</t>
  </si>
  <si>
    <t>hts_tst_mobilemod_o50_f_neg</t>
  </si>
  <si>
    <t>hts_tst_mobilemod_o50_m_neg</t>
  </si>
  <si>
    <t>HTS_TST: VCTMod</t>
  </si>
  <si>
    <t>A_hts_tst_vctmod_u1_unk_pos</t>
  </si>
  <si>
    <t>A_hts_tst_vctmod_0109_unk_pos</t>
  </si>
  <si>
    <t>A_hts_tst_vctmod_1014_f_pos</t>
  </si>
  <si>
    <t>A_hts_tst_vctmod_1014_m_pos</t>
  </si>
  <si>
    <t>A_hts_tst_vctmod_u1_unk_neg</t>
  </si>
  <si>
    <t>A_hts_tst_vctmod_0109_unk_neg</t>
  </si>
  <si>
    <t>A_hts_tst_vctmod_1014_f_neg</t>
  </si>
  <si>
    <t>A_hts_tst_vctmod_1014_m_neg</t>
  </si>
  <si>
    <t>A_hts_tst_vctmod_1519_f_pos</t>
  </si>
  <si>
    <t>A_hts_tst_vctmod_1519_m_pos</t>
  </si>
  <si>
    <t>A_hts_tst_vctmod_2024_f_pos</t>
  </si>
  <si>
    <t>A_hts_tst_vctmod_2024_m_pos</t>
  </si>
  <si>
    <t>A_hts_tst_vctmod_2529_f_pos</t>
  </si>
  <si>
    <t>A_hts_tst_vctmod_2529_m_pos</t>
  </si>
  <si>
    <t>A_hts_tst_vctmod_3034_f_pos</t>
  </si>
  <si>
    <t>A_hts_tst_vctmod_3034_m__pos</t>
  </si>
  <si>
    <t>A_hts_tst_vctmod_3539_f_pos</t>
  </si>
  <si>
    <t>A_hts_tst_vctmod_3539_m__pos</t>
  </si>
  <si>
    <t>A_hts_tst_vctmod_4049_f_pos</t>
  </si>
  <si>
    <t>A_hts_tst_vctmod_4049_m_pos</t>
  </si>
  <si>
    <t>A_hts_tst_vctmod_o50_f_pos</t>
  </si>
  <si>
    <t>A_hts_tst_vctmod_o50_m_pos</t>
  </si>
  <si>
    <t>A_hts_tst_vctmod_1519_f_neg</t>
  </si>
  <si>
    <t>A_hts_tst_vctmod_1519_m_neg</t>
  </si>
  <si>
    <t>A_hts_tst_vctmod_2024_f_neg</t>
  </si>
  <si>
    <t>A_hts_tst_vctmod_2024_m_neg</t>
  </si>
  <si>
    <t>A_hts_tst_vctmod_2529_f_neg</t>
  </si>
  <si>
    <t>A_hts_tst_vctmod_2529_m_neg</t>
  </si>
  <si>
    <t>A_hts_tst_vctmod_3034_f_neg</t>
  </si>
  <si>
    <t>A_hts_tst_vctmod_3034_m_neg</t>
  </si>
  <si>
    <t>A_hts_tst_vctmod_3539_f_neg</t>
  </si>
  <si>
    <t>A_hts_tst_vctmod_3539_m_neg</t>
  </si>
  <si>
    <t>A_hts_tst_vctmod_4049_f_neg</t>
  </si>
  <si>
    <t>A_hts_tst_vctmod_4049_m_neg</t>
  </si>
  <si>
    <t>A_hts_tst_vctmod_o50_f_neg</t>
  </si>
  <si>
    <t>A_hts_tst_vctmod_o50_m_neg</t>
  </si>
  <si>
    <t>D_hts_tst_neg_vctmod_u15_fy19</t>
  </si>
  <si>
    <t>D_hts_tst_neg_vctmod_o15_fy19</t>
  </si>
  <si>
    <t>hts_tst_vctmod_u1_unk_pos</t>
  </si>
  <si>
    <t>hts_tst_vctmod_0109_unk_pos</t>
  </si>
  <si>
    <t>hts_tst_vctmod_1014_f_pos</t>
  </si>
  <si>
    <t>hts_tst_vctmod_1014_m_pos</t>
  </si>
  <si>
    <t>hts_tst_vctmod_u1_unk_neg</t>
  </si>
  <si>
    <t>hts_tst_vctmod_0109_unk_neg</t>
  </si>
  <si>
    <t>hts_tst_vctmod_1014_f_neg</t>
  </si>
  <si>
    <t>hts_tst_vctmod_1014_m_neg</t>
  </si>
  <si>
    <t>hts_tst_vctmod_1519_f_pos</t>
  </si>
  <si>
    <t>hts_tst_vctmod_1519_m_pos</t>
  </si>
  <si>
    <t>hts_tst_vctmod_2024_f_pos</t>
  </si>
  <si>
    <t>hts_tst_vctmod_2024_m_pos</t>
  </si>
  <si>
    <t>hts_tst_vctmod_2529_f_pos</t>
  </si>
  <si>
    <t>hts_tst_vctmod_2529_m_pos</t>
  </si>
  <si>
    <t>hts_tst_vctmod_3034_f_pos</t>
  </si>
  <si>
    <t>hts_tst_vctmod_3034_m_pos</t>
  </si>
  <si>
    <t>hts_tst_vctmod_3539_f_pos</t>
  </si>
  <si>
    <t>hts_tst_vctmod_3539_m_pos</t>
  </si>
  <si>
    <t>hts_tst_vctmod_4049_f_pos</t>
  </si>
  <si>
    <t>hts_tst_vctmod_4049_m_pos</t>
  </si>
  <si>
    <t>hts_tst_vctmod_o50_f_pos</t>
  </si>
  <si>
    <t>hts_tst_vctmod_o50_m_pos</t>
  </si>
  <si>
    <t>hts_tst_vctmod_1519_f_neg</t>
  </si>
  <si>
    <t>hts_tst_vctmod_1519_m_neg</t>
  </si>
  <si>
    <t>hts_tst_vctmod_2024_f_neg</t>
  </si>
  <si>
    <t>hts_tst_vctmod_2024_m_neg</t>
  </si>
  <si>
    <t>hts_tst_vctmod_2529_f_neg</t>
  </si>
  <si>
    <t>hts_tst_vctmod_2529_m_neg</t>
  </si>
  <si>
    <t>hts_tst_vctmod_3034_f_neg</t>
  </si>
  <si>
    <t>hts_tst_vctmod_3034_m_neg</t>
  </si>
  <si>
    <t>hts_tst_vctmod_3539_f_neg</t>
  </si>
  <si>
    <t>hts_tst_vctmod_3539_m_neg</t>
  </si>
  <si>
    <t>hts_tst_vctmod_4049_f_neg</t>
  </si>
  <si>
    <t>hts_tst_vctmod_4049_m_neg</t>
  </si>
  <si>
    <t>hts_tst_vctmod_o50_f_neg</t>
  </si>
  <si>
    <t>hts_tst_vctmod_o50_m_neg</t>
  </si>
  <si>
    <t>HTS_TST: OtherMod</t>
  </si>
  <si>
    <t>A_hts_tst_othermod_u1_unk_pos</t>
  </si>
  <si>
    <t>A_hts_tst_othermod_0109_unk_pos</t>
  </si>
  <si>
    <t>A_hts_tst_othermod_1014_f_pos</t>
  </si>
  <si>
    <t>A_hts_tst_othermod_1014_m_pos</t>
  </si>
  <si>
    <t>A_hts_tst_othermod_u1_unk_neg</t>
  </si>
  <si>
    <t>A_hts_tst_othermod_0109_unk_neg</t>
  </si>
  <si>
    <t>A_hts_tst_othermod_1014_f_neg</t>
  </si>
  <si>
    <t>A_hts_tst_othermod_1014_m_neg</t>
  </si>
  <si>
    <t>A_hts_tst_othermod_1519_f_pos</t>
  </si>
  <si>
    <t>A_hts_tst_othermod_1519_m_pos</t>
  </si>
  <si>
    <t>A_hts_tst_othermod_2024_f_pos</t>
  </si>
  <si>
    <t>A_hts_tst_othermod_2024_m_pos</t>
  </si>
  <si>
    <t>A_hts_tst_othermod_2529_f_pos</t>
  </si>
  <si>
    <t>A_hts_tst_othermod_2529_m_pos</t>
  </si>
  <si>
    <t>A_hts_tst_othermod_3034_f_pos</t>
  </si>
  <si>
    <t>A_hts_tst_othermod_3034_m__pos</t>
  </si>
  <si>
    <t>A_hts_tst_othermod_3539_f_pos</t>
  </si>
  <si>
    <t>A_hts_tst_othermod_3539_m__pos</t>
  </si>
  <si>
    <t>A_hts_tst_othermod_4049_f_pos</t>
  </si>
  <si>
    <t>A_hts_tst_othermod_4049_m_pos</t>
  </si>
  <si>
    <t>A_hts_tst_othermod_o50_f_pos</t>
  </si>
  <si>
    <t>A_hts_tst_othermod_o50_m_pos</t>
  </si>
  <si>
    <t>A_hts_tst_othermod_1519_f_neg</t>
  </si>
  <si>
    <t>A_hts_tst_othermod_1519_m_neg</t>
  </si>
  <si>
    <t>A_hts_tst_othermod_2024_f_neg</t>
  </si>
  <si>
    <t>A_hts_tst_othermod_2024_m_neg</t>
  </si>
  <si>
    <t>A_hts_tst_othermod_2529_f_neg</t>
  </si>
  <si>
    <t>A_hts_tst_othermod_2529_m_neg</t>
  </si>
  <si>
    <t>A_hts_tst_othermod_3034_f_neg</t>
  </si>
  <si>
    <t>A_hts_tst_othermod_3034_m_neg</t>
  </si>
  <si>
    <t>A_hts_tst_othermod_3539_f_neg</t>
  </si>
  <si>
    <t>A_hts_tst_othermod_3539_m_neg</t>
  </si>
  <si>
    <t>A_hts_tst_othermod_4049_f_neg</t>
  </si>
  <si>
    <t>A_hts_tst_othermod_4049_m_neg</t>
  </si>
  <si>
    <t>A_hts_tst_othermod_o50_f_neg</t>
  </si>
  <si>
    <t>A_hts_tst_othermod_o50_m_neg</t>
  </si>
  <si>
    <t>D_hts_tst_neg_othermod_u15_fy19</t>
  </si>
  <si>
    <t>D_hts_tst_neg_othermod_o15_fy19</t>
  </si>
  <si>
    <t>hts_tst_othermod_u1_unk_pos</t>
  </si>
  <si>
    <t>hts_tst_othermod_0109_unk_pos</t>
  </si>
  <si>
    <t>hts_tst_othermod_1014_f_pos</t>
  </si>
  <si>
    <t>hts_tst_othermod_1014_m_pos</t>
  </si>
  <si>
    <t>hts_tst_othermod_u1_unk_neg</t>
  </si>
  <si>
    <t>hts_tst_othermod_0109_unk_neg</t>
  </si>
  <si>
    <t>hts_tst_othermod_1014_f_neg</t>
  </si>
  <si>
    <t>hts_tst_othermod_1014_m_neg</t>
  </si>
  <si>
    <t>hts_tst_othermod_1519_f_pos</t>
  </si>
  <si>
    <t>hts_tst_othermod_1519_m_pos</t>
  </si>
  <si>
    <t>hts_tst_othermod_2024_f_pos</t>
  </si>
  <si>
    <t>hts_tst_othermod_2024_m_pos</t>
  </si>
  <si>
    <t>hts_tst_othermod_2529_f_pos</t>
  </si>
  <si>
    <t>hts_tst_othermod_2529_m_pos</t>
  </si>
  <si>
    <t>hts_tst_othermod_3034_f_pos</t>
  </si>
  <si>
    <t>hts_tst_othermod_3034_m_pos</t>
  </si>
  <si>
    <t>hts_tst_othermod_3539_f_pos</t>
  </si>
  <si>
    <t>hts_tst_othermod_3539_m_pos</t>
  </si>
  <si>
    <t>hts_tst_othermod_4049_f_pos</t>
  </si>
  <si>
    <t>hts_tst_othermod_4049_m_pos</t>
  </si>
  <si>
    <t>hts_tst_othermod_o50_f_pos</t>
  </si>
  <si>
    <t>hts_tst_othermod_o50_m_pos</t>
  </si>
  <si>
    <t>hts_tst_othermod_1519_f_neg</t>
  </si>
  <si>
    <t>hts_tst_othermod_1519_m_neg</t>
  </si>
  <si>
    <t>hts_tst_othermod_2024_f_neg</t>
  </si>
  <si>
    <t>hts_tst_othermod_2024_m_neg</t>
  </si>
  <si>
    <t>hts_tst_othermod_2529_f_neg</t>
  </si>
  <si>
    <t>hts_tst_othermod_2529_m_neg</t>
  </si>
  <si>
    <t>hts_tst_othermod_3034_f_neg</t>
  </si>
  <si>
    <t>hts_tst_othermod_3034_m_neg</t>
  </si>
  <si>
    <t>hts_tst_othermod_3539_f_neg</t>
  </si>
  <si>
    <t>hts_tst_othermod_3539_m_neg</t>
  </si>
  <si>
    <t>hts_tst_othermod_4049_f_neg</t>
  </si>
  <si>
    <t>hts_tst_othermod_4049_m_neg</t>
  </si>
  <si>
    <t>hts_tst_othermod_o50_f_neg</t>
  </si>
  <si>
    <t>hts_tst_othermod_o50_m_neg</t>
  </si>
  <si>
    <t>HTS_TST: Index</t>
  </si>
  <si>
    <t>A_hts_tst_index_u1_unk_pos</t>
  </si>
  <si>
    <t>A_hts_tst_index_0109_unk_pos</t>
  </si>
  <si>
    <t>A_hts_tst_index_1014_f_pos</t>
  </si>
  <si>
    <t>A_hts_tst_index_1014_m_pos</t>
  </si>
  <si>
    <t>A_hts_tst_index_u1_unk_neg</t>
  </si>
  <si>
    <t>A_hts_tst_index_0109_unk_neg</t>
  </si>
  <si>
    <t>A_hts_tst_index_1014_f_neg</t>
  </si>
  <si>
    <t>A_hts_tst_index_1014_m_neg</t>
  </si>
  <si>
    <t>A_hts_tst_index_1519_f_pos</t>
  </si>
  <si>
    <t>A_hts_tst_index_1519_m_pos</t>
  </si>
  <si>
    <t>A_hts_tst_index_2024_f_pos</t>
  </si>
  <si>
    <t>A_hts_tst_index_2024_m_pos</t>
  </si>
  <si>
    <t>A_hts_tst_index_2529_f_pos</t>
  </si>
  <si>
    <t>A_hts_tst_index_2529_m_pos</t>
  </si>
  <si>
    <t>A_hts_tst_index_3034_f_pos</t>
  </si>
  <si>
    <t>A_hts_tst_index_3034_m__pos</t>
  </si>
  <si>
    <t>A_hts_tst_index_3539_f_pos</t>
  </si>
  <si>
    <t>A_hts_tst_index_3539_m__pos</t>
  </si>
  <si>
    <t>A_hts_tst_index_4049_f_pos</t>
  </si>
  <si>
    <t>A_hts_tst_index_4049_m_pos</t>
  </si>
  <si>
    <t>A_hts_tst_index_o50_f_pos</t>
  </si>
  <si>
    <t>A_hts_tst_index_o50_m_pos</t>
  </si>
  <si>
    <t>A_hts_tst_index_1519_f_neg</t>
  </si>
  <si>
    <t>A_hts_tst_index_1519_m_neg</t>
  </si>
  <si>
    <t>A_hts_tst_index_2024_f_neg</t>
  </si>
  <si>
    <t>A_hts_tst_index_2024_m_neg</t>
  </si>
  <si>
    <t>A_hts_tst_index_2529_f_neg</t>
  </si>
  <si>
    <t>A_hts_tst_index_2529_m_neg</t>
  </si>
  <si>
    <t>A_hts_tst_index_3034_f_neg</t>
  </si>
  <si>
    <t>A_hts_tst_index_3034_m_neg</t>
  </si>
  <si>
    <t>A_hts_tst_index_3539_f_neg</t>
  </si>
  <si>
    <t>A_hts_tst_index_3539_m_neg</t>
  </si>
  <si>
    <t>A_hts_tst_index_4049_f_neg</t>
  </si>
  <si>
    <t>A_hts_tst_index_4049_m_neg</t>
  </si>
  <si>
    <t>A_hts_tst_index_o50_f_neg</t>
  </si>
  <si>
    <t>A_hts_tst_index_o50_m_neg</t>
  </si>
  <si>
    <t>D_hts_tst_neg_index_u15_fy19</t>
  </si>
  <si>
    <t>D_hts_tst_neg_index_o15_fy19</t>
  </si>
  <si>
    <t>hts_tst_index_u1_unk_pos</t>
  </si>
  <si>
    <t>hts_tst_index_0109_unk_pos</t>
  </si>
  <si>
    <t>hts_tst_index_1014_f_pos</t>
  </si>
  <si>
    <t>hts_tst_index_1014_m_pos</t>
  </si>
  <si>
    <t>hts_tst_index_u1_unk_neg</t>
  </si>
  <si>
    <t>hts_tst_index_0109_unk_neg</t>
  </si>
  <si>
    <t>hts_tst_index_1014_f_neg</t>
  </si>
  <si>
    <t>hts_tst_index_1014_m_neg</t>
  </si>
  <si>
    <t>hts_tst_index_1519_f_pos</t>
  </si>
  <si>
    <t>hts_tst_index_1519_m_pos</t>
  </si>
  <si>
    <t>hts_tst_index_2024_f_pos</t>
  </si>
  <si>
    <t>hts_tst_index_2024_m_pos</t>
  </si>
  <si>
    <t>hts_tst_index_2529_f_pos</t>
  </si>
  <si>
    <t>hts_tst_index_2529_m_pos</t>
  </si>
  <si>
    <t>hts_tst_index_3034_f_pos</t>
  </si>
  <si>
    <t>hts_tst_index_3034_m_pos</t>
  </si>
  <si>
    <t>hts_tst_index_3539_f_pos</t>
  </si>
  <si>
    <t>hts_tst_index_3539_m_pos</t>
  </si>
  <si>
    <t>hts_tst_index_4049_f_pos</t>
  </si>
  <si>
    <t>hts_tst_index_4049_m_pos</t>
  </si>
  <si>
    <t>hts_tst_index_o50_f_pos</t>
  </si>
  <si>
    <t>hts_tst_index_o50_m_pos</t>
  </si>
  <si>
    <t>hts_tst_index_1519_f_neg</t>
  </si>
  <si>
    <t>hts_tst_index_1519_m_neg</t>
  </si>
  <si>
    <t>hts_tst_index_2024_f_neg</t>
  </si>
  <si>
    <t>hts_tst_index_2024_m_neg</t>
  </si>
  <si>
    <t>hts_tst_index_2529_f_neg</t>
  </si>
  <si>
    <t>hts_tst_index_2529_m_neg</t>
  </si>
  <si>
    <t>hts_tst_index_3034_f_neg</t>
  </si>
  <si>
    <t>hts_tst_index_3034_m_neg</t>
  </si>
  <si>
    <t>hts_tst_index_3539_f_neg</t>
  </si>
  <si>
    <t>hts_tst_index_3539_m_neg</t>
  </si>
  <si>
    <t>hts_tst_index_4049_f_neg</t>
  </si>
  <si>
    <t>hts_tst_index_4049_m_neg</t>
  </si>
  <si>
    <t>hts_tst_index_o50_f_neg</t>
  </si>
  <si>
    <t>hts_tst_index_o50_m_neg</t>
  </si>
  <si>
    <t>HTS_TST: STI</t>
  </si>
  <si>
    <t>A_hts_tst_sti_u1_unk_pos</t>
  </si>
  <si>
    <t>A_hts_tst_sti_0109_unk_pos</t>
  </si>
  <si>
    <t>A_hts_tst_sti_1014_f_pos</t>
  </si>
  <si>
    <t>A_hts_tst_sti_1014_m_pos</t>
  </si>
  <si>
    <t>A_hts_tst_sti_u1_unk_neg</t>
  </si>
  <si>
    <t>A_hts_tst_sti_0109_unk_neg</t>
  </si>
  <si>
    <t>A_hts_tst_sti_1014_f_neg</t>
  </si>
  <si>
    <t>A_hts_tst_sti_1014_m_neg</t>
  </si>
  <si>
    <t>A_hts_tst_sti_1519_f_pos</t>
  </si>
  <si>
    <t>A_hts_tst_sti_1519_m_pos</t>
  </si>
  <si>
    <t>A_hts_tst_sti_2024_f_pos</t>
  </si>
  <si>
    <t>A_hts_tst_sti_2024_m_pos</t>
  </si>
  <si>
    <t>A_hts_tst_sti_2529_f_pos</t>
  </si>
  <si>
    <t>A_hts_tst_sti_2529_m_pos</t>
  </si>
  <si>
    <t>A_hts_tst_sti_3034_f_pos</t>
  </si>
  <si>
    <t>A_hts_tst_sti_3034_m__pos</t>
  </si>
  <si>
    <t>A_hts_tst_sti_3539_f_pos</t>
  </si>
  <si>
    <t>A_hts_tst_sti_3539_m__pos</t>
  </si>
  <si>
    <t>A_hts_tst_sti_4049_f_pos</t>
  </si>
  <si>
    <t>A_hts_tst_sti_4049_m_pos</t>
  </si>
  <si>
    <t>A_hts_tst_sti_o50_f_pos</t>
  </si>
  <si>
    <t>A_hts_tst_sti_o50_m_pos</t>
  </si>
  <si>
    <t>A_hts_tst_sti_1519_f_neg</t>
  </si>
  <si>
    <t>A_hts_tst_sti_1519_m_neg</t>
  </si>
  <si>
    <t>A_hts_tst_sti_2024_f_neg</t>
  </si>
  <si>
    <t>A_hts_tst_sti_2024_m_neg</t>
  </si>
  <si>
    <t>A_hts_tst_sti_2529_f_neg</t>
  </si>
  <si>
    <t>A_hts_tst_sti_2529_m_neg</t>
  </si>
  <si>
    <t>A_hts_tst_sti_3034_f_neg</t>
  </si>
  <si>
    <t>A_hts_tst_sti_3034_m_neg</t>
  </si>
  <si>
    <t>A_hts_tst_sti_3539_f_neg</t>
  </si>
  <si>
    <t>A_hts_tst_sti_3539_m_neg</t>
  </si>
  <si>
    <t>A_hts_tst_sti_4049_f_neg</t>
  </si>
  <si>
    <t>A_hts_tst_sti_4049_m_neg</t>
  </si>
  <si>
    <t>A_hts_tst_sti_o50_f_neg</t>
  </si>
  <si>
    <t>A_hts_tst_sti_o50_m_neg</t>
  </si>
  <si>
    <t>D_hts_tst_neg_sti_u15_fy19</t>
  </si>
  <si>
    <t>D_hts_tst_neg_sti_o15_fy19</t>
  </si>
  <si>
    <t>hts_tst_sti_u1_unk_pos</t>
  </si>
  <si>
    <t>hts_tst_sti_0109_unk_pos</t>
  </si>
  <si>
    <t>hts_tst_sti_1014_f_pos</t>
  </si>
  <si>
    <t>hts_tst_sti_1014_m_pos</t>
  </si>
  <si>
    <t>hts_tst_sti_u1_unk_neg</t>
  </si>
  <si>
    <t>hts_tst_sti_0109_unk_neg</t>
  </si>
  <si>
    <t>hts_tst_sti_1014_f_neg</t>
  </si>
  <si>
    <t>hts_tst_sti_1014_m_neg</t>
  </si>
  <si>
    <t>hts_tst_sti_1519_f_pos</t>
  </si>
  <si>
    <t>hts_tst_sti_1519_m_pos</t>
  </si>
  <si>
    <t>hts_tst_sti_2024_f_pos</t>
  </si>
  <si>
    <t>hts_tst_sti_2024_m_pos</t>
  </si>
  <si>
    <t>hts_tst_sti_2529_f_pos</t>
  </si>
  <si>
    <t>hts_tst_sti_2529_m_pos</t>
  </si>
  <si>
    <t>hts_tst_sti_3034_f_pos</t>
  </si>
  <si>
    <t>hts_tst_sti_3034_m_pos</t>
  </si>
  <si>
    <t>hts_tst_sti_3539_f_pos</t>
  </si>
  <si>
    <t>hts_tst_sti_3539_m_pos</t>
  </si>
  <si>
    <t>hts_tst_sti_4049_f_pos</t>
  </si>
  <si>
    <t>hts_tst_sti_4049_m_pos</t>
  </si>
  <si>
    <t>hts_tst_sti_o50_f_pos</t>
  </si>
  <si>
    <t>hts_tst_sti_o50_m_pos</t>
  </si>
  <si>
    <t>hts_tst_sti_1519_f_neg</t>
  </si>
  <si>
    <t>hts_tst_sti_1519_m_neg</t>
  </si>
  <si>
    <t>hts_tst_sti_2024_f_neg</t>
  </si>
  <si>
    <t>hts_tst_sti_2024_m_neg</t>
  </si>
  <si>
    <t>hts_tst_sti_2529_f_neg</t>
  </si>
  <si>
    <t>hts_tst_sti_2529_m_neg</t>
  </si>
  <si>
    <t>hts_tst_sti_3034_f_neg</t>
  </si>
  <si>
    <t>hts_tst_sti_3034_m_neg</t>
  </si>
  <si>
    <t>hts_tst_sti_3539_f_neg</t>
  </si>
  <si>
    <t>hts_tst_sti_3539_m_neg</t>
  </si>
  <si>
    <t>hts_tst_sti_4049_f_neg</t>
  </si>
  <si>
    <t>hts_tst_sti_4049_m_neg</t>
  </si>
  <si>
    <t>hts_tst_sti_o50_f_neg</t>
  </si>
  <si>
    <t>hts_tst_sti_o50_m_neg</t>
  </si>
  <si>
    <t>HTS_TST: Inpat</t>
  </si>
  <si>
    <t>A_hts_tst_inpat_u1_unk_pos</t>
  </si>
  <si>
    <t>A_hts_tst_inpat_0109_unk_pos</t>
  </si>
  <si>
    <t>A_hts_tst_inpat_1014_f_pos</t>
  </si>
  <si>
    <t>A_hts_tst_inpat_1014_m_pos</t>
  </si>
  <si>
    <t>A_hts_tst_inpat_u1_unk_neg</t>
  </si>
  <si>
    <t>A_hts_tst_inpat_0109_unk_neg</t>
  </si>
  <si>
    <t>A_hts_tst_inpat_1014_f_neg</t>
  </si>
  <si>
    <t>A_hts_tst_inpat_1014_m_neg</t>
  </si>
  <si>
    <t>A_hts_tst_inpat_1519_f_pos</t>
  </si>
  <si>
    <t>A_hts_tst_inpat_1519_m_pos</t>
  </si>
  <si>
    <t>A_hts_tst_inpat_2024_f_pos</t>
  </si>
  <si>
    <t>A_hts_tst_inpat_2024_m_pos</t>
  </si>
  <si>
    <t>A_hts_tst_inpat_2529_f_pos</t>
  </si>
  <si>
    <t>A_hts_tst_inpat_2529_m_pos</t>
  </si>
  <si>
    <t>A_hts_tst_inpat_3034_f_pos</t>
  </si>
  <si>
    <t>A_hts_tst_inpat_3034_m__pos</t>
  </si>
  <si>
    <t>A_hts_tst_inpat_3539_f_pos</t>
  </si>
  <si>
    <t>A_hts_tst_inpat_3539_m__pos</t>
  </si>
  <si>
    <t>A_hts_tst_inpat_4049_f_pos</t>
  </si>
  <si>
    <t>A_hts_tst_inpat_4049_m_pos</t>
  </si>
  <si>
    <t>A_hts_tst_inpat_o50_f_pos</t>
  </si>
  <si>
    <t>A_hts_tst_inpat_o50_m_pos</t>
  </si>
  <si>
    <t>A_hts_tst_inpat_1519_f_neg</t>
  </si>
  <si>
    <t>A_hts_tst_inpat_1519_m_neg</t>
  </si>
  <si>
    <t>A_hts_tst_inpat_2024_f_neg</t>
  </si>
  <si>
    <t>A_hts_tst_inpat_2024_m_neg</t>
  </si>
  <si>
    <t>A_hts_tst_inpat_2529_f_neg</t>
  </si>
  <si>
    <t>A_hts_tst_inpat_2529_m_neg</t>
  </si>
  <si>
    <t>A_hts_tst_inpat_3034_f_neg</t>
  </si>
  <si>
    <t>A_hts_tst_inpat_3034_m_neg</t>
  </si>
  <si>
    <t>A_hts_tst_inpat_3539_f_neg</t>
  </si>
  <si>
    <t>A_hts_tst_inpat_3539_m_neg</t>
  </si>
  <si>
    <t>A_hts_tst_inpat_4049_f_neg</t>
  </si>
  <si>
    <t>A_hts_tst_inpat_4049_m_neg</t>
  </si>
  <si>
    <t>A_hts_tst_inpat_o50_f_neg</t>
  </si>
  <si>
    <t>A_hts_tst_inpat_o50_m_neg</t>
  </si>
  <si>
    <t>D_hts_tst_neg_inpat_u15_fy19</t>
  </si>
  <si>
    <t>D_hts_tst_neg_inpat_o15_fy19</t>
  </si>
  <si>
    <t>hts_tst_inpat_u1_unk_pos</t>
  </si>
  <si>
    <t>hts_tst_inpat_0109_unk_pos</t>
  </si>
  <si>
    <t>hts_tst_inpat_1014_f_pos</t>
  </si>
  <si>
    <t>hts_tst_inpat_1014_m_pos</t>
  </si>
  <si>
    <t>hts_tst_inpat_u1_unk_neg</t>
  </si>
  <si>
    <t>hts_tst_inpat_0109_unk_neg</t>
  </si>
  <si>
    <t>hts_tst_inpat_1014_f_neg</t>
  </si>
  <si>
    <t>hts_tst_inpat_1014_m_neg</t>
  </si>
  <si>
    <t>hts_tst_inpat_1519_f_pos</t>
  </si>
  <si>
    <t>hts_tst_inpat_1519_m_pos</t>
  </si>
  <si>
    <t>hts_tst_inpat_2024_f_pos</t>
  </si>
  <si>
    <t>hts_tst_inpat_2024_m_pos</t>
  </si>
  <si>
    <t>hts_tst_inpat_2529_f_pos</t>
  </si>
  <si>
    <t>hts_tst_inpat_2529_m_pos</t>
  </si>
  <si>
    <t>hts_tst_inpat_3034_f_pos</t>
  </si>
  <si>
    <t>hts_tst_inpat_3034_m_pos</t>
  </si>
  <si>
    <t>hts_tst_inpat_3539_f_pos</t>
  </si>
  <si>
    <t>hts_tst_inpat_3539_m_pos</t>
  </si>
  <si>
    <t>hts_tst_inpat_4049_f_pos</t>
  </si>
  <si>
    <t>hts_tst_inpat_4049_m_pos</t>
  </si>
  <si>
    <t>hts_tst_inpat_o50_f_pos</t>
  </si>
  <si>
    <t>hts_tst_inpat_o50_m_pos</t>
  </si>
  <si>
    <t>hts_tst_inpat_1519_f_neg</t>
  </si>
  <si>
    <t>hts_tst_inpat_1519_m_neg</t>
  </si>
  <si>
    <t>hts_tst_inpat_2024_f_neg</t>
  </si>
  <si>
    <t>hts_tst_inpat_2024_m_neg</t>
  </si>
  <si>
    <t>hts_tst_inpat_2529_f_neg</t>
  </si>
  <si>
    <t>hts_tst_inpat_2529_m_neg</t>
  </si>
  <si>
    <t>hts_tst_inpat_3034_f_neg</t>
  </si>
  <si>
    <t>hts_tst_inpat_3034_m_neg</t>
  </si>
  <si>
    <t>hts_tst_inpat_3539_f_neg</t>
  </si>
  <si>
    <t>hts_tst_inpat_3539_m_neg</t>
  </si>
  <si>
    <t>hts_tst_inpat_4049_f_neg</t>
  </si>
  <si>
    <t>hts_tst_inpat_4049_m_neg</t>
  </si>
  <si>
    <t>hts_tst_inpat_o50_f_neg</t>
  </si>
  <si>
    <t>hts_tst_inpat_o50_m_neg</t>
  </si>
  <si>
    <t>HTS_TST: Emergency</t>
  </si>
  <si>
    <t>A_hts_tst_emergency_u1_unk_pos</t>
  </si>
  <si>
    <t>A_hts_tst_emergency_0109_unk_pos</t>
  </si>
  <si>
    <t>A_hts_tst_emergency_1014_f_pos</t>
  </si>
  <si>
    <t>A_hts_tst_emergency_1014_m_pos</t>
  </si>
  <si>
    <t>A_hts_tst_emergency_u1_unk_neg</t>
  </si>
  <si>
    <t>A_hts_tst_emergency_0109_unk_neg</t>
  </si>
  <si>
    <t>A_hts_tst_emergency_1014_f_neg</t>
  </si>
  <si>
    <t>A_hts_tst_emergency_1014_m_neg</t>
  </si>
  <si>
    <t>A_hts_tst_emergency_1519_f_pos</t>
  </si>
  <si>
    <t>A_hts_tst_emergency_1519_m_pos</t>
  </si>
  <si>
    <t>A_hts_tst_emergency_2024_f_pos</t>
  </si>
  <si>
    <t>A_hts_tst_emergency_2024_m_pos</t>
  </si>
  <si>
    <t>A_hts_tst_emergency_2529_f_pos</t>
  </si>
  <si>
    <t>A_hts_tst_emergency_2529_m_pos</t>
  </si>
  <si>
    <t>A_hts_tst_emergency_3034_f_pos</t>
  </si>
  <si>
    <t>A_hts_tst_emergency_3034_m__pos</t>
  </si>
  <si>
    <t>A_hts_tst_emergency_3539_f_pos</t>
  </si>
  <si>
    <t>A_hts_tst_emergency_3539_m__pos</t>
  </si>
  <si>
    <t>A_hts_tst_emergency_4049_f_pos</t>
  </si>
  <si>
    <t>A_hts_tst_emergency_4049_m_pos</t>
  </si>
  <si>
    <t>A_hts_tst_emergency_o50_f_pos</t>
  </si>
  <si>
    <t>A_hts_tst_emergency_o50_m_pos</t>
  </si>
  <si>
    <t>A_hts_tst_emergency_1519_f_neg</t>
  </si>
  <si>
    <t>A_hts_tst_emergency_1519_m_neg</t>
  </si>
  <si>
    <t>A_hts_tst_emergency_2024_f_neg</t>
  </si>
  <si>
    <t>A_hts_tst_emergency_2024_m_neg</t>
  </si>
  <si>
    <t>A_hts_tst_emergency_2529_f_neg</t>
  </si>
  <si>
    <t>A_hts_tst_emergency_2529_m_neg</t>
  </si>
  <si>
    <t>A_hts_tst_emergency_3034_f_neg</t>
  </si>
  <si>
    <t>A_hts_tst_emergency_3034_m_neg</t>
  </si>
  <si>
    <t>A_hts_tst_emergency_3539_f_neg</t>
  </si>
  <si>
    <t>A_hts_tst_emergency_3539_m_neg</t>
  </si>
  <si>
    <t>A_hts_tst_emergency_4049_f_neg</t>
  </si>
  <si>
    <t>A_hts_tst_emergency_4049_m_neg</t>
  </si>
  <si>
    <t>A_hts_tst_emergency_o50_f_neg</t>
  </si>
  <si>
    <t>A_hts_tst_emergency_o50_m_neg</t>
  </si>
  <si>
    <t>D_hts_tst_neg_emergency_u15_fy19</t>
  </si>
  <si>
    <t>D_hts_tst_neg_emergency_o15_fy19</t>
  </si>
  <si>
    <t>hts_tst_emergency_u1_unk_pos</t>
  </si>
  <si>
    <t>hts_tst_emergency_0109_unk_pos</t>
  </si>
  <si>
    <t>hts_tst_emergency_1014_f_pos</t>
  </si>
  <si>
    <t>hts_tst_emergency_1014_m_pos</t>
  </si>
  <si>
    <t>hts_tst_emergency_u1_unk_neg</t>
  </si>
  <si>
    <t>hts_tst_emergency_0109_unk_neg</t>
  </si>
  <si>
    <t>hts_tst_emergency_1014_f_neg</t>
  </si>
  <si>
    <t>hts_tst_emergency_1014_m_neg</t>
  </si>
  <si>
    <t>hts_tst_emergency_1519_f_pos</t>
  </si>
  <si>
    <t>hts_tst_emergency_1519_m_pos</t>
  </si>
  <si>
    <t>hts_tst_emergency_2024_f_pos</t>
  </si>
  <si>
    <t>hts_tst_emergency_2024_m_pos</t>
  </si>
  <si>
    <t>hts_tst_emergency_2529_f_pos</t>
  </si>
  <si>
    <t>hts_tst_emergency_2529_m_pos</t>
  </si>
  <si>
    <t>hts_tst_emergency_3034_f_pos</t>
  </si>
  <si>
    <t>hts_tst_emergency_3034_m_pos</t>
  </si>
  <si>
    <t>hts_tst_emergency_3539_f_pos</t>
  </si>
  <si>
    <t>hts_tst_emergency_3539_m_pos</t>
  </si>
  <si>
    <t>hts_tst_emergency_4049_f_pos</t>
  </si>
  <si>
    <t>hts_tst_emergency_4049_m_pos</t>
  </si>
  <si>
    <t>hts_tst_emergency_o50_f_pos</t>
  </si>
  <si>
    <t>hts_tst_emergency_o50_m_pos</t>
  </si>
  <si>
    <t>hts_tst_emergency_1519_f_neg</t>
  </si>
  <si>
    <t>hts_tst_emergency_1519_m_neg</t>
  </si>
  <si>
    <t>hts_tst_emergency_2024_f_neg</t>
  </si>
  <si>
    <t>hts_tst_emergency_2024_m_neg</t>
  </si>
  <si>
    <t>hts_tst_emergency_2529_f_neg</t>
  </si>
  <si>
    <t>hts_tst_emergency_2529_m_neg</t>
  </si>
  <si>
    <t>hts_tst_emergency_3034_f_neg</t>
  </si>
  <si>
    <t>hts_tst_emergency_3034_m_neg</t>
  </si>
  <si>
    <t>hts_tst_emergency_3539_f_neg</t>
  </si>
  <si>
    <t>hts_tst_emergency_3539_m_neg</t>
  </si>
  <si>
    <t>hts_tst_emergency_4049_f_neg</t>
  </si>
  <si>
    <t>hts_tst_emergency_4049_m_neg</t>
  </si>
  <si>
    <t>hts_tst_emergency_o50_f_neg</t>
  </si>
  <si>
    <t>hts_tst_emergency_o50_m_neg</t>
  </si>
  <si>
    <t>HTS_TST: VCT</t>
  </si>
  <si>
    <t>A_hts_tst_vct_u1_unk_pos</t>
  </si>
  <si>
    <t>A_hts_tst_vct_0109_unk_pos</t>
  </si>
  <si>
    <t>A_hts_tst_vct_1014_f_pos</t>
  </si>
  <si>
    <t>A_hts_tst_vct_1014_m_pos</t>
  </si>
  <si>
    <t>A_hts_tst_vct_u1_unk_neg</t>
  </si>
  <si>
    <t>A_hts_tst_vct_0109_unk_neg</t>
  </si>
  <si>
    <t>A_hts_tst_vct_1014_f_neg</t>
  </si>
  <si>
    <t>A_hts_tst_vct_1014_m_neg</t>
  </si>
  <si>
    <t>A_hts_tst_vct_1519_f_pos</t>
  </si>
  <si>
    <t>A_hts_tst_vct_1519_m_pos</t>
  </si>
  <si>
    <t>A_hts_tst_vct_2024_f_pos</t>
  </si>
  <si>
    <t>A_hts_tst_vct_2024_m_pos</t>
  </si>
  <si>
    <t>A_hts_tst_vct_2529_f_pos</t>
  </si>
  <si>
    <t>A_hts_tst_vct_2529_m_pos</t>
  </si>
  <si>
    <t>A_hts_tst_vct_3034_f_pos</t>
  </si>
  <si>
    <t>A_hts_tst_vct_3034_m__pos</t>
  </si>
  <si>
    <t>A_hts_tst_vct_3539_f_pos</t>
  </si>
  <si>
    <t>A_hts_tst_vct_3539_m__pos</t>
  </si>
  <si>
    <t>A_hts_tst_vct_4049_f_pos</t>
  </si>
  <si>
    <t>A_hts_tst_vct_4049_m_pos</t>
  </si>
  <si>
    <t>A_hts_tst_vct_o50_f_pos</t>
  </si>
  <si>
    <t>A_hts_tst_vct_o50_m_pos</t>
  </si>
  <si>
    <t>A_hts_tst_vct_1519_f_neg</t>
  </si>
  <si>
    <t>A_hts_tst_vct_1519_m_neg</t>
  </si>
  <si>
    <t>A_hts_tst_vct_2024_f_neg</t>
  </si>
  <si>
    <t>A_hts_tst_vct_2024_m_neg</t>
  </si>
  <si>
    <t>A_hts_tst_vct_2529_f_neg</t>
  </si>
  <si>
    <t>A_hts_tst_vct_2529_m_neg</t>
  </si>
  <si>
    <t>A_hts_tst_vct_3034_f_neg</t>
  </si>
  <si>
    <t>A_hts_tst_vct_3034_m_neg</t>
  </si>
  <si>
    <t>A_hts_tst_vct_3539_f_neg</t>
  </si>
  <si>
    <t>A_hts_tst_vct_3539_m_neg</t>
  </si>
  <si>
    <t>A_hts_tst_vct_4049_f_neg</t>
  </si>
  <si>
    <t>A_hts_tst_vct_4049_m_neg</t>
  </si>
  <si>
    <t>A_hts_tst_vct_o50_f_neg</t>
  </si>
  <si>
    <t>A_hts_tst_vct_o50_m_neg</t>
  </si>
  <si>
    <t>D_hts_tst_neg_vct_u15_fy19</t>
  </si>
  <si>
    <t>D_hts_tst_neg_vct_o15_fy19</t>
  </si>
  <si>
    <t>hts_tst_vct_u1_unk_pos</t>
  </si>
  <si>
    <t>hts_tst_vct_0109_unk_pos</t>
  </si>
  <si>
    <t>hts_tst_vct_1014_f_pos</t>
  </si>
  <si>
    <t>hts_tst_vct_1014_m_pos</t>
  </si>
  <si>
    <t>hts_tst_vct_u1_unk_neg</t>
  </si>
  <si>
    <t>hts_tst_vct_0109_unk_neg</t>
  </si>
  <si>
    <t>hts_tst_vct_1014_f_neg</t>
  </si>
  <si>
    <t>hts_tst_vct_1014_m_neg</t>
  </si>
  <si>
    <t>hts_tst_vct_1519_f_pos</t>
  </si>
  <si>
    <t>hts_tst_vct_1519_m_pos</t>
  </si>
  <si>
    <t>hts_tst_vct_2024_f_pos</t>
  </si>
  <si>
    <t>hts_tst_vct_2024_m_pos</t>
  </si>
  <si>
    <t>hts_tst_vct_2529_f_pos</t>
  </si>
  <si>
    <t>hts_tst_vct_2529_m_pos</t>
  </si>
  <si>
    <t>hts_tst_vct_3034_f_pos</t>
  </si>
  <si>
    <t>hts_tst_vct_3034_m_pos</t>
  </si>
  <si>
    <t>hts_tst_vct_3539_f_pos</t>
  </si>
  <si>
    <t>hts_tst_vct_3539_m_pos</t>
  </si>
  <si>
    <t>hts_tst_vct_4049_f_pos</t>
  </si>
  <si>
    <t>hts_tst_vct_4049_m_pos</t>
  </si>
  <si>
    <t>hts_tst_vct_o50_f_pos</t>
  </si>
  <si>
    <t>hts_tst_vct_o50_m_pos</t>
  </si>
  <si>
    <t>hts_tst_vct_1519_f_neg</t>
  </si>
  <si>
    <t>hts_tst_vct_1519_m_neg</t>
  </si>
  <si>
    <t>hts_tst_vct_2024_f_neg</t>
  </si>
  <si>
    <t>hts_tst_vct_2024_m_neg</t>
  </si>
  <si>
    <t>hts_tst_vct_2529_f_neg</t>
  </si>
  <si>
    <t>hts_tst_vct_2529_m_neg</t>
  </si>
  <si>
    <t>hts_tst_vct_3034_f_neg</t>
  </si>
  <si>
    <t>hts_tst_vct_3034_m_neg</t>
  </si>
  <si>
    <t>hts_tst_vct_3539_f_neg</t>
  </si>
  <si>
    <t>hts_tst_vct_3539_m_neg</t>
  </si>
  <si>
    <t>hts_tst_vct_4049_f_neg</t>
  </si>
  <si>
    <t>hts_tst_vct_4049_m_neg</t>
  </si>
  <si>
    <t>hts_tst_vct_o50_f_neg</t>
  </si>
  <si>
    <t>hts_tst_vct_o50_m_neg</t>
  </si>
  <si>
    <t>A_hts_tst_vmmc_1014_m_pos</t>
  </si>
  <si>
    <t>A_hts_tst_vmmc_1014_m_neg</t>
  </si>
  <si>
    <t>A_hts_tst_vmmc_1519_m_pos</t>
  </si>
  <si>
    <t>A_hts_tst_vmmc_2024_m_pos</t>
  </si>
  <si>
    <t>A_hts_tst_vmmc_2529_m_pos</t>
  </si>
  <si>
    <t>A_hts_tst_vmmc_3034_m__pos</t>
  </si>
  <si>
    <t>A_hts_tst_vmmc_3539_m__pos</t>
  </si>
  <si>
    <t>A_hts_tst_vmmc_4049_m_pos</t>
  </si>
  <si>
    <t>A_hts_tst_vmmc_o50_m_pos</t>
  </si>
  <si>
    <t>A_hts_tst_vmmc_1519_m_neg</t>
  </si>
  <si>
    <t>A_hts_tst_vmmc_2024_m_neg</t>
  </si>
  <si>
    <t>A_hts_tst_vmmc_2529_m_neg</t>
  </si>
  <si>
    <t>A_hts_tst_vmmc_3034_m_neg</t>
  </si>
  <si>
    <t>A_hts_tst_vmmc_3539_m_neg</t>
  </si>
  <si>
    <t>A_hts_tst_vmmc_4049_m_neg</t>
  </si>
  <si>
    <t>A_hts_tst_vmmc_o50_m_neg</t>
  </si>
  <si>
    <t>hts_tst_vmmc_1014_m_pos</t>
  </si>
  <si>
    <t>hts_tst_vmmc_0109_unk_neg</t>
  </si>
  <si>
    <t>hts_tst_vmmc_1014_m_neg</t>
  </si>
  <si>
    <t>hts_tst_vmmc_1519_m_pos</t>
  </si>
  <si>
    <t>hts_tst_vmmc_2024_m_pos</t>
  </si>
  <si>
    <t>hts_tst_vmmc_2529_m_pos</t>
  </si>
  <si>
    <t>hts_tst_vmmc_3034_m_pos</t>
  </si>
  <si>
    <t>hts_tst_vmmc_3539_m_pos</t>
  </si>
  <si>
    <t>hts_tst_vmmc_4049_m_pos</t>
  </si>
  <si>
    <t>hts_tst_vmmc_o50_m_pos</t>
  </si>
  <si>
    <t>hts_tst_vmmc_1519_m_neg</t>
  </si>
  <si>
    <t>hts_tst_vmmc_2024_m_neg</t>
  </si>
  <si>
    <t>hts_tst_vmmc_2529_m_neg</t>
  </si>
  <si>
    <t>hts_tst_vmmc_3034_m_neg</t>
  </si>
  <si>
    <t>hts_tst_vmmc_3539_m_neg</t>
  </si>
  <si>
    <t>hts_tst_vmmc_4049_m_neg</t>
  </si>
  <si>
    <t>hts_tst_vmmc_o50_m_neg</t>
  </si>
  <si>
    <t>HTS_TST: TBClinic</t>
  </si>
  <si>
    <t>A_hts_tst_tbclinic_u1_unk_pos</t>
  </si>
  <si>
    <t>A_hts_tst_tbclinic_0109_unk_pos</t>
  </si>
  <si>
    <t>A_hts_tst_tbclinic_1014_f_pos</t>
  </si>
  <si>
    <t>A_hts_tst_tbclinic_1014_m_pos</t>
  </si>
  <si>
    <t>A_hts_tst_tbclinic_u1_unk_neg</t>
  </si>
  <si>
    <t>A_hts_tst_tbclinic_0109_unk_neg</t>
  </si>
  <si>
    <t>A_hts_tst_tbclinic_1014_f_neg</t>
  </si>
  <si>
    <t>A_hts_tst_tbclinic_1014_m_neg</t>
  </si>
  <si>
    <t>A_hts_tst_tbclinic_1519_f_pos</t>
  </si>
  <si>
    <t>A_hts_tst_tbclinic_1519_m_pos</t>
  </si>
  <si>
    <t>A_hts_tst_tbclinic_2024_f_pos</t>
  </si>
  <si>
    <t>A_hts_tst_tbclinic_2024_m_pos</t>
  </si>
  <si>
    <t>A_hts_tst_tbclinic_2529_f_pos</t>
  </si>
  <si>
    <t>A_hts_tst_tbclinic_2529_m_pos</t>
  </si>
  <si>
    <t>A_hts_tst_tbclinic_3034_f_pos</t>
  </si>
  <si>
    <t>A_hts_tst_tbclinic_3034_m__pos</t>
  </si>
  <si>
    <t>A_hts_tst_tbclinic_3539_f_pos</t>
  </si>
  <si>
    <t>A_hts_tst_tbclinic_3539_m__pos</t>
  </si>
  <si>
    <t>A_hts_tst_tbclinic_4049_f_pos</t>
  </si>
  <si>
    <t>A_hts_tst_tbclinic_4049_m_pos</t>
  </si>
  <si>
    <t>A_hts_tst_tbclinic_o50_f_pos</t>
  </si>
  <si>
    <t>A_hts_tst_tbclinic_o50_m_pos</t>
  </si>
  <si>
    <t>A_hts_tst_tbclinic_1519_f_neg</t>
  </si>
  <si>
    <t>A_hts_tst_tbclinic_1519_m_neg</t>
  </si>
  <si>
    <t>A_hts_tst_tbclinic_2024_f_neg</t>
  </si>
  <si>
    <t>A_hts_tst_tbclinic_2024_m_neg</t>
  </si>
  <si>
    <t>A_hts_tst_tbclinic_2529_f_neg</t>
  </si>
  <si>
    <t>A_hts_tst_tbclinic_2529_m_neg</t>
  </si>
  <si>
    <t>A_hts_tst_tbclinic_3034_f_neg</t>
  </si>
  <si>
    <t>A_hts_tst_tbclinic_3034_m_neg</t>
  </si>
  <si>
    <t>A_hts_tst_tbclinic_3539_f_neg</t>
  </si>
  <si>
    <t>A_hts_tst_tbclinic_3539_m_neg</t>
  </si>
  <si>
    <t>A_hts_tst_tbclinic_4049_f_neg</t>
  </si>
  <si>
    <t>A_hts_tst_tbclinic_4049_m_neg</t>
  </si>
  <si>
    <t>A_hts_tst_tbclinic_o50_f_neg</t>
  </si>
  <si>
    <t>A_hts_tst_tbclinic_o50_m_neg</t>
  </si>
  <si>
    <t>hts_tst_tbclinic_u1_unk_pos</t>
  </si>
  <si>
    <t>hts_tst_tbclinic_0109_unk_pos</t>
  </si>
  <si>
    <t>hts_tst_tbclinic_1014_f_pos</t>
  </si>
  <si>
    <t>hts_tst_tbclinic_1014_m_pos</t>
  </si>
  <si>
    <t>hts_tst_tbclinic_u1_unk_neg</t>
  </si>
  <si>
    <t>hts_tst_tbclinic_0109_unk_neg</t>
  </si>
  <si>
    <t>hts_tst_tbclinic_1014_f_neg</t>
  </si>
  <si>
    <t>hts_tst_tbclinic_1014_m_neg</t>
  </si>
  <si>
    <t>hts_tst_tbclinic_1519_f_pos</t>
  </si>
  <si>
    <t>hts_tst_tbclinic_1519_m_pos</t>
  </si>
  <si>
    <t>hts_tst_tbclinic_2024_f_pos</t>
  </si>
  <si>
    <t>hts_tst_tbclinic_2024_m_pos</t>
  </si>
  <si>
    <t>hts_tst_tbclinic_2529_f_pos</t>
  </si>
  <si>
    <t>hts_tst_tbclinic_2529_m_pos</t>
  </si>
  <si>
    <t>hts_tst_tbclinic_3034_f_pos</t>
  </si>
  <si>
    <t>hts_tst_tbclinic_3034_m_pos</t>
  </si>
  <si>
    <t>hts_tst_tbclinic_3539_f_pos</t>
  </si>
  <si>
    <t>hts_tst_tbclinic_3539_m_pos</t>
  </si>
  <si>
    <t>hts_tst_tbclinic_4049_f_pos</t>
  </si>
  <si>
    <t>hts_tst_tbclinic_4049_m_pos</t>
  </si>
  <si>
    <t>hts_tst_tbclinic_o50_f_pos</t>
  </si>
  <si>
    <t>hts_tst_tbclinic_o50_m_pos</t>
  </si>
  <si>
    <t>hts_tst_tbclinic_1519_f_neg</t>
  </si>
  <si>
    <t>hts_tst_tbclinic_1519_m_neg</t>
  </si>
  <si>
    <t>hts_tst_tbclinic_2024_f_neg</t>
  </si>
  <si>
    <t>hts_tst_tbclinic_2024_m_neg</t>
  </si>
  <si>
    <t>hts_tst_tbclinic_2529_f_neg</t>
  </si>
  <si>
    <t>hts_tst_tbclinic_2529_m_neg</t>
  </si>
  <si>
    <t>hts_tst_tbclinic_3034_f_neg</t>
  </si>
  <si>
    <t>hts_tst_tbclinic_3034_m_neg</t>
  </si>
  <si>
    <t>hts_tst_tbclinic_3539_f_neg</t>
  </si>
  <si>
    <t>hts_tst_tbclinic_3539_m_neg</t>
  </si>
  <si>
    <t>hts_tst_tbclinic_4049_f_neg</t>
  </si>
  <si>
    <t>hts_tst_tbclinic_4049_m_neg</t>
  </si>
  <si>
    <t>hts_tst_tbclinic_o50_f_neg</t>
  </si>
  <si>
    <t>hts_tst_tbclinic_o50_m_neg</t>
  </si>
  <si>
    <t>HTS_TST: OtherPITC</t>
  </si>
  <si>
    <t>A_hts_tst_otherpitc_u1_unk_pos</t>
  </si>
  <si>
    <t>A_hts_tst_otherpitc_0109_unk_pos</t>
  </si>
  <si>
    <t>A_hts_tst_otherpitc_1014_f_pos</t>
  </si>
  <si>
    <t>A_hts_tst_otherpitc_1014_m_pos</t>
  </si>
  <si>
    <t>A_hts_tst_otherpitc_u1_unk_neg</t>
  </si>
  <si>
    <t>A_hts_tst_otherpitc_0109_unk_neg</t>
  </si>
  <si>
    <t>A_hts_tst_otherpitc_1014_f_neg</t>
  </si>
  <si>
    <t>A_hts_tst_otherpitc_1014_m_neg</t>
  </si>
  <si>
    <t>A_hts_tst_otherpitc_1519_f_pos</t>
  </si>
  <si>
    <t>A_hts_tst_otherpitc_1519_m_pos</t>
  </si>
  <si>
    <t>A_hts_tst_otherpitc_2024_f_pos</t>
  </si>
  <si>
    <t>A_hts_tst_otherpitc_2024_m_pos</t>
  </si>
  <si>
    <t>A_hts_tst_otherpitc_2529_f_pos</t>
  </si>
  <si>
    <t>A_hts_tst_otherpitc_2529_m_pos</t>
  </si>
  <si>
    <t>A_hts_tst_otherpitc_3034_f_pos</t>
  </si>
  <si>
    <t>A_hts_tst_otherpitc_3034_m__pos</t>
  </si>
  <si>
    <t>A_hts_tst_otherpitc_3539_f_pos</t>
  </si>
  <si>
    <t>A_hts_tst_otherpitc_3539_m__pos</t>
  </si>
  <si>
    <t>A_hts_tst_otherpitc_4049_f_pos</t>
  </si>
  <si>
    <t>A_hts_tst_otherpitc_4049_m_pos</t>
  </si>
  <si>
    <t>A_hts_tst_otherpitc_o50_f_pos</t>
  </si>
  <si>
    <t>A_hts_tst_otherpitc_o50_m_pos</t>
  </si>
  <si>
    <t>A_hts_tst_otherpitc_1519_f_neg</t>
  </si>
  <si>
    <t>A_hts_tst_otherpitc_1519_m_neg</t>
  </si>
  <si>
    <t>A_hts_tst_otherpitc_2024_f_neg</t>
  </si>
  <si>
    <t>A_hts_tst_otherpitc_2024_m_neg</t>
  </si>
  <si>
    <t>A_hts_tst_otherpitc_2529_f_neg</t>
  </si>
  <si>
    <t>A_hts_tst_otherpitc_2529_m_neg</t>
  </si>
  <si>
    <t>A_hts_tst_otherpitc_3034_f_neg</t>
  </si>
  <si>
    <t>A_hts_tst_otherpitc_3034_m_neg</t>
  </si>
  <si>
    <t>A_hts_tst_otherpitc_3539_f_neg</t>
  </si>
  <si>
    <t>A_hts_tst_otherpitc_3539_m_neg</t>
  </si>
  <si>
    <t>A_hts_tst_otherpitc_4049_f_neg</t>
  </si>
  <si>
    <t>A_hts_tst_otherpitc_4049_m_neg</t>
  </si>
  <si>
    <t>A_hts_tst_otherpitc_o50_f_neg</t>
  </si>
  <si>
    <t>A_hts_tst_otherpitc_o50_m_neg</t>
  </si>
  <si>
    <t>D_hts_tst_neg_otherpitc_u15_fy19</t>
  </si>
  <si>
    <t>D_hts_tst_neg_otherpitc_o15_fy19</t>
  </si>
  <si>
    <t>hts_tst_otherpitc_u1_unk_pos</t>
  </si>
  <si>
    <t>hts_tst_otherpitc_0109_unk_pos</t>
  </si>
  <si>
    <t>hts_tst_otherpitc_1014_f_pos</t>
  </si>
  <si>
    <t>hts_tst_otherpitc_1014_m_pos</t>
  </si>
  <si>
    <t>hts_tst_otherpitc_u1_unk_neg</t>
  </si>
  <si>
    <t>hts_tst_otherpitc_0109_unk_neg</t>
  </si>
  <si>
    <t>hts_tst_otherpitc_1014_f_neg</t>
  </si>
  <si>
    <t>hts_tst_otherpitc_1014_m_neg</t>
  </si>
  <si>
    <t>hts_tst_otherpitc_1519_f_pos</t>
  </si>
  <si>
    <t>hts_tst_otherpitc_1519_m_pos</t>
  </si>
  <si>
    <t>hts_tst_otherpitc_2024_f_pos</t>
  </si>
  <si>
    <t>hts_tst_otherpitc_2024_m_pos</t>
  </si>
  <si>
    <t>hts_tst_otherpitc_2529_f_pos</t>
  </si>
  <si>
    <t>hts_tst_otherpitc_2529_m_pos</t>
  </si>
  <si>
    <t>hts_tst_otherpitc_3034_f_pos</t>
  </si>
  <si>
    <t>hts_tst_otherpitc_3034_m_pos</t>
  </si>
  <si>
    <t>hts_tst_otherpitc_3539_f_pos</t>
  </si>
  <si>
    <t>hts_tst_otherpitc_3539_m_pos</t>
  </si>
  <si>
    <t>hts_tst_otherpitc_4049_f_pos</t>
  </si>
  <si>
    <t>hts_tst_otherpitc_4049_m_pos</t>
  </si>
  <si>
    <t>hts_tst_otherpitc_o50_f_pos</t>
  </si>
  <si>
    <t>hts_tst_otherpitc_o50_m_pos</t>
  </si>
  <si>
    <t>hts_tst_otherpitc_1519_f_neg</t>
  </si>
  <si>
    <t>hts_tst_otherpitc_1519_m_neg</t>
  </si>
  <si>
    <t>hts_tst_otherpitc_2024_f_neg</t>
  </si>
  <si>
    <t>hts_tst_otherpitc_2024_m_neg</t>
  </si>
  <si>
    <t>hts_tst_otherpitc_2529_f_neg</t>
  </si>
  <si>
    <t>hts_tst_otherpitc_2529_m_neg</t>
  </si>
  <si>
    <t>hts_tst_otherpitc_3034_f_neg</t>
  </si>
  <si>
    <t>hts_tst_otherpitc_3034_m_neg</t>
  </si>
  <si>
    <t>hts_tst_otherpitc_3539_f_neg</t>
  </si>
  <si>
    <t>hts_tst_otherpitc_3539_m_neg</t>
  </si>
  <si>
    <t>hts_tst_otherpitc_4049_f_neg</t>
  </si>
  <si>
    <t>hts_tst_otherpitc_4049_m_neg</t>
  </si>
  <si>
    <t>hts_tst_otherpitc_o50_f_neg</t>
  </si>
  <si>
    <t>hts_tst_otherpitc_o50_m_neg</t>
  </si>
  <si>
    <t>&lt;1, Male, Positive</t>
  </si>
  <si>
    <t>1-9, Male, Positive</t>
  </si>
  <si>
    <t>&lt;1, Male, Negative</t>
  </si>
  <si>
    <t>1-9, Male, Negative</t>
  </si>
  <si>
    <t>&lt;1, Female, Positive</t>
  </si>
  <si>
    <t>1-9, Female, Positive</t>
  </si>
  <si>
    <t>&lt;1,Female, Negative</t>
  </si>
  <si>
    <t>A_hts_tst_vmmc_u1_m_pos</t>
  </si>
  <si>
    <t>A_hts_tst_vmmc_0109_m_pos</t>
  </si>
  <si>
    <t>A_hts_tst_vmmc_u1_m_neg</t>
  </si>
  <si>
    <t>A_hts_tst_vmmc_0109_m_neg</t>
  </si>
  <si>
    <t>hts_tst_vmmc_u1_m_pos</t>
  </si>
  <si>
    <t>hts_tst_vmmc_0109_m_pos</t>
  </si>
  <si>
    <t>hts_tst_vmmc_u1_m_neg</t>
  </si>
  <si>
    <t>1-9, Female Negative</t>
  </si>
  <si>
    <t>&lt;1, Female, Negative</t>
  </si>
  <si>
    <t>1-9, Female, Negative</t>
  </si>
  <si>
    <t>&lt;5, Neg</t>
  </si>
  <si>
    <t>&lt;5, Pos</t>
  </si>
  <si>
    <t>&lt;5, Total</t>
  </si>
  <si>
    <t>HTS_TST: Pediatric Services</t>
  </si>
  <si>
    <t>HTS_TST: Malnutrition</t>
  </si>
  <si>
    <t>D_hts_tst_neg_malnutrition_u15_fy19</t>
  </si>
  <si>
    <t>D_hts_tst_neg_pediatric_u15_fy19</t>
  </si>
  <si>
    <t xml:space="preserve"> Age/Sex/HIVStatus - Pos</t>
  </si>
  <si>
    <t xml:space="preserve"> Age/Sex/HIVStatus - Neg</t>
  </si>
  <si>
    <t>HTS_TST NEG</t>
  </si>
  <si>
    <t>D_hts_tst_neg_vmmc_fy19</t>
  </si>
  <si>
    <t>KeyPop/Result</t>
  </si>
  <si>
    <t>FSW, Negative</t>
  </si>
  <si>
    <t>MSM, Negative</t>
  </si>
  <si>
    <t>People in prisons and other enclosed settings, Negative</t>
  </si>
  <si>
    <t>PWID, Negative</t>
  </si>
  <si>
    <t>TG, Negative</t>
  </si>
  <si>
    <t>hts_tst_keypop_fsw_pos</t>
  </si>
  <si>
    <t>hts_tst_keypop_msm_pos</t>
  </si>
  <si>
    <t>hts_tst_keypop_prison_pos</t>
  </si>
  <si>
    <t>hts_tst_keypop_pwid_pos</t>
  </si>
  <si>
    <t>hts_tst_keypop_tg_pos</t>
  </si>
  <si>
    <t>hts_tst_keypop_fsw_neg</t>
  </si>
  <si>
    <t>hts_tst_keypop_msm_neg</t>
  </si>
  <si>
    <t>hts_tst_keypop_prison_neg</t>
  </si>
  <si>
    <t>hts_tst_keypop_pwid_neg</t>
  </si>
  <si>
    <t>hts_tst_keypop_tg_neg</t>
  </si>
  <si>
    <t>A_hts_tst_keypop_fsw_pos</t>
  </si>
  <si>
    <t>A_hts_tst_keypop_msm_pos</t>
  </si>
  <si>
    <t>A_hts_tst_keypop_prison_pos</t>
  </si>
  <si>
    <t>A_hts_tst_keypop_pwid_pos</t>
  </si>
  <si>
    <t>A_hts_tst_keypop_tg_pos</t>
  </si>
  <si>
    <t>A_hts_tst_keypop_fsw_neg</t>
  </si>
  <si>
    <t>A_hts_tst_keypop_msm_neg</t>
  </si>
  <si>
    <t>A_hts_tst_keypop_prison_neg</t>
  </si>
  <si>
    <t>A_hts_tst_keypop_pwid_neg</t>
  </si>
  <si>
    <t>A_hts_tst_keypop_tg_neg</t>
  </si>
  <si>
    <t>HTS_TST: KeyPop</t>
  </si>
  <si>
    <t>COP 18 HTS DISAGGREGATE ALLOCATION TOOL</t>
  </si>
  <si>
    <t>hts</t>
  </si>
  <si>
    <t>IndexMod</t>
  </si>
  <si>
    <t>MobileMod</t>
  </si>
  <si>
    <t>VCTMod</t>
  </si>
  <si>
    <t>OtherMod</t>
  </si>
  <si>
    <t>Index</t>
  </si>
  <si>
    <t>Inpat</t>
  </si>
  <si>
    <t>VCT</t>
  </si>
  <si>
    <t>VMMC</t>
  </si>
  <si>
    <t>TBClinic</t>
  </si>
  <si>
    <t>OtherPITC</t>
  </si>
  <si>
    <t>HTS_TST: PMTCTANC</t>
  </si>
  <si>
    <t>A_hts_tst_pmtctanc_u1_f_pos</t>
  </si>
  <si>
    <t>A_hts_tst_pmtctanc_0109_f_pos</t>
  </si>
  <si>
    <t>A_hts_tst_pmtctanc_1014_f_pos</t>
  </si>
  <si>
    <t>A_hts_tst_pmtctanc_1519_f_pos</t>
  </si>
  <si>
    <t>A_hts_tst_pmtctanc_2024_f_pos</t>
  </si>
  <si>
    <t>A_hts_tst_pmtctanc_2529_f_pos</t>
  </si>
  <si>
    <t>A_hts_tst_pmtctanc_3034_f_pos</t>
  </si>
  <si>
    <t>A_hts_tst_pmtctanc_3539_f_pos</t>
  </si>
  <si>
    <t>A_hts_tst_pmtctanc_4049_f_pos</t>
  </si>
  <si>
    <t>A_hts_tst_pmtctanc_o50_f_pos</t>
  </si>
  <si>
    <t>A_hts_tst_pmtctanc_u1_f_neg</t>
  </si>
  <si>
    <t>A_hts_tst_pmtctanc_0109_f_neg</t>
  </si>
  <si>
    <t>A_hts_tst_pmtctanc_1014_f_neg</t>
  </si>
  <si>
    <t>A_hts_tst_pmtctanc_1519_f_neg</t>
  </si>
  <si>
    <t>A_hts_tst_pmtctanc_2024_f_neg</t>
  </si>
  <si>
    <t>A_hts_tst_pmtctanc_2529_f_neg</t>
  </si>
  <si>
    <t>A_hts_tst_pmtctanc_3034_f_neg</t>
  </si>
  <si>
    <t>A_hts_tst_pmtctanc_3539_f_neg</t>
  </si>
  <si>
    <t>A_hts_tst_pmtctanc_4049_f_neg</t>
  </si>
  <si>
    <t>A_hts_tst_pmtctanc_o50_f_neg</t>
  </si>
  <si>
    <t>hts_tst_pmtctanc_u1_f_pos</t>
  </si>
  <si>
    <t>hts_tst_pmtctanc_0109_f_pos</t>
  </si>
  <si>
    <t>hts_tst_pmtctanc_1014_f_pos</t>
  </si>
  <si>
    <t>hts_tst_pmtctanc_1519_f_pos</t>
  </si>
  <si>
    <t>hts_tst_pmtctanc_2024_f_pos</t>
  </si>
  <si>
    <t>hts_tst_pmtctanc_2529_f_pos</t>
  </si>
  <si>
    <t>hts_tst_pmtctanc_3034_f_pos</t>
  </si>
  <si>
    <t>hts_tst_pmtctanc_3539_f_pos</t>
  </si>
  <si>
    <t>hts_tst_pmtctanc_4049_f_pos</t>
  </si>
  <si>
    <t>hts_tst_pmtctanc_o50_f_pos</t>
  </si>
  <si>
    <t>hts_tst_pmtctanc_u1_f_neg</t>
  </si>
  <si>
    <t>hts_tst_pmtctanc_0109_f_neg</t>
  </si>
  <si>
    <t>hts_tst_pmtctanc_1014_f_neg</t>
  </si>
  <si>
    <t>hts_tst_pmtctanc_1519_f_neg</t>
  </si>
  <si>
    <t>hts_tst_pmtctanc_2024_f_neg</t>
  </si>
  <si>
    <t>hts_tst_pmtctanc_2529_f_neg</t>
  </si>
  <si>
    <t>hts_tst_pmtctanc_3034_f_neg</t>
  </si>
  <si>
    <t>hts_tst_pmtctanc_3539_f_neg</t>
  </si>
  <si>
    <t>hts_tst_pmtctanc_4049_f_neg</t>
  </si>
  <si>
    <t>hts_tst_pmtctanc_o50_f_neg</t>
  </si>
  <si>
    <t>A_hts_tst_pmtctanc_3034_f__pos</t>
  </si>
  <si>
    <t>A_hts_tst_pmtctanc_3539_f__pos</t>
  </si>
  <si>
    <t>HTS_TST</t>
  </si>
  <si>
    <t>Modality/AgeLessThanTen/Result</t>
  </si>
  <si>
    <t>Modality/AgeAboveTen/Sex/Result</t>
  </si>
  <si>
    <t>PMTCT ANC</t>
  </si>
  <si>
    <t>FSW</t>
  </si>
  <si>
    <t>People in prisons and other enclosed settings</t>
  </si>
  <si>
    <t>MSM</t>
  </si>
  <si>
    <t>PWID</t>
  </si>
  <si>
    <t>TG</t>
  </si>
  <si>
    <t>HTS_TST KeyPop</t>
  </si>
  <si>
    <t>HTS_TST: IndexMod, &lt;15, Pos</t>
  </si>
  <si>
    <t>na</t>
  </si>
  <si>
    <t>HTS_TST: IndexMod, &lt;15, Neg</t>
  </si>
  <si>
    <t>HTS_TST: IndexMod, +15, Pos</t>
  </si>
  <si>
    <t/>
  </si>
  <si>
    <t>HTS_TST: IndexMod, +15, Neg</t>
  </si>
  <si>
    <t>HTS_TST: MobileMod, &lt;15, Pos</t>
  </si>
  <si>
    <t>HTS_TST: MobileMod, &lt;15, Neg</t>
  </si>
  <si>
    <t>HTS_TST: MobileMod, +15, Pos</t>
  </si>
  <si>
    <t>HTS_TST: MobileMod, +15, Neg</t>
  </si>
  <si>
    <t>HTS_TST: VCTMod, &lt;15, Pos</t>
  </si>
  <si>
    <t>HTS_TST: VCTMod, &lt;15, Neg</t>
  </si>
  <si>
    <t>HTS_TST: VCTMod, +15, Pos</t>
  </si>
  <si>
    <t>HTS_TST: VCTMod, +15, Neg</t>
  </si>
  <si>
    <t>HTS_TST: OtherMod, &lt;15, Pos</t>
  </si>
  <si>
    <t>HTS_TST: OtherMod, &lt;15, Neg</t>
  </si>
  <si>
    <t>HTS_TST: OtherMod, +15, Pos</t>
  </si>
  <si>
    <t>HTS_TST: OtherMod, +15, Neg</t>
  </si>
  <si>
    <t>HTS_TST: Index, &lt;15, Pos</t>
  </si>
  <si>
    <t>HTS_TST: Index, &lt;15, Neg</t>
  </si>
  <si>
    <t>HTS_TST: Index, +15, Pos</t>
  </si>
  <si>
    <t>HTS_TST: Index, +15, Neg</t>
  </si>
  <si>
    <t>HTS_TST: Inpat, &lt;15, Pos</t>
  </si>
  <si>
    <t>HTS_TST: Inpat, &lt;15, Neg</t>
  </si>
  <si>
    <t>HTS_TST: Inpat, +15, Pos</t>
  </si>
  <si>
    <t>HTS_TST: Inpat, +15, Neg</t>
  </si>
  <si>
    <t>HTS_TST: VCT, &lt;15, Pos</t>
  </si>
  <si>
    <t>HTS_TST: VCT, &lt;15, Neg</t>
  </si>
  <si>
    <t>HTS_TST: VCT, +15, Pos</t>
  </si>
  <si>
    <t>HTS_TST: VCT, +15, Neg</t>
  </si>
  <si>
    <t>HTS_TST: OtherPITC, &lt;15, Pos</t>
  </si>
  <si>
    <t>HTS_TST: OtherPITC, &lt;15, Neg</t>
  </si>
  <si>
    <t>HTS_TST: OtherPITC, +15, Pos</t>
  </si>
  <si>
    <t>HTS_TST: OtherPITC, +15, Neg</t>
  </si>
  <si>
    <t>HTS_TST: TBClinic, &lt;15, Pos</t>
  </si>
  <si>
    <t>HTS_TST: TBClinic, &lt;15, Neg</t>
  </si>
  <si>
    <t>HTS_TST: TBClinic, +15, Pos</t>
  </si>
  <si>
    <t>HTS_TST: TBClinic, +15, Neg</t>
  </si>
  <si>
    <t>HTS_TST: VMMC, &lt;15, Pos</t>
  </si>
  <si>
    <t>HTS_TST: VMMC, &lt;15, Neg</t>
  </si>
  <si>
    <t>HTS_TST: VMMC, 15+, Pos</t>
  </si>
  <si>
    <t>HTS_TST: VMMC, 15+, Neg</t>
  </si>
  <si>
    <t>HTS_TST: PMTCT ANC, &lt;15, Pos</t>
  </si>
  <si>
    <t>HTS_TST: PMTCT ANC, &lt;15, Neg</t>
  </si>
  <si>
    <t>HTS_TST: PMTCT ANC, 15+, Pos</t>
  </si>
  <si>
    <t>HTS_TST: PMTCT ANC, 15+, Neg</t>
  </si>
  <si>
    <t>KeyPop</t>
  </si>
  <si>
    <t>CHECK</t>
  </si>
  <si>
    <t>Allocation Check</t>
  </si>
  <si>
    <t>A_check1</t>
  </si>
  <si>
    <t>A_check2</t>
  </si>
  <si>
    <t>A_check3</t>
  </si>
  <si>
    <t>A_check4</t>
  </si>
  <si>
    <t xml:space="preserve"> Age/Sex/HIVStatus, Pos</t>
  </si>
  <si>
    <t xml:space="preserve"> Age/Sex/HIVStatus, Neg</t>
  </si>
  <si>
    <t xml:space="preserve"> Age/Sex/HIVStatus Pos</t>
  </si>
  <si>
    <t xml:space="preserve"> Age/Sex/HIVStatus Neg</t>
  </si>
  <si>
    <t>Paste Data Pack Values here (starting in cell C7)</t>
  </si>
  <si>
    <t>Modality/Age/Sex/Result - Pos</t>
  </si>
  <si>
    <t>Modality/Age/Sex/Result - Neg</t>
  </si>
  <si>
    <t>PMTCT ANC/Age/Result</t>
  </si>
  <si>
    <t>VMMC/Age/Result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</si>
</sst>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;;;"/>
    <numFmt numFmtId="165" formatCode="_-* #,##0.00_-;\-* #,##0.00_-;_-* &quot;-&quot;??_-;_-@_-"/>
    <numFmt numFmtId="166" formatCode="#,##0;\-#,##0;;"/>
    <numFmt numFmtId="167" formatCode="0%;\-0%;;"/>
    <numFmt numFmtId="168" formatCode="mmmm\ d"/>
    <numFmt numFmtId="169" formatCode="[Red][&lt;&gt;1]0%;[Black]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sz val="18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color theme="1"/>
      <name val="Calibri"/>
      <family val="2"/>
      <scheme val="minor"/>
    </font>
    <font>
      <sz val="10"/>
      <name val="MS Sans Serif"/>
      <family val="2"/>
    </font>
    <font>
      <sz val="11"/>
      <color rgb="FF00000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</font>
    <font>
      <b/>
      <u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</fills>
  <borders count="24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27">
    <xf numFmtId="0" fontId="0" fillId="0" borderId="0"/>
    <xf numFmtId="9" fontId="1" fillId="0" borderId="0" applyFont="0" applyFill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4" borderId="0" applyNumberFormat="0" applyBorder="0" applyAlignment="0" applyProtection="0"/>
    <xf numFmtId="0" fontId="7" fillId="8" borderId="0" applyNumberFormat="0" applyBorder="0" applyAlignment="0" applyProtection="0"/>
    <xf numFmtId="0" fontId="8" fillId="25" borderId="8" applyNumberFormat="0" applyAlignment="0" applyProtection="0"/>
    <xf numFmtId="0" fontId="9" fillId="26" borderId="9" applyNumberFormat="0" applyAlignment="0" applyProtection="0"/>
    <xf numFmtId="165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9" borderId="0" applyNumberFormat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5" fillId="0" borderId="12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/>
    <xf numFmtId="0" fontId="18" fillId="12" borderId="8" applyNumberFormat="0" applyAlignment="0" applyProtection="0"/>
    <xf numFmtId="0" fontId="19" fillId="0" borderId="13" applyNumberFormat="0" applyFill="0" applyAlignment="0" applyProtection="0"/>
    <xf numFmtId="0" fontId="20" fillId="27" borderId="0" applyNumberFormat="0" applyBorder="0" applyAlignment="0" applyProtection="0"/>
    <xf numFmtId="0" fontId="21" fillId="0" borderId="0"/>
    <xf numFmtId="0" fontId="22" fillId="0" borderId="0"/>
    <xf numFmtId="0" fontId="22" fillId="0" borderId="0"/>
    <xf numFmtId="0" fontId="21" fillId="0" borderId="0"/>
    <xf numFmtId="0" fontId="1" fillId="0" borderId="0"/>
    <xf numFmtId="0" fontId="22" fillId="0" borderId="0"/>
    <xf numFmtId="0" fontId="22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 applyNumberFormat="0" applyFont="0" applyFill="0" applyBorder="0" applyAlignment="0" applyProtection="0"/>
    <xf numFmtId="0" fontId="22" fillId="0" borderId="0"/>
    <xf numFmtId="0" fontId="10" fillId="0" borderId="0"/>
    <xf numFmtId="0" fontId="21" fillId="0" borderId="0"/>
    <xf numFmtId="0" fontId="21" fillId="0" borderId="0"/>
    <xf numFmtId="0" fontId="1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10" fillId="0" borderId="0" applyNumberFormat="0" applyFill="0" applyBorder="0" applyAlignment="0" applyProtection="0"/>
    <xf numFmtId="0" fontId="21" fillId="0" borderId="0"/>
    <xf numFmtId="0" fontId="22" fillId="0" borderId="0"/>
    <xf numFmtId="0" fontId="10" fillId="0" borderId="0"/>
    <xf numFmtId="0" fontId="22" fillId="0" borderId="0"/>
    <xf numFmtId="0" fontId="5" fillId="0" borderId="0"/>
    <xf numFmtId="0" fontId="1" fillId="0" borderId="0"/>
    <xf numFmtId="0" fontId="10" fillId="0" borderId="0"/>
    <xf numFmtId="0" fontId="22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/>
    <xf numFmtId="0" fontId="22" fillId="0" borderId="0"/>
    <xf numFmtId="0" fontId="1" fillId="0" borderId="0"/>
    <xf numFmtId="0" fontId="1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1" fillId="0" borderId="0"/>
    <xf numFmtId="0" fontId="10" fillId="0" borderId="0"/>
    <xf numFmtId="0" fontId="21" fillId="0" borderId="0"/>
    <xf numFmtId="0" fontId="10" fillId="0" borderId="0"/>
    <xf numFmtId="0" fontId="1" fillId="0" borderId="0"/>
    <xf numFmtId="0" fontId="21" fillId="0" borderId="0"/>
    <xf numFmtId="0" fontId="22" fillId="0" borderId="0"/>
    <xf numFmtId="0" fontId="1" fillId="0" borderId="0"/>
    <xf numFmtId="0" fontId="22" fillId="0" borderId="0"/>
    <xf numFmtId="0" fontId="21" fillId="0" borderId="0"/>
    <xf numFmtId="0" fontId="22" fillId="0" borderId="0"/>
    <xf numFmtId="0" fontId="22" fillId="0" borderId="0"/>
    <xf numFmtId="0" fontId="5" fillId="28" borderId="14" applyNumberFormat="0" applyFont="0" applyAlignment="0" applyProtection="0"/>
    <xf numFmtId="0" fontId="24" fillId="25" borderId="15" applyNumberFormat="0" applyAlignment="0" applyProtection="0"/>
    <xf numFmtId="9" fontId="2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6" applyNumberFormat="0" applyFill="0" applyAlignment="0" applyProtection="0"/>
    <xf numFmtId="0" fontId="27" fillId="0" borderId="0" applyNumberFormat="0" applyFill="0" applyBorder="0" applyAlignment="0" applyProtection="0"/>
    <xf numFmtId="0" fontId="29" fillId="0" borderId="0"/>
  </cellStyleXfs>
  <cellXfs count="100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2" fillId="2" borderId="0" xfId="0" applyFont="1" applyFill="1" applyAlignment="1">
      <alignment horizontal="center" wrapText="1"/>
    </xf>
    <xf numFmtId="0" fontId="2" fillId="0" borderId="0" xfId="0" applyFont="1"/>
    <xf numFmtId="0" fontId="3" fillId="0" borderId="0" xfId="0" applyFont="1" applyFill="1" applyBorder="1" applyAlignment="1">
      <alignment horizontal="center" vertical="center" wrapText="1"/>
    </xf>
    <xf numFmtId="9" fontId="3" fillId="0" borderId="0" xfId="1" applyFont="1"/>
    <xf numFmtId="0" fontId="3" fillId="0" borderId="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6" borderId="0" xfId="0" applyFont="1" applyFill="1"/>
    <xf numFmtId="0" fontId="3" fillId="6" borderId="0" xfId="0" applyFont="1" applyFill="1" applyAlignment="1">
      <alignment horizontal="center" vertical="center" wrapText="1"/>
    </xf>
    <xf numFmtId="0" fontId="0" fillId="6" borderId="0" xfId="0" applyFill="1"/>
    <xf numFmtId="164" fontId="0" fillId="0" borderId="0" xfId="0" applyNumberFormat="1"/>
    <xf numFmtId="0" fontId="0" fillId="0" borderId="0" xfId="0" applyNumberFormat="1"/>
    <xf numFmtId="0" fontId="0" fillId="0" borderId="0" xfId="0" applyFill="1"/>
    <xf numFmtId="0" fontId="2" fillId="0" borderId="0" xfId="0" applyFont="1" applyFill="1" applyAlignment="1">
      <alignment horizontal="left"/>
    </xf>
    <xf numFmtId="0" fontId="28" fillId="0" borderId="0" xfId="0" applyNumberFormat="1" applyFont="1"/>
    <xf numFmtId="20" fontId="28" fillId="0" borderId="0" xfId="0" applyNumberFormat="1" applyFont="1"/>
    <xf numFmtId="45" fontId="28" fillId="0" borderId="0" xfId="0" applyNumberFormat="1" applyFont="1"/>
    <xf numFmtId="166" fontId="3" fillId="0" borderId="0" xfId="0" applyNumberFormat="1" applyFont="1"/>
    <xf numFmtId="164" fontId="3" fillId="29" borderId="0" xfId="0" applyNumberFormat="1" applyFont="1" applyFill="1"/>
    <xf numFmtId="0" fontId="30" fillId="0" borderId="17" xfId="0" applyFont="1" applyBorder="1"/>
    <xf numFmtId="0" fontId="30" fillId="0" borderId="17" xfId="0" applyFont="1" applyBorder="1" applyAlignment="1">
      <alignment horizontal="left"/>
    </xf>
    <xf numFmtId="0" fontId="0" fillId="0" borderId="18" xfId="0" applyBorder="1"/>
    <xf numFmtId="0" fontId="0" fillId="0" borderId="19" xfId="0" applyNumberFormat="1" applyBorder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19" xfId="0" applyBorder="1" applyAlignment="1">
      <alignment horizontal="center"/>
    </xf>
    <xf numFmtId="168" fontId="0" fillId="0" borderId="19" xfId="0" applyNumberFormat="1" applyBorder="1" applyAlignment="1">
      <alignment horizontal="center"/>
    </xf>
    <xf numFmtId="0" fontId="30" fillId="0" borderId="17" xfId="0" applyFont="1" applyBorder="1" applyAlignment="1">
      <alignment horizontal="left" vertical="center"/>
    </xf>
    <xf numFmtId="0" fontId="0" fillId="0" borderId="0" xfId="0" applyBorder="1"/>
    <xf numFmtId="0" fontId="0" fillId="0" borderId="19" xfId="0" applyBorder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19" xfId="0" applyBorder="1"/>
    <xf numFmtId="0" fontId="3" fillId="0" borderId="0" xfId="0" applyFont="1" applyFill="1"/>
    <xf numFmtId="167" fontId="3" fillId="0" borderId="0" xfId="0" applyNumberFormat="1" applyFont="1" applyFill="1"/>
    <xf numFmtId="166" fontId="3" fillId="0" borderId="0" xfId="0" applyNumberFormat="1" applyFont="1" applyFill="1"/>
    <xf numFmtId="0" fontId="2" fillId="4" borderId="2" xfId="0" applyFont="1" applyFill="1" applyBorder="1" applyAlignment="1"/>
    <xf numFmtId="0" fontId="2" fillId="4" borderId="3" xfId="0" applyFont="1" applyFill="1" applyBorder="1" applyAlignment="1"/>
    <xf numFmtId="0" fontId="2" fillId="4" borderId="4" xfId="0" applyFont="1" applyFill="1" applyBorder="1" applyAlignment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3" fontId="3" fillId="0" borderId="0" xfId="0" applyNumberFormat="1" applyFont="1"/>
    <xf numFmtId="0" fontId="2" fillId="5" borderId="2" xfId="0" applyFont="1" applyFill="1" applyBorder="1" applyAlignment="1"/>
    <xf numFmtId="167" fontId="3" fillId="0" borderId="0" xfId="0" applyNumberFormat="1" applyFont="1"/>
    <xf numFmtId="0" fontId="2" fillId="5" borderId="4" xfId="0" applyFont="1" applyFill="1" applyBorder="1" applyAlignment="1"/>
    <xf numFmtId="0" fontId="2" fillId="5" borderId="3" xfId="0" applyFont="1" applyFill="1" applyBorder="1" applyAlignment="1"/>
    <xf numFmtId="0" fontId="0" fillId="0" borderId="0" xfId="0"/>
    <xf numFmtId="0" fontId="0" fillId="0" borderId="0" xfId="0"/>
    <xf numFmtId="49" fontId="2" fillId="0" borderId="0" xfId="0" applyNumberFormat="1" applyFont="1" applyFill="1" applyAlignment="1">
      <alignment horizontal="left"/>
    </xf>
    <xf numFmtId="49" fontId="0" fillId="0" borderId="0" xfId="0" applyNumberFormat="1"/>
    <xf numFmtId="0" fontId="0" fillId="0" borderId="0" xfId="0"/>
    <xf numFmtId="49" fontId="0" fillId="0" borderId="0" xfId="0" applyNumberForma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4" fillId="3" borderId="0" xfId="0" applyFont="1" applyFill="1" applyBorder="1" applyAlignment="1"/>
    <xf numFmtId="0" fontId="4" fillId="3" borderId="0" xfId="0" applyFont="1" applyFill="1" applyBorder="1" applyAlignment="1"/>
    <xf numFmtId="0" fontId="4" fillId="3" borderId="21" xfId="0" applyFont="1" applyFill="1" applyBorder="1" applyAlignment="1"/>
    <xf numFmtId="0" fontId="2" fillId="2" borderId="2" xfId="0" applyFont="1" applyFill="1" applyBorder="1" applyAlignment="1"/>
    <xf numFmtId="0" fontId="2" fillId="2" borderId="4" xfId="0" applyFont="1" applyFill="1" applyBorder="1" applyAlignment="1"/>
    <xf numFmtId="0" fontId="2" fillId="2" borderId="3" xfId="0" applyFont="1" applyFill="1" applyBorder="1" applyAlignment="1"/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1" fillId="0" borderId="0" xfId="0" applyNumberFormat="1" applyFont="1"/>
    <xf numFmtId="0" fontId="3" fillId="0" borderId="0" xfId="0" applyNumberFormat="1" applyFont="1"/>
    <xf numFmtId="164" fontId="2" fillId="0" borderId="0" xfId="0" applyNumberFormat="1" applyFont="1" applyBorder="1"/>
    <xf numFmtId="164" fontId="0" fillId="0" borderId="0" xfId="0" applyNumberFormat="1" applyBorder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9" fontId="3" fillId="4" borderId="4" xfId="1" applyFont="1" applyFill="1" applyBorder="1"/>
    <xf numFmtId="9" fontId="3" fillId="4" borderId="3" xfId="1" applyFont="1" applyFill="1" applyBorder="1"/>
    <xf numFmtId="9" fontId="2" fillId="4" borderId="2" xfId="1" applyFont="1" applyFill="1" applyBorder="1"/>
    <xf numFmtId="0" fontId="3" fillId="29" borderId="0" xfId="0" applyNumberFormat="1" applyFont="1" applyFill="1"/>
    <xf numFmtId="0" fontId="0" fillId="0" borderId="0" xfId="0" quotePrefix="1"/>
    <xf numFmtId="164" fontId="4" fillId="0" borderId="1" xfId="0" applyNumberFormat="1" applyFont="1" applyFill="1" applyBorder="1" applyAlignment="1"/>
    <xf numFmtId="164" fontId="4" fillId="0" borderId="0" xfId="0" applyNumberFormat="1" applyFont="1" applyFill="1" applyBorder="1" applyAlignment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0" xfId="0" applyFont="1" applyFill="1" applyBorder="1" applyAlignment="1"/>
    <xf numFmtId="0" fontId="2" fillId="30" borderId="4" xfId="0" applyFont="1" applyFill="1" applyBorder="1" applyAlignment="1"/>
    <xf numFmtId="0" fontId="3" fillId="30" borderId="7" xfId="0" applyFont="1" applyFill="1" applyBorder="1" applyAlignment="1">
      <alignment horizontal="center" vertical="center" wrapText="1"/>
    </xf>
    <xf numFmtId="0" fontId="2" fillId="30" borderId="22" xfId="0" applyFont="1" applyFill="1" applyBorder="1" applyAlignment="1"/>
    <xf numFmtId="0" fontId="3" fillId="30" borderId="23" xfId="0" applyFont="1" applyFill="1" applyBorder="1" applyAlignment="1">
      <alignment horizontal="center" vertical="center" wrapText="1"/>
    </xf>
    <xf numFmtId="0" fontId="2" fillId="30" borderId="2" xfId="0" applyFont="1" applyFill="1" applyBorder="1" applyAlignment="1"/>
    <xf numFmtId="0" fontId="3" fillId="30" borderId="5" xfId="0" applyFont="1" applyFill="1" applyBorder="1" applyAlignment="1">
      <alignment horizontal="center" vertical="center" wrapText="1"/>
    </xf>
    <xf numFmtId="0" fontId="2" fillId="30" borderId="3" xfId="0" applyFont="1" applyFill="1" applyBorder="1" applyAlignment="1"/>
    <xf numFmtId="0" fontId="3" fillId="30" borderId="6" xfId="0" applyFont="1" applyFill="1" applyBorder="1" applyAlignment="1">
      <alignment horizontal="center" vertical="center" wrapText="1"/>
    </xf>
    <xf numFmtId="169" fontId="3" fillId="0" borderId="0" xfId="0" applyNumberFormat="1" applyFont="1" applyFill="1"/>
    <xf numFmtId="0" fontId="0" fillId="31" borderId="0" xfId="0" applyFill="1"/>
    <xf numFmtId="0" fontId="2" fillId="2" borderId="0" xfId="0" applyFont="1" applyFill="1" applyAlignment="1">
      <alignment horizontal="center" vertical="center" wrapText="1"/>
    </xf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0" xfId="0" applyFont="1" applyFill="1" applyBorder="1" applyAlignment="1"/>
  </cellXfs>
  <cellStyles count="127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 2" xfId="29" xr:uid="{00000000-0005-0000-0000-00001B000000}"/>
    <cellStyle name="Comma 2 2" xfId="30" xr:uid="{00000000-0005-0000-0000-00001C000000}"/>
    <cellStyle name="Comma 2 2 2" xfId="31" xr:uid="{00000000-0005-0000-0000-00001D000000}"/>
    <cellStyle name="Comma 2 2 2 2" xfId="32" xr:uid="{00000000-0005-0000-0000-00001E000000}"/>
    <cellStyle name="Comma 2 2 3" xfId="33" xr:uid="{00000000-0005-0000-0000-00001F000000}"/>
    <cellStyle name="Comma 2 2 4" xfId="34" xr:uid="{00000000-0005-0000-0000-000020000000}"/>
    <cellStyle name="Comma 3" xfId="35" xr:uid="{00000000-0005-0000-0000-000021000000}"/>
    <cellStyle name="Comma 3 4" xfId="36" xr:uid="{00000000-0005-0000-0000-000022000000}"/>
    <cellStyle name="Comma 4" xfId="37" xr:uid="{00000000-0005-0000-0000-000023000000}"/>
    <cellStyle name="Comma 5" xfId="38" xr:uid="{00000000-0005-0000-0000-000024000000}"/>
    <cellStyle name="Comma 6" xfId="39" xr:uid="{00000000-0005-0000-0000-000025000000}"/>
    <cellStyle name="Comma 7" xfId="40" xr:uid="{00000000-0005-0000-0000-000026000000}"/>
    <cellStyle name="Currency 2" xfId="41" xr:uid="{00000000-0005-0000-0000-000027000000}"/>
    <cellStyle name="Currency 3" xfId="42" xr:uid="{00000000-0005-0000-0000-000028000000}"/>
    <cellStyle name="Explanatory Text 2" xfId="43" xr:uid="{00000000-0005-0000-0000-000029000000}"/>
    <cellStyle name="Good 2" xfId="44" xr:uid="{00000000-0005-0000-0000-00002A000000}"/>
    <cellStyle name="Heading 1 2" xfId="45" xr:uid="{00000000-0005-0000-0000-00002B000000}"/>
    <cellStyle name="Heading 2 2" xfId="46" xr:uid="{00000000-0005-0000-0000-00002C000000}"/>
    <cellStyle name="Heading 3 2" xfId="47" xr:uid="{00000000-0005-0000-0000-00002D000000}"/>
    <cellStyle name="Heading 4 2" xfId="48" xr:uid="{00000000-0005-0000-0000-00002E000000}"/>
    <cellStyle name="Hyperlink 2" xfId="49" xr:uid="{00000000-0005-0000-0000-00002F000000}"/>
    <cellStyle name="Hyperlink 3" xfId="50" xr:uid="{00000000-0005-0000-0000-000030000000}"/>
    <cellStyle name="Input 2" xfId="51" xr:uid="{00000000-0005-0000-0000-000031000000}"/>
    <cellStyle name="Linked Cell 2" xfId="52" xr:uid="{00000000-0005-0000-0000-000032000000}"/>
    <cellStyle name="Neutral 2" xfId="53" xr:uid="{00000000-0005-0000-0000-000033000000}"/>
    <cellStyle name="Normal" xfId="0" builtinId="0"/>
    <cellStyle name="Normal 10" xfId="54" xr:uid="{00000000-0005-0000-0000-000035000000}"/>
    <cellStyle name="Normal 10 2" xfId="55" xr:uid="{00000000-0005-0000-0000-000036000000}"/>
    <cellStyle name="Normal 10 3" xfId="56" xr:uid="{00000000-0005-0000-0000-000037000000}"/>
    <cellStyle name="Normal 11" xfId="57" xr:uid="{00000000-0005-0000-0000-000038000000}"/>
    <cellStyle name="Normal 11 2" xfId="58" xr:uid="{00000000-0005-0000-0000-000039000000}"/>
    <cellStyle name="Normal 11 2 2" xfId="59" xr:uid="{00000000-0005-0000-0000-00003A000000}"/>
    <cellStyle name="Normal 11 3" xfId="60" xr:uid="{00000000-0005-0000-0000-00003B000000}"/>
    <cellStyle name="Normal 12" xfId="61" xr:uid="{00000000-0005-0000-0000-00003C000000}"/>
    <cellStyle name="Normal 12 2" xfId="62" xr:uid="{00000000-0005-0000-0000-00003D000000}"/>
    <cellStyle name="Normal 13" xfId="63" xr:uid="{00000000-0005-0000-0000-00003E000000}"/>
    <cellStyle name="Normal 14" xfId="64" xr:uid="{00000000-0005-0000-0000-00003F000000}"/>
    <cellStyle name="Normal 14 8" xfId="65" xr:uid="{00000000-0005-0000-0000-000040000000}"/>
    <cellStyle name="Normal 15" xfId="66" xr:uid="{00000000-0005-0000-0000-000041000000}"/>
    <cellStyle name="Normal 16" xfId="67" xr:uid="{00000000-0005-0000-0000-000042000000}"/>
    <cellStyle name="Normal 17" xfId="68" xr:uid="{00000000-0005-0000-0000-000043000000}"/>
    <cellStyle name="Normal 18" xfId="69" xr:uid="{00000000-0005-0000-0000-000044000000}"/>
    <cellStyle name="Normal 19" xfId="70" xr:uid="{00000000-0005-0000-0000-000045000000}"/>
    <cellStyle name="Normal 2" xfId="71" xr:uid="{00000000-0005-0000-0000-000046000000}"/>
    <cellStyle name="Normal 2 2" xfId="72" xr:uid="{00000000-0005-0000-0000-000047000000}"/>
    <cellStyle name="Normal 2 2 2" xfId="73" xr:uid="{00000000-0005-0000-0000-000048000000}"/>
    <cellStyle name="Normal 2 2 3" xfId="74" xr:uid="{00000000-0005-0000-0000-000049000000}"/>
    <cellStyle name="Normal 2 3" xfId="75" xr:uid="{00000000-0005-0000-0000-00004A000000}"/>
    <cellStyle name="Normal 2 3 2" xfId="76" xr:uid="{00000000-0005-0000-0000-00004B000000}"/>
    <cellStyle name="Normal 2 3 3" xfId="77" xr:uid="{00000000-0005-0000-0000-00004C000000}"/>
    <cellStyle name="Normal 2 4" xfId="78" xr:uid="{00000000-0005-0000-0000-00004D000000}"/>
    <cellStyle name="Normal 2 5" xfId="79" xr:uid="{00000000-0005-0000-0000-00004E000000}"/>
    <cellStyle name="Normal 20" xfId="80" xr:uid="{00000000-0005-0000-0000-00004F000000}"/>
    <cellStyle name="Normal 21" xfId="81" xr:uid="{00000000-0005-0000-0000-000050000000}"/>
    <cellStyle name="Normal 22" xfId="82" xr:uid="{00000000-0005-0000-0000-000051000000}"/>
    <cellStyle name="Normal 22 2" xfId="83" xr:uid="{00000000-0005-0000-0000-000052000000}"/>
    <cellStyle name="Normal 22 2 2" xfId="84" xr:uid="{00000000-0005-0000-0000-000053000000}"/>
    <cellStyle name="Normal 23" xfId="85" xr:uid="{00000000-0005-0000-0000-000054000000}"/>
    <cellStyle name="Normal 24" xfId="126" xr:uid="{00000000-0005-0000-0000-000055000000}"/>
    <cellStyle name="Normal 27" xfId="86" xr:uid="{00000000-0005-0000-0000-000056000000}"/>
    <cellStyle name="Normal 3" xfId="87" xr:uid="{00000000-0005-0000-0000-000057000000}"/>
    <cellStyle name="Normal 3 2" xfId="88" xr:uid="{00000000-0005-0000-0000-000058000000}"/>
    <cellStyle name="Normal 3 2 2" xfId="89" xr:uid="{00000000-0005-0000-0000-000059000000}"/>
    <cellStyle name="Normal 3 2 2 2 2" xfId="90" xr:uid="{00000000-0005-0000-0000-00005A000000}"/>
    <cellStyle name="Normal 3 3" xfId="91" xr:uid="{00000000-0005-0000-0000-00005B000000}"/>
    <cellStyle name="Normal 3 4" xfId="92" xr:uid="{00000000-0005-0000-0000-00005C000000}"/>
    <cellStyle name="Normal 3 5" xfId="93" xr:uid="{00000000-0005-0000-0000-00005D000000}"/>
    <cellStyle name="Normal 4" xfId="94" xr:uid="{00000000-0005-0000-0000-00005E000000}"/>
    <cellStyle name="Normal 4 2" xfId="95" xr:uid="{00000000-0005-0000-0000-00005F000000}"/>
    <cellStyle name="Normal 4 3" xfId="96" xr:uid="{00000000-0005-0000-0000-000060000000}"/>
    <cellStyle name="Normal 4 9" xfId="97" xr:uid="{00000000-0005-0000-0000-000061000000}"/>
    <cellStyle name="Normal 5" xfId="98" xr:uid="{00000000-0005-0000-0000-000062000000}"/>
    <cellStyle name="Normal 5 2" xfId="99" xr:uid="{00000000-0005-0000-0000-000063000000}"/>
    <cellStyle name="Normal 5 3" xfId="100" xr:uid="{00000000-0005-0000-0000-000064000000}"/>
    <cellStyle name="Normal 5 4" xfId="101" xr:uid="{00000000-0005-0000-0000-000065000000}"/>
    <cellStyle name="Normal 5 5" xfId="102" xr:uid="{00000000-0005-0000-0000-000066000000}"/>
    <cellStyle name="Normal 5_SNU 2" xfId="103" xr:uid="{00000000-0005-0000-0000-000067000000}"/>
    <cellStyle name="Normal 6" xfId="104" xr:uid="{00000000-0005-0000-0000-000068000000}"/>
    <cellStyle name="Normal 6 2" xfId="105" xr:uid="{00000000-0005-0000-0000-000069000000}"/>
    <cellStyle name="Normal 7" xfId="106" xr:uid="{00000000-0005-0000-0000-00006A000000}"/>
    <cellStyle name="Normal 75" xfId="107" xr:uid="{00000000-0005-0000-0000-00006B000000}"/>
    <cellStyle name="Normal 78" xfId="108" xr:uid="{00000000-0005-0000-0000-00006C000000}"/>
    <cellStyle name="Normal 8" xfId="109" xr:uid="{00000000-0005-0000-0000-00006D000000}"/>
    <cellStyle name="Normal 8 2" xfId="110" xr:uid="{00000000-0005-0000-0000-00006E000000}"/>
    <cellStyle name="Normal 8 3" xfId="111" xr:uid="{00000000-0005-0000-0000-00006F000000}"/>
    <cellStyle name="Normal 8 4" xfId="112" xr:uid="{00000000-0005-0000-0000-000070000000}"/>
    <cellStyle name="Normal 9" xfId="113" xr:uid="{00000000-0005-0000-0000-000071000000}"/>
    <cellStyle name="Normal 9 2" xfId="114" xr:uid="{00000000-0005-0000-0000-000072000000}"/>
    <cellStyle name="Normal 9 3" xfId="115" xr:uid="{00000000-0005-0000-0000-000073000000}"/>
    <cellStyle name="Note 2" xfId="116" xr:uid="{00000000-0005-0000-0000-000074000000}"/>
    <cellStyle name="Output 2" xfId="117" xr:uid="{00000000-0005-0000-0000-000075000000}"/>
    <cellStyle name="Percent" xfId="1" builtinId="5"/>
    <cellStyle name="Percent 2" xfId="118" xr:uid="{00000000-0005-0000-0000-000077000000}"/>
    <cellStyle name="Percent 2 2" xfId="119" xr:uid="{00000000-0005-0000-0000-000078000000}"/>
    <cellStyle name="Percent 2 3" xfId="120" xr:uid="{00000000-0005-0000-0000-000079000000}"/>
    <cellStyle name="Percent 3" xfId="121" xr:uid="{00000000-0005-0000-0000-00007A000000}"/>
    <cellStyle name="Percent 6" xfId="122" xr:uid="{00000000-0005-0000-0000-00007B000000}"/>
    <cellStyle name="Title 2" xfId="123" xr:uid="{00000000-0005-0000-0000-00007C000000}"/>
    <cellStyle name="Total 2" xfId="124" xr:uid="{00000000-0005-0000-0000-00007D000000}"/>
    <cellStyle name="Warning Text 2" xfId="125" xr:uid="{00000000-0005-0000-0000-00007E000000}"/>
  </cellStyles>
  <dxfs count="1496"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0" formatCode="General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39994506668294322"/>
        </patternFill>
      </fill>
    </dxf>
  </dxfs>
  <tableStyles count="1" defaultTableStyle="TableStyleMedium2" defaultPivotStyle="PivotStyleLight16">
    <tableStyle name="DP Table" pivot="0" count="2" xr9:uid="{00000000-0011-0000-FFFF-FFFF00000000}">
      <tableStyleElement type="headerRow" dxfId="1495"/>
      <tableStyleElement type="secondRowStripe" dxfId="149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10</xdr:row>
      <xdr:rowOff>42944</xdr:rowOff>
    </xdr:from>
    <xdr:to>
      <xdr:col>22</xdr:col>
      <xdr:colOff>464343</xdr:colOff>
      <xdr:row>16</xdr:row>
      <xdr:rowOff>23814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33351" y="1947944"/>
          <a:ext cx="13742192" cy="1123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INTERAGENCY COLLABORATIVE FOR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216456</xdr:colOff>
      <xdr:row>22</xdr:row>
      <xdr:rowOff>2887</xdr:rowOff>
    </xdr:from>
    <xdr:to>
      <xdr:col>5</xdr:col>
      <xdr:colOff>511969</xdr:colOff>
      <xdr:row>24</xdr:row>
      <xdr:rowOff>107156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16456" y="4193887"/>
          <a:ext cx="3343513" cy="485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Design by </a:t>
          </a:r>
          <a:r>
            <a:rPr lang="en-US" sz="14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Aaron Chafetz</a:t>
          </a:r>
        </a:p>
      </xdr:txBody>
    </xdr:sp>
    <xdr:clientData/>
  </xdr:twoCellAnchor>
  <xdr:twoCellAnchor>
    <xdr:from>
      <xdr:col>0</xdr:col>
      <xdr:colOff>133350</xdr:colOff>
      <xdr:row>18</xdr:row>
      <xdr:rowOff>1988</xdr:rowOff>
    </xdr:from>
    <xdr:to>
      <xdr:col>13</xdr:col>
      <xdr:colOff>559594</xdr:colOff>
      <xdr:row>21</xdr:row>
      <xdr:rowOff>151064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33350" y="3430988"/>
          <a:ext cx="8320088" cy="720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8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DISAGG TOOL GENERATOR - HTS</a:t>
          </a:r>
          <a:endParaRPr lang="en-US" sz="1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285751</xdr:colOff>
      <xdr:row>0</xdr:row>
      <xdr:rowOff>114300</xdr:rowOff>
    </xdr:from>
    <xdr:to>
      <xdr:col>3</xdr:col>
      <xdr:colOff>72854</xdr:colOff>
      <xdr:row>10</xdr:row>
      <xdr:rowOff>147717</xdr:rowOff>
    </xdr:to>
    <xdr:pic>
      <xdr:nvPicPr>
        <xdr:cNvPr id="5" name="Picture 4" descr="https://upload.wikimedia.org/wikipedia/commons/thumb/9/99/US-PEPFAR-Logo.svg/220px-US-PEPFAR-Logo.svg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114300"/>
          <a:ext cx="1615903" cy="193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142879</xdr:colOff>
      <xdr:row>13</xdr:row>
      <xdr:rowOff>129715</xdr:rowOff>
    </xdr:from>
    <xdr:to>
      <xdr:col>22</xdr:col>
      <xdr:colOff>473871</xdr:colOff>
      <xdr:row>19</xdr:row>
      <xdr:rowOff>107142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42879" y="2606215"/>
          <a:ext cx="13742192" cy="1120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PROGRAM IMPROVEMENT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13</xdr:col>
      <xdr:colOff>523092</xdr:colOff>
      <xdr:row>19</xdr:row>
      <xdr:rowOff>151064</xdr:rowOff>
    </xdr:from>
    <xdr:to>
      <xdr:col>17</xdr:col>
      <xdr:colOff>206481</xdr:colOff>
      <xdr:row>21</xdr:row>
      <xdr:rowOff>151064</xdr:rowOff>
    </xdr:to>
    <xdr:sp macro="" textlink="POPref!D9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416936" y="3770564"/>
          <a:ext cx="211226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8545F9B9-83E4-4094-B573-F336DA0403FB}" type="TxLink">
            <a:rPr lang="en-US" sz="14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r"/>
            <a:t>Updated: February 15</a:t>
          </a:fld>
          <a:endParaRPr lang="en-US" sz="1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2</xdr:col>
      <xdr:colOff>273862</xdr:colOff>
      <xdr:row>25</xdr:row>
      <xdr:rowOff>142885</xdr:rowOff>
    </xdr:from>
    <xdr:to>
      <xdr:col>6</xdr:col>
      <xdr:colOff>202429</xdr:colOff>
      <xdr:row>32</xdr:row>
      <xdr:rowOff>166698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93062" y="4905385"/>
          <a:ext cx="2366967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333379</xdr:colOff>
      <xdr:row>24</xdr:row>
      <xdr:rowOff>166695</xdr:rowOff>
    </xdr:from>
    <xdr:to>
      <xdr:col>5</xdr:col>
      <xdr:colOff>249083</xdr:colOff>
      <xdr:row>26</xdr:row>
      <xdr:rowOff>107164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552579" y="4738695"/>
          <a:ext cx="1744504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Generate OU</a:t>
          </a:r>
          <a:r>
            <a:rPr lang="en-US" sz="1200" b="0" baseline="0">
              <a:solidFill>
                <a:schemeClr val="bg1">
                  <a:lumMod val="50000"/>
                </a:schemeClr>
              </a:solidFill>
            </a:rPr>
            <a:t> Data Packs  </a:t>
          </a:r>
          <a:endParaRPr lang="en-US" sz="12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500082</xdr:colOff>
      <xdr:row>27</xdr:row>
      <xdr:rowOff>11</xdr:rowOff>
    </xdr:from>
    <xdr:to>
      <xdr:col>5</xdr:col>
      <xdr:colOff>583426</xdr:colOff>
      <xdr:row>31</xdr:row>
      <xdr:rowOff>154792</xdr:rowOff>
    </xdr:to>
    <xdr:sp macro="[0]!loadform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719282" y="5143511"/>
          <a:ext cx="1912144" cy="916781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RUN</a:t>
          </a:r>
        </a:p>
      </xdr:txBody>
    </xdr:sp>
    <xdr:clientData/>
  </xdr:twoCellAnchor>
  <xdr:twoCellAnchor>
    <xdr:from>
      <xdr:col>6</xdr:col>
      <xdr:colOff>452468</xdr:colOff>
      <xdr:row>25</xdr:row>
      <xdr:rowOff>142878</xdr:rowOff>
    </xdr:from>
    <xdr:to>
      <xdr:col>10</xdr:col>
      <xdr:colOff>381035</xdr:colOff>
      <xdr:row>32</xdr:row>
      <xdr:rowOff>166691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10068" y="4905378"/>
          <a:ext cx="2366967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511983</xdr:colOff>
      <xdr:row>24</xdr:row>
      <xdr:rowOff>166688</xdr:rowOff>
    </xdr:from>
    <xdr:to>
      <xdr:col>10</xdr:col>
      <xdr:colOff>130999</xdr:colOff>
      <xdr:row>26</xdr:row>
      <xdr:rowOff>107157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4155296" y="4738688"/>
          <a:ext cx="2047891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Save New Version of the Tool</a:t>
          </a:r>
        </a:p>
      </xdr:txBody>
    </xdr:sp>
    <xdr:clientData/>
  </xdr:twoCellAnchor>
  <xdr:twoCellAnchor>
    <xdr:from>
      <xdr:col>7</xdr:col>
      <xdr:colOff>71470</xdr:colOff>
      <xdr:row>27</xdr:row>
      <xdr:rowOff>4</xdr:rowOff>
    </xdr:from>
    <xdr:to>
      <xdr:col>10</xdr:col>
      <xdr:colOff>154813</xdr:colOff>
      <xdr:row>31</xdr:row>
      <xdr:rowOff>154785</xdr:rowOff>
    </xdr:to>
    <xdr:sp macro="[0]!SaveNewVersion" textlink="">
      <xdr:nvSpPr>
        <xdr:cNvPr id="13" name="Rounded 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338670" y="5143504"/>
          <a:ext cx="1912143" cy="91678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SAVE</a:t>
          </a:r>
        </a:p>
      </xdr:txBody>
    </xdr:sp>
    <xdr:clientData/>
  </xdr:twoCellAnchor>
  <xdr:twoCellAnchor editAs="oneCell">
    <xdr:from>
      <xdr:col>15</xdr:col>
      <xdr:colOff>607215</xdr:colOff>
      <xdr:row>2</xdr:row>
      <xdr:rowOff>71477</xdr:rowOff>
    </xdr:from>
    <xdr:to>
      <xdr:col>20</xdr:col>
      <xdr:colOff>568521</xdr:colOff>
      <xdr:row>9</xdr:row>
      <xdr:rowOff>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15" y="452477"/>
          <a:ext cx="3009306" cy="1262063"/>
        </a:xfrm>
        <a:prstGeom prst="rect">
          <a:avLst/>
        </a:prstGeom>
      </xdr:spPr>
    </xdr:pic>
    <xdr:clientData/>
  </xdr:twoCellAnchor>
  <xdr:twoCellAnchor>
    <xdr:from>
      <xdr:col>11</xdr:col>
      <xdr:colOff>35719</xdr:colOff>
      <xdr:row>25</xdr:row>
      <xdr:rowOff>142878</xdr:rowOff>
    </xdr:from>
    <xdr:to>
      <xdr:col>14</xdr:col>
      <xdr:colOff>571504</xdr:colOff>
      <xdr:row>32</xdr:row>
      <xdr:rowOff>166691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6715125" y="4905378"/>
          <a:ext cx="2357442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95235</xdr:colOff>
      <xdr:row>24</xdr:row>
      <xdr:rowOff>166688</xdr:rowOff>
    </xdr:from>
    <xdr:to>
      <xdr:col>14</xdr:col>
      <xdr:colOff>202406</xdr:colOff>
      <xdr:row>26</xdr:row>
      <xdr:rowOff>107157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774641" y="4738688"/>
          <a:ext cx="1928828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Initial Setup (paths/folders)</a:t>
          </a:r>
        </a:p>
      </xdr:txBody>
    </xdr:sp>
    <xdr:clientData/>
  </xdr:twoCellAnchor>
  <xdr:twoCellAnchor>
    <xdr:from>
      <xdr:col>11</xdr:col>
      <xdr:colOff>261939</xdr:colOff>
      <xdr:row>27</xdr:row>
      <xdr:rowOff>4</xdr:rowOff>
    </xdr:from>
    <xdr:to>
      <xdr:col>14</xdr:col>
      <xdr:colOff>345282</xdr:colOff>
      <xdr:row>31</xdr:row>
      <xdr:rowOff>154785</xdr:rowOff>
    </xdr:to>
    <xdr:sp macro="[0]!fldrSetup" textlink="">
      <xdr:nvSpPr>
        <xdr:cNvPr id="18" name="Rounded 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941345" y="5143504"/>
          <a:ext cx="1905000" cy="91678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SETUP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1255059</xdr:colOff>
      <xdr:row>1</xdr:row>
      <xdr:rowOff>179294</xdr:rowOff>
    </xdr:from>
    <xdr:to>
      <xdr:col>4</xdr:col>
      <xdr:colOff>481293</xdr:colOff>
      <xdr:row>3</xdr:row>
      <xdr:rowOff>788894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330824" y="470647"/>
          <a:ext cx="2162175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10</xdr:row>
      <xdr:rowOff>42944</xdr:rowOff>
    </xdr:from>
    <xdr:to>
      <xdr:col>22</xdr:col>
      <xdr:colOff>464343</xdr:colOff>
      <xdr:row>16</xdr:row>
      <xdr:rowOff>23814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33351" y="1947944"/>
          <a:ext cx="13742192" cy="1123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INTERAGENCY COLLABORATIVE FOR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216456</xdr:colOff>
      <xdr:row>22</xdr:row>
      <xdr:rowOff>2887</xdr:rowOff>
    </xdr:from>
    <xdr:to>
      <xdr:col>5</xdr:col>
      <xdr:colOff>511969</xdr:colOff>
      <xdr:row>25</xdr:row>
      <xdr:rowOff>76207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216456" y="4193887"/>
          <a:ext cx="3343513" cy="644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Based on COP 16 and COP 17 Data Packs</a:t>
          </a:r>
          <a:endParaRPr lang="en-US" sz="1200" b="0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133349</xdr:colOff>
      <xdr:row>18</xdr:row>
      <xdr:rowOff>1988</xdr:rowOff>
    </xdr:from>
    <xdr:to>
      <xdr:col>22</xdr:col>
      <xdr:colOff>571499</xdr:colOff>
      <xdr:row>21</xdr:row>
      <xdr:rowOff>151064</xdr:rowOff>
    </xdr:to>
    <xdr:sp macro="" textlink="$P$1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33349" y="3430988"/>
          <a:ext cx="13796963" cy="720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3168-CB4E-4E57-9282-319FD44F553D}" type="TxLink">
            <a:rPr lang="en-US" sz="4800" b="0" i="0" u="none" strike="noStrike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/>
            <a:t>COP 18 HTS DISAGGREGATE ALLOCATION TOOL</a:t>
          </a:fld>
          <a:endParaRPr lang="en-US" sz="48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285751</xdr:colOff>
      <xdr:row>0</xdr:row>
      <xdr:rowOff>114300</xdr:rowOff>
    </xdr:from>
    <xdr:to>
      <xdr:col>3</xdr:col>
      <xdr:colOff>72854</xdr:colOff>
      <xdr:row>10</xdr:row>
      <xdr:rowOff>147717</xdr:rowOff>
    </xdr:to>
    <xdr:pic>
      <xdr:nvPicPr>
        <xdr:cNvPr id="5" name="Picture 4" descr="https://upload.wikimedia.org/wikipedia/commons/thumb/9/99/US-PEPFAR-Logo.svg/220px-US-PEPFAR-Logo.svg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114300"/>
          <a:ext cx="1615903" cy="193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142879</xdr:colOff>
      <xdr:row>13</xdr:row>
      <xdr:rowOff>129715</xdr:rowOff>
    </xdr:from>
    <xdr:to>
      <xdr:col>22</xdr:col>
      <xdr:colOff>473871</xdr:colOff>
      <xdr:row>19</xdr:row>
      <xdr:rowOff>107142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42879" y="2606215"/>
          <a:ext cx="13742192" cy="1120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PROGRAM IMPROVEMENT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18</xdr:col>
      <xdr:colOff>296870</xdr:colOff>
      <xdr:row>21</xdr:row>
      <xdr:rowOff>115339</xdr:rowOff>
    </xdr:from>
    <xdr:to>
      <xdr:col>21</xdr:col>
      <xdr:colOff>587478</xdr:colOff>
      <xdr:row>23</xdr:row>
      <xdr:rowOff>115339</xdr:rowOff>
    </xdr:to>
    <xdr:sp macro="" textlink="N1">
      <xdr:nvSpPr>
        <xdr:cNvPr id="7" name="TextBox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11226808" y="4115839"/>
          <a:ext cx="211226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95783C9C-6CB5-451A-80BA-70942DFBAB35}" type="TxLink">
            <a:rPr lang="en-US" sz="14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r"/>
            <a:t>generated: March 6</a:t>
          </a:fld>
          <a:endParaRPr lang="en-US" sz="2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381015</xdr:colOff>
      <xdr:row>23</xdr:row>
      <xdr:rowOff>169569</xdr:rowOff>
    </xdr:from>
    <xdr:to>
      <xdr:col>24</xdr:col>
      <xdr:colOff>450309</xdr:colOff>
      <xdr:row>29</xdr:row>
      <xdr:rowOff>154781</xdr:rowOff>
    </xdr:to>
    <xdr:sp macro="" textlink="$O$2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381015" y="4551069"/>
          <a:ext cx="14699694" cy="1128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20A313A-539C-4A16-9B68-38CA76DF4511}" type="TxLink">
            <a:rPr lang="en-US" sz="6600" b="1" i="0" u="none" strike="noStrike">
              <a:solidFill>
                <a:schemeClr val="accent2">
                  <a:lumMod val="75000"/>
                </a:schemeClr>
              </a:solidFill>
              <a:latin typeface="Calibri"/>
              <a:cs typeface="Helvetica" panose="020B0604020202020204" pitchFamily="34" charset="0"/>
            </a:rPr>
            <a:pPr/>
            <a:t>OU</a:t>
          </a:fld>
          <a:endParaRPr lang="en-US" sz="6600" b="1">
            <a:solidFill>
              <a:schemeClr val="accent2">
                <a:lumMod val="75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309563</xdr:colOff>
      <xdr:row>24</xdr:row>
      <xdr:rowOff>168129</xdr:rowOff>
    </xdr:from>
    <xdr:to>
      <xdr:col>0</xdr:col>
      <xdr:colOff>401003</xdr:colOff>
      <xdr:row>28</xdr:row>
      <xdr:rowOff>156222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309563" y="4740129"/>
          <a:ext cx="91440" cy="750093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309568</xdr:colOff>
      <xdr:row>38</xdr:row>
      <xdr:rowOff>11941</xdr:rowOff>
    </xdr:from>
    <xdr:to>
      <xdr:col>20</xdr:col>
      <xdr:colOff>602548</xdr:colOff>
      <xdr:row>39</xdr:row>
      <xdr:rowOff>168927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1891968" y="7250941"/>
          <a:ext cx="902580" cy="347486"/>
        </a:xfrm>
        <a:prstGeom prst="rect">
          <a:avLst/>
        </a:prstGeom>
      </xdr:spPr>
    </xdr:pic>
    <xdr:clientData/>
  </xdr:twoCellAnchor>
  <xdr:twoCellAnchor>
    <xdr:from>
      <xdr:col>0</xdr:col>
      <xdr:colOff>216695</xdr:colOff>
      <xdr:row>22</xdr:row>
      <xdr:rowOff>181480</xdr:rowOff>
    </xdr:from>
    <xdr:to>
      <xdr:col>9</xdr:col>
      <xdr:colOff>392906</xdr:colOff>
      <xdr:row>24</xdr:row>
      <xdr:rowOff>181480</xdr:rowOff>
    </xdr:to>
    <xdr:sp macro="" textlink="N2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16695" y="4372480"/>
          <a:ext cx="5662611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2839D521-053A-46A7-A6D3-15A136DCE460}" type="TxLink">
            <a:rPr lang="en-US" sz="12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l"/>
            <a:t>Data Sources:  ICPI Fact View FY17Q4v2_1 [PSNU, PSNU by IM]</a:t>
          </a:fld>
          <a:endParaRPr lang="en-US" sz="12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16371</xdr:colOff>
      <xdr:row>2</xdr:row>
      <xdr:rowOff>71437</xdr:rowOff>
    </xdr:from>
    <xdr:to>
      <xdr:col>20</xdr:col>
      <xdr:colOff>584896</xdr:colOff>
      <xdr:row>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971" y="452437"/>
          <a:ext cx="3006925" cy="1262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1152525</xdr:colOff>
      <xdr:row>2</xdr:row>
      <xdr:rowOff>923926</xdr:rowOff>
    </xdr:from>
    <xdr:to>
      <xdr:col>3</xdr:col>
      <xdr:colOff>428626</xdr:colOff>
      <xdr:row>5</xdr:row>
      <xdr:rowOff>104776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2933700" y="1409701"/>
          <a:ext cx="742951" cy="895350"/>
        </a:xfrm>
        <a:prstGeom prst="straightConnector1">
          <a:avLst/>
        </a:prstGeom>
        <a:ln w="19050">
          <a:solidFill>
            <a:schemeClr val="bg1">
              <a:lumMod val="8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</xdr:row>
      <xdr:rowOff>676276</xdr:rowOff>
    </xdr:from>
    <xdr:to>
      <xdr:col>1</xdr:col>
      <xdr:colOff>400050</xdr:colOff>
      <xdr:row>4</xdr:row>
      <xdr:rowOff>158116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CxnSpPr/>
      </xdr:nvCxnSpPr>
      <xdr:spPr>
        <a:xfrm>
          <a:off x="1285875" y="1162051"/>
          <a:ext cx="0" cy="1005840"/>
        </a:xfrm>
        <a:prstGeom prst="straightConnector1">
          <a:avLst/>
        </a:prstGeom>
        <a:ln w="19050">
          <a:solidFill>
            <a:schemeClr val="bg1">
              <a:lumMod val="8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133350</xdr:colOff>
      <xdr:row>2</xdr:row>
      <xdr:rowOff>409574</xdr:rowOff>
    </xdr:from>
    <xdr:to>
      <xdr:col>2</xdr:col>
      <xdr:colOff>1400175</xdr:colOff>
      <xdr:row>2</xdr:row>
      <xdr:rowOff>1000125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019175" y="895349"/>
          <a:ext cx="2162175" cy="590551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u="none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Do not adjust this row. This</a:t>
          </a:r>
          <a:r>
            <a:rPr lang="en-US" sz="1100" b="0" u="none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forms the basis of the DP Target lookups on the indicator tabs.</a:t>
          </a:r>
          <a:endParaRPr lang="en-US" sz="1100" b="0" u="none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  <xdr:twoCellAnchor editAs="absolute">
    <xdr:from>
      <xdr:col>3</xdr:col>
      <xdr:colOff>28575</xdr:colOff>
      <xdr:row>1</xdr:row>
      <xdr:rowOff>57150</xdr:rowOff>
    </xdr:from>
    <xdr:to>
      <xdr:col>5</xdr:col>
      <xdr:colOff>0</xdr:colOff>
      <xdr:row>2</xdr:row>
      <xdr:rowOff>1000125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3276600" y="352425"/>
          <a:ext cx="2162175" cy="1133475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Values from the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Data Pack's Allocation by SNUxIM tab should be copied and pasted below the gray bar in row 6 - Copy and Paste as Values.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3</xdr:row>
      <xdr:rowOff>0</xdr:rowOff>
    </xdr:from>
    <xdr:to>
      <xdr:col>4</xdr:col>
      <xdr:colOff>690363</xdr:colOff>
      <xdr:row>3</xdr:row>
      <xdr:rowOff>990600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544536" y="666750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537882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2543735" y="481853"/>
          <a:ext cx="2159934" cy="72838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Targets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already completed in Data Pack. No further work required.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537882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2543735" y="481853"/>
          <a:ext cx="2159934" cy="72838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Targets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already completed in Data Pack. No further work required.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811306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809625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emp_T" displayName="temp_T" ref="C6:CI7" totalsRowShown="0" headerRowDxfId="1492" dataDxfId="1491">
  <autoFilter ref="C6:CI7" xr:uid="{00000000-0009-0000-0100-000006000000}"/>
  <tableColumns count="85">
    <tableColumn id="1" xr3:uid="{00000000-0010-0000-0000-000001000000}" name="psnu" dataDxfId="1490"/>
    <tableColumn id="46" xr3:uid="{00000000-0010-0000-0000-00002E000000}" name="psnuuid" dataDxfId="1489"/>
    <tableColumn id="2" xr3:uid="{00000000-0010-0000-0000-000002000000}" name="priority" dataDxfId="1488"/>
    <tableColumn id="27" xr3:uid="{00000000-0010-0000-0000-00001B000000}" name="mechid" dataDxfId="1487"/>
    <tableColumn id="45" xr3:uid="{00000000-0010-0000-0000-00002D000000}" name="mechname" dataDxfId="1486"/>
    <tableColumn id="4" xr3:uid="{00000000-0010-0000-0000-000004000000}" name="type" dataDxfId="1485"/>
    <tableColumn id="47" xr3:uid="{00000000-0010-0000-0000-00002F000000}" name="psnu_type" dataDxfId="1484"/>
    <tableColumn id="48" xr3:uid="{00000000-0010-0000-0000-000030000000}" name="A_u1_unk_pos" dataDxfId="1483"/>
    <tableColumn id="50" xr3:uid="{00000000-0010-0000-0000-000032000000}" name="A_0109_unk_pos" dataDxfId="1482"/>
    <tableColumn id="51" xr3:uid="{00000000-0010-0000-0000-000033000000}" name="A_1014_f_pos" dataDxfId="1481"/>
    <tableColumn id="55" xr3:uid="{00000000-0010-0000-0000-000037000000}" name="A_1014_m_pos" dataDxfId="1480"/>
    <tableColumn id="75" xr3:uid="{00000000-0010-0000-0000-00004B000000}" name="A_u1_unk_neg" dataDxfId="1479"/>
    <tableColumn id="76" xr3:uid="{00000000-0010-0000-0000-00004C000000}" name="A_0109_unk_neg" dataDxfId="1478"/>
    <tableColumn id="77" xr3:uid="{00000000-0010-0000-0000-00004D000000}" name="A_1014_f_neg" dataDxfId="1477"/>
    <tableColumn id="78" xr3:uid="{00000000-0010-0000-0000-00004E000000}" name="A_1014_m_neg" dataDxfId="1476"/>
    <tableColumn id="79" xr3:uid="{00000000-0010-0000-0000-00004F000000}" name="A_1519_f_pos" dataDxfId="1475"/>
    <tableColumn id="80" xr3:uid="{00000000-0010-0000-0000-000050000000}" name="A_1519_m_pos" dataDxfId="1474"/>
    <tableColumn id="81" xr3:uid="{00000000-0010-0000-0000-000051000000}" name="A_2024_f_pos" dataDxfId="1473"/>
    <tableColumn id="82" xr3:uid="{00000000-0010-0000-0000-000052000000}" name="A_2024_m_pos" dataDxfId="1472"/>
    <tableColumn id="83" xr3:uid="{00000000-0010-0000-0000-000053000000}" name="A_2529_f_pos" dataDxfId="1471"/>
    <tableColumn id="84" xr3:uid="{00000000-0010-0000-0000-000054000000}" name="A_2529_m_pos" dataDxfId="1470"/>
    <tableColumn id="85" xr3:uid="{00000000-0010-0000-0000-000055000000}" name="A_3034_f_pos" dataDxfId="1469"/>
    <tableColumn id="86" xr3:uid="{00000000-0010-0000-0000-000056000000}" name="A_3034_m__pos" dataDxfId="1468"/>
    <tableColumn id="87" xr3:uid="{00000000-0010-0000-0000-000057000000}" name="A_3539_f_pos" dataDxfId="1467"/>
    <tableColumn id="88" xr3:uid="{00000000-0010-0000-0000-000058000000}" name="A_3539_m__pos" dataDxfId="1466"/>
    <tableColumn id="89" xr3:uid="{00000000-0010-0000-0000-000059000000}" name="A_4049_f_pos" dataDxfId="1465"/>
    <tableColumn id="90" xr3:uid="{00000000-0010-0000-0000-00005A000000}" name="A_4049_m_pos" dataDxfId="1464"/>
    <tableColumn id="91" xr3:uid="{00000000-0010-0000-0000-00005B000000}" name="A_o50_f_pos" dataDxfId="1463"/>
    <tableColumn id="92" xr3:uid="{00000000-0010-0000-0000-00005C000000}" name="A_o50_m_pos" dataDxfId="1462"/>
    <tableColumn id="56" xr3:uid="{00000000-0010-0000-0000-000038000000}" name="A_1519_f_neg" dataDxfId="1461"/>
    <tableColumn id="57" xr3:uid="{00000000-0010-0000-0000-000039000000}" name="A_1519_m_neg" dataDxfId="1460"/>
    <tableColumn id="58" xr3:uid="{00000000-0010-0000-0000-00003A000000}" name="A_2024_f_neg" dataDxfId="1459"/>
    <tableColumn id="59" xr3:uid="{00000000-0010-0000-0000-00003B000000}" name="A_2024_m_neg" dataDxfId="1458"/>
    <tableColumn id="60" xr3:uid="{00000000-0010-0000-0000-00003C000000}" name="A_2529_f_neg" dataDxfId="1457"/>
    <tableColumn id="61" xr3:uid="{00000000-0010-0000-0000-00003D000000}" name="A_2529_m_neg" dataDxfId="1456"/>
    <tableColumn id="62" xr3:uid="{00000000-0010-0000-0000-00003E000000}" name="A_3034_f_neg" dataDxfId="1455"/>
    <tableColumn id="63" xr3:uid="{00000000-0010-0000-0000-00003F000000}" name="A_3034_m_neg" dataDxfId="1454"/>
    <tableColumn id="64" xr3:uid="{00000000-0010-0000-0000-000040000000}" name="A_3539_f_neg" dataDxfId="1453"/>
    <tableColumn id="65" xr3:uid="{00000000-0010-0000-0000-000041000000}" name="A_3539_m_neg" dataDxfId="1452"/>
    <tableColumn id="66" xr3:uid="{00000000-0010-0000-0000-000042000000}" name="A_4049_f_neg" dataDxfId="1451"/>
    <tableColumn id="67" xr3:uid="{00000000-0010-0000-0000-000043000000}" name="A_4049_m_neg" dataDxfId="1450"/>
    <tableColumn id="68" xr3:uid="{00000000-0010-0000-0000-000044000000}" name="A_o50_f_neg" dataDxfId="1449"/>
    <tableColumn id="69" xr3:uid="{00000000-0010-0000-0000-000045000000}" name="A_o50_m_neg" dataDxfId="1448"/>
    <tableColumn id="25" xr3:uid="{00000000-0010-0000-0000-000019000000}" name="D_hts_tst_u15_fy19" dataDxfId="1447"/>
    <tableColumn id="70" xr3:uid="{00000000-0010-0000-0000-000046000000}" name="D_hts_tst_o15_fy19" dataDxfId="1446"/>
    <tableColumn id="71" xr3:uid="{00000000-0010-0000-0000-000047000000}" name="D_hts_tst_pos_u15_fy19" dataDxfId="1445"/>
    <tableColumn id="72" xr3:uid="{00000000-0010-0000-0000-000048000000}" name="D_hts_tst_pos_o15_fy19" dataDxfId="1444"/>
    <tableColumn id="73" xr3:uid="{00000000-0010-0000-0000-000049000000}" name="D_hts_tst_neg_u15_fy19" dataDxfId="1443"/>
    <tableColumn id="74" xr3:uid="{00000000-0010-0000-0000-00004A000000}" name="D_hts_tst_neg_o15_fy19" dataDxfId="1442"/>
    <tableColumn id="5" xr3:uid="{00000000-0010-0000-0000-000005000000}" name="u1_unk_pos" dataDxfId="1441">
      <calculatedColumnFormula>temp_T[[D_hts_tst_o15_fy19]:[D_hts_tst_o15_fy19]]*temp_T[A_u1_unk_pos]</calculatedColumnFormula>
    </tableColumn>
    <tableColumn id="6" xr3:uid="{00000000-0010-0000-0000-000006000000}" name="0109_unk_pos" dataDxfId="1440">
      <calculatedColumnFormula>temp_T[[D_hts_tst_o15_fy19]:[D_hts_tst_o15_fy19]]*temp_T[A_0109_unk_pos]</calculatedColumnFormula>
    </tableColumn>
    <tableColumn id="22" xr3:uid="{00000000-0010-0000-0000-000016000000}" name="1014_f_pos" dataDxfId="1439">
      <calculatedColumnFormula>temp_T[[D_hts_tst_o15_fy19]:[D_hts_tst_o15_fy19]]*temp_T[A_1014_f_pos]</calculatedColumnFormula>
    </tableColumn>
    <tableColumn id="7" xr3:uid="{00000000-0010-0000-0000-000007000000}" name="1014_m_pos" dataDxfId="1438">
      <calculatedColumnFormula>temp_T[[D_hts_tst_o15_fy19]:[D_hts_tst_o15_fy19]]*temp_T[A_1014_m_pos]</calculatedColumnFormula>
    </tableColumn>
    <tableColumn id="8" xr3:uid="{00000000-0010-0000-0000-000008000000}" name="u1_unk_neg" dataDxfId="1437">
      <calculatedColumnFormula>temp_T[[D_hts_tst_pos_u15_fy19]:[D_hts_tst_pos_u15_fy19]]*temp_T[A_u1_unk_neg]</calculatedColumnFormula>
    </tableColumn>
    <tableColumn id="9" xr3:uid="{00000000-0010-0000-0000-000009000000}" name="0109_unk_neg" dataDxfId="1436">
      <calculatedColumnFormula>temp_T[[D_hts_tst_pos_u15_fy19]:[D_hts_tst_pos_u15_fy19]]*temp_T[A_0109_unk_neg]</calculatedColumnFormula>
    </tableColumn>
    <tableColumn id="10" xr3:uid="{00000000-0010-0000-0000-00000A000000}" name="1014_f_neg" dataDxfId="1435">
      <calculatedColumnFormula>temp_T[[D_hts_tst_pos_u15_fy19]:[D_hts_tst_pos_u15_fy19]]*temp_T[A_1014_f_neg]</calculatedColumnFormula>
    </tableColumn>
    <tableColumn id="11" xr3:uid="{00000000-0010-0000-0000-00000B000000}" name="1014_m_neg" dataDxfId="1434">
      <calculatedColumnFormula>temp_T[[D_hts_tst_pos_u15_fy19]:[D_hts_tst_pos_u15_fy19]]*temp_T[A_1014_m_neg]</calculatedColumnFormula>
    </tableColumn>
    <tableColumn id="12" xr3:uid="{00000000-0010-0000-0000-00000C000000}" name="1519_f_pos" dataDxfId="1433">
      <calculatedColumnFormula>temp_T[[D_hts_tst_neg_u15_fy19]:[D_hts_tst_neg_u15_fy19]]*temp_T[A_1519_f_pos]</calculatedColumnFormula>
    </tableColumn>
    <tableColumn id="13" xr3:uid="{00000000-0010-0000-0000-00000D000000}" name="1519_m_pos" dataDxfId="1432">
      <calculatedColumnFormula>temp_T[[D_hts_tst_neg_u15_fy19]:[D_hts_tst_neg_u15_fy19]]*temp_T[A_1519_m_pos]</calculatedColumnFormula>
    </tableColumn>
    <tableColumn id="54" xr3:uid="{00000000-0010-0000-0000-000036000000}" name="2024_f_pos" dataDxfId="1431">
      <calculatedColumnFormula>temp_T[[D_hts_tst_neg_u15_fy19]:[D_hts_tst_neg_u15_fy19]]*temp_T[A_2024_f_pos]</calculatedColumnFormula>
    </tableColumn>
    <tableColumn id="14" xr3:uid="{00000000-0010-0000-0000-00000E000000}" name="2024_m_pos" dataDxfId="1430">
      <calculatedColumnFormula>temp_T[[D_hts_tst_neg_u15_fy19]:[D_hts_tst_neg_u15_fy19]]*temp_T[A_2024_m_pos]</calculatedColumnFormula>
    </tableColumn>
    <tableColumn id="15" xr3:uid="{00000000-0010-0000-0000-00000F000000}" name="2529_f_pos" dataDxfId="1429">
      <calculatedColumnFormula>temp_T[[D_hts_tst_neg_u15_fy19]:[D_hts_tst_neg_u15_fy19]]*temp_T[A_2529_f_pos]</calculatedColumnFormula>
    </tableColumn>
    <tableColumn id="16" xr3:uid="{00000000-0010-0000-0000-000010000000}" name="2529_m_pos" dataDxfId="1428">
      <calculatedColumnFormula>temp_T[[D_hts_tst_neg_u15_fy19]:[D_hts_tst_neg_u15_fy19]]*temp_T[A_2529_m_pos]</calculatedColumnFormula>
    </tableColumn>
    <tableColumn id="17" xr3:uid="{00000000-0010-0000-0000-000011000000}" name="3034_f_pos" dataDxfId="1427">
      <calculatedColumnFormula>temp_T[[D_hts_tst_neg_u15_fy19]:[D_hts_tst_neg_u15_fy19]]*temp_T[A_3034_f_pos]</calculatedColumnFormula>
    </tableColumn>
    <tableColumn id="18" xr3:uid="{00000000-0010-0000-0000-000012000000}" name="3034_m_pos" dataDxfId="1426">
      <calculatedColumnFormula>temp_T[[D_hts_tst_neg_u15_fy19]:[D_hts_tst_neg_u15_fy19]]*temp_T[A_3034_m__pos]</calculatedColumnFormula>
    </tableColumn>
    <tableColumn id="19" xr3:uid="{00000000-0010-0000-0000-000013000000}" name="3539_f_pos" dataDxfId="1425">
      <calculatedColumnFormula>temp_T[[D_hts_tst_neg_u15_fy19]:[D_hts_tst_neg_u15_fy19]]*temp_T[A_3539_f_pos]</calculatedColumnFormula>
    </tableColumn>
    <tableColumn id="20" xr3:uid="{00000000-0010-0000-0000-000014000000}" name="3539_m_pos" dataDxfId="1424">
      <calculatedColumnFormula>temp_T[[D_hts_tst_neg_u15_fy19]:[D_hts_tst_neg_u15_fy19]]*temp_T[A_3539_m__pos]</calculatedColumnFormula>
    </tableColumn>
    <tableColumn id="21" xr3:uid="{00000000-0010-0000-0000-000015000000}" name="4049_f_pos" dataDxfId="1423">
      <calculatedColumnFormula>temp_T[[D_hts_tst_neg_u15_fy19]:[D_hts_tst_neg_u15_fy19]]*temp_T[A_4049_f_pos]</calculatedColumnFormula>
    </tableColumn>
    <tableColumn id="26" xr3:uid="{00000000-0010-0000-0000-00001A000000}" name="4049_m_pos" dataDxfId="1422">
      <calculatedColumnFormula>temp_T[[D_hts_tst_neg_u15_fy19]:[D_hts_tst_neg_u15_fy19]]*temp_T[A_4049_m_pos]</calculatedColumnFormula>
    </tableColumn>
    <tableColumn id="28" xr3:uid="{00000000-0010-0000-0000-00001C000000}" name="o50_f_pos" dataDxfId="1421">
      <calculatedColumnFormula>temp_T[[D_hts_tst_neg_u15_fy19]:[D_hts_tst_neg_u15_fy19]]*temp_T[A_o50_f_pos]</calculatedColumnFormula>
    </tableColumn>
    <tableColumn id="29" xr3:uid="{00000000-0010-0000-0000-00001D000000}" name="o50_m_pos" dataDxfId="1420">
      <calculatedColumnFormula>temp_T[[D_hts_tst_neg_u15_fy19]:[D_hts_tst_neg_u15_fy19]]*temp_T[A_o50_m_pos]</calculatedColumnFormula>
    </tableColumn>
    <tableColumn id="30" xr3:uid="{00000000-0010-0000-0000-00001E000000}" name="1519_f_neg" dataDxfId="1419">
      <calculatedColumnFormula>temp_T[[D_hts_tst_neg_o15_fy19]:[D_hts_tst_neg_o15_fy19]]*temp_T[A_1519_f_neg]</calculatedColumnFormula>
    </tableColumn>
    <tableColumn id="52" xr3:uid="{00000000-0010-0000-0000-000034000000}" name="1519_m_neg" dataDxfId="1418">
      <calculatedColumnFormula>temp_T[[D_hts_tst_neg_o15_fy19]:[D_hts_tst_neg_o15_fy19]]*temp_T[A_1519_m_neg]</calculatedColumnFormula>
    </tableColumn>
    <tableColumn id="31" xr3:uid="{00000000-0010-0000-0000-00001F000000}" name="2024_f_neg" dataDxfId="1417">
      <calculatedColumnFormula>temp_T[[D_hts_tst_neg_o15_fy19]:[D_hts_tst_neg_o15_fy19]]*temp_T[A_2024_f_neg]</calculatedColumnFormula>
    </tableColumn>
    <tableColumn id="32" xr3:uid="{00000000-0010-0000-0000-000020000000}" name="2024_m_neg" dataDxfId="1416">
      <calculatedColumnFormula>temp_T[[D_hts_tst_neg_o15_fy19]:[D_hts_tst_neg_o15_fy19]]*temp_T[A_2024_m_neg]</calculatedColumnFormula>
    </tableColumn>
    <tableColumn id="33" xr3:uid="{00000000-0010-0000-0000-000021000000}" name="2529_f_neg" dataDxfId="1415">
      <calculatedColumnFormula>temp_T[[D_hts_tst_neg_o15_fy19]:[D_hts_tst_neg_o15_fy19]]*temp_T[A_2529_f_neg]</calculatedColumnFormula>
    </tableColumn>
    <tableColumn id="34" xr3:uid="{00000000-0010-0000-0000-000022000000}" name="2529_m_neg" dataDxfId="1414">
      <calculatedColumnFormula>temp_T[[D_hts_tst_neg_o15_fy19]:[D_hts_tst_neg_o15_fy19]]*temp_T[A_2529_m_neg]</calculatedColumnFormula>
    </tableColumn>
    <tableColumn id="35" xr3:uid="{00000000-0010-0000-0000-000023000000}" name="3034_f_neg" dataDxfId="1413">
      <calculatedColumnFormula>temp_T[[D_hts_tst_neg_o15_fy19]:[D_hts_tst_neg_o15_fy19]]*temp_T[A_3034_f_neg]</calculatedColumnFormula>
    </tableColumn>
    <tableColumn id="36" xr3:uid="{00000000-0010-0000-0000-000024000000}" name="3034_m_neg" dataDxfId="1412">
      <calculatedColumnFormula>temp_T[[D_hts_tst_neg_o15_fy19]:[D_hts_tst_neg_o15_fy19]]*temp_T[A_3034_m_neg]</calculatedColumnFormula>
    </tableColumn>
    <tableColumn id="53" xr3:uid="{00000000-0010-0000-0000-000035000000}" name="3539_f_neg" dataDxfId="1411">
      <calculatedColumnFormula>temp_T[[D_hts_tst_neg_o15_fy19]:[D_hts_tst_neg_o15_fy19]]*temp_T[A_3539_f_neg]</calculatedColumnFormula>
    </tableColumn>
    <tableColumn id="37" xr3:uid="{00000000-0010-0000-0000-000025000000}" name="3539_m_neg" dataDxfId="1410">
      <calculatedColumnFormula>temp_T[[D_hts_tst_neg_o15_fy19]:[D_hts_tst_neg_o15_fy19]]*temp_T[A_3539_m_neg]</calculatedColumnFormula>
    </tableColumn>
    <tableColumn id="38" xr3:uid="{00000000-0010-0000-0000-000026000000}" name="4049_f_neg" dataDxfId="1409">
      <calculatedColumnFormula>temp_T[[D_hts_tst_neg_o15_fy19]:[D_hts_tst_neg_o15_fy19]]*temp_T[A_4049_f_neg]</calculatedColumnFormula>
    </tableColumn>
    <tableColumn id="39" xr3:uid="{00000000-0010-0000-0000-000027000000}" name="4049_m_neg" dataDxfId="1408">
      <calculatedColumnFormula>temp_T[[D_hts_tst_neg_o15_fy19]:[D_hts_tst_neg_o15_fy19]]*temp_T[A_4049_m_neg]</calculatedColumnFormula>
    </tableColumn>
    <tableColumn id="40" xr3:uid="{00000000-0010-0000-0000-000028000000}" name="o50_f_neg" dataDxfId="1407">
      <calculatedColumnFormula>temp_T[[D_hts_tst_neg_o15_fy19]:[D_hts_tst_neg_o15_fy19]]*temp_T[A_o50_f_neg]</calculatedColumnFormula>
    </tableColumn>
    <tableColumn id="41" xr3:uid="{00000000-0010-0000-0000-000029000000}" name="o50_m_neg" dataDxfId="1406">
      <calculatedColumnFormula>temp_T[[D_hts_tst_neg_o15_fy19]:[D_hts_tst_neg_o15_fy19]]*temp_T[A_o50_m_neg]</calculatedColumnFormula>
    </tableColumn>
  </tableColumns>
  <tableStyleInfo name="DP Ta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rgets" displayName="targets" ref="B6:HX7" totalsRowShown="0" headerRowDxfId="1405" dataDxfId="1404">
  <autoFilter ref="B6:HX7" xr:uid="{00000000-0009-0000-0100-000002000000}"/>
  <tableColumns count="231">
    <tableColumn id="225" xr3:uid="{00000000-0010-0000-0100-0000E1000000}" name="psnu_type_mechid" dataDxfId="1403">
      <calculatedColumnFormula>targets[Dsnulist]&amp;" "&amp;targets[D_indicatortype]&amp;" "&amp;targets[D_mechanismid]</calculatedColumnFormula>
    </tableColumn>
    <tableColumn id="1" xr3:uid="{00000000-0010-0000-0100-000001000000}" name="Dsnulist" dataDxfId="1402"/>
    <tableColumn id="2" xr3:uid="{00000000-0010-0000-0100-000002000000}" name="D_priority" dataDxfId="1401"/>
    <tableColumn id="3" xr3:uid="{00000000-0010-0000-0100-000003000000}" name="D_mechanismid" dataDxfId="1400"/>
    <tableColumn id="4" xr3:uid="{00000000-0010-0000-0100-000004000000}" name="D_indicatortype" dataDxfId="1399"/>
    <tableColumn id="5" xr3:uid="{00000000-0010-0000-0100-000005000000}" name="D_tx_ret_D_pct" dataDxfId="1398"/>
    <tableColumn id="229" xr3:uid="{00000000-0010-0000-0100-0000E5000000}" name="D_tx_ret_u15_D_pct" dataDxfId="1397"/>
    <tableColumn id="6" xr3:uid="{00000000-0010-0000-0100-000006000000}" name="D_tx_ret_pct" dataDxfId="1396"/>
    <tableColumn id="230" xr3:uid="{00000000-0010-0000-0100-0000E6000000}" name="D_tx_ret_u15_pct" dataDxfId="1395"/>
    <tableColumn id="22" xr3:uid="{00000000-0010-0000-0100-000016000000}" name="D_tx_new_pct" dataDxfId="1394"/>
    <tableColumn id="231" xr3:uid="{00000000-0010-0000-0100-0000E7000000}" name="D_tx_new_u15_pct" dataDxfId="1393"/>
    <tableColumn id="7" xr3:uid="{00000000-0010-0000-0100-000007000000}" name="D_tx_curr_pct" dataDxfId="1392"/>
    <tableColumn id="232" xr3:uid="{00000000-0010-0000-0100-0000E8000000}" name="D_tx_curr_u15_pct" dataDxfId="1391"/>
    <tableColumn id="8" xr3:uid="{00000000-0010-0000-0100-000008000000}" name="D_tx_pvls_D_pct" dataDxfId="1390"/>
    <tableColumn id="9" xr3:uid="{00000000-0010-0000-0100-000009000000}" name="D_pmtct_stat_D_pct" dataDxfId="1389"/>
    <tableColumn id="10" xr3:uid="{00000000-0010-0000-0100-00000A000000}" name="D_pmtct_stat_pct" dataDxfId="1388"/>
    <tableColumn id="11" xr3:uid="{00000000-0010-0000-0100-00000B000000}" name="D_pmtct_stat_newpos_pct" dataDxfId="1387"/>
    <tableColumn id="12" xr3:uid="{00000000-0010-0000-0100-00000C000000}" name="D_pmtct_stat_newneg_pct" dataDxfId="1386"/>
    <tableColumn id="13" xr3:uid="{00000000-0010-0000-0100-00000D000000}" name="D_pmtct_stat_known_pct" dataDxfId="1385"/>
    <tableColumn id="54" xr3:uid="{00000000-0010-0000-0100-000036000000}" name="D_pmtct_art_pct" dataDxfId="1384"/>
    <tableColumn id="14" xr3:uid="{00000000-0010-0000-0100-00000E000000}" name="D_pmtct_art_new_pct" dataDxfId="1383"/>
    <tableColumn id="15" xr3:uid="{00000000-0010-0000-0100-00000F000000}" name="D_pmtct_art_already_pct" dataDxfId="1382"/>
    <tableColumn id="16" xr3:uid="{00000000-0010-0000-0100-000010000000}" name="D_pmtct_eid_pct" dataDxfId="1381"/>
    <tableColumn id="17" xr3:uid="{00000000-0010-0000-0100-000011000000}" name="D_pmtct_eid_u2mo_pct" dataDxfId="1380"/>
    <tableColumn id="18" xr3:uid="{00000000-0010-0000-0100-000012000000}" name="D_pmtct_eid_o2mo_pct" dataDxfId="1379"/>
    <tableColumn id="19" xr3:uid="{00000000-0010-0000-0100-000013000000}" name="D_tb_stat_D_pct" dataDxfId="1378"/>
    <tableColumn id="20" xr3:uid="{00000000-0010-0000-0100-000014000000}" name="D_tb_stat_pct" dataDxfId="1377"/>
    <tableColumn id="21" xr3:uid="{00000000-0010-0000-0100-000015000000}" name="D_tb_stat_newpos_pct" dataDxfId="1376"/>
    <tableColumn id="26" xr3:uid="{00000000-0010-0000-0100-00001A000000}" name="D_tb_stat_newneg_pct" dataDxfId="1375"/>
    <tableColumn id="28" xr3:uid="{00000000-0010-0000-0100-00001C000000}" name="D_tb_stat_known_pct" dataDxfId="1374"/>
    <tableColumn id="29" xr3:uid="{00000000-0010-0000-0100-00001D000000}" name="D_tb_art_pct" dataDxfId="1373"/>
    <tableColumn id="30" xr3:uid="{00000000-0010-0000-0100-00001E000000}" name="D_tb_art_new_pct" dataDxfId="1372"/>
    <tableColumn id="52" xr3:uid="{00000000-0010-0000-0100-000034000000}" name="D_tb_art_already_pct" dataDxfId="1371"/>
    <tableColumn id="31" xr3:uid="{00000000-0010-0000-0100-00001F000000}" name="D_tx_tb_D_pct" dataDxfId="1370"/>
    <tableColumn id="32" xr3:uid="{00000000-0010-0000-0100-000020000000}" name="D_tb_prev_D_pct" dataDxfId="1369"/>
    <tableColumn id="33" xr3:uid="{00000000-0010-0000-0100-000021000000}" name="D_tb_prev_pct" dataDxfId="1368"/>
    <tableColumn id="34" xr3:uid="{00000000-0010-0000-0100-000022000000}" name="D_hts_tst_pos_vmmc_pct" dataDxfId="1367"/>
    <tableColumn id="35" xr3:uid="{00000000-0010-0000-0100-000023000000}" name="D_hts_tst_pmtctanc_pct" dataDxfId="1366"/>
    <tableColumn id="36" xr3:uid="{00000000-0010-0000-0100-000024000000}" name="D_hts_tst_tbclinic_pct" dataDxfId="1365"/>
    <tableColumn id="53" xr3:uid="{00000000-0010-0000-0100-000035000000}" name="D_hts_tst_vmmc_pct" dataDxfId="1364"/>
    <tableColumn id="37" xr3:uid="{00000000-0010-0000-0100-000025000000}" name="D_hts_tst_indexmod_o15_pct" dataDxfId="1363"/>
    <tableColumn id="38" xr3:uid="{00000000-0010-0000-0100-000026000000}" name="D_hts_tst_mobilemod_o15_pct" dataDxfId="1362"/>
    <tableColumn id="39" xr3:uid="{00000000-0010-0000-0100-000027000000}" name="D_hts_tst_vctmod_o15_pct" dataDxfId="1361"/>
    <tableColumn id="40" xr3:uid="{00000000-0010-0000-0100-000028000000}" name="D_hts_tst_othermod_o15_pct" dataDxfId="1360"/>
    <tableColumn id="41" xr3:uid="{00000000-0010-0000-0100-000029000000}" name="D_hts_tst_index_o15_pct" dataDxfId="1359"/>
    <tableColumn id="42" xr3:uid="{00000000-0010-0000-0100-00002A000000}" name="D_hts_tst_sti_o15_pct" dataDxfId="1358"/>
    <tableColumn id="43" xr3:uid="{00000000-0010-0000-0100-00002B000000}" name="D_hts_tst_inpat_o15_pct" dataDxfId="1357"/>
    <tableColumn id="44" xr3:uid="{00000000-0010-0000-0100-00002C000000}" name="D_hts_tst_emergency_o15_pct" dataDxfId="1356"/>
    <tableColumn id="49" xr3:uid="{00000000-0010-0000-0100-000031000000}" name="D_hts_tst_vct_o15_pct" dataDxfId="1355"/>
    <tableColumn id="23" xr3:uid="{00000000-0010-0000-0100-000017000000}" name="D_hts_tst_otherpitc_o15_pct" dataDxfId="1354"/>
    <tableColumn id="27" xr3:uid="{00000000-0010-0000-0100-00001B000000}" name="D_hts_tst_pos_indexmod_o15_pct" dataDxfId="1353"/>
    <tableColumn id="45" xr3:uid="{00000000-0010-0000-0100-00002D000000}" name="D_hts_tst_pos_mobilemod_o15_pct" dataDxfId="1352"/>
    <tableColumn id="46" xr3:uid="{00000000-0010-0000-0100-00002E000000}" name="D_hts_tst_pos_vctmod_o15_pct" dataDxfId="1351"/>
    <tableColumn id="47" xr3:uid="{00000000-0010-0000-0100-00002F000000}" name="D_hts_tst_pos_othermod_o15_pct" dataDxfId="1350"/>
    <tableColumn id="48" xr3:uid="{00000000-0010-0000-0100-000030000000}" name="D_hts_tst_pos_index_o15_pct" dataDxfId="1349"/>
    <tableColumn id="50" xr3:uid="{00000000-0010-0000-0100-000032000000}" name="D_hts_tst_pos_sti_o15_pct" dataDxfId="1348"/>
    <tableColumn id="51" xr3:uid="{00000000-0010-0000-0100-000033000000}" name="D_hts_tst_pos_inpat_o15_pct" dataDxfId="1347"/>
    <tableColumn id="55" xr3:uid="{00000000-0010-0000-0100-000037000000}" name="D_hts_tst_pos_emergency_o15_pct" dataDxfId="1346"/>
    <tableColumn id="56" xr3:uid="{00000000-0010-0000-0100-000038000000}" name="D_hts_tst_pos_vct_o15_pct" dataDxfId="1345"/>
    <tableColumn id="57" xr3:uid="{00000000-0010-0000-0100-000039000000}" name="D_hts_tst_pos_otherpitc_o15_pct" dataDxfId="1344"/>
    <tableColumn id="58" xr3:uid="{00000000-0010-0000-0100-00003A000000}" name="D_hts_tst_indexmod_u15_pct" dataDxfId="1343"/>
    <tableColumn id="59" xr3:uid="{00000000-0010-0000-0100-00003B000000}" name="D_hts_tst_mobilemod_u15_pct" dataDxfId="1342"/>
    <tableColumn id="60" xr3:uid="{00000000-0010-0000-0100-00003C000000}" name="D_hts_tst_vctmod_u15_pct" dataDxfId="1341"/>
    <tableColumn id="61" xr3:uid="{00000000-0010-0000-0100-00003D000000}" name="D_hts_tst_othermod_u15_pct" dataDxfId="1340"/>
    <tableColumn id="62" xr3:uid="{00000000-0010-0000-0100-00003E000000}" name="D_hts_tst_index_u15_pct" dataDxfId="1339"/>
    <tableColumn id="63" xr3:uid="{00000000-0010-0000-0100-00003F000000}" name="D_hts_tst_sti_u15_pct" dataDxfId="1338"/>
    <tableColumn id="64" xr3:uid="{00000000-0010-0000-0100-000040000000}" name="D_hts_tst_inpat_u15_pct" dataDxfId="1337"/>
    <tableColumn id="65" xr3:uid="{00000000-0010-0000-0100-000041000000}" name="D_hts_tst_emergency_u15_pct" dataDxfId="1336"/>
    <tableColumn id="66" xr3:uid="{00000000-0010-0000-0100-000042000000}" name="D_hts_tst_vct_u15_pct" dataDxfId="1335"/>
    <tableColumn id="67" xr3:uid="{00000000-0010-0000-0100-000043000000}" name="D_hts_tst_pediatric_u15_pct" dataDxfId="1334"/>
    <tableColumn id="68" xr3:uid="{00000000-0010-0000-0100-000044000000}" name="D_hts_tst_malnutrition_u15_pct" dataDxfId="1333"/>
    <tableColumn id="69" xr3:uid="{00000000-0010-0000-0100-000045000000}" name="D_hts_tst_otherpitc_u15_pct" dataDxfId="1332"/>
    <tableColumn id="70" xr3:uid="{00000000-0010-0000-0100-000046000000}" name="D_hts_tst_pos_indexmod_u15_pct" dataDxfId="1331"/>
    <tableColumn id="71" xr3:uid="{00000000-0010-0000-0100-000047000000}" name="D_hts_tst_pos_mobilemod_u15_pct" dataDxfId="1330"/>
    <tableColumn id="72" xr3:uid="{00000000-0010-0000-0100-000048000000}" name="D_hts_tst_pos_vctmod_u15_pct" dataDxfId="1329"/>
    <tableColumn id="73" xr3:uid="{00000000-0010-0000-0100-000049000000}" name="D_hts_tst_pos_othermod_u15_pct" dataDxfId="1328"/>
    <tableColumn id="74" xr3:uid="{00000000-0010-0000-0100-00004A000000}" name="D_hts_tst_pos_index_u15_pct" dataDxfId="1327"/>
    <tableColumn id="75" xr3:uid="{00000000-0010-0000-0100-00004B000000}" name="D_hts_tst_pos_sti_u15_pct" dataDxfId="1326"/>
    <tableColumn id="76" xr3:uid="{00000000-0010-0000-0100-00004C000000}" name="D_hts_tst_pos_inpat_u15_pct" dataDxfId="1325"/>
    <tableColumn id="77" xr3:uid="{00000000-0010-0000-0100-00004D000000}" name="D_hts_tst_pos_emergency_u15_pct" dataDxfId="1324"/>
    <tableColumn id="78" xr3:uid="{00000000-0010-0000-0100-00004E000000}" name="D_hts_tst_pos_vct_u15_pct" dataDxfId="1323"/>
    <tableColumn id="79" xr3:uid="{00000000-0010-0000-0100-00004F000000}" name="D_hts_tst_pos_pediatric_u15_pct" dataDxfId="1322"/>
    <tableColumn id="80" xr3:uid="{00000000-0010-0000-0100-000050000000}" name="D_hts_tst_pos_malnutrition_u15_pct" dataDxfId="1321"/>
    <tableColumn id="81" xr3:uid="{00000000-0010-0000-0100-000051000000}" name="D_hts_tst_pos_otherpitc_u15_pct" dataDxfId="1320"/>
    <tableColumn id="82" xr3:uid="{00000000-0010-0000-0100-000052000000}" name="D_hts_tst_keypop_pct" dataDxfId="1319"/>
    <tableColumn id="83" xr3:uid="{00000000-0010-0000-0100-000053000000}" name="D_hts_self_pct" dataDxfId="1318"/>
    <tableColumn id="84" xr3:uid="{00000000-0010-0000-0100-000054000000}" name="D_vmmc_circ_pct" dataDxfId="1317"/>
    <tableColumn id="85" xr3:uid="{00000000-0010-0000-0100-000055000000}" name="D_vmmc_circ_1529_pct" dataDxfId="1316"/>
    <tableColumn id="86" xr3:uid="{00000000-0010-0000-0100-000056000000}" name="D_ovc_serv_pct" dataDxfId="1315"/>
    <tableColumn id="87" xr3:uid="{00000000-0010-0000-0100-000057000000}" name="D_ovc_serv_grad_pct" dataDxfId="1314"/>
    <tableColumn id="88" xr3:uid="{00000000-0010-0000-0100-000058000000}" name="D_ovc_serv_active_pct" dataDxfId="1313"/>
    <tableColumn id="89" xr3:uid="{00000000-0010-0000-0100-000059000000}" name="D_ovc_serv_u18_pct" dataDxfId="1312"/>
    <tableColumn id="90" xr3:uid="{00000000-0010-0000-0100-00005A000000}" name="D_ovc_hivstat_pct" dataDxfId="1311"/>
    <tableColumn id="91" xr3:uid="{00000000-0010-0000-0100-00005B000000}" name="D_ovc_serv_edu_pct" dataDxfId="1310"/>
    <tableColumn id="92" xr3:uid="{00000000-0010-0000-0100-00005C000000}" name="D_ovc_serv_care_pct" dataDxfId="1309"/>
    <tableColumn id="93" xr3:uid="{00000000-0010-0000-0100-00005D000000}" name="D_ovc_serv_sp_pct" dataDxfId="1308"/>
    <tableColumn id="94" xr3:uid="{00000000-0010-0000-0100-00005E000000}" name="D_ovc_serv_econ_pct" dataDxfId="1307"/>
    <tableColumn id="95" xr3:uid="{00000000-0010-0000-0100-00005F000000}" name="D_ovc_serv_oth_pct" dataDxfId="1306"/>
    <tableColumn id="96" xr3:uid="{00000000-0010-0000-0100-000060000000}" name="D_kp_prev_msm_sw_D_pct" dataDxfId="1305"/>
    <tableColumn id="97" xr3:uid="{00000000-0010-0000-0100-000061000000}" name="D_kp_prev_msm_sw_pct" dataDxfId="1304"/>
    <tableColumn id="98" xr3:uid="{00000000-0010-0000-0100-000062000000}" name="D_kp_prev_msm_not_sw_D_pct" dataDxfId="1303"/>
    <tableColumn id="99" xr3:uid="{00000000-0010-0000-0100-000063000000}" name="D_kp_prev_msm_not_sw_pct" dataDxfId="1302"/>
    <tableColumn id="100" xr3:uid="{00000000-0010-0000-0100-000064000000}" name="D_kp_prev_tg_sw_D_pct" dataDxfId="1301"/>
    <tableColumn id="101" xr3:uid="{00000000-0010-0000-0100-000065000000}" name="D_kp_prev_tg_sw_pct" dataDxfId="1300"/>
    <tableColumn id="102" xr3:uid="{00000000-0010-0000-0100-000066000000}" name="D_kp_prev_tg_not_sw_D_pct" dataDxfId="1299"/>
    <tableColumn id="103" xr3:uid="{00000000-0010-0000-0100-000067000000}" name="D_kp_prev_tg_not_sw_pct" dataDxfId="1298"/>
    <tableColumn id="104" xr3:uid="{00000000-0010-0000-0100-000068000000}" name="D_kp_prev_fsw_D_pct" dataDxfId="1297"/>
    <tableColumn id="105" xr3:uid="{00000000-0010-0000-0100-000069000000}" name="D_kp_prev_fsw_pct" dataDxfId="1296"/>
    <tableColumn id="106" xr3:uid="{00000000-0010-0000-0100-00006A000000}" name="D_kp_prev_pwid_m_D_pct" dataDxfId="1295"/>
    <tableColumn id="107" xr3:uid="{00000000-0010-0000-0100-00006B000000}" name="D_kp_prev_pwid_m_pct" dataDxfId="1294"/>
    <tableColumn id="108" xr3:uid="{00000000-0010-0000-0100-00006C000000}" name="D_kp_prev_pwid_f_D_pct" dataDxfId="1293"/>
    <tableColumn id="109" xr3:uid="{00000000-0010-0000-0100-00006D000000}" name="D_kp_prev_pwid_f_pct" dataDxfId="1292"/>
    <tableColumn id="110" xr3:uid="{00000000-0010-0000-0100-00006E000000}" name="D_kp_prev_prison_D_pct" dataDxfId="1291"/>
    <tableColumn id="111" xr3:uid="{00000000-0010-0000-0100-00006F000000}" name="D_kp_prev_prison_pct" dataDxfId="1290"/>
    <tableColumn id="112" xr3:uid="{00000000-0010-0000-0100-000070000000}" name="D_pp_prev_pct" dataDxfId="1289"/>
    <tableColumn id="113" xr3:uid="{00000000-0010-0000-0100-000071000000}" name="D_kp_mat_pct" dataDxfId="1288"/>
    <tableColumn id="114" xr3:uid="{00000000-0010-0000-0100-000072000000}" name="D_gend_gbv_pct" dataDxfId="1287"/>
    <tableColumn id="115" xr3:uid="{00000000-0010-0000-0100-000073000000}" name="D_prep_new_pct" dataDxfId="1286"/>
    <tableColumn id="116" xr3:uid="{00000000-0010-0000-0100-000074000000}" name="D_tx_ret_D_fy19" dataDxfId="1285"/>
    <tableColumn id="117" xr3:uid="{00000000-0010-0000-0100-000075000000}" name="D_tx_ret_u15_D_fy19" dataDxfId="1284"/>
    <tableColumn id="228" xr3:uid="{00000000-0010-0000-0100-0000E4000000}" name="D_tx_ret_fy19" dataDxfId="1283"/>
    <tableColumn id="118" xr3:uid="{00000000-0010-0000-0100-000076000000}" name="D_tx_ret_u15_fy19" dataDxfId="1282"/>
    <tableColumn id="25" xr3:uid="{00000000-0010-0000-0100-000019000000}" name="D_tx_new_fy19" dataDxfId="1281"/>
    <tableColumn id="119" xr3:uid="{00000000-0010-0000-0100-000077000000}" name="D_tx_new_u15_fy19" dataDxfId="1280"/>
    <tableColumn id="227" xr3:uid="{00000000-0010-0000-0100-0000E3000000}" name="D_tx_curr_fy19" dataDxfId="1279"/>
    <tableColumn id="120" xr3:uid="{00000000-0010-0000-0100-000078000000}" name="D_tx_curr_u15_fy19" dataDxfId="1278"/>
    <tableColumn id="24" xr3:uid="{00000000-0010-0000-0100-000018000000}" name="D_tx_pvls_D_fy19" dataDxfId="1277"/>
    <tableColumn id="121" xr3:uid="{00000000-0010-0000-0100-000079000000}" name="D_pmtct_stat_D_fy19" dataDxfId="1276"/>
    <tableColumn id="122" xr3:uid="{00000000-0010-0000-0100-00007A000000}" name="D_pmtct_stat_fy19" dataDxfId="1275"/>
    <tableColumn id="123" xr3:uid="{00000000-0010-0000-0100-00007B000000}" name="D_pmtct_stat_newpos_fy19" dataDxfId="1274"/>
    <tableColumn id="124" xr3:uid="{00000000-0010-0000-0100-00007C000000}" name="D_pmtct_stat_newneg_fy19" dataDxfId="1273"/>
    <tableColumn id="125" xr3:uid="{00000000-0010-0000-0100-00007D000000}" name="D_pmtct_stat_known_fy19" dataDxfId="1272"/>
    <tableColumn id="126" xr3:uid="{00000000-0010-0000-0100-00007E000000}" name="D_pmtct_art_fy19" dataDxfId="1271"/>
    <tableColumn id="127" xr3:uid="{00000000-0010-0000-0100-00007F000000}" name="D_pmtct_art_new_fy19" dataDxfId="1270"/>
    <tableColumn id="128" xr3:uid="{00000000-0010-0000-0100-000080000000}" name="D_pmtct_art_already_fy19" dataDxfId="1269"/>
    <tableColumn id="129" xr3:uid="{00000000-0010-0000-0100-000081000000}" name="D_pmtct_eid_fy19" dataDxfId="1268"/>
    <tableColumn id="130" xr3:uid="{00000000-0010-0000-0100-000082000000}" name="D_pmtct_eid_u2mo_fy19" dataDxfId="1267"/>
    <tableColumn id="131" xr3:uid="{00000000-0010-0000-0100-000083000000}" name="D_pmtct_eid_o2mo_fy19" dataDxfId="1266"/>
    <tableColumn id="132" xr3:uid="{00000000-0010-0000-0100-000084000000}" name="D_tb_stat_D_fy19" dataDxfId="1265"/>
    <tableColumn id="133" xr3:uid="{00000000-0010-0000-0100-000085000000}" name="D_tb_stat_fy19" dataDxfId="1264"/>
    <tableColumn id="134" xr3:uid="{00000000-0010-0000-0100-000086000000}" name="D_tb_stat_newpos_fy19" dataDxfId="1263"/>
    <tableColumn id="135" xr3:uid="{00000000-0010-0000-0100-000087000000}" name="D_tb_stat_newneg_fy19" dataDxfId="1262"/>
    <tableColumn id="136" xr3:uid="{00000000-0010-0000-0100-000088000000}" name="D_tb_stat_known_fy19" dataDxfId="1261"/>
    <tableColumn id="137" xr3:uid="{00000000-0010-0000-0100-000089000000}" name="D_tb_art_fy19" dataDxfId="1260"/>
    <tableColumn id="138" xr3:uid="{00000000-0010-0000-0100-00008A000000}" name="D_tb_art_new_fy19" dataDxfId="1259"/>
    <tableColumn id="139" xr3:uid="{00000000-0010-0000-0100-00008B000000}" name="D_tb_art_already_fy19" dataDxfId="1258"/>
    <tableColumn id="140" xr3:uid="{00000000-0010-0000-0100-00008C000000}" name="D_tx_tb_D_fy19" dataDxfId="1257"/>
    <tableColumn id="141" xr3:uid="{00000000-0010-0000-0100-00008D000000}" name="D_tb_prev_D_fy19" dataDxfId="1256"/>
    <tableColumn id="142" xr3:uid="{00000000-0010-0000-0100-00008E000000}" name="D_tb_prev_fy19" dataDxfId="1255"/>
    <tableColumn id="143" xr3:uid="{00000000-0010-0000-0100-00008F000000}" name="D_hts_tst_pos_vmmc_fy19" dataDxfId="1254"/>
    <tableColumn id="144" xr3:uid="{00000000-0010-0000-0100-000090000000}" name="D_hts_tst_pmtctanc_fy19" dataDxfId="1253"/>
    <tableColumn id="145" xr3:uid="{00000000-0010-0000-0100-000091000000}" name="D_hts_tst_tbclinic_fy19" dataDxfId="1252"/>
    <tableColumn id="146" xr3:uid="{00000000-0010-0000-0100-000092000000}" name="D_hts_tst_vmmc_fy19" dataDxfId="1251"/>
    <tableColumn id="147" xr3:uid="{00000000-0010-0000-0100-000093000000}" name="D_hts_tst_indexmod_o15_fy19" dataDxfId="1250"/>
    <tableColumn id="148" xr3:uid="{00000000-0010-0000-0100-000094000000}" name="D_hts_tst_mobilemod_o15_fy19" dataDxfId="1249"/>
    <tableColumn id="149" xr3:uid="{00000000-0010-0000-0100-000095000000}" name="D_hts_tst_vctmod_o15_fy19" dataDxfId="1248"/>
    <tableColumn id="150" xr3:uid="{00000000-0010-0000-0100-000096000000}" name="D_hts_tst_othermod_o15_fy19" dataDxfId="1247"/>
    <tableColumn id="151" xr3:uid="{00000000-0010-0000-0100-000097000000}" name="D_hts_tst_index_o15_fy19" dataDxfId="1246"/>
    <tableColumn id="152" xr3:uid="{00000000-0010-0000-0100-000098000000}" name="D_hts_tst_sti_o15_fy19" dataDxfId="1245"/>
    <tableColumn id="153" xr3:uid="{00000000-0010-0000-0100-000099000000}" name="D_hts_tst_inpat_o15_fy19" dataDxfId="1244"/>
    <tableColumn id="154" xr3:uid="{00000000-0010-0000-0100-00009A000000}" name="D_hts_tst_emergency_o15_fy19" dataDxfId="1243"/>
    <tableColumn id="155" xr3:uid="{00000000-0010-0000-0100-00009B000000}" name="D_hts_tst_vct_o15_fy19" dataDxfId="1242"/>
    <tableColumn id="156" xr3:uid="{00000000-0010-0000-0100-00009C000000}" name="D_hts_tst_otherpitc_o15_fy19" dataDxfId="1241"/>
    <tableColumn id="157" xr3:uid="{00000000-0010-0000-0100-00009D000000}" name="D_hts_tst_pos_indexmod_o15_fy19" dataDxfId="1240"/>
    <tableColumn id="158" xr3:uid="{00000000-0010-0000-0100-00009E000000}" name="D_hts_tst_pos_mobilemod_o15_fy19" dataDxfId="1239"/>
    <tableColumn id="159" xr3:uid="{00000000-0010-0000-0100-00009F000000}" name="D_hts_tst_pos_vctmod_o15_fy19" dataDxfId="1238"/>
    <tableColumn id="160" xr3:uid="{00000000-0010-0000-0100-0000A0000000}" name="D_hts_tst_pos_othermod_o15_fy19" dataDxfId="1237"/>
    <tableColumn id="161" xr3:uid="{00000000-0010-0000-0100-0000A1000000}" name="D_hts_tst_pos_index_o15_fy19" dataDxfId="1236"/>
    <tableColumn id="162" xr3:uid="{00000000-0010-0000-0100-0000A2000000}" name="D_hts_tst_pos_sti_o15_fy19" dataDxfId="1235"/>
    <tableColumn id="163" xr3:uid="{00000000-0010-0000-0100-0000A3000000}" name="D_hts_tst_pos_inpat_o15_fy19" dataDxfId="1234"/>
    <tableColumn id="164" xr3:uid="{00000000-0010-0000-0100-0000A4000000}" name="D_hts_tst_pos_emergency_o15_fy19" dataDxfId="1233"/>
    <tableColumn id="165" xr3:uid="{00000000-0010-0000-0100-0000A5000000}" name="D_hts_tst_pos_vct_o15_fy19" dataDxfId="1232"/>
    <tableColumn id="166" xr3:uid="{00000000-0010-0000-0100-0000A6000000}" name="D_hts_tst_pos_otherpitc_o15_fy19" dataDxfId="1231"/>
    <tableColumn id="167" xr3:uid="{00000000-0010-0000-0100-0000A7000000}" name="D_hts_tst_indexmod_u15_fy19" dataDxfId="1230"/>
    <tableColumn id="168" xr3:uid="{00000000-0010-0000-0100-0000A8000000}" name="D_hts_tst_mobilemod_u15_fy19" dataDxfId="1229"/>
    <tableColumn id="169" xr3:uid="{00000000-0010-0000-0100-0000A9000000}" name="D_hts_tst_vctmod_u15_fy19" dataDxfId="1228"/>
    <tableColumn id="170" xr3:uid="{00000000-0010-0000-0100-0000AA000000}" name="D_hts_tst_othermod_u15_fy19" dataDxfId="1227"/>
    <tableColumn id="171" xr3:uid="{00000000-0010-0000-0100-0000AB000000}" name="D_hts_tst_index_u15_fy19" dataDxfId="1226"/>
    <tableColumn id="172" xr3:uid="{00000000-0010-0000-0100-0000AC000000}" name="D_hts_tst_sti_u15_fy19" dataDxfId="1225"/>
    <tableColumn id="173" xr3:uid="{00000000-0010-0000-0100-0000AD000000}" name="D_hts_tst_inpat_u15_fy19" dataDxfId="1224"/>
    <tableColumn id="174" xr3:uid="{00000000-0010-0000-0100-0000AE000000}" name="D_hts_tst_emergency_u15_fy19" dataDxfId="1223"/>
    <tableColumn id="175" xr3:uid="{00000000-0010-0000-0100-0000AF000000}" name="D_hts_tst_vct_u15_fy19" dataDxfId="1222"/>
    <tableColumn id="176" xr3:uid="{00000000-0010-0000-0100-0000B0000000}" name="D_hts_tst_pediatric_u15_fy19" dataDxfId="1221"/>
    <tableColumn id="177" xr3:uid="{00000000-0010-0000-0100-0000B1000000}" name="D_hts_tst_malnutrition_u15_fy19" dataDxfId="1220"/>
    <tableColumn id="178" xr3:uid="{00000000-0010-0000-0100-0000B2000000}" name="D_hts_tst_otherpitc_u15_fy19" dataDxfId="1219"/>
    <tableColumn id="179" xr3:uid="{00000000-0010-0000-0100-0000B3000000}" name="D_hts_tst_pos_indexmod_u15_fy19" dataDxfId="1218"/>
    <tableColumn id="180" xr3:uid="{00000000-0010-0000-0100-0000B4000000}" name="D_hts_tst_pos_mobilemod_u15_fy19" dataDxfId="1217"/>
    <tableColumn id="181" xr3:uid="{00000000-0010-0000-0100-0000B5000000}" name="D_hts_tst_pos_vctmod_u15_fy19" dataDxfId="1216"/>
    <tableColumn id="182" xr3:uid="{00000000-0010-0000-0100-0000B6000000}" name="D_hts_tst_pos_othermod_u15_fy19" dataDxfId="1215"/>
    <tableColumn id="183" xr3:uid="{00000000-0010-0000-0100-0000B7000000}" name="D_hts_tst_pos_index_u15_fy19" dataDxfId="1214"/>
    <tableColumn id="184" xr3:uid="{00000000-0010-0000-0100-0000B8000000}" name="D_hts_tst_pos_sti_u15_fy19" dataDxfId="1213"/>
    <tableColumn id="185" xr3:uid="{00000000-0010-0000-0100-0000B9000000}" name="D_hts_tst_pos_inpat_u15_fy19" dataDxfId="1212"/>
    <tableColumn id="186" xr3:uid="{00000000-0010-0000-0100-0000BA000000}" name="D_hts_tst_pos_emergency_u15_fy19" dataDxfId="1211"/>
    <tableColumn id="187" xr3:uid="{00000000-0010-0000-0100-0000BB000000}" name="D_hts_tst_pos_vct_u15_fy19" dataDxfId="1210"/>
    <tableColumn id="188" xr3:uid="{00000000-0010-0000-0100-0000BC000000}" name="D_hts_tst_pos_pediatric_u15_fy19" dataDxfId="1209"/>
    <tableColumn id="189" xr3:uid="{00000000-0010-0000-0100-0000BD000000}" name="D_hts_tst_pos_malnutrition_u15_fy19" dataDxfId="1208"/>
    <tableColumn id="190" xr3:uid="{00000000-0010-0000-0100-0000BE000000}" name="D_hts_tst_pos_otherpitc_u15_fy19" dataDxfId="1207"/>
    <tableColumn id="191" xr3:uid="{00000000-0010-0000-0100-0000BF000000}" name="D_hts_tst_keypop_fy19" dataDxfId="1206"/>
    <tableColumn id="192" xr3:uid="{00000000-0010-0000-0100-0000C0000000}" name="D_hts_self_fy19" dataDxfId="1205"/>
    <tableColumn id="193" xr3:uid="{00000000-0010-0000-0100-0000C1000000}" name="D_vmmc_circ_fy19" dataDxfId="1204"/>
    <tableColumn id="194" xr3:uid="{00000000-0010-0000-0100-0000C2000000}" name="D_vmmc_circ_1529_fy19" dataDxfId="1203"/>
    <tableColumn id="195" xr3:uid="{00000000-0010-0000-0100-0000C3000000}" name="D_ovc_serv_fy19" dataDxfId="1202"/>
    <tableColumn id="196" xr3:uid="{00000000-0010-0000-0100-0000C4000000}" name="D_ovc_serv_grad_fy19" dataDxfId="1201"/>
    <tableColumn id="197" xr3:uid="{00000000-0010-0000-0100-0000C5000000}" name="D_ovc_serv_active_fy19" dataDxfId="1200"/>
    <tableColumn id="198" xr3:uid="{00000000-0010-0000-0100-0000C6000000}" name="D_ovc_serv_u18_fy19" dataDxfId="1199"/>
    <tableColumn id="199" xr3:uid="{00000000-0010-0000-0100-0000C7000000}" name="D_ovc_hivstat_fy19" dataDxfId="1198"/>
    <tableColumn id="200" xr3:uid="{00000000-0010-0000-0100-0000C8000000}" name="D_ovc_serv_edu_fy19" dataDxfId="1197"/>
    <tableColumn id="201" xr3:uid="{00000000-0010-0000-0100-0000C9000000}" name="D_ovc_serv_care_fy19" dataDxfId="1196"/>
    <tableColumn id="202" xr3:uid="{00000000-0010-0000-0100-0000CA000000}" name="D_ovc_serv_sp_fy19" dataDxfId="1195"/>
    <tableColumn id="203" xr3:uid="{00000000-0010-0000-0100-0000CB000000}" name="D_ovc_serv_econ_fy19" dataDxfId="1194"/>
    <tableColumn id="204" xr3:uid="{00000000-0010-0000-0100-0000CC000000}" name="D_ovc_serv_oth_fy19" dataDxfId="1193"/>
    <tableColumn id="205" xr3:uid="{00000000-0010-0000-0100-0000CD000000}" name="D_kp_prev_msm_sw_D_fy19" dataDxfId="1192"/>
    <tableColumn id="206" xr3:uid="{00000000-0010-0000-0100-0000CE000000}" name="D_kp_prev_msm_sw_fy19" dataDxfId="1191"/>
    <tableColumn id="207" xr3:uid="{00000000-0010-0000-0100-0000CF000000}" name="D_kp_prev_msm_not_sw_D_fy19" dataDxfId="1190"/>
    <tableColumn id="208" xr3:uid="{00000000-0010-0000-0100-0000D0000000}" name="D_kp_prev_msm_not_sw_fy19" dataDxfId="1189"/>
    <tableColumn id="209" xr3:uid="{00000000-0010-0000-0100-0000D1000000}" name="D_kp_prev_tg_sw_D_fy19" dataDxfId="1188"/>
    <tableColumn id="210" xr3:uid="{00000000-0010-0000-0100-0000D2000000}" name="D_kp_prev_tg_sw_fy19" dataDxfId="1187"/>
    <tableColumn id="211" xr3:uid="{00000000-0010-0000-0100-0000D3000000}" name="D_kp_prev_tg_not_sw_D_fy19" dataDxfId="1186"/>
    <tableColumn id="212" xr3:uid="{00000000-0010-0000-0100-0000D4000000}" name="D_kp_prev_tg_not_sw_fy19" dataDxfId="1185"/>
    <tableColumn id="213" xr3:uid="{00000000-0010-0000-0100-0000D5000000}" name="D_kp_prev_fsw_D_fy19" dataDxfId="1184"/>
    <tableColumn id="214" xr3:uid="{00000000-0010-0000-0100-0000D6000000}" name="D_kp_prev_fsw_fy19" dataDxfId="1183"/>
    <tableColumn id="215" xr3:uid="{00000000-0010-0000-0100-0000D7000000}" name="D_kp_prev_pwid_m_D_fy19" dataDxfId="1182"/>
    <tableColumn id="216" xr3:uid="{00000000-0010-0000-0100-0000D8000000}" name="D_kp_prev_pwid_m_fy19" dataDxfId="1181"/>
    <tableColumn id="217" xr3:uid="{00000000-0010-0000-0100-0000D9000000}" name="D_kp_prev_pwid_f_D_fy19" dataDxfId="1180"/>
    <tableColumn id="218" xr3:uid="{00000000-0010-0000-0100-0000DA000000}" name="D_kp_prev_pwid_f_fy19" dataDxfId="1179"/>
    <tableColumn id="219" xr3:uid="{00000000-0010-0000-0100-0000DB000000}" name="D_kp_prev_prison_D_fy19" dataDxfId="1178"/>
    <tableColumn id="220" xr3:uid="{00000000-0010-0000-0100-0000DC000000}" name="D_kp_prev_prison_fy19" dataDxfId="1177"/>
    <tableColumn id="221" xr3:uid="{00000000-0010-0000-0100-0000DD000000}" name="D_pp_prev_fy19" dataDxfId="1176"/>
    <tableColumn id="222" xr3:uid="{00000000-0010-0000-0100-0000DE000000}" name="D_kp_mat_fy19" dataDxfId="1175"/>
    <tableColumn id="223" xr3:uid="{00000000-0010-0000-0100-0000DF000000}" name="D_gend_gbv_fy19" dataDxfId="1174"/>
    <tableColumn id="224" xr3:uid="{00000000-0010-0000-0100-0000E0000000}" name="D_prep_new_fy19" dataDxfId="1173"/>
  </tableColumns>
  <tableStyleInfo name="DP Tab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indexmod_T" displayName="indexmod_T" ref="C6:CM7" totalsRowShown="0" headerRowDxfId="1171" dataDxfId="1170">
  <autoFilter ref="C6:CM7" xr:uid="{00000000-0009-0000-0100-00000A000000}"/>
  <tableColumns count="89">
    <tableColumn id="1" xr3:uid="{00000000-0010-0000-0200-000001000000}" name="psnu" dataDxfId="1169"/>
    <tableColumn id="46" xr3:uid="{00000000-0010-0000-0200-00002E000000}" name="psnuuid" dataDxfId="1168"/>
    <tableColumn id="2" xr3:uid="{00000000-0010-0000-0200-000002000000}" name="priority" dataDxfId="1167"/>
    <tableColumn id="27" xr3:uid="{00000000-0010-0000-0200-00001B000000}" name="mechid" dataDxfId="1166"/>
    <tableColumn id="45" xr3:uid="{00000000-0010-0000-0200-00002D000000}" name="mechname" dataDxfId="1165"/>
    <tableColumn id="4" xr3:uid="{00000000-0010-0000-0200-000004000000}" name="type" dataDxfId="1164"/>
    <tableColumn id="47" xr3:uid="{00000000-0010-0000-0200-00002F000000}" name="psnu_type" dataDxfId="1163"/>
    <tableColumn id="48" xr3:uid="{00000000-0010-0000-0200-000030000000}" name="A_hts_tst_indexmod_u1_unk_pos" dataDxfId="1162"/>
    <tableColumn id="50" xr3:uid="{00000000-0010-0000-0200-000032000000}" name="A_hts_tst_indexmod_0109_unk_pos" dataDxfId="1161"/>
    <tableColumn id="51" xr3:uid="{00000000-0010-0000-0200-000033000000}" name="A_hts_tst_indexmod_1014_f_pos" dataDxfId="1160"/>
    <tableColumn id="55" xr3:uid="{00000000-0010-0000-0200-000037000000}" name="A_hts_tst_indexmod_1014_m_pos" dataDxfId="1159"/>
    <tableColumn id="75" xr3:uid="{00000000-0010-0000-0200-00004B000000}" name="A_hts_tst_indexmod_u1_unk_neg" dataDxfId="1158"/>
    <tableColumn id="76" xr3:uid="{00000000-0010-0000-0200-00004C000000}" name="A_hts_tst_indexmod_0109_unk_neg" dataDxfId="1157"/>
    <tableColumn id="77" xr3:uid="{00000000-0010-0000-0200-00004D000000}" name="A_hts_tst_indexmod_1014_f_neg" dataDxfId="1156"/>
    <tableColumn id="78" xr3:uid="{00000000-0010-0000-0200-00004E000000}" name="A_hts_tst_indexmod_1014_m_neg" dataDxfId="1155"/>
    <tableColumn id="79" xr3:uid="{00000000-0010-0000-0200-00004F000000}" name="A_hts_tst_indexmod_1519_f_pos" dataDxfId="1154"/>
    <tableColumn id="80" xr3:uid="{00000000-0010-0000-0200-000050000000}" name="A_hts_tst_indexmod_1519_m_pos" dataDxfId="1153"/>
    <tableColumn id="81" xr3:uid="{00000000-0010-0000-0200-000051000000}" name="A_hts_tst_indexmod_2024_f_pos" dataDxfId="1152"/>
    <tableColumn id="82" xr3:uid="{00000000-0010-0000-0200-000052000000}" name="A_hts_tst_indexmod_2024_m_pos" dataDxfId="1151"/>
    <tableColumn id="83" xr3:uid="{00000000-0010-0000-0200-000053000000}" name="A_hts_tst_indexmod_2529_f_pos" dataDxfId="1150"/>
    <tableColumn id="84" xr3:uid="{00000000-0010-0000-0200-000054000000}" name="A_hts_tst_indexmod_2529_m_pos" dataDxfId="1149"/>
    <tableColumn id="85" xr3:uid="{00000000-0010-0000-0200-000055000000}" name="A_hts_tst_indexmod_3034_f_pos" dataDxfId="1148"/>
    <tableColumn id="86" xr3:uid="{00000000-0010-0000-0200-000056000000}" name="A_hts_tst_indexmod_3034_m__pos" dataDxfId="1147"/>
    <tableColumn id="87" xr3:uid="{00000000-0010-0000-0200-000057000000}" name="A_hts_tst_indexmod_3539_f_pos" dataDxfId="1146"/>
    <tableColumn id="88" xr3:uid="{00000000-0010-0000-0200-000058000000}" name="A_hts_tst_indexmod_3539_m__pos" dataDxfId="1145"/>
    <tableColumn id="89" xr3:uid="{00000000-0010-0000-0200-000059000000}" name="A_hts_tst_indexmod_4049_f_pos" dataDxfId="1144"/>
    <tableColumn id="90" xr3:uid="{00000000-0010-0000-0200-00005A000000}" name="A_hts_tst_indexmod_4049_m_pos" dataDxfId="1143"/>
    <tableColumn id="91" xr3:uid="{00000000-0010-0000-0200-00005B000000}" name="A_hts_tst_indexmod_o50_f_pos" dataDxfId="1142"/>
    <tableColumn id="92" xr3:uid="{00000000-0010-0000-0200-00005C000000}" name="A_hts_tst_indexmod_o50_m_pos" dataDxfId="1141"/>
    <tableColumn id="56" xr3:uid="{00000000-0010-0000-0200-000038000000}" name="A_hts_tst_indexmod_1519_f_neg" dataDxfId="1140"/>
    <tableColumn id="57" xr3:uid="{00000000-0010-0000-0200-000039000000}" name="A_hts_tst_indexmod_1519_m_neg" dataDxfId="1139"/>
    <tableColumn id="58" xr3:uid="{00000000-0010-0000-0200-00003A000000}" name="A_hts_tst_indexmod_2024_f_neg" dataDxfId="1138"/>
    <tableColumn id="59" xr3:uid="{00000000-0010-0000-0200-00003B000000}" name="A_hts_tst_indexmod_2024_m_neg" dataDxfId="1137"/>
    <tableColumn id="60" xr3:uid="{00000000-0010-0000-0200-00003C000000}" name="A_hts_tst_indexmod_2529_f_neg" dataDxfId="1136"/>
    <tableColumn id="61" xr3:uid="{00000000-0010-0000-0200-00003D000000}" name="A_hts_tst_indexmod_2529_m_neg" dataDxfId="1135"/>
    <tableColumn id="62" xr3:uid="{00000000-0010-0000-0200-00003E000000}" name="A_hts_tst_indexmod_3034_f_neg" dataDxfId="1134"/>
    <tableColumn id="63" xr3:uid="{00000000-0010-0000-0200-00003F000000}" name="A_hts_tst_indexmod_3034_m_neg" dataDxfId="1133"/>
    <tableColumn id="64" xr3:uid="{00000000-0010-0000-0200-000040000000}" name="A_hts_tst_indexmod_3539_f_neg" dataDxfId="1132"/>
    <tableColumn id="65" xr3:uid="{00000000-0010-0000-0200-000041000000}" name="A_hts_tst_indexmod_3539_m_neg" dataDxfId="1131"/>
    <tableColumn id="66" xr3:uid="{00000000-0010-0000-0200-000042000000}" name="A_hts_tst_indexmod_4049_f_neg" dataDxfId="1130"/>
    <tableColumn id="67" xr3:uid="{00000000-0010-0000-0200-000043000000}" name="A_hts_tst_indexmod_4049_m_neg" dataDxfId="1129"/>
    <tableColumn id="68" xr3:uid="{00000000-0010-0000-0200-000044000000}" name="A_hts_tst_indexmod_o50_f_neg" dataDxfId="1128"/>
    <tableColumn id="69" xr3:uid="{00000000-0010-0000-0200-000045000000}" name="A_hts_tst_indexmod_o50_m_neg" dataDxfId="1127"/>
    <tableColumn id="43" xr3:uid="{00000000-0010-0000-0200-00002B000000}" name="A_check1" dataDxfId="1126"/>
    <tableColumn id="44" xr3:uid="{00000000-0010-0000-0200-00002C000000}" name="A_check2" dataDxfId="1125"/>
    <tableColumn id="3" xr3:uid="{00000000-0010-0000-0200-000003000000}" name="A_check3" dataDxfId="1124"/>
    <tableColumn id="23" xr3:uid="{00000000-0010-0000-0200-000017000000}" name="A_check4" dataDxfId="1123"/>
    <tableColumn id="25" xr3:uid="{00000000-0010-0000-0200-000019000000}" name="D_hts_tst_indexmod_u15_fy19" dataDxfId="1122"/>
    <tableColumn id="70" xr3:uid="{00000000-0010-0000-0200-000046000000}" name="D_hts_tst_pos_indexmod_u15_fy19" dataDxfId="1121"/>
    <tableColumn id="71" xr3:uid="{00000000-0010-0000-0200-000047000000}" name="D_hts_tst_neg_indexmod_u15_fy19" dataDxfId="1120"/>
    <tableColumn id="72" xr3:uid="{00000000-0010-0000-0200-000048000000}" name="D_hts_tst_indexmod_o15_fy19" dataDxfId="1119"/>
    <tableColumn id="73" xr3:uid="{00000000-0010-0000-0200-000049000000}" name="D_hts_tst_pos_indexmod_o15_fy19" dataDxfId="1118"/>
    <tableColumn id="74" xr3:uid="{00000000-0010-0000-0200-00004A000000}" name="D_hts_tst_neg_indexmod_o15_fy19" dataDxfId="1117"/>
    <tableColumn id="5" xr3:uid="{00000000-0010-0000-0200-000005000000}" name="hts_tst_indexmod_u1_unk_pos" dataDxfId="1116">
      <calculatedColumnFormula>indexmod_T[[D_hts_tst_pos_indexmod_u15_fy19]:[D_hts_tst_pos_indexmod_u15_fy19]]*indexmod_T[A_hts_tst_indexmod_u1_unk_pos]</calculatedColumnFormula>
    </tableColumn>
    <tableColumn id="6" xr3:uid="{00000000-0010-0000-0200-000006000000}" name="hts_tst_indexmod_0109_unk_pos" dataDxfId="1115">
      <calculatedColumnFormula>indexmod_T[[D_hts_tst_pos_indexmod_u15_fy19]:[D_hts_tst_pos_indexmod_u15_fy19]]*indexmod_T[A_hts_tst_indexmod_0109_unk_pos]</calculatedColumnFormula>
    </tableColumn>
    <tableColumn id="22" xr3:uid="{00000000-0010-0000-0200-000016000000}" name="hts_tst_indexmod_1014_f_pos" dataDxfId="1114">
      <calculatedColumnFormula>indexmod_T[[D_hts_tst_pos_indexmod_u15_fy19]:[D_hts_tst_pos_indexmod_u15_fy19]]*indexmod_T[A_hts_tst_indexmod_1014_f_pos]</calculatedColumnFormula>
    </tableColumn>
    <tableColumn id="7" xr3:uid="{00000000-0010-0000-0200-000007000000}" name="hts_tst_indexmod_1014_m_pos" dataDxfId="1113">
      <calculatedColumnFormula>indexmod_T[[D_hts_tst_pos_indexmod_u15_fy19]:[D_hts_tst_pos_indexmod_u15_fy19]]*indexmod_T[A_hts_tst_indexmod_1014_m_pos]</calculatedColumnFormula>
    </tableColumn>
    <tableColumn id="8" xr3:uid="{00000000-0010-0000-0200-000008000000}" name="hts_tst_indexmod_u1_unk_neg" dataDxfId="1112">
      <calculatedColumnFormula>indexmod_T[[D_hts_tst_neg_indexmod_u15_fy19]:[D_hts_tst_neg_indexmod_u15_fy19]]*indexmod_T[A_hts_tst_indexmod_u1_unk_neg]</calculatedColumnFormula>
    </tableColumn>
    <tableColumn id="9" xr3:uid="{00000000-0010-0000-0200-000009000000}" name="hts_tst_indexmod_0109_unk_neg" dataDxfId="1111">
      <calculatedColumnFormula>indexmod_T[[D_hts_tst_neg_indexmod_u15_fy19]:[D_hts_tst_neg_indexmod_u15_fy19]]*indexmod_T[A_hts_tst_indexmod_0109_unk_neg]</calculatedColumnFormula>
    </tableColumn>
    <tableColumn id="10" xr3:uid="{00000000-0010-0000-0200-00000A000000}" name="hts_tst_indexmod_1014_f_neg" dataDxfId="1110">
      <calculatedColumnFormula>indexmod_T[[D_hts_tst_neg_indexmod_u15_fy19]:[D_hts_tst_neg_indexmod_u15_fy19]]*indexmod_T[A_hts_tst_indexmod_1014_f_neg]</calculatedColumnFormula>
    </tableColumn>
    <tableColumn id="11" xr3:uid="{00000000-0010-0000-0200-00000B000000}" name="hts_tst_indexmod_1014_m_neg" dataDxfId="1109">
      <calculatedColumnFormula>indexmod_T[[D_hts_tst_neg_indexmod_u15_fy19]:[D_hts_tst_neg_indexmod_u15_fy19]]*indexmod_T[A_hts_tst_indexmod_1014_m_neg]</calculatedColumnFormula>
    </tableColumn>
    <tableColumn id="12" xr3:uid="{00000000-0010-0000-0200-00000C000000}" name="hts_tst_indexmod_1519_f_pos" dataDxfId="1108">
      <calculatedColumnFormula>indexmod_T[[D_hts_tst_pos_indexmod_o15_fy19]:[D_hts_tst_pos_indexmod_o15_fy19]]*indexmod_T[A_hts_tst_indexmod_1519_f_pos]</calculatedColumnFormula>
    </tableColumn>
    <tableColumn id="13" xr3:uid="{00000000-0010-0000-0200-00000D000000}" name="hts_tst_indexmod_1519_m_pos" dataDxfId="1107">
      <calculatedColumnFormula>indexmod_T[[D_hts_tst_pos_indexmod_o15_fy19]:[D_hts_tst_pos_indexmod_o15_fy19]]*indexmod_T[A_hts_tst_indexmod_1519_m_pos]</calculatedColumnFormula>
    </tableColumn>
    <tableColumn id="54" xr3:uid="{00000000-0010-0000-0200-000036000000}" name="hts_tst_indexmod_2024_f_pos" dataDxfId="1106">
      <calculatedColumnFormula>indexmod_T[[D_hts_tst_pos_indexmod_o15_fy19]:[D_hts_tst_pos_indexmod_o15_fy19]]*indexmod_T[A_hts_tst_indexmod_2024_f_pos]</calculatedColumnFormula>
    </tableColumn>
    <tableColumn id="14" xr3:uid="{00000000-0010-0000-0200-00000E000000}" name="hts_tst_indexmod_2024_m_pos" dataDxfId="1105">
      <calculatedColumnFormula>indexmod_T[[D_hts_tst_pos_indexmod_o15_fy19]:[D_hts_tst_pos_indexmod_o15_fy19]]*indexmod_T[A_hts_tst_indexmod_2024_m_pos]</calculatedColumnFormula>
    </tableColumn>
    <tableColumn id="15" xr3:uid="{00000000-0010-0000-0200-00000F000000}" name="hts_tst_indexmod_2529_f_pos" dataDxfId="1104">
      <calculatedColumnFormula>indexmod_T[[D_hts_tst_pos_indexmod_o15_fy19]:[D_hts_tst_pos_indexmod_o15_fy19]]*indexmod_T[A_hts_tst_indexmod_2529_f_pos]</calculatedColumnFormula>
    </tableColumn>
    <tableColumn id="16" xr3:uid="{00000000-0010-0000-0200-000010000000}" name="hts_tst_indexmod_2529_m_pos" dataDxfId="1103">
      <calculatedColumnFormula>indexmod_T[[D_hts_tst_pos_indexmod_o15_fy19]:[D_hts_tst_pos_indexmod_o15_fy19]]*indexmod_T[A_hts_tst_indexmod_2529_m_pos]</calculatedColumnFormula>
    </tableColumn>
    <tableColumn id="17" xr3:uid="{00000000-0010-0000-0200-000011000000}" name="hts_tst_indexmod_3034_f_pos" dataDxfId="1102">
      <calculatedColumnFormula>indexmod_T[[D_hts_tst_pos_indexmod_o15_fy19]:[D_hts_tst_pos_indexmod_o15_fy19]]*indexmod_T[A_hts_tst_indexmod_3034_f_pos]</calculatedColumnFormula>
    </tableColumn>
    <tableColumn id="18" xr3:uid="{00000000-0010-0000-0200-000012000000}" name="hts_tst_indexmod_3034_m_pos" dataDxfId="1101">
      <calculatedColumnFormula>indexmod_T[[D_hts_tst_pos_indexmod_o15_fy19]:[D_hts_tst_pos_indexmod_o15_fy19]]*indexmod_T[A_hts_tst_indexmod_3034_m__pos]</calculatedColumnFormula>
    </tableColumn>
    <tableColumn id="19" xr3:uid="{00000000-0010-0000-0200-000013000000}" name="hts_tst_indexmod_3539_f_pos" dataDxfId="1100">
      <calculatedColumnFormula>indexmod_T[[D_hts_tst_pos_indexmod_o15_fy19]:[D_hts_tst_pos_indexmod_o15_fy19]]*indexmod_T[A_hts_tst_indexmod_3539_f_pos]</calculatedColumnFormula>
    </tableColumn>
    <tableColumn id="20" xr3:uid="{00000000-0010-0000-0200-000014000000}" name="hts_tst_indexmod_3539_m_pos" dataDxfId="1099">
      <calculatedColumnFormula>indexmod_T[[D_hts_tst_pos_indexmod_o15_fy19]:[D_hts_tst_pos_indexmod_o15_fy19]]*indexmod_T[A_hts_tst_indexmod_3539_m__pos]</calculatedColumnFormula>
    </tableColumn>
    <tableColumn id="21" xr3:uid="{00000000-0010-0000-0200-000015000000}" name="hts_tst_indexmod_4049_f_pos" dataDxfId="1098">
      <calculatedColumnFormula>indexmod_T[[D_hts_tst_pos_indexmod_o15_fy19]:[D_hts_tst_pos_indexmod_o15_fy19]]*indexmod_T[A_hts_tst_indexmod_4049_f_pos]</calculatedColumnFormula>
    </tableColumn>
    <tableColumn id="26" xr3:uid="{00000000-0010-0000-0200-00001A000000}" name="hts_tst_indexmod_4049_m_pos" dataDxfId="1097">
      <calculatedColumnFormula>indexmod_T[[D_hts_tst_pos_indexmod_o15_fy19]:[D_hts_tst_pos_indexmod_o15_fy19]]*indexmod_T[A_hts_tst_indexmod_4049_m_pos]</calculatedColumnFormula>
    </tableColumn>
    <tableColumn id="28" xr3:uid="{00000000-0010-0000-0200-00001C000000}" name="hts_tst_indexmod_o50_f_pos" dataDxfId="1096">
      <calculatedColumnFormula>indexmod_T[[D_hts_tst_pos_indexmod_o15_fy19]:[D_hts_tst_pos_indexmod_o15_fy19]]*indexmod_T[A_hts_tst_indexmod_o50_f_pos]</calculatedColumnFormula>
    </tableColumn>
    <tableColumn id="29" xr3:uid="{00000000-0010-0000-0200-00001D000000}" name="hts_tst_indexmod_o50_m_pos" dataDxfId="1095">
      <calculatedColumnFormula>indexmod_T[[D_hts_tst_pos_indexmod_o15_fy19]:[D_hts_tst_pos_indexmod_o15_fy19]]*indexmod_T[A_hts_tst_indexmod_o50_m_pos]</calculatedColumnFormula>
    </tableColumn>
    <tableColumn id="30" xr3:uid="{00000000-0010-0000-0200-00001E000000}" name="hts_tst_indexmod_1519_f_neg" dataDxfId="1094">
      <calculatedColumnFormula>indexmod_T[[D_hts_tst_neg_indexmod_o15_fy19]:[D_hts_tst_neg_indexmod_o15_fy19]]*indexmod_T[A_hts_tst_indexmod_1519_f_neg]</calculatedColumnFormula>
    </tableColumn>
    <tableColumn id="52" xr3:uid="{00000000-0010-0000-0200-000034000000}" name="hts_tst_indexmod_1519_m_neg" dataDxfId="1093">
      <calculatedColumnFormula>indexmod_T[[D_hts_tst_neg_indexmod_o15_fy19]:[D_hts_tst_neg_indexmod_o15_fy19]]*indexmod_T[A_hts_tst_indexmod_1519_m_neg]</calculatedColumnFormula>
    </tableColumn>
    <tableColumn id="31" xr3:uid="{00000000-0010-0000-0200-00001F000000}" name="hts_tst_indexmod_2024_f_neg" dataDxfId="1092">
      <calculatedColumnFormula>indexmod_T[[D_hts_tst_neg_indexmod_o15_fy19]:[D_hts_tst_neg_indexmod_o15_fy19]]*indexmod_T[A_hts_tst_indexmod_2024_f_neg]</calculatedColumnFormula>
    </tableColumn>
    <tableColumn id="32" xr3:uid="{00000000-0010-0000-0200-000020000000}" name="hts_tst_indexmod_2024_m_neg" dataDxfId="1091">
      <calculatedColumnFormula>indexmod_T[[D_hts_tst_neg_indexmod_o15_fy19]:[D_hts_tst_neg_indexmod_o15_fy19]]*indexmod_T[A_hts_tst_indexmod_2024_m_neg]</calculatedColumnFormula>
    </tableColumn>
    <tableColumn id="33" xr3:uid="{00000000-0010-0000-0200-000021000000}" name="hts_tst_indexmod_2529_f_neg" dataDxfId="1090">
      <calculatedColumnFormula>indexmod_T[[D_hts_tst_neg_indexmod_o15_fy19]:[D_hts_tst_neg_indexmod_o15_fy19]]*indexmod_T[A_hts_tst_indexmod_2529_f_neg]</calculatedColumnFormula>
    </tableColumn>
    <tableColumn id="34" xr3:uid="{00000000-0010-0000-0200-000022000000}" name="hts_tst_indexmod_2529_m_neg" dataDxfId="1089">
      <calculatedColumnFormula>indexmod_T[[D_hts_tst_neg_indexmod_o15_fy19]:[D_hts_tst_neg_indexmod_o15_fy19]]*indexmod_T[A_hts_tst_indexmod_2529_m_neg]</calculatedColumnFormula>
    </tableColumn>
    <tableColumn id="35" xr3:uid="{00000000-0010-0000-0200-000023000000}" name="hts_tst_indexmod_3034_f_neg" dataDxfId="1088">
      <calculatedColumnFormula>indexmod_T[[D_hts_tst_neg_indexmod_o15_fy19]:[D_hts_tst_neg_indexmod_o15_fy19]]*indexmod_T[A_hts_tst_indexmod_3034_f_neg]</calculatedColumnFormula>
    </tableColumn>
    <tableColumn id="36" xr3:uid="{00000000-0010-0000-0200-000024000000}" name="hts_tst_indexmod_3034_m_neg" dataDxfId="1087">
      <calculatedColumnFormula>indexmod_T[[D_hts_tst_neg_indexmod_o15_fy19]:[D_hts_tst_neg_indexmod_o15_fy19]]*indexmod_T[A_hts_tst_indexmod_3034_m_neg]</calculatedColumnFormula>
    </tableColumn>
    <tableColumn id="53" xr3:uid="{00000000-0010-0000-0200-000035000000}" name="hts_tst_indexmod_3539_f_neg" dataDxfId="1086">
      <calculatedColumnFormula>indexmod_T[[D_hts_tst_neg_indexmod_o15_fy19]:[D_hts_tst_neg_indexmod_o15_fy19]]*indexmod_T[A_hts_tst_indexmod_3539_f_neg]</calculatedColumnFormula>
    </tableColumn>
    <tableColumn id="37" xr3:uid="{00000000-0010-0000-0200-000025000000}" name="hts_tst_indexmod_3539_m_neg" dataDxfId="1085">
      <calculatedColumnFormula>indexmod_T[[D_hts_tst_neg_indexmod_o15_fy19]:[D_hts_tst_neg_indexmod_o15_fy19]]*indexmod_T[A_hts_tst_indexmod_3539_m_neg]</calculatedColumnFormula>
    </tableColumn>
    <tableColumn id="38" xr3:uid="{00000000-0010-0000-0200-000026000000}" name="hts_tst_indexmod_4049_f_neg" dataDxfId="1084">
      <calculatedColumnFormula>indexmod_T[[D_hts_tst_neg_indexmod_o15_fy19]:[D_hts_tst_neg_indexmod_o15_fy19]]*indexmod_T[A_hts_tst_indexmod_4049_f_neg]</calculatedColumnFormula>
    </tableColumn>
    <tableColumn id="39" xr3:uid="{00000000-0010-0000-0200-000027000000}" name="hts_tst_indexmod_4049_m_neg" dataDxfId="1083">
      <calculatedColumnFormula>indexmod_T[[D_hts_tst_neg_indexmod_o15_fy19]:[D_hts_tst_neg_indexmod_o15_fy19]]*indexmod_T[A_hts_tst_indexmod_4049_m_neg]</calculatedColumnFormula>
    </tableColumn>
    <tableColumn id="40" xr3:uid="{00000000-0010-0000-0200-000028000000}" name="hts_tst_indexmod_o50_f_neg" dataDxfId="1082">
      <calculatedColumnFormula>indexmod_T[[D_hts_tst_neg_indexmod_o15_fy19]:[D_hts_tst_neg_indexmod_o15_fy19]]*indexmod_T[A_hts_tst_indexmod_o50_f_neg]</calculatedColumnFormula>
    </tableColumn>
    <tableColumn id="41" xr3:uid="{00000000-0010-0000-0200-000029000000}" name="hts_tst_indexmod_o50_m_neg" dataDxfId="1081">
      <calculatedColumnFormula>indexmod_T[[D_hts_tst_neg_indexmod_o15_fy19]:[D_hts_tst_neg_indexmod_o15_fy19]]*indexmod_T[A_hts_tst_indexmod_o50_m_neg]</calculatedColumnFormula>
    </tableColumn>
  </tableColumns>
  <tableStyleInfo name="DP Tab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mobilemod_T" displayName="mobilemod_T" ref="C6:CM7" totalsRowShown="0" headerRowDxfId="1079" dataDxfId="1078">
  <autoFilter ref="C6:CM7" xr:uid="{00000000-0009-0000-0100-00000B000000}"/>
  <tableColumns count="89">
    <tableColumn id="1" xr3:uid="{00000000-0010-0000-0300-000001000000}" name="psnu" dataDxfId="1077"/>
    <tableColumn id="46" xr3:uid="{00000000-0010-0000-0300-00002E000000}" name="psnuuid" dataDxfId="1076"/>
    <tableColumn id="2" xr3:uid="{00000000-0010-0000-0300-000002000000}" name="priority" dataDxfId="1075"/>
    <tableColumn id="27" xr3:uid="{00000000-0010-0000-0300-00001B000000}" name="mechid" dataDxfId="1074"/>
    <tableColumn id="45" xr3:uid="{00000000-0010-0000-0300-00002D000000}" name="mechname" dataDxfId="1073"/>
    <tableColumn id="4" xr3:uid="{00000000-0010-0000-0300-000004000000}" name="type" dataDxfId="1072"/>
    <tableColumn id="47" xr3:uid="{00000000-0010-0000-0300-00002F000000}" name="psnu_type" dataDxfId="1071"/>
    <tableColumn id="48" xr3:uid="{00000000-0010-0000-0300-000030000000}" name="A_hts_tst_mobilemod_u1_unk_pos" dataDxfId="1070"/>
    <tableColumn id="50" xr3:uid="{00000000-0010-0000-0300-000032000000}" name="A_hts_tst_mobilemod_0109_unk_pos" dataDxfId="1069"/>
    <tableColumn id="51" xr3:uid="{00000000-0010-0000-0300-000033000000}" name="A_hts_tst_mobilemod_1014_f_pos" dataDxfId="1068"/>
    <tableColumn id="55" xr3:uid="{00000000-0010-0000-0300-000037000000}" name="A_hts_tst_mobilemod_1014_m_pos" dataDxfId="1067"/>
    <tableColumn id="75" xr3:uid="{00000000-0010-0000-0300-00004B000000}" name="A_hts_tst_mobilemod_u1_unk_neg" dataDxfId="1066"/>
    <tableColumn id="76" xr3:uid="{00000000-0010-0000-0300-00004C000000}" name="A_hts_tst_mobilemod_0109_unk_neg" dataDxfId="1065"/>
    <tableColumn id="77" xr3:uid="{00000000-0010-0000-0300-00004D000000}" name="A_hts_tst_mobilemod_1014_f_neg" dataDxfId="1064"/>
    <tableColumn id="78" xr3:uid="{00000000-0010-0000-0300-00004E000000}" name="A_hts_tst_mobilemod_1014_m_neg" dataDxfId="1063"/>
    <tableColumn id="79" xr3:uid="{00000000-0010-0000-0300-00004F000000}" name="A_hts_tst_mobilemod_1519_f_pos" dataDxfId="1062"/>
    <tableColumn id="80" xr3:uid="{00000000-0010-0000-0300-000050000000}" name="A_hts_tst_mobilemod_1519_m_pos" dataDxfId="1061"/>
    <tableColumn id="81" xr3:uid="{00000000-0010-0000-0300-000051000000}" name="A_hts_tst_mobilemod_2024_f_pos" dataDxfId="1060"/>
    <tableColumn id="82" xr3:uid="{00000000-0010-0000-0300-000052000000}" name="A_hts_tst_mobilemod_2024_m_pos" dataDxfId="1059"/>
    <tableColumn id="83" xr3:uid="{00000000-0010-0000-0300-000053000000}" name="A_hts_tst_mobilemod_2529_f_pos" dataDxfId="1058"/>
    <tableColumn id="84" xr3:uid="{00000000-0010-0000-0300-000054000000}" name="A_hts_tst_mobilemod_2529_m_pos" dataDxfId="1057"/>
    <tableColumn id="85" xr3:uid="{00000000-0010-0000-0300-000055000000}" name="A_hts_tst_mobilemod_3034_f_pos" dataDxfId="1056"/>
    <tableColumn id="86" xr3:uid="{00000000-0010-0000-0300-000056000000}" name="A_hts_tst_mobilemod_3034_m__pos" dataDxfId="1055"/>
    <tableColumn id="87" xr3:uid="{00000000-0010-0000-0300-000057000000}" name="A_hts_tst_mobilemod_3539_f_pos" dataDxfId="1054"/>
    <tableColumn id="88" xr3:uid="{00000000-0010-0000-0300-000058000000}" name="A_hts_tst_mobilemod_3539_m__pos" dataDxfId="1053"/>
    <tableColumn id="89" xr3:uid="{00000000-0010-0000-0300-000059000000}" name="A_hts_tst_mobilemod_4049_f_pos" dataDxfId="1052"/>
    <tableColumn id="90" xr3:uid="{00000000-0010-0000-0300-00005A000000}" name="A_hts_tst_mobilemod_4049_m_pos" dataDxfId="1051"/>
    <tableColumn id="91" xr3:uid="{00000000-0010-0000-0300-00005B000000}" name="A_hts_tst_mobilemod_o50_f_pos" dataDxfId="1050"/>
    <tableColumn id="92" xr3:uid="{00000000-0010-0000-0300-00005C000000}" name="A_hts_tst_mobilemod_o50_m_pos" dataDxfId="1049"/>
    <tableColumn id="56" xr3:uid="{00000000-0010-0000-0300-000038000000}" name="A_hts_tst_mobilemod_1519_f_neg" dataDxfId="1048"/>
    <tableColumn id="57" xr3:uid="{00000000-0010-0000-0300-000039000000}" name="A_hts_tst_mobilemod_1519_m_neg" dataDxfId="1047"/>
    <tableColumn id="58" xr3:uid="{00000000-0010-0000-0300-00003A000000}" name="A_hts_tst_mobilemod_2024_f_neg" dataDxfId="1046"/>
    <tableColumn id="59" xr3:uid="{00000000-0010-0000-0300-00003B000000}" name="A_hts_tst_mobilemod_2024_m_neg" dataDxfId="1045"/>
    <tableColumn id="60" xr3:uid="{00000000-0010-0000-0300-00003C000000}" name="A_hts_tst_mobilemod_2529_f_neg" dataDxfId="1044"/>
    <tableColumn id="61" xr3:uid="{00000000-0010-0000-0300-00003D000000}" name="A_hts_tst_mobilemod_2529_m_neg" dataDxfId="1043"/>
    <tableColumn id="62" xr3:uid="{00000000-0010-0000-0300-00003E000000}" name="A_hts_tst_mobilemod_3034_f_neg" dataDxfId="1042"/>
    <tableColumn id="63" xr3:uid="{00000000-0010-0000-0300-00003F000000}" name="A_hts_tst_mobilemod_3034_m_neg" dataDxfId="1041"/>
    <tableColumn id="64" xr3:uid="{00000000-0010-0000-0300-000040000000}" name="A_hts_tst_mobilemod_3539_f_neg" dataDxfId="1040"/>
    <tableColumn id="65" xr3:uid="{00000000-0010-0000-0300-000041000000}" name="A_hts_tst_mobilemod_3539_m_neg" dataDxfId="1039"/>
    <tableColumn id="66" xr3:uid="{00000000-0010-0000-0300-000042000000}" name="A_hts_tst_mobilemod_4049_f_neg" dataDxfId="1038"/>
    <tableColumn id="67" xr3:uid="{00000000-0010-0000-0300-000043000000}" name="A_hts_tst_mobilemod_4049_m_neg" dataDxfId="1037"/>
    <tableColumn id="68" xr3:uid="{00000000-0010-0000-0300-000044000000}" name="A_hts_tst_mobilemod_o50_f_neg" dataDxfId="1036"/>
    <tableColumn id="69" xr3:uid="{00000000-0010-0000-0300-000045000000}" name="A_hts_tst_mobilemod_o50_m_neg" dataDxfId="1035"/>
    <tableColumn id="3" xr3:uid="{00000000-0010-0000-0300-000003000000}" name="A_check1" dataDxfId="1034"/>
    <tableColumn id="23" xr3:uid="{00000000-0010-0000-0300-000017000000}" name="A_check2" dataDxfId="1033"/>
    <tableColumn id="24" xr3:uid="{00000000-0010-0000-0300-000018000000}" name="A_check3" dataDxfId="1032"/>
    <tableColumn id="42" xr3:uid="{00000000-0010-0000-0300-00002A000000}" name="A_check4" dataDxfId="1031"/>
    <tableColumn id="25" xr3:uid="{00000000-0010-0000-0300-000019000000}" name="D_hts_tst_mobilemod_u15_fy19" dataDxfId="1030"/>
    <tableColumn id="70" xr3:uid="{00000000-0010-0000-0300-000046000000}" name="D_hts_tst_pos_mobilemod_u15_fy19" dataDxfId="1029"/>
    <tableColumn id="71" xr3:uid="{00000000-0010-0000-0300-000047000000}" name="D_hts_tst_neg_mobilemod_u15_fy19" dataDxfId="1028"/>
    <tableColumn id="72" xr3:uid="{00000000-0010-0000-0300-000048000000}" name="D_hts_tst_mobilemod_o15_fy19" dataDxfId="1027"/>
    <tableColumn id="73" xr3:uid="{00000000-0010-0000-0300-000049000000}" name="D_hts_tst_pos_mobilemod_o15_fy19" dataDxfId="1026"/>
    <tableColumn id="74" xr3:uid="{00000000-0010-0000-0300-00004A000000}" name="D_hts_tst_neg_mobilemod_o15_fy19" dataDxfId="1025"/>
    <tableColumn id="5" xr3:uid="{00000000-0010-0000-0300-000005000000}" name="hts_tst_mobilemod_u1_unk_pos" dataDxfId="1024">
      <calculatedColumnFormula>mobilemod_T[[D_hts_tst_pos_mobilemod_u15_fy19]:[D_hts_tst_pos_mobilemod_u15_fy19]]*mobilemod_T[A_hts_tst_mobilemod_u1_unk_pos]</calculatedColumnFormula>
    </tableColumn>
    <tableColumn id="6" xr3:uid="{00000000-0010-0000-0300-000006000000}" name="hts_tst_mobilemod_0109_unk_pos" dataDxfId="1023">
      <calculatedColumnFormula>mobilemod_T[[D_hts_tst_pos_mobilemod_u15_fy19]:[D_hts_tst_pos_mobilemod_u15_fy19]]*mobilemod_T[A_hts_tst_mobilemod_0109_unk_pos]</calculatedColumnFormula>
    </tableColumn>
    <tableColumn id="22" xr3:uid="{00000000-0010-0000-0300-000016000000}" name="hts_tst_mobilemod_1014_f_pos" dataDxfId="1022">
      <calculatedColumnFormula>mobilemod_T[[D_hts_tst_pos_mobilemod_u15_fy19]:[D_hts_tst_pos_mobilemod_u15_fy19]]*mobilemod_T[A_hts_tst_mobilemod_1014_f_pos]</calculatedColumnFormula>
    </tableColumn>
    <tableColumn id="7" xr3:uid="{00000000-0010-0000-0300-000007000000}" name="hts_tst_mobilemod_1014_m_pos" dataDxfId="1021">
      <calculatedColumnFormula>mobilemod_T[[D_hts_tst_pos_mobilemod_u15_fy19]:[D_hts_tst_pos_mobilemod_u15_fy19]]*mobilemod_T[A_hts_tst_mobilemod_1014_m_pos]</calculatedColumnFormula>
    </tableColumn>
    <tableColumn id="8" xr3:uid="{00000000-0010-0000-0300-000008000000}" name="hts_tst_mobilemod_u1_unk_neg" dataDxfId="1020">
      <calculatedColumnFormula>mobilemod_T[[D_hts_tst_neg_mobilemod_u15_fy19]:[D_hts_tst_neg_mobilemod_u15_fy19]]*mobilemod_T[A_hts_tst_mobilemod_u1_unk_neg]</calculatedColumnFormula>
    </tableColumn>
    <tableColumn id="9" xr3:uid="{00000000-0010-0000-0300-000009000000}" name="hts_tst_mobilemod_0109_unk_neg" dataDxfId="1019">
      <calculatedColumnFormula>mobilemod_T[[D_hts_tst_neg_mobilemod_u15_fy19]:[D_hts_tst_neg_mobilemod_u15_fy19]]*mobilemod_T[A_hts_tst_mobilemod_0109_unk_neg]</calculatedColumnFormula>
    </tableColumn>
    <tableColumn id="10" xr3:uid="{00000000-0010-0000-0300-00000A000000}" name="hts_tst_mobilemod_1014_f_neg" dataDxfId="1018">
      <calculatedColumnFormula>mobilemod_T[[D_hts_tst_neg_mobilemod_u15_fy19]:[D_hts_tst_neg_mobilemod_u15_fy19]]*mobilemod_T[A_hts_tst_mobilemod_1014_f_neg]</calculatedColumnFormula>
    </tableColumn>
    <tableColumn id="11" xr3:uid="{00000000-0010-0000-0300-00000B000000}" name="hts_tst_mobilemod_1014_m_neg" dataDxfId="1017">
      <calculatedColumnFormula>mobilemod_T[[D_hts_tst_neg_mobilemod_u15_fy19]:[D_hts_tst_neg_mobilemod_u15_fy19]]*mobilemod_T[A_hts_tst_mobilemod_1014_m_neg]</calculatedColumnFormula>
    </tableColumn>
    <tableColumn id="12" xr3:uid="{00000000-0010-0000-0300-00000C000000}" name="hts_tst_mobilemod_1519_f_pos" dataDxfId="1016">
      <calculatedColumnFormula>mobilemod_T[[D_hts_tst_pos_mobilemod_o15_fy19]:[D_hts_tst_pos_mobilemod_o15_fy19]]*mobilemod_T[A_hts_tst_mobilemod_1519_f_pos]</calculatedColumnFormula>
    </tableColumn>
    <tableColumn id="13" xr3:uid="{00000000-0010-0000-0300-00000D000000}" name="hts_tst_mobilemod_1519_m_pos" dataDxfId="1015">
      <calculatedColumnFormula>mobilemod_T[[D_hts_tst_pos_mobilemod_o15_fy19]:[D_hts_tst_pos_mobilemod_o15_fy19]]*mobilemod_T[A_hts_tst_mobilemod_1519_m_pos]</calculatedColumnFormula>
    </tableColumn>
    <tableColumn id="54" xr3:uid="{00000000-0010-0000-0300-000036000000}" name="hts_tst_mobilemod_2024_f_pos" dataDxfId="1014">
      <calculatedColumnFormula>mobilemod_T[[D_hts_tst_pos_mobilemod_o15_fy19]:[D_hts_tst_pos_mobilemod_o15_fy19]]*mobilemod_T[A_hts_tst_mobilemod_2024_f_pos]</calculatedColumnFormula>
    </tableColumn>
    <tableColumn id="14" xr3:uid="{00000000-0010-0000-0300-00000E000000}" name="hts_tst_mobilemod_2024_m_pos" dataDxfId="1013">
      <calculatedColumnFormula>mobilemod_T[[D_hts_tst_pos_mobilemod_o15_fy19]:[D_hts_tst_pos_mobilemod_o15_fy19]]*mobilemod_T[A_hts_tst_mobilemod_2024_m_pos]</calculatedColumnFormula>
    </tableColumn>
    <tableColumn id="15" xr3:uid="{00000000-0010-0000-0300-00000F000000}" name="hts_tst_mobilemod_2529_f_pos" dataDxfId="1012">
      <calculatedColumnFormula>mobilemod_T[[D_hts_tst_pos_mobilemod_o15_fy19]:[D_hts_tst_pos_mobilemod_o15_fy19]]*mobilemod_T[A_hts_tst_mobilemod_2529_f_pos]</calculatedColumnFormula>
    </tableColumn>
    <tableColumn id="16" xr3:uid="{00000000-0010-0000-0300-000010000000}" name="hts_tst_mobilemod_2529_m_pos" dataDxfId="1011">
      <calculatedColumnFormula>mobilemod_T[[D_hts_tst_pos_mobilemod_o15_fy19]:[D_hts_tst_pos_mobilemod_o15_fy19]]*mobilemod_T[A_hts_tst_mobilemod_2529_m_pos]</calculatedColumnFormula>
    </tableColumn>
    <tableColumn id="17" xr3:uid="{00000000-0010-0000-0300-000011000000}" name="hts_tst_mobilemod_3034_f_pos" dataDxfId="1010">
      <calculatedColumnFormula>mobilemod_T[[D_hts_tst_pos_mobilemod_o15_fy19]:[D_hts_tst_pos_mobilemod_o15_fy19]]*mobilemod_T[A_hts_tst_mobilemod_3034_f_pos]</calculatedColumnFormula>
    </tableColumn>
    <tableColumn id="18" xr3:uid="{00000000-0010-0000-0300-000012000000}" name="hts_tst_mobilemod_3034_m_pos" dataDxfId="1009">
      <calculatedColumnFormula>mobilemod_T[[D_hts_tst_pos_mobilemod_o15_fy19]:[D_hts_tst_pos_mobilemod_o15_fy19]]*mobilemod_T[A_hts_tst_mobilemod_3034_m__pos]</calculatedColumnFormula>
    </tableColumn>
    <tableColumn id="19" xr3:uid="{00000000-0010-0000-0300-000013000000}" name="hts_tst_mobilemod_3539_f_pos" dataDxfId="1008">
      <calculatedColumnFormula>mobilemod_T[[D_hts_tst_pos_mobilemod_o15_fy19]:[D_hts_tst_pos_mobilemod_o15_fy19]]*mobilemod_T[A_hts_tst_mobilemod_3539_f_pos]</calculatedColumnFormula>
    </tableColumn>
    <tableColumn id="20" xr3:uid="{00000000-0010-0000-0300-000014000000}" name="hts_tst_mobilemod_3539_m_pos" dataDxfId="1007">
      <calculatedColumnFormula>mobilemod_T[[D_hts_tst_pos_mobilemod_o15_fy19]:[D_hts_tst_pos_mobilemod_o15_fy19]]*mobilemod_T[A_hts_tst_mobilemod_3539_m__pos]</calculatedColumnFormula>
    </tableColumn>
    <tableColumn id="21" xr3:uid="{00000000-0010-0000-0300-000015000000}" name="hts_tst_mobilemod_4049_f_pos" dataDxfId="1006">
      <calculatedColumnFormula>mobilemod_T[[D_hts_tst_pos_mobilemod_o15_fy19]:[D_hts_tst_pos_mobilemod_o15_fy19]]*mobilemod_T[A_hts_tst_mobilemod_4049_f_pos]</calculatedColumnFormula>
    </tableColumn>
    <tableColumn id="26" xr3:uid="{00000000-0010-0000-0300-00001A000000}" name="hts_tst_mobilemod_4049_m_pos" dataDxfId="1005">
      <calculatedColumnFormula>mobilemod_T[[D_hts_tst_pos_mobilemod_o15_fy19]:[D_hts_tst_pos_mobilemod_o15_fy19]]*mobilemod_T[A_hts_tst_mobilemod_4049_m_pos]</calculatedColumnFormula>
    </tableColumn>
    <tableColumn id="28" xr3:uid="{00000000-0010-0000-0300-00001C000000}" name="hts_tst_mobilemod_o50_f_pos" dataDxfId="1004">
      <calculatedColumnFormula>mobilemod_T[[D_hts_tst_pos_mobilemod_o15_fy19]:[D_hts_tst_pos_mobilemod_o15_fy19]]*mobilemod_T[A_hts_tst_mobilemod_o50_f_pos]</calculatedColumnFormula>
    </tableColumn>
    <tableColumn id="29" xr3:uid="{00000000-0010-0000-0300-00001D000000}" name="hts_tst_mobilemod_o50_m_pos" dataDxfId="1003">
      <calculatedColumnFormula>mobilemod_T[[D_hts_tst_pos_mobilemod_o15_fy19]:[D_hts_tst_pos_mobilemod_o15_fy19]]*mobilemod_T[A_hts_tst_mobilemod_o50_m_pos]</calculatedColumnFormula>
    </tableColumn>
    <tableColumn id="30" xr3:uid="{00000000-0010-0000-0300-00001E000000}" name="hts_tst_mobilemod_1519_f_neg" dataDxfId="1002">
      <calculatedColumnFormula>mobilemod_T[[D_hts_tst_neg_mobilemod_o15_fy19]:[D_hts_tst_neg_mobilemod_o15_fy19]]*mobilemod_T[A_hts_tst_mobilemod_1519_f_neg]</calculatedColumnFormula>
    </tableColumn>
    <tableColumn id="52" xr3:uid="{00000000-0010-0000-0300-000034000000}" name="hts_tst_mobilemod_1519_m_neg" dataDxfId="1001">
      <calculatedColumnFormula>mobilemod_T[[D_hts_tst_neg_mobilemod_o15_fy19]:[D_hts_tst_neg_mobilemod_o15_fy19]]*mobilemod_T[A_hts_tst_mobilemod_1519_m_neg]</calculatedColumnFormula>
    </tableColumn>
    <tableColumn id="31" xr3:uid="{00000000-0010-0000-0300-00001F000000}" name="hts_tst_mobilemod_2024_f_neg" dataDxfId="1000">
      <calculatedColumnFormula>mobilemod_T[[D_hts_tst_neg_mobilemod_o15_fy19]:[D_hts_tst_neg_mobilemod_o15_fy19]]*mobilemod_T[A_hts_tst_mobilemod_2024_f_neg]</calculatedColumnFormula>
    </tableColumn>
    <tableColumn id="32" xr3:uid="{00000000-0010-0000-0300-000020000000}" name="hts_tst_mobilemod_2024_m_neg" dataDxfId="999">
      <calculatedColumnFormula>mobilemod_T[[D_hts_tst_neg_mobilemod_o15_fy19]:[D_hts_tst_neg_mobilemod_o15_fy19]]*mobilemod_T[A_hts_tst_mobilemod_2024_m_neg]</calculatedColumnFormula>
    </tableColumn>
    <tableColumn id="33" xr3:uid="{00000000-0010-0000-0300-000021000000}" name="hts_tst_mobilemod_2529_f_neg" dataDxfId="998">
      <calculatedColumnFormula>mobilemod_T[[D_hts_tst_neg_mobilemod_o15_fy19]:[D_hts_tst_neg_mobilemod_o15_fy19]]*mobilemod_T[A_hts_tst_mobilemod_2529_f_neg]</calculatedColumnFormula>
    </tableColumn>
    <tableColumn id="34" xr3:uid="{00000000-0010-0000-0300-000022000000}" name="hts_tst_mobilemod_2529_m_neg" dataDxfId="997">
      <calculatedColumnFormula>mobilemod_T[[D_hts_tst_neg_mobilemod_o15_fy19]:[D_hts_tst_neg_mobilemod_o15_fy19]]*mobilemod_T[A_hts_tst_mobilemod_2529_m_neg]</calculatedColumnFormula>
    </tableColumn>
    <tableColumn id="35" xr3:uid="{00000000-0010-0000-0300-000023000000}" name="hts_tst_mobilemod_3034_f_neg" dataDxfId="996">
      <calculatedColumnFormula>mobilemod_T[[D_hts_tst_neg_mobilemod_o15_fy19]:[D_hts_tst_neg_mobilemod_o15_fy19]]*mobilemod_T[A_hts_tst_mobilemod_3034_f_neg]</calculatedColumnFormula>
    </tableColumn>
    <tableColumn id="36" xr3:uid="{00000000-0010-0000-0300-000024000000}" name="hts_tst_mobilemod_3034_m_neg" dataDxfId="995">
      <calculatedColumnFormula>mobilemod_T[[D_hts_tst_neg_mobilemod_o15_fy19]:[D_hts_tst_neg_mobilemod_o15_fy19]]*mobilemod_T[A_hts_tst_mobilemod_3034_m_neg]</calculatedColumnFormula>
    </tableColumn>
    <tableColumn id="53" xr3:uid="{00000000-0010-0000-0300-000035000000}" name="hts_tst_mobilemod_3539_f_neg" dataDxfId="994">
      <calculatedColumnFormula>mobilemod_T[[D_hts_tst_neg_mobilemod_o15_fy19]:[D_hts_tst_neg_mobilemod_o15_fy19]]*mobilemod_T[A_hts_tst_mobilemod_3539_f_neg]</calculatedColumnFormula>
    </tableColumn>
    <tableColumn id="37" xr3:uid="{00000000-0010-0000-0300-000025000000}" name="hts_tst_mobilemod_3539_m_neg" dataDxfId="993">
      <calculatedColumnFormula>mobilemod_T[[D_hts_tst_neg_mobilemod_o15_fy19]:[D_hts_tst_neg_mobilemod_o15_fy19]]*mobilemod_T[A_hts_tst_mobilemod_3539_m_neg]</calculatedColumnFormula>
    </tableColumn>
    <tableColumn id="38" xr3:uid="{00000000-0010-0000-0300-000026000000}" name="hts_tst_mobilemod_4049_f_neg" dataDxfId="992">
      <calculatedColumnFormula>mobilemod_T[[D_hts_tst_neg_mobilemod_o15_fy19]:[D_hts_tst_neg_mobilemod_o15_fy19]]*mobilemod_T[A_hts_tst_mobilemod_4049_f_neg]</calculatedColumnFormula>
    </tableColumn>
    <tableColumn id="39" xr3:uid="{00000000-0010-0000-0300-000027000000}" name="hts_tst_mobilemod_4049_m_neg" dataDxfId="991">
      <calculatedColumnFormula>mobilemod_T[[D_hts_tst_neg_mobilemod_o15_fy19]:[D_hts_tst_neg_mobilemod_o15_fy19]]*mobilemod_T[A_hts_tst_mobilemod_4049_m_neg]</calculatedColumnFormula>
    </tableColumn>
    <tableColumn id="40" xr3:uid="{00000000-0010-0000-0300-000028000000}" name="hts_tst_mobilemod_o50_f_neg" dataDxfId="990">
      <calculatedColumnFormula>mobilemod_T[[D_hts_tst_neg_mobilemod_o15_fy19]:[D_hts_tst_neg_mobilemod_o15_fy19]]*mobilemod_T[A_hts_tst_mobilemod_o50_f_neg]</calculatedColumnFormula>
    </tableColumn>
    <tableColumn id="41" xr3:uid="{00000000-0010-0000-0300-000029000000}" name="hts_tst_mobilemod_o50_m_neg" dataDxfId="989">
      <calculatedColumnFormula>mobilemod_T[[D_hts_tst_neg_mobilemod_o15_fy19]:[D_hts_tst_neg_mobilemod_o15_fy19]]*mobilemod_T[A_hts_tst_mobilemod_o50_m_neg]</calculatedColumnFormula>
    </tableColumn>
  </tableColumns>
  <tableStyleInfo name="DP Tab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vctmod_T" displayName="vctmod_T" ref="C6:CM7" totalsRowShown="0" headerRowDxfId="987" dataDxfId="986">
  <autoFilter ref="C6:CM7" xr:uid="{00000000-0009-0000-0100-00000C000000}"/>
  <tableColumns count="89">
    <tableColumn id="1" xr3:uid="{00000000-0010-0000-0400-000001000000}" name="psnu" dataDxfId="985"/>
    <tableColumn id="46" xr3:uid="{00000000-0010-0000-0400-00002E000000}" name="psnuuid" dataDxfId="984"/>
    <tableColumn id="2" xr3:uid="{00000000-0010-0000-0400-000002000000}" name="priority" dataDxfId="983"/>
    <tableColumn id="27" xr3:uid="{00000000-0010-0000-0400-00001B000000}" name="mechid" dataDxfId="982"/>
    <tableColumn id="45" xr3:uid="{00000000-0010-0000-0400-00002D000000}" name="mechname" dataDxfId="981"/>
    <tableColumn id="4" xr3:uid="{00000000-0010-0000-0400-000004000000}" name="type" dataDxfId="980"/>
    <tableColumn id="47" xr3:uid="{00000000-0010-0000-0400-00002F000000}" name="psnu_type" dataDxfId="979"/>
    <tableColumn id="48" xr3:uid="{00000000-0010-0000-0400-000030000000}" name="A_hts_tst_vctmod_u1_unk_pos" dataDxfId="978"/>
    <tableColumn id="50" xr3:uid="{00000000-0010-0000-0400-000032000000}" name="A_hts_tst_vctmod_0109_unk_pos" dataDxfId="977"/>
    <tableColumn id="51" xr3:uid="{00000000-0010-0000-0400-000033000000}" name="A_hts_tst_vctmod_1014_f_pos" dataDxfId="976"/>
    <tableColumn id="55" xr3:uid="{00000000-0010-0000-0400-000037000000}" name="A_hts_tst_vctmod_1014_m_pos" dataDxfId="975"/>
    <tableColumn id="75" xr3:uid="{00000000-0010-0000-0400-00004B000000}" name="A_hts_tst_vctmod_u1_unk_neg" dataDxfId="974"/>
    <tableColumn id="76" xr3:uid="{00000000-0010-0000-0400-00004C000000}" name="A_hts_tst_vctmod_0109_unk_neg" dataDxfId="973"/>
    <tableColumn id="77" xr3:uid="{00000000-0010-0000-0400-00004D000000}" name="A_hts_tst_vctmod_1014_f_neg" dataDxfId="972"/>
    <tableColumn id="78" xr3:uid="{00000000-0010-0000-0400-00004E000000}" name="A_hts_tst_vctmod_1014_m_neg" dataDxfId="971"/>
    <tableColumn id="79" xr3:uid="{00000000-0010-0000-0400-00004F000000}" name="A_hts_tst_vctmod_1519_f_pos" dataDxfId="970"/>
    <tableColumn id="80" xr3:uid="{00000000-0010-0000-0400-000050000000}" name="A_hts_tst_vctmod_1519_m_pos" dataDxfId="969"/>
    <tableColumn id="81" xr3:uid="{00000000-0010-0000-0400-000051000000}" name="A_hts_tst_vctmod_2024_f_pos" dataDxfId="968"/>
    <tableColumn id="82" xr3:uid="{00000000-0010-0000-0400-000052000000}" name="A_hts_tst_vctmod_2024_m_pos" dataDxfId="967"/>
    <tableColumn id="83" xr3:uid="{00000000-0010-0000-0400-000053000000}" name="A_hts_tst_vctmod_2529_f_pos" dataDxfId="966"/>
    <tableColumn id="84" xr3:uid="{00000000-0010-0000-0400-000054000000}" name="A_hts_tst_vctmod_2529_m_pos" dataDxfId="965"/>
    <tableColumn id="85" xr3:uid="{00000000-0010-0000-0400-000055000000}" name="A_hts_tst_vctmod_3034_f_pos" dataDxfId="964"/>
    <tableColumn id="86" xr3:uid="{00000000-0010-0000-0400-000056000000}" name="A_hts_tst_vctmod_3034_m__pos" dataDxfId="963"/>
    <tableColumn id="87" xr3:uid="{00000000-0010-0000-0400-000057000000}" name="A_hts_tst_vctmod_3539_f_pos" dataDxfId="962"/>
    <tableColumn id="88" xr3:uid="{00000000-0010-0000-0400-000058000000}" name="A_hts_tst_vctmod_3539_m__pos" dataDxfId="961"/>
    <tableColumn id="89" xr3:uid="{00000000-0010-0000-0400-000059000000}" name="A_hts_tst_vctmod_4049_f_pos" dataDxfId="960"/>
    <tableColumn id="90" xr3:uid="{00000000-0010-0000-0400-00005A000000}" name="A_hts_tst_vctmod_4049_m_pos" dataDxfId="959"/>
    <tableColumn id="91" xr3:uid="{00000000-0010-0000-0400-00005B000000}" name="A_hts_tst_vctmod_o50_f_pos" dataDxfId="958"/>
    <tableColumn id="92" xr3:uid="{00000000-0010-0000-0400-00005C000000}" name="A_hts_tst_vctmod_o50_m_pos" dataDxfId="957"/>
    <tableColumn id="56" xr3:uid="{00000000-0010-0000-0400-000038000000}" name="A_hts_tst_vctmod_1519_f_neg" dataDxfId="956"/>
    <tableColumn id="57" xr3:uid="{00000000-0010-0000-0400-000039000000}" name="A_hts_tst_vctmod_1519_m_neg" dataDxfId="955"/>
    <tableColumn id="58" xr3:uid="{00000000-0010-0000-0400-00003A000000}" name="A_hts_tst_vctmod_2024_f_neg" dataDxfId="954"/>
    <tableColumn id="59" xr3:uid="{00000000-0010-0000-0400-00003B000000}" name="A_hts_tst_vctmod_2024_m_neg" dataDxfId="953"/>
    <tableColumn id="60" xr3:uid="{00000000-0010-0000-0400-00003C000000}" name="A_hts_tst_vctmod_2529_f_neg" dataDxfId="952"/>
    <tableColumn id="61" xr3:uid="{00000000-0010-0000-0400-00003D000000}" name="A_hts_tst_vctmod_2529_m_neg" dataDxfId="951"/>
    <tableColumn id="62" xr3:uid="{00000000-0010-0000-0400-00003E000000}" name="A_hts_tst_vctmod_3034_f_neg" dataDxfId="950"/>
    <tableColumn id="63" xr3:uid="{00000000-0010-0000-0400-00003F000000}" name="A_hts_tst_vctmod_3034_m_neg" dataDxfId="949"/>
    <tableColumn id="64" xr3:uid="{00000000-0010-0000-0400-000040000000}" name="A_hts_tst_vctmod_3539_f_neg" dataDxfId="948"/>
    <tableColumn id="65" xr3:uid="{00000000-0010-0000-0400-000041000000}" name="A_hts_tst_vctmod_3539_m_neg" dataDxfId="947"/>
    <tableColumn id="66" xr3:uid="{00000000-0010-0000-0400-000042000000}" name="A_hts_tst_vctmod_4049_f_neg" dataDxfId="946"/>
    <tableColumn id="67" xr3:uid="{00000000-0010-0000-0400-000043000000}" name="A_hts_tst_vctmod_4049_m_neg" dataDxfId="945"/>
    <tableColumn id="68" xr3:uid="{00000000-0010-0000-0400-000044000000}" name="A_hts_tst_vctmod_o50_f_neg" dataDxfId="944"/>
    <tableColumn id="69" xr3:uid="{00000000-0010-0000-0400-000045000000}" name="A_hts_tst_vctmod_o50_m_neg" dataDxfId="943"/>
    <tableColumn id="3" xr3:uid="{00000000-0010-0000-0400-000003000000}" name="A_check1" dataDxfId="942"/>
    <tableColumn id="23" xr3:uid="{00000000-0010-0000-0400-000017000000}" name="A_check2" dataDxfId="941"/>
    <tableColumn id="24" xr3:uid="{00000000-0010-0000-0400-000018000000}" name="A_check3" dataDxfId="940"/>
    <tableColumn id="42" xr3:uid="{00000000-0010-0000-0400-00002A000000}" name="A_check4" dataDxfId="939"/>
    <tableColumn id="25" xr3:uid="{00000000-0010-0000-0400-000019000000}" name="D_hts_tst_vctmod_u15_fy19" dataDxfId="938"/>
    <tableColumn id="70" xr3:uid="{00000000-0010-0000-0400-000046000000}" name="D_hts_tst_pos_vctmod_u15_fy19" dataDxfId="937"/>
    <tableColumn id="71" xr3:uid="{00000000-0010-0000-0400-000047000000}" name="D_hts_tst_neg_vctmod_u15_fy19" dataDxfId="936"/>
    <tableColumn id="72" xr3:uid="{00000000-0010-0000-0400-000048000000}" name="D_hts_tst_vctmod_o15_fy19" dataDxfId="935"/>
    <tableColumn id="73" xr3:uid="{00000000-0010-0000-0400-000049000000}" name="D_hts_tst_pos_vctmod_o15_fy19" dataDxfId="934"/>
    <tableColumn id="74" xr3:uid="{00000000-0010-0000-0400-00004A000000}" name="D_hts_tst_neg_vctmod_o15_fy19" dataDxfId="933"/>
    <tableColumn id="5" xr3:uid="{00000000-0010-0000-0400-000005000000}" name="hts_tst_vctmod_u1_unk_pos" dataDxfId="932">
      <calculatedColumnFormula>vctmod_T[[D_hts_tst_pos_vctmod_u15_fy19]:[D_hts_tst_pos_vctmod_u15_fy19]]*vctmod_T[A_hts_tst_vctmod_u1_unk_pos]</calculatedColumnFormula>
    </tableColumn>
    <tableColumn id="6" xr3:uid="{00000000-0010-0000-0400-000006000000}" name="hts_tst_vctmod_0109_unk_pos" dataDxfId="931">
      <calculatedColumnFormula>vctmod_T[[D_hts_tst_pos_vctmod_u15_fy19]:[D_hts_tst_pos_vctmod_u15_fy19]]*vctmod_T[A_hts_tst_vctmod_0109_unk_pos]</calculatedColumnFormula>
    </tableColumn>
    <tableColumn id="22" xr3:uid="{00000000-0010-0000-0400-000016000000}" name="hts_tst_vctmod_1014_f_pos" dataDxfId="930">
      <calculatedColumnFormula>vctmod_T[[D_hts_tst_pos_vctmod_u15_fy19]:[D_hts_tst_pos_vctmod_u15_fy19]]*vctmod_T[A_hts_tst_vctmod_1014_f_pos]</calculatedColumnFormula>
    </tableColumn>
    <tableColumn id="7" xr3:uid="{00000000-0010-0000-0400-000007000000}" name="hts_tst_vctmod_1014_m_pos" dataDxfId="929">
      <calculatedColumnFormula>vctmod_T[[D_hts_tst_pos_vctmod_u15_fy19]:[D_hts_tst_pos_vctmod_u15_fy19]]*vctmod_T[A_hts_tst_vctmod_1014_m_pos]</calculatedColumnFormula>
    </tableColumn>
    <tableColumn id="8" xr3:uid="{00000000-0010-0000-0400-000008000000}" name="hts_tst_vctmod_u1_unk_neg" dataDxfId="928">
      <calculatedColumnFormula>vctmod_T[[D_hts_tst_neg_vctmod_u15_fy19]:[D_hts_tst_neg_vctmod_u15_fy19]]*vctmod_T[A_hts_tst_vctmod_u1_unk_neg]</calculatedColumnFormula>
    </tableColumn>
    <tableColumn id="9" xr3:uid="{00000000-0010-0000-0400-000009000000}" name="hts_tst_vctmod_0109_unk_neg" dataDxfId="927">
      <calculatedColumnFormula>vctmod_T[[D_hts_tst_neg_vctmod_u15_fy19]:[D_hts_tst_neg_vctmod_u15_fy19]]*vctmod_T[A_hts_tst_vctmod_0109_unk_neg]</calculatedColumnFormula>
    </tableColumn>
    <tableColumn id="10" xr3:uid="{00000000-0010-0000-0400-00000A000000}" name="hts_tst_vctmod_1014_f_neg" dataDxfId="926">
      <calculatedColumnFormula>vctmod_T[[D_hts_tst_neg_vctmod_u15_fy19]:[D_hts_tst_neg_vctmod_u15_fy19]]*vctmod_T[A_hts_tst_vctmod_1014_f_neg]</calculatedColumnFormula>
    </tableColumn>
    <tableColumn id="11" xr3:uid="{00000000-0010-0000-0400-00000B000000}" name="hts_tst_vctmod_1014_m_neg" dataDxfId="925">
      <calculatedColumnFormula>vctmod_T[[D_hts_tst_neg_vctmod_u15_fy19]:[D_hts_tst_neg_vctmod_u15_fy19]]*vctmod_T[A_hts_tst_vctmod_1014_m_neg]</calculatedColumnFormula>
    </tableColumn>
    <tableColumn id="12" xr3:uid="{00000000-0010-0000-0400-00000C000000}" name="hts_tst_vctmod_1519_f_pos" dataDxfId="924">
      <calculatedColumnFormula>vctmod_T[[D_hts_tst_pos_vctmod_o15_fy19]:[D_hts_tst_pos_vctmod_o15_fy19]]*vctmod_T[A_hts_tst_vctmod_1519_f_pos]</calculatedColumnFormula>
    </tableColumn>
    <tableColumn id="13" xr3:uid="{00000000-0010-0000-0400-00000D000000}" name="hts_tst_vctmod_1519_m_pos" dataDxfId="923">
      <calculatedColumnFormula>vctmod_T[[D_hts_tst_pos_vctmod_o15_fy19]:[D_hts_tst_pos_vctmod_o15_fy19]]*vctmod_T[A_hts_tst_vctmod_1519_m_pos]</calculatedColumnFormula>
    </tableColumn>
    <tableColumn id="54" xr3:uid="{00000000-0010-0000-0400-000036000000}" name="hts_tst_vctmod_2024_f_pos" dataDxfId="922">
      <calculatedColumnFormula>vctmod_T[[D_hts_tst_pos_vctmod_o15_fy19]:[D_hts_tst_pos_vctmod_o15_fy19]]*vctmod_T[A_hts_tst_vctmod_2024_f_pos]</calculatedColumnFormula>
    </tableColumn>
    <tableColumn id="14" xr3:uid="{00000000-0010-0000-0400-00000E000000}" name="hts_tst_vctmod_2024_m_pos" dataDxfId="921">
      <calculatedColumnFormula>vctmod_T[[D_hts_tst_pos_vctmod_o15_fy19]:[D_hts_tst_pos_vctmod_o15_fy19]]*vctmod_T[A_hts_tst_vctmod_2024_m_pos]</calculatedColumnFormula>
    </tableColumn>
    <tableColumn id="15" xr3:uid="{00000000-0010-0000-0400-00000F000000}" name="hts_tst_vctmod_2529_f_pos" dataDxfId="920">
      <calculatedColumnFormula>vctmod_T[[D_hts_tst_pos_vctmod_o15_fy19]:[D_hts_tst_pos_vctmod_o15_fy19]]*vctmod_T[A_hts_tst_vctmod_2529_f_pos]</calculatedColumnFormula>
    </tableColumn>
    <tableColumn id="16" xr3:uid="{00000000-0010-0000-0400-000010000000}" name="hts_tst_vctmod_2529_m_pos" dataDxfId="919">
      <calculatedColumnFormula>vctmod_T[[D_hts_tst_pos_vctmod_o15_fy19]:[D_hts_tst_pos_vctmod_o15_fy19]]*vctmod_T[A_hts_tst_vctmod_2529_m_pos]</calculatedColumnFormula>
    </tableColumn>
    <tableColumn id="17" xr3:uid="{00000000-0010-0000-0400-000011000000}" name="hts_tst_vctmod_3034_f_pos" dataDxfId="918">
      <calculatedColumnFormula>vctmod_T[[D_hts_tst_pos_vctmod_o15_fy19]:[D_hts_tst_pos_vctmod_o15_fy19]]*vctmod_T[A_hts_tst_vctmod_3034_f_pos]</calculatedColumnFormula>
    </tableColumn>
    <tableColumn id="18" xr3:uid="{00000000-0010-0000-0400-000012000000}" name="hts_tst_vctmod_3034_m_pos" dataDxfId="917">
      <calculatedColumnFormula>vctmod_T[[D_hts_tst_pos_vctmod_o15_fy19]:[D_hts_tst_pos_vctmod_o15_fy19]]*vctmod_T[A_hts_tst_vctmod_3034_m__pos]</calculatedColumnFormula>
    </tableColumn>
    <tableColumn id="19" xr3:uid="{00000000-0010-0000-0400-000013000000}" name="hts_tst_vctmod_3539_f_pos" dataDxfId="916">
      <calculatedColumnFormula>vctmod_T[[D_hts_tst_pos_vctmod_o15_fy19]:[D_hts_tst_pos_vctmod_o15_fy19]]*vctmod_T[A_hts_tst_vctmod_3539_f_pos]</calculatedColumnFormula>
    </tableColumn>
    <tableColumn id="20" xr3:uid="{00000000-0010-0000-0400-000014000000}" name="hts_tst_vctmod_3539_m_pos" dataDxfId="915">
      <calculatedColumnFormula>vctmod_T[[D_hts_tst_pos_vctmod_o15_fy19]:[D_hts_tst_pos_vctmod_o15_fy19]]*vctmod_T[A_hts_tst_vctmod_3539_m__pos]</calculatedColumnFormula>
    </tableColumn>
    <tableColumn id="21" xr3:uid="{00000000-0010-0000-0400-000015000000}" name="hts_tst_vctmod_4049_f_pos" dataDxfId="914">
      <calculatedColumnFormula>vctmod_T[[D_hts_tst_pos_vctmod_o15_fy19]:[D_hts_tst_pos_vctmod_o15_fy19]]*vctmod_T[A_hts_tst_vctmod_4049_f_pos]</calculatedColumnFormula>
    </tableColumn>
    <tableColumn id="26" xr3:uid="{00000000-0010-0000-0400-00001A000000}" name="hts_tst_vctmod_4049_m_pos" dataDxfId="913">
      <calculatedColumnFormula>vctmod_T[[D_hts_tst_pos_vctmod_o15_fy19]:[D_hts_tst_pos_vctmod_o15_fy19]]*vctmod_T[A_hts_tst_vctmod_4049_m_pos]</calculatedColumnFormula>
    </tableColumn>
    <tableColumn id="28" xr3:uid="{00000000-0010-0000-0400-00001C000000}" name="hts_tst_vctmod_o50_f_pos" dataDxfId="912">
      <calculatedColumnFormula>vctmod_T[[D_hts_tst_pos_vctmod_o15_fy19]:[D_hts_tst_pos_vctmod_o15_fy19]]*vctmod_T[A_hts_tst_vctmod_o50_f_pos]</calculatedColumnFormula>
    </tableColumn>
    <tableColumn id="29" xr3:uid="{00000000-0010-0000-0400-00001D000000}" name="hts_tst_vctmod_o50_m_pos" dataDxfId="911">
      <calculatedColumnFormula>vctmod_T[[D_hts_tst_pos_vctmod_o15_fy19]:[D_hts_tst_pos_vctmod_o15_fy19]]*vctmod_T[A_hts_tst_vctmod_o50_m_pos]</calculatedColumnFormula>
    </tableColumn>
    <tableColumn id="30" xr3:uid="{00000000-0010-0000-0400-00001E000000}" name="hts_tst_vctmod_1519_f_neg" dataDxfId="910">
      <calculatedColumnFormula>vctmod_T[[D_hts_tst_neg_vctmod_o15_fy19]:[D_hts_tst_neg_vctmod_o15_fy19]]*vctmod_T[A_hts_tst_vctmod_1519_f_neg]</calculatedColumnFormula>
    </tableColumn>
    <tableColumn id="52" xr3:uid="{00000000-0010-0000-0400-000034000000}" name="hts_tst_vctmod_1519_m_neg" dataDxfId="909">
      <calculatedColumnFormula>vctmod_T[[D_hts_tst_neg_vctmod_o15_fy19]:[D_hts_tst_neg_vctmod_o15_fy19]]*vctmod_T[A_hts_tst_vctmod_1519_m_neg]</calculatedColumnFormula>
    </tableColumn>
    <tableColumn id="31" xr3:uid="{00000000-0010-0000-0400-00001F000000}" name="hts_tst_vctmod_2024_f_neg" dataDxfId="908">
      <calculatedColumnFormula>vctmod_T[[D_hts_tst_neg_vctmod_o15_fy19]:[D_hts_tst_neg_vctmod_o15_fy19]]*vctmod_T[A_hts_tst_vctmod_2024_f_neg]</calculatedColumnFormula>
    </tableColumn>
    <tableColumn id="32" xr3:uid="{00000000-0010-0000-0400-000020000000}" name="hts_tst_vctmod_2024_m_neg" dataDxfId="907">
      <calculatedColumnFormula>vctmod_T[[D_hts_tst_neg_vctmod_o15_fy19]:[D_hts_tst_neg_vctmod_o15_fy19]]*vctmod_T[A_hts_tst_vctmod_2024_m_neg]</calculatedColumnFormula>
    </tableColumn>
    <tableColumn id="33" xr3:uid="{00000000-0010-0000-0400-000021000000}" name="hts_tst_vctmod_2529_f_neg" dataDxfId="906">
      <calculatedColumnFormula>vctmod_T[[D_hts_tst_neg_vctmod_o15_fy19]:[D_hts_tst_neg_vctmod_o15_fy19]]*vctmod_T[A_hts_tst_vctmod_2529_f_neg]</calculatedColumnFormula>
    </tableColumn>
    <tableColumn id="34" xr3:uid="{00000000-0010-0000-0400-000022000000}" name="hts_tst_vctmod_2529_m_neg" dataDxfId="905">
      <calculatedColumnFormula>vctmod_T[[D_hts_tst_neg_vctmod_o15_fy19]:[D_hts_tst_neg_vctmod_o15_fy19]]*vctmod_T[A_hts_tst_vctmod_2529_m_neg]</calculatedColumnFormula>
    </tableColumn>
    <tableColumn id="35" xr3:uid="{00000000-0010-0000-0400-000023000000}" name="hts_tst_vctmod_3034_f_neg" dataDxfId="904">
      <calculatedColumnFormula>vctmod_T[[D_hts_tst_neg_vctmod_o15_fy19]:[D_hts_tst_neg_vctmod_o15_fy19]]*vctmod_T[A_hts_tst_vctmod_3034_f_neg]</calculatedColumnFormula>
    </tableColumn>
    <tableColumn id="36" xr3:uid="{00000000-0010-0000-0400-000024000000}" name="hts_tst_vctmod_3034_m_neg" dataDxfId="903">
      <calculatedColumnFormula>vctmod_T[[D_hts_tst_neg_vctmod_o15_fy19]:[D_hts_tst_neg_vctmod_o15_fy19]]*vctmod_T[A_hts_tst_vctmod_3034_m_neg]</calculatedColumnFormula>
    </tableColumn>
    <tableColumn id="53" xr3:uid="{00000000-0010-0000-0400-000035000000}" name="hts_tst_vctmod_3539_f_neg" dataDxfId="902">
      <calculatedColumnFormula>vctmod_T[[D_hts_tst_neg_vctmod_o15_fy19]:[D_hts_tst_neg_vctmod_o15_fy19]]*vctmod_T[A_hts_tst_vctmod_3539_f_neg]</calculatedColumnFormula>
    </tableColumn>
    <tableColumn id="37" xr3:uid="{00000000-0010-0000-0400-000025000000}" name="hts_tst_vctmod_3539_m_neg" dataDxfId="901">
      <calculatedColumnFormula>vctmod_T[[D_hts_tst_neg_vctmod_o15_fy19]:[D_hts_tst_neg_vctmod_o15_fy19]]*vctmod_T[A_hts_tst_vctmod_3539_m_neg]</calculatedColumnFormula>
    </tableColumn>
    <tableColumn id="38" xr3:uid="{00000000-0010-0000-0400-000026000000}" name="hts_tst_vctmod_4049_f_neg" dataDxfId="900">
      <calculatedColumnFormula>vctmod_T[[D_hts_tst_neg_vctmod_o15_fy19]:[D_hts_tst_neg_vctmod_o15_fy19]]*vctmod_T[A_hts_tst_vctmod_4049_f_neg]</calculatedColumnFormula>
    </tableColumn>
    <tableColumn id="39" xr3:uid="{00000000-0010-0000-0400-000027000000}" name="hts_tst_vctmod_4049_m_neg" dataDxfId="899">
      <calculatedColumnFormula>vctmod_T[[D_hts_tst_neg_vctmod_o15_fy19]:[D_hts_tst_neg_vctmod_o15_fy19]]*vctmod_T[A_hts_tst_vctmod_4049_m_neg]</calculatedColumnFormula>
    </tableColumn>
    <tableColumn id="40" xr3:uid="{00000000-0010-0000-0400-000028000000}" name="hts_tst_vctmod_o50_f_neg" dataDxfId="898">
      <calculatedColumnFormula>vctmod_T[[D_hts_tst_neg_vctmod_o15_fy19]:[D_hts_tst_neg_vctmod_o15_fy19]]*vctmod_T[A_hts_tst_vctmod_o50_f_neg]</calculatedColumnFormula>
    </tableColumn>
    <tableColumn id="41" xr3:uid="{00000000-0010-0000-0400-000029000000}" name="hts_tst_vctmod_o50_m_neg" dataDxfId="897">
      <calculatedColumnFormula>vctmod_T[[D_hts_tst_neg_vctmod_o15_fy19]:[D_hts_tst_neg_vctmod_o15_fy19]]*vctmod_T[A_hts_tst_vctmod_o50_m_neg]</calculatedColumnFormula>
    </tableColumn>
  </tableColumns>
  <tableStyleInfo name="DP Tabl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5000000}" name="othermod_T" displayName="othermod_T" ref="C6:CM7" totalsRowShown="0" headerRowDxfId="895" dataDxfId="894">
  <autoFilter ref="C6:CM7" xr:uid="{00000000-0009-0000-0100-00000D000000}"/>
  <tableColumns count="89">
    <tableColumn id="1" xr3:uid="{00000000-0010-0000-0500-000001000000}" name="psnu" dataDxfId="893"/>
    <tableColumn id="46" xr3:uid="{00000000-0010-0000-0500-00002E000000}" name="psnuuid" dataDxfId="892"/>
    <tableColumn id="2" xr3:uid="{00000000-0010-0000-0500-000002000000}" name="priority" dataDxfId="891"/>
    <tableColumn id="27" xr3:uid="{00000000-0010-0000-0500-00001B000000}" name="mechid" dataDxfId="890"/>
    <tableColumn id="45" xr3:uid="{00000000-0010-0000-0500-00002D000000}" name="mechname" dataDxfId="889"/>
    <tableColumn id="4" xr3:uid="{00000000-0010-0000-0500-000004000000}" name="type" dataDxfId="888"/>
    <tableColumn id="47" xr3:uid="{00000000-0010-0000-0500-00002F000000}" name="psnu_type" dataDxfId="887"/>
    <tableColumn id="48" xr3:uid="{00000000-0010-0000-0500-000030000000}" name="A_hts_tst_othermod_u1_unk_pos" dataDxfId="886"/>
    <tableColumn id="50" xr3:uid="{00000000-0010-0000-0500-000032000000}" name="A_hts_tst_othermod_0109_unk_pos" dataDxfId="885"/>
    <tableColumn id="51" xr3:uid="{00000000-0010-0000-0500-000033000000}" name="A_hts_tst_othermod_1014_f_pos" dataDxfId="884"/>
    <tableColumn id="55" xr3:uid="{00000000-0010-0000-0500-000037000000}" name="A_hts_tst_othermod_1014_m_pos" dataDxfId="883"/>
    <tableColumn id="75" xr3:uid="{00000000-0010-0000-0500-00004B000000}" name="A_hts_tst_othermod_u1_unk_neg" dataDxfId="882"/>
    <tableColumn id="76" xr3:uid="{00000000-0010-0000-0500-00004C000000}" name="A_hts_tst_othermod_0109_unk_neg" dataDxfId="881"/>
    <tableColumn id="77" xr3:uid="{00000000-0010-0000-0500-00004D000000}" name="A_hts_tst_othermod_1014_f_neg" dataDxfId="880"/>
    <tableColumn id="78" xr3:uid="{00000000-0010-0000-0500-00004E000000}" name="A_hts_tst_othermod_1014_m_neg" dataDxfId="879"/>
    <tableColumn id="79" xr3:uid="{00000000-0010-0000-0500-00004F000000}" name="A_hts_tst_othermod_1519_f_pos" dataDxfId="878"/>
    <tableColumn id="80" xr3:uid="{00000000-0010-0000-0500-000050000000}" name="A_hts_tst_othermod_1519_m_pos" dataDxfId="877"/>
    <tableColumn id="81" xr3:uid="{00000000-0010-0000-0500-000051000000}" name="A_hts_tst_othermod_2024_f_pos" dataDxfId="876"/>
    <tableColumn id="82" xr3:uid="{00000000-0010-0000-0500-000052000000}" name="A_hts_tst_othermod_2024_m_pos" dataDxfId="875"/>
    <tableColumn id="83" xr3:uid="{00000000-0010-0000-0500-000053000000}" name="A_hts_tst_othermod_2529_f_pos" dataDxfId="874"/>
    <tableColumn id="84" xr3:uid="{00000000-0010-0000-0500-000054000000}" name="A_hts_tst_othermod_2529_m_pos" dataDxfId="873"/>
    <tableColumn id="85" xr3:uid="{00000000-0010-0000-0500-000055000000}" name="A_hts_tst_othermod_3034_f_pos" dataDxfId="872"/>
    <tableColumn id="86" xr3:uid="{00000000-0010-0000-0500-000056000000}" name="A_hts_tst_othermod_3034_m__pos" dataDxfId="871"/>
    <tableColumn id="87" xr3:uid="{00000000-0010-0000-0500-000057000000}" name="A_hts_tst_othermod_3539_f_pos" dataDxfId="870"/>
    <tableColumn id="88" xr3:uid="{00000000-0010-0000-0500-000058000000}" name="A_hts_tst_othermod_3539_m__pos" dataDxfId="869"/>
    <tableColumn id="89" xr3:uid="{00000000-0010-0000-0500-000059000000}" name="A_hts_tst_othermod_4049_f_pos" dataDxfId="868"/>
    <tableColumn id="90" xr3:uid="{00000000-0010-0000-0500-00005A000000}" name="A_hts_tst_othermod_4049_m_pos" dataDxfId="867"/>
    <tableColumn id="91" xr3:uid="{00000000-0010-0000-0500-00005B000000}" name="A_hts_tst_othermod_o50_f_pos" dataDxfId="866"/>
    <tableColumn id="92" xr3:uid="{00000000-0010-0000-0500-00005C000000}" name="A_hts_tst_othermod_o50_m_pos" dataDxfId="865"/>
    <tableColumn id="56" xr3:uid="{00000000-0010-0000-0500-000038000000}" name="A_hts_tst_othermod_1519_f_neg" dataDxfId="864"/>
    <tableColumn id="57" xr3:uid="{00000000-0010-0000-0500-000039000000}" name="A_hts_tst_othermod_1519_m_neg" dataDxfId="863"/>
    <tableColumn id="58" xr3:uid="{00000000-0010-0000-0500-00003A000000}" name="A_hts_tst_othermod_2024_f_neg" dataDxfId="862"/>
    <tableColumn id="59" xr3:uid="{00000000-0010-0000-0500-00003B000000}" name="A_hts_tst_othermod_2024_m_neg" dataDxfId="861"/>
    <tableColumn id="60" xr3:uid="{00000000-0010-0000-0500-00003C000000}" name="A_hts_tst_othermod_2529_f_neg" dataDxfId="860"/>
    <tableColumn id="61" xr3:uid="{00000000-0010-0000-0500-00003D000000}" name="A_hts_tst_othermod_2529_m_neg" dataDxfId="859"/>
    <tableColumn id="62" xr3:uid="{00000000-0010-0000-0500-00003E000000}" name="A_hts_tst_othermod_3034_f_neg" dataDxfId="858"/>
    <tableColumn id="63" xr3:uid="{00000000-0010-0000-0500-00003F000000}" name="A_hts_tst_othermod_3034_m_neg" dataDxfId="857"/>
    <tableColumn id="64" xr3:uid="{00000000-0010-0000-0500-000040000000}" name="A_hts_tst_othermod_3539_f_neg" dataDxfId="856"/>
    <tableColumn id="65" xr3:uid="{00000000-0010-0000-0500-000041000000}" name="A_hts_tst_othermod_3539_m_neg" dataDxfId="855"/>
    <tableColumn id="66" xr3:uid="{00000000-0010-0000-0500-000042000000}" name="A_hts_tst_othermod_4049_f_neg" dataDxfId="854"/>
    <tableColumn id="67" xr3:uid="{00000000-0010-0000-0500-000043000000}" name="A_hts_tst_othermod_4049_m_neg" dataDxfId="853"/>
    <tableColumn id="68" xr3:uid="{00000000-0010-0000-0500-000044000000}" name="A_hts_tst_othermod_o50_f_neg" dataDxfId="852"/>
    <tableColumn id="69" xr3:uid="{00000000-0010-0000-0500-000045000000}" name="A_hts_tst_othermod_o50_m_neg" dataDxfId="851"/>
    <tableColumn id="3" xr3:uid="{00000000-0010-0000-0500-000003000000}" name="A_check1" dataDxfId="850"/>
    <tableColumn id="23" xr3:uid="{00000000-0010-0000-0500-000017000000}" name="A_check2" dataDxfId="849"/>
    <tableColumn id="24" xr3:uid="{00000000-0010-0000-0500-000018000000}" name="A_check3" dataDxfId="848"/>
    <tableColumn id="42" xr3:uid="{00000000-0010-0000-0500-00002A000000}" name="A_check4" dataDxfId="847"/>
    <tableColumn id="25" xr3:uid="{00000000-0010-0000-0500-000019000000}" name="D_hts_tst_othermod_u15_fy19" dataDxfId="846"/>
    <tableColumn id="70" xr3:uid="{00000000-0010-0000-0500-000046000000}" name="D_hts_tst_pos_othermod_u15_fy19" dataDxfId="845"/>
    <tableColumn id="71" xr3:uid="{00000000-0010-0000-0500-000047000000}" name="D_hts_tst_neg_othermod_u15_fy19" dataDxfId="844"/>
    <tableColumn id="72" xr3:uid="{00000000-0010-0000-0500-000048000000}" name="D_hts_tst_othermod_o15_fy19" dataDxfId="843"/>
    <tableColumn id="73" xr3:uid="{00000000-0010-0000-0500-000049000000}" name="D_hts_tst_pos_othermod_o15_fy19" dataDxfId="842"/>
    <tableColumn id="74" xr3:uid="{00000000-0010-0000-0500-00004A000000}" name="D_hts_tst_neg_othermod_o15_fy19" dataDxfId="841"/>
    <tableColumn id="5" xr3:uid="{00000000-0010-0000-0500-000005000000}" name="hts_tst_othermod_u1_unk_pos" dataDxfId="840">
      <calculatedColumnFormula>othermod_T[[D_hts_tst_pos_othermod_u15_fy19]:[D_hts_tst_pos_othermod_u15_fy19]]*othermod_T[A_hts_tst_othermod_u1_unk_pos]</calculatedColumnFormula>
    </tableColumn>
    <tableColumn id="6" xr3:uid="{00000000-0010-0000-0500-000006000000}" name="hts_tst_othermod_0109_unk_pos" dataDxfId="839">
      <calculatedColumnFormula>othermod_T[[D_hts_tst_pos_othermod_u15_fy19]:[D_hts_tst_pos_othermod_u15_fy19]]*othermod_T[A_hts_tst_othermod_0109_unk_pos]</calculatedColumnFormula>
    </tableColumn>
    <tableColumn id="22" xr3:uid="{00000000-0010-0000-0500-000016000000}" name="hts_tst_othermod_1014_f_pos" dataDxfId="838">
      <calculatedColumnFormula>othermod_T[[D_hts_tst_pos_othermod_u15_fy19]:[D_hts_tst_pos_othermod_u15_fy19]]*othermod_T[A_hts_tst_othermod_1014_f_pos]</calculatedColumnFormula>
    </tableColumn>
    <tableColumn id="7" xr3:uid="{00000000-0010-0000-0500-000007000000}" name="hts_tst_othermod_1014_m_pos" dataDxfId="837">
      <calculatedColumnFormula>othermod_T[[D_hts_tst_pos_othermod_u15_fy19]:[D_hts_tst_pos_othermod_u15_fy19]]*othermod_T[A_hts_tst_othermod_1014_m_pos]</calculatedColumnFormula>
    </tableColumn>
    <tableColumn id="8" xr3:uid="{00000000-0010-0000-0500-000008000000}" name="hts_tst_othermod_u1_unk_neg" dataDxfId="836">
      <calculatedColumnFormula>othermod_T[[D_hts_tst_neg_othermod_u15_fy19]:[D_hts_tst_neg_othermod_u15_fy19]]*othermod_T[A_hts_tst_othermod_u1_unk_neg]</calculatedColumnFormula>
    </tableColumn>
    <tableColumn id="9" xr3:uid="{00000000-0010-0000-0500-000009000000}" name="hts_tst_othermod_0109_unk_neg" dataDxfId="835">
      <calculatedColumnFormula>othermod_T[[D_hts_tst_neg_othermod_u15_fy19]:[D_hts_tst_neg_othermod_u15_fy19]]*othermod_T[A_hts_tst_othermod_0109_unk_neg]</calculatedColumnFormula>
    </tableColumn>
    <tableColumn id="10" xr3:uid="{00000000-0010-0000-0500-00000A000000}" name="hts_tst_othermod_1014_f_neg" dataDxfId="834">
      <calculatedColumnFormula>othermod_T[[D_hts_tst_neg_othermod_u15_fy19]:[D_hts_tst_neg_othermod_u15_fy19]]*othermod_T[A_hts_tst_othermod_1014_f_neg]</calculatedColumnFormula>
    </tableColumn>
    <tableColumn id="11" xr3:uid="{00000000-0010-0000-0500-00000B000000}" name="hts_tst_othermod_1014_m_neg" dataDxfId="833">
      <calculatedColumnFormula>othermod_T[[D_hts_tst_neg_othermod_u15_fy19]:[D_hts_tst_neg_othermod_u15_fy19]]*othermod_T[A_hts_tst_othermod_1014_m_neg]</calculatedColumnFormula>
    </tableColumn>
    <tableColumn id="12" xr3:uid="{00000000-0010-0000-0500-00000C000000}" name="hts_tst_othermod_1519_f_pos" dataDxfId="832">
      <calculatedColumnFormula>othermod_T[[D_hts_tst_pos_othermod_o15_fy19]:[D_hts_tst_pos_othermod_o15_fy19]]*othermod_T[A_hts_tst_othermod_1519_f_pos]</calculatedColumnFormula>
    </tableColumn>
    <tableColumn id="13" xr3:uid="{00000000-0010-0000-0500-00000D000000}" name="hts_tst_othermod_1519_m_pos" dataDxfId="831">
      <calculatedColumnFormula>othermod_T[[D_hts_tst_pos_othermod_o15_fy19]:[D_hts_tst_pos_othermod_o15_fy19]]*othermod_T[A_hts_tst_othermod_1519_m_pos]</calculatedColumnFormula>
    </tableColumn>
    <tableColumn id="54" xr3:uid="{00000000-0010-0000-0500-000036000000}" name="hts_tst_othermod_2024_f_pos" dataDxfId="830">
      <calculatedColumnFormula>othermod_T[[D_hts_tst_pos_othermod_o15_fy19]:[D_hts_tst_pos_othermod_o15_fy19]]*othermod_T[A_hts_tst_othermod_2024_f_pos]</calculatedColumnFormula>
    </tableColumn>
    <tableColumn id="14" xr3:uid="{00000000-0010-0000-0500-00000E000000}" name="hts_tst_othermod_2024_m_pos" dataDxfId="829">
      <calculatedColumnFormula>othermod_T[[D_hts_tst_pos_othermod_o15_fy19]:[D_hts_tst_pos_othermod_o15_fy19]]*othermod_T[A_hts_tst_othermod_2024_m_pos]</calculatedColumnFormula>
    </tableColumn>
    <tableColumn id="15" xr3:uid="{00000000-0010-0000-0500-00000F000000}" name="hts_tst_othermod_2529_f_pos" dataDxfId="828">
      <calculatedColumnFormula>othermod_T[[D_hts_tst_pos_othermod_o15_fy19]:[D_hts_tst_pos_othermod_o15_fy19]]*othermod_T[A_hts_tst_othermod_2529_f_pos]</calculatedColumnFormula>
    </tableColumn>
    <tableColumn id="16" xr3:uid="{00000000-0010-0000-0500-000010000000}" name="hts_tst_othermod_2529_m_pos" dataDxfId="827">
      <calculatedColumnFormula>othermod_T[[D_hts_tst_pos_othermod_o15_fy19]:[D_hts_tst_pos_othermod_o15_fy19]]*othermod_T[A_hts_tst_othermod_2529_m_pos]</calculatedColumnFormula>
    </tableColumn>
    <tableColumn id="17" xr3:uid="{00000000-0010-0000-0500-000011000000}" name="hts_tst_othermod_3034_f_pos" dataDxfId="826">
      <calculatedColumnFormula>othermod_T[[D_hts_tst_pos_othermod_o15_fy19]:[D_hts_tst_pos_othermod_o15_fy19]]*othermod_T[A_hts_tst_othermod_3034_f_pos]</calculatedColumnFormula>
    </tableColumn>
    <tableColumn id="18" xr3:uid="{00000000-0010-0000-0500-000012000000}" name="hts_tst_othermod_3034_m_pos" dataDxfId="825">
      <calculatedColumnFormula>othermod_T[[D_hts_tst_pos_othermod_o15_fy19]:[D_hts_tst_pos_othermod_o15_fy19]]*othermod_T[A_hts_tst_othermod_3034_m__pos]</calculatedColumnFormula>
    </tableColumn>
    <tableColumn id="19" xr3:uid="{00000000-0010-0000-0500-000013000000}" name="hts_tst_othermod_3539_f_pos" dataDxfId="824">
      <calculatedColumnFormula>othermod_T[[D_hts_tst_pos_othermod_o15_fy19]:[D_hts_tst_pos_othermod_o15_fy19]]*othermod_T[A_hts_tst_othermod_3539_f_pos]</calculatedColumnFormula>
    </tableColumn>
    <tableColumn id="20" xr3:uid="{00000000-0010-0000-0500-000014000000}" name="hts_tst_othermod_3539_m_pos" dataDxfId="823">
      <calculatedColumnFormula>othermod_T[[D_hts_tst_pos_othermod_o15_fy19]:[D_hts_tst_pos_othermod_o15_fy19]]*othermod_T[A_hts_tst_othermod_3539_m__pos]</calculatedColumnFormula>
    </tableColumn>
    <tableColumn id="21" xr3:uid="{00000000-0010-0000-0500-000015000000}" name="hts_tst_othermod_4049_f_pos" dataDxfId="822">
      <calculatedColumnFormula>othermod_T[[D_hts_tst_pos_othermod_o15_fy19]:[D_hts_tst_pos_othermod_o15_fy19]]*othermod_T[A_hts_tst_othermod_4049_f_pos]</calculatedColumnFormula>
    </tableColumn>
    <tableColumn id="26" xr3:uid="{00000000-0010-0000-0500-00001A000000}" name="hts_tst_othermod_4049_m_pos" dataDxfId="821">
      <calculatedColumnFormula>othermod_T[[D_hts_tst_pos_othermod_o15_fy19]:[D_hts_tst_pos_othermod_o15_fy19]]*othermod_T[A_hts_tst_othermod_4049_m_pos]</calculatedColumnFormula>
    </tableColumn>
    <tableColumn id="28" xr3:uid="{00000000-0010-0000-0500-00001C000000}" name="hts_tst_othermod_o50_f_pos" dataDxfId="820">
      <calculatedColumnFormula>othermod_T[[D_hts_tst_pos_othermod_o15_fy19]:[D_hts_tst_pos_othermod_o15_fy19]]*othermod_T[A_hts_tst_othermod_o50_f_pos]</calculatedColumnFormula>
    </tableColumn>
    <tableColumn id="29" xr3:uid="{00000000-0010-0000-0500-00001D000000}" name="hts_tst_othermod_o50_m_pos" dataDxfId="819">
      <calculatedColumnFormula>othermod_T[[D_hts_tst_pos_othermod_o15_fy19]:[D_hts_tst_pos_othermod_o15_fy19]]*othermod_T[A_hts_tst_othermod_o50_m_pos]</calculatedColumnFormula>
    </tableColumn>
    <tableColumn id="30" xr3:uid="{00000000-0010-0000-0500-00001E000000}" name="hts_tst_othermod_1519_f_neg" dataDxfId="818">
      <calculatedColumnFormula>othermod_T[[D_hts_tst_neg_othermod_o15_fy19]:[D_hts_tst_neg_othermod_o15_fy19]]*othermod_T[A_hts_tst_othermod_1519_f_neg]</calculatedColumnFormula>
    </tableColumn>
    <tableColumn id="52" xr3:uid="{00000000-0010-0000-0500-000034000000}" name="hts_tst_othermod_1519_m_neg" dataDxfId="817">
      <calculatedColumnFormula>othermod_T[[D_hts_tst_neg_othermod_o15_fy19]:[D_hts_tst_neg_othermod_o15_fy19]]*othermod_T[A_hts_tst_othermod_1519_m_neg]</calculatedColumnFormula>
    </tableColumn>
    <tableColumn id="31" xr3:uid="{00000000-0010-0000-0500-00001F000000}" name="hts_tst_othermod_2024_f_neg" dataDxfId="816">
      <calculatedColumnFormula>othermod_T[[D_hts_tst_neg_othermod_o15_fy19]:[D_hts_tst_neg_othermod_o15_fy19]]*othermod_T[A_hts_tst_othermod_2024_f_neg]</calculatedColumnFormula>
    </tableColumn>
    <tableColumn id="32" xr3:uid="{00000000-0010-0000-0500-000020000000}" name="hts_tst_othermod_2024_m_neg" dataDxfId="815">
      <calculatedColumnFormula>othermod_T[[D_hts_tst_neg_othermod_o15_fy19]:[D_hts_tst_neg_othermod_o15_fy19]]*othermod_T[A_hts_tst_othermod_2024_m_neg]</calculatedColumnFormula>
    </tableColumn>
    <tableColumn id="33" xr3:uid="{00000000-0010-0000-0500-000021000000}" name="hts_tst_othermod_2529_f_neg" dataDxfId="814">
      <calculatedColumnFormula>othermod_T[[D_hts_tst_neg_othermod_o15_fy19]:[D_hts_tst_neg_othermod_o15_fy19]]*othermod_T[A_hts_tst_othermod_2529_f_neg]</calculatedColumnFormula>
    </tableColumn>
    <tableColumn id="34" xr3:uid="{00000000-0010-0000-0500-000022000000}" name="hts_tst_othermod_2529_m_neg" dataDxfId="813">
      <calculatedColumnFormula>othermod_T[[D_hts_tst_neg_othermod_o15_fy19]:[D_hts_tst_neg_othermod_o15_fy19]]*othermod_T[A_hts_tst_othermod_2529_m_neg]</calculatedColumnFormula>
    </tableColumn>
    <tableColumn id="35" xr3:uid="{00000000-0010-0000-0500-000023000000}" name="hts_tst_othermod_3034_f_neg" dataDxfId="812">
      <calculatedColumnFormula>othermod_T[[D_hts_tst_neg_othermod_o15_fy19]:[D_hts_tst_neg_othermod_o15_fy19]]*othermod_T[A_hts_tst_othermod_3034_f_neg]</calculatedColumnFormula>
    </tableColumn>
    <tableColumn id="36" xr3:uid="{00000000-0010-0000-0500-000024000000}" name="hts_tst_othermod_3034_m_neg" dataDxfId="811">
      <calculatedColumnFormula>othermod_T[[D_hts_tst_neg_othermod_o15_fy19]:[D_hts_tst_neg_othermod_o15_fy19]]*othermod_T[A_hts_tst_othermod_3034_m_neg]</calculatedColumnFormula>
    </tableColumn>
    <tableColumn id="53" xr3:uid="{00000000-0010-0000-0500-000035000000}" name="hts_tst_othermod_3539_f_neg" dataDxfId="810">
      <calculatedColumnFormula>othermod_T[[D_hts_tst_neg_othermod_o15_fy19]:[D_hts_tst_neg_othermod_o15_fy19]]*othermod_T[A_hts_tst_othermod_3539_f_neg]</calculatedColumnFormula>
    </tableColumn>
    <tableColumn id="37" xr3:uid="{00000000-0010-0000-0500-000025000000}" name="hts_tst_othermod_3539_m_neg" dataDxfId="809">
      <calculatedColumnFormula>othermod_T[[D_hts_tst_neg_othermod_o15_fy19]:[D_hts_tst_neg_othermod_o15_fy19]]*othermod_T[A_hts_tst_othermod_3539_m_neg]</calculatedColumnFormula>
    </tableColumn>
    <tableColumn id="38" xr3:uid="{00000000-0010-0000-0500-000026000000}" name="hts_tst_othermod_4049_f_neg" dataDxfId="808">
      <calculatedColumnFormula>othermod_T[[D_hts_tst_neg_othermod_o15_fy19]:[D_hts_tst_neg_othermod_o15_fy19]]*othermod_T[A_hts_tst_othermod_4049_f_neg]</calculatedColumnFormula>
    </tableColumn>
    <tableColumn id="39" xr3:uid="{00000000-0010-0000-0500-000027000000}" name="hts_tst_othermod_4049_m_neg" dataDxfId="807">
      <calculatedColumnFormula>othermod_T[[D_hts_tst_neg_othermod_o15_fy19]:[D_hts_tst_neg_othermod_o15_fy19]]*othermod_T[A_hts_tst_othermod_4049_m_neg]</calculatedColumnFormula>
    </tableColumn>
    <tableColumn id="40" xr3:uid="{00000000-0010-0000-0500-000028000000}" name="hts_tst_othermod_o50_f_neg" dataDxfId="806">
      <calculatedColumnFormula>othermod_T[[D_hts_tst_neg_othermod_o15_fy19]:[D_hts_tst_neg_othermod_o15_fy19]]*othermod_T[A_hts_tst_othermod_o50_f_neg]</calculatedColumnFormula>
    </tableColumn>
    <tableColumn id="41" xr3:uid="{00000000-0010-0000-0500-000029000000}" name="hts_tst_othermod_o50_m_neg" dataDxfId="805">
      <calculatedColumnFormula>othermod_T[[D_hts_tst_neg_othermod_o15_fy19]:[D_hts_tst_neg_othermod_o15_fy19]]*othermod_T[A_hts_tst_othermod_o50_m_neg]</calculatedColumnFormula>
    </tableColumn>
  </tableColumns>
  <tableStyleInfo name="DP Tabl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6000000}" name="index_T" displayName="index_T" ref="C6:CM7" totalsRowShown="0" headerRowDxfId="803" dataDxfId="802">
  <autoFilter ref="C6:CM7" xr:uid="{00000000-0009-0000-0100-00000E000000}"/>
  <tableColumns count="89">
    <tableColumn id="1" xr3:uid="{00000000-0010-0000-0600-000001000000}" name="psnu" dataDxfId="801"/>
    <tableColumn id="46" xr3:uid="{00000000-0010-0000-0600-00002E000000}" name="psnuuid" dataDxfId="800"/>
    <tableColumn id="2" xr3:uid="{00000000-0010-0000-0600-000002000000}" name="priority" dataDxfId="799"/>
    <tableColumn id="27" xr3:uid="{00000000-0010-0000-0600-00001B000000}" name="mechid" dataDxfId="798"/>
    <tableColumn id="45" xr3:uid="{00000000-0010-0000-0600-00002D000000}" name="mechname" dataDxfId="797"/>
    <tableColumn id="4" xr3:uid="{00000000-0010-0000-0600-000004000000}" name="type" dataDxfId="796"/>
    <tableColumn id="47" xr3:uid="{00000000-0010-0000-0600-00002F000000}" name="psnu_type" dataDxfId="795"/>
    <tableColumn id="48" xr3:uid="{00000000-0010-0000-0600-000030000000}" name="A_hts_tst_index_u1_unk_pos" dataDxfId="794"/>
    <tableColumn id="50" xr3:uid="{00000000-0010-0000-0600-000032000000}" name="A_hts_tst_index_0109_unk_pos" dataDxfId="793"/>
    <tableColumn id="51" xr3:uid="{00000000-0010-0000-0600-000033000000}" name="A_hts_tst_index_1014_f_pos" dataDxfId="792"/>
    <tableColumn id="55" xr3:uid="{00000000-0010-0000-0600-000037000000}" name="A_hts_tst_index_1014_m_pos" dataDxfId="791"/>
    <tableColumn id="75" xr3:uid="{00000000-0010-0000-0600-00004B000000}" name="A_hts_tst_index_u1_unk_neg" dataDxfId="790"/>
    <tableColumn id="76" xr3:uid="{00000000-0010-0000-0600-00004C000000}" name="A_hts_tst_index_0109_unk_neg" dataDxfId="789"/>
    <tableColumn id="77" xr3:uid="{00000000-0010-0000-0600-00004D000000}" name="A_hts_tst_index_1014_f_neg" dataDxfId="788"/>
    <tableColumn id="78" xr3:uid="{00000000-0010-0000-0600-00004E000000}" name="A_hts_tst_index_1014_m_neg" dataDxfId="787"/>
    <tableColumn id="79" xr3:uid="{00000000-0010-0000-0600-00004F000000}" name="A_hts_tst_index_1519_f_pos" dataDxfId="786"/>
    <tableColumn id="80" xr3:uid="{00000000-0010-0000-0600-000050000000}" name="A_hts_tst_index_1519_m_pos" dataDxfId="785"/>
    <tableColumn id="81" xr3:uid="{00000000-0010-0000-0600-000051000000}" name="A_hts_tst_index_2024_f_pos" dataDxfId="784"/>
    <tableColumn id="82" xr3:uid="{00000000-0010-0000-0600-000052000000}" name="A_hts_tst_index_2024_m_pos" dataDxfId="783"/>
    <tableColumn id="83" xr3:uid="{00000000-0010-0000-0600-000053000000}" name="A_hts_tst_index_2529_f_pos" dataDxfId="782"/>
    <tableColumn id="84" xr3:uid="{00000000-0010-0000-0600-000054000000}" name="A_hts_tst_index_2529_m_pos" dataDxfId="781"/>
    <tableColumn id="85" xr3:uid="{00000000-0010-0000-0600-000055000000}" name="A_hts_tst_index_3034_f_pos" dataDxfId="780"/>
    <tableColumn id="86" xr3:uid="{00000000-0010-0000-0600-000056000000}" name="A_hts_tst_index_3034_m__pos" dataDxfId="779"/>
    <tableColumn id="87" xr3:uid="{00000000-0010-0000-0600-000057000000}" name="A_hts_tst_index_3539_f_pos" dataDxfId="778"/>
    <tableColumn id="88" xr3:uid="{00000000-0010-0000-0600-000058000000}" name="A_hts_tst_index_3539_m__pos" dataDxfId="777"/>
    <tableColumn id="89" xr3:uid="{00000000-0010-0000-0600-000059000000}" name="A_hts_tst_index_4049_f_pos" dataDxfId="776"/>
    <tableColumn id="90" xr3:uid="{00000000-0010-0000-0600-00005A000000}" name="A_hts_tst_index_4049_m_pos" dataDxfId="775"/>
    <tableColumn id="91" xr3:uid="{00000000-0010-0000-0600-00005B000000}" name="A_hts_tst_index_o50_f_pos" dataDxfId="774"/>
    <tableColumn id="92" xr3:uid="{00000000-0010-0000-0600-00005C000000}" name="A_hts_tst_index_o50_m_pos" dataDxfId="773"/>
    <tableColumn id="56" xr3:uid="{00000000-0010-0000-0600-000038000000}" name="A_hts_tst_index_1519_f_neg" dataDxfId="772"/>
    <tableColumn id="57" xr3:uid="{00000000-0010-0000-0600-000039000000}" name="A_hts_tst_index_1519_m_neg" dataDxfId="771"/>
    <tableColumn id="58" xr3:uid="{00000000-0010-0000-0600-00003A000000}" name="A_hts_tst_index_2024_f_neg" dataDxfId="770"/>
    <tableColumn id="59" xr3:uid="{00000000-0010-0000-0600-00003B000000}" name="A_hts_tst_index_2024_m_neg" dataDxfId="769"/>
    <tableColumn id="60" xr3:uid="{00000000-0010-0000-0600-00003C000000}" name="A_hts_tst_index_2529_f_neg" dataDxfId="768"/>
    <tableColumn id="61" xr3:uid="{00000000-0010-0000-0600-00003D000000}" name="A_hts_tst_index_2529_m_neg" dataDxfId="767"/>
    <tableColumn id="62" xr3:uid="{00000000-0010-0000-0600-00003E000000}" name="A_hts_tst_index_3034_f_neg" dataDxfId="766"/>
    <tableColumn id="63" xr3:uid="{00000000-0010-0000-0600-00003F000000}" name="A_hts_tst_index_3034_m_neg" dataDxfId="765"/>
    <tableColumn id="64" xr3:uid="{00000000-0010-0000-0600-000040000000}" name="A_hts_tst_index_3539_f_neg" dataDxfId="764"/>
    <tableColumn id="65" xr3:uid="{00000000-0010-0000-0600-000041000000}" name="A_hts_tst_index_3539_m_neg" dataDxfId="763"/>
    <tableColumn id="66" xr3:uid="{00000000-0010-0000-0600-000042000000}" name="A_hts_tst_index_4049_f_neg" dataDxfId="762"/>
    <tableColumn id="67" xr3:uid="{00000000-0010-0000-0600-000043000000}" name="A_hts_tst_index_4049_m_neg" dataDxfId="761"/>
    <tableColumn id="68" xr3:uid="{00000000-0010-0000-0600-000044000000}" name="A_hts_tst_index_o50_f_neg" dataDxfId="760"/>
    <tableColumn id="69" xr3:uid="{00000000-0010-0000-0600-000045000000}" name="A_hts_tst_index_o50_m_neg" dataDxfId="759"/>
    <tableColumn id="3" xr3:uid="{00000000-0010-0000-0600-000003000000}" name="A_check1" dataDxfId="758"/>
    <tableColumn id="23" xr3:uid="{00000000-0010-0000-0600-000017000000}" name="A_check2" dataDxfId="757"/>
    <tableColumn id="24" xr3:uid="{00000000-0010-0000-0600-000018000000}" name="A_check3" dataDxfId="756"/>
    <tableColumn id="42" xr3:uid="{00000000-0010-0000-0600-00002A000000}" name="A_check4" dataDxfId="755"/>
    <tableColumn id="25" xr3:uid="{00000000-0010-0000-0600-000019000000}" name="D_hts_tst_index_u15_fy19" dataDxfId="754"/>
    <tableColumn id="70" xr3:uid="{00000000-0010-0000-0600-000046000000}" name="D_hts_tst_pos_index_u15_fy19" dataDxfId="753"/>
    <tableColumn id="71" xr3:uid="{00000000-0010-0000-0600-000047000000}" name="D_hts_tst_neg_index_u15_fy19" dataDxfId="752"/>
    <tableColumn id="72" xr3:uid="{00000000-0010-0000-0600-000048000000}" name="D_hts_tst_index_o15_fy19" dataDxfId="751"/>
    <tableColumn id="73" xr3:uid="{00000000-0010-0000-0600-000049000000}" name="D_hts_tst_pos_index_o15_fy19" dataDxfId="750"/>
    <tableColumn id="74" xr3:uid="{00000000-0010-0000-0600-00004A000000}" name="D_hts_tst_neg_index_o15_fy19" dataDxfId="749"/>
    <tableColumn id="5" xr3:uid="{00000000-0010-0000-0600-000005000000}" name="hts_tst_index_u1_unk_pos" dataDxfId="748">
      <calculatedColumnFormula>index_T[[D_hts_tst_pos_index_u15_fy19]:[D_hts_tst_pos_index_u15_fy19]]*index_T[A_hts_tst_index_u1_unk_pos]</calculatedColumnFormula>
    </tableColumn>
    <tableColumn id="6" xr3:uid="{00000000-0010-0000-0600-000006000000}" name="hts_tst_index_0109_unk_pos" dataDxfId="747">
      <calculatedColumnFormula>index_T[[D_hts_tst_pos_index_u15_fy19]:[D_hts_tst_pos_index_u15_fy19]]*index_T[A_hts_tst_index_0109_unk_pos]</calculatedColumnFormula>
    </tableColumn>
    <tableColumn id="22" xr3:uid="{00000000-0010-0000-0600-000016000000}" name="hts_tst_index_1014_f_pos" dataDxfId="746">
      <calculatedColumnFormula>index_T[[D_hts_tst_pos_index_u15_fy19]:[D_hts_tst_pos_index_u15_fy19]]*index_T[A_hts_tst_index_1014_f_pos]</calculatedColumnFormula>
    </tableColumn>
    <tableColumn id="7" xr3:uid="{00000000-0010-0000-0600-000007000000}" name="hts_tst_index_1014_m_pos" dataDxfId="745">
      <calculatedColumnFormula>index_T[[D_hts_tst_pos_index_u15_fy19]:[D_hts_tst_pos_index_u15_fy19]]*index_T[A_hts_tst_index_1014_m_pos]</calculatedColumnFormula>
    </tableColumn>
    <tableColumn id="8" xr3:uid="{00000000-0010-0000-0600-000008000000}" name="hts_tst_index_u1_unk_neg" dataDxfId="744">
      <calculatedColumnFormula>index_T[[D_hts_tst_neg_index_u15_fy19]:[D_hts_tst_neg_index_u15_fy19]]*index_T[A_hts_tst_index_u1_unk_neg]</calculatedColumnFormula>
    </tableColumn>
    <tableColumn id="9" xr3:uid="{00000000-0010-0000-0600-000009000000}" name="hts_tst_index_0109_unk_neg" dataDxfId="743">
      <calculatedColumnFormula>index_T[[D_hts_tst_neg_index_u15_fy19]:[D_hts_tst_neg_index_u15_fy19]]*index_T[A_hts_tst_index_0109_unk_neg]</calculatedColumnFormula>
    </tableColumn>
    <tableColumn id="10" xr3:uid="{00000000-0010-0000-0600-00000A000000}" name="hts_tst_index_1014_f_neg" dataDxfId="742">
      <calculatedColumnFormula>index_T[[D_hts_tst_neg_index_u15_fy19]:[D_hts_tst_neg_index_u15_fy19]]*index_T[A_hts_tst_index_1014_f_neg]</calculatedColumnFormula>
    </tableColumn>
    <tableColumn id="11" xr3:uid="{00000000-0010-0000-0600-00000B000000}" name="hts_tst_index_1014_m_neg" dataDxfId="741">
      <calculatedColumnFormula>index_T[[D_hts_tst_neg_index_u15_fy19]:[D_hts_tst_neg_index_u15_fy19]]*index_T[A_hts_tst_index_1014_m_neg]</calculatedColumnFormula>
    </tableColumn>
    <tableColumn id="12" xr3:uid="{00000000-0010-0000-0600-00000C000000}" name="hts_tst_index_1519_f_pos" dataDxfId="740">
      <calculatedColumnFormula>index_T[[D_hts_tst_pos_index_o15_fy19]:[D_hts_tst_pos_index_o15_fy19]]*index_T[A_hts_tst_index_1519_f_pos]</calculatedColumnFormula>
    </tableColumn>
    <tableColumn id="13" xr3:uid="{00000000-0010-0000-0600-00000D000000}" name="hts_tst_index_1519_m_pos" dataDxfId="739">
      <calculatedColumnFormula>index_T[[D_hts_tst_pos_index_o15_fy19]:[D_hts_tst_pos_index_o15_fy19]]*index_T[A_hts_tst_index_1519_m_pos]</calculatedColumnFormula>
    </tableColumn>
    <tableColumn id="54" xr3:uid="{00000000-0010-0000-0600-000036000000}" name="hts_tst_index_2024_f_pos" dataDxfId="738">
      <calculatedColumnFormula>index_T[[D_hts_tst_pos_index_o15_fy19]:[D_hts_tst_pos_index_o15_fy19]]*index_T[A_hts_tst_index_2024_f_pos]</calculatedColumnFormula>
    </tableColumn>
    <tableColumn id="14" xr3:uid="{00000000-0010-0000-0600-00000E000000}" name="hts_tst_index_2024_m_pos" dataDxfId="737">
      <calculatedColumnFormula>index_T[[D_hts_tst_pos_index_o15_fy19]:[D_hts_tst_pos_index_o15_fy19]]*index_T[A_hts_tst_index_2024_m_pos]</calculatedColumnFormula>
    </tableColumn>
    <tableColumn id="15" xr3:uid="{00000000-0010-0000-0600-00000F000000}" name="hts_tst_index_2529_f_pos" dataDxfId="736">
      <calculatedColumnFormula>index_T[[D_hts_tst_pos_index_o15_fy19]:[D_hts_tst_pos_index_o15_fy19]]*index_T[A_hts_tst_index_2529_f_pos]</calculatedColumnFormula>
    </tableColumn>
    <tableColumn id="16" xr3:uid="{00000000-0010-0000-0600-000010000000}" name="hts_tst_index_2529_m_pos" dataDxfId="735">
      <calculatedColumnFormula>index_T[[D_hts_tst_pos_index_o15_fy19]:[D_hts_tst_pos_index_o15_fy19]]*index_T[A_hts_tst_index_2529_m_pos]</calculatedColumnFormula>
    </tableColumn>
    <tableColumn id="17" xr3:uid="{00000000-0010-0000-0600-000011000000}" name="hts_tst_index_3034_f_pos" dataDxfId="734">
      <calculatedColumnFormula>index_T[[D_hts_tst_pos_index_o15_fy19]:[D_hts_tst_pos_index_o15_fy19]]*index_T[A_hts_tst_index_3034_f_pos]</calculatedColumnFormula>
    </tableColumn>
    <tableColumn id="18" xr3:uid="{00000000-0010-0000-0600-000012000000}" name="hts_tst_index_3034_m_pos" dataDxfId="733">
      <calculatedColumnFormula>index_T[[D_hts_tst_pos_index_o15_fy19]:[D_hts_tst_pos_index_o15_fy19]]*index_T[A_hts_tst_index_3034_m__pos]</calculatedColumnFormula>
    </tableColumn>
    <tableColumn id="19" xr3:uid="{00000000-0010-0000-0600-000013000000}" name="hts_tst_index_3539_f_pos" dataDxfId="732">
      <calculatedColumnFormula>index_T[[D_hts_tst_pos_index_o15_fy19]:[D_hts_tst_pos_index_o15_fy19]]*index_T[A_hts_tst_index_3539_f_pos]</calculatedColumnFormula>
    </tableColumn>
    <tableColumn id="20" xr3:uid="{00000000-0010-0000-0600-000014000000}" name="hts_tst_index_3539_m_pos" dataDxfId="731">
      <calculatedColumnFormula>index_T[[D_hts_tst_pos_index_o15_fy19]:[D_hts_tst_pos_index_o15_fy19]]*index_T[A_hts_tst_index_3539_m__pos]</calculatedColumnFormula>
    </tableColumn>
    <tableColumn id="21" xr3:uid="{00000000-0010-0000-0600-000015000000}" name="hts_tst_index_4049_f_pos" dataDxfId="730">
      <calculatedColumnFormula>index_T[[D_hts_tst_pos_index_o15_fy19]:[D_hts_tst_pos_index_o15_fy19]]*index_T[A_hts_tst_index_4049_f_pos]</calculatedColumnFormula>
    </tableColumn>
    <tableColumn id="26" xr3:uid="{00000000-0010-0000-0600-00001A000000}" name="hts_tst_index_4049_m_pos" dataDxfId="729">
      <calculatedColumnFormula>index_T[[D_hts_tst_pos_index_o15_fy19]:[D_hts_tst_pos_index_o15_fy19]]*index_T[A_hts_tst_index_4049_m_pos]</calculatedColumnFormula>
    </tableColumn>
    <tableColumn id="28" xr3:uid="{00000000-0010-0000-0600-00001C000000}" name="hts_tst_index_o50_f_pos" dataDxfId="728">
      <calculatedColumnFormula>index_T[[D_hts_tst_pos_index_o15_fy19]:[D_hts_tst_pos_index_o15_fy19]]*index_T[A_hts_tst_index_o50_f_pos]</calculatedColumnFormula>
    </tableColumn>
    <tableColumn id="29" xr3:uid="{00000000-0010-0000-0600-00001D000000}" name="hts_tst_index_o50_m_pos" dataDxfId="727">
      <calculatedColumnFormula>index_T[[D_hts_tst_pos_index_o15_fy19]:[D_hts_tst_pos_index_o15_fy19]]*index_T[A_hts_tst_index_o50_m_pos]</calculatedColumnFormula>
    </tableColumn>
    <tableColumn id="30" xr3:uid="{00000000-0010-0000-0600-00001E000000}" name="hts_tst_index_1519_f_neg" dataDxfId="726">
      <calculatedColumnFormula>index_T[[D_hts_tst_neg_index_o15_fy19]:[D_hts_tst_neg_index_o15_fy19]]*index_T[A_hts_tst_index_1519_f_neg]</calculatedColumnFormula>
    </tableColumn>
    <tableColumn id="52" xr3:uid="{00000000-0010-0000-0600-000034000000}" name="hts_tst_index_1519_m_neg" dataDxfId="725">
      <calculatedColumnFormula>index_T[[D_hts_tst_neg_index_o15_fy19]:[D_hts_tst_neg_index_o15_fy19]]*index_T[A_hts_tst_index_1519_m_neg]</calculatedColumnFormula>
    </tableColumn>
    <tableColumn id="31" xr3:uid="{00000000-0010-0000-0600-00001F000000}" name="hts_tst_index_2024_f_neg" dataDxfId="724">
      <calculatedColumnFormula>index_T[[D_hts_tst_neg_index_o15_fy19]:[D_hts_tst_neg_index_o15_fy19]]*index_T[A_hts_tst_index_2024_f_neg]</calculatedColumnFormula>
    </tableColumn>
    <tableColumn id="32" xr3:uid="{00000000-0010-0000-0600-000020000000}" name="hts_tst_index_2024_m_neg" dataDxfId="723">
      <calculatedColumnFormula>index_T[[D_hts_tst_neg_index_o15_fy19]:[D_hts_tst_neg_index_o15_fy19]]*index_T[A_hts_tst_index_2024_m_neg]</calculatedColumnFormula>
    </tableColumn>
    <tableColumn id="33" xr3:uid="{00000000-0010-0000-0600-000021000000}" name="hts_tst_index_2529_f_neg" dataDxfId="722">
      <calculatedColumnFormula>index_T[[D_hts_tst_neg_index_o15_fy19]:[D_hts_tst_neg_index_o15_fy19]]*index_T[A_hts_tst_index_2529_f_neg]</calculatedColumnFormula>
    </tableColumn>
    <tableColumn id="34" xr3:uid="{00000000-0010-0000-0600-000022000000}" name="hts_tst_index_2529_m_neg" dataDxfId="721">
      <calculatedColumnFormula>index_T[[D_hts_tst_neg_index_o15_fy19]:[D_hts_tst_neg_index_o15_fy19]]*index_T[A_hts_tst_index_2529_m_neg]</calculatedColumnFormula>
    </tableColumn>
    <tableColumn id="35" xr3:uid="{00000000-0010-0000-0600-000023000000}" name="hts_tst_index_3034_f_neg" dataDxfId="720">
      <calculatedColumnFormula>index_T[[D_hts_tst_neg_index_o15_fy19]:[D_hts_tst_neg_index_o15_fy19]]*index_T[A_hts_tst_index_3034_f_neg]</calculatedColumnFormula>
    </tableColumn>
    <tableColumn id="36" xr3:uid="{00000000-0010-0000-0600-000024000000}" name="hts_tst_index_3034_m_neg" dataDxfId="719">
      <calculatedColumnFormula>index_T[[D_hts_tst_neg_index_o15_fy19]:[D_hts_tst_neg_index_o15_fy19]]*index_T[A_hts_tst_index_3034_m_neg]</calculatedColumnFormula>
    </tableColumn>
    <tableColumn id="53" xr3:uid="{00000000-0010-0000-0600-000035000000}" name="hts_tst_index_3539_f_neg" dataDxfId="718">
      <calculatedColumnFormula>index_T[[D_hts_tst_neg_index_o15_fy19]:[D_hts_tst_neg_index_o15_fy19]]*index_T[A_hts_tst_index_3539_f_neg]</calculatedColumnFormula>
    </tableColumn>
    <tableColumn id="37" xr3:uid="{00000000-0010-0000-0600-000025000000}" name="hts_tst_index_3539_m_neg" dataDxfId="717">
      <calculatedColumnFormula>index_T[[D_hts_tst_neg_index_o15_fy19]:[D_hts_tst_neg_index_o15_fy19]]*index_T[A_hts_tst_index_3539_m_neg]</calculatedColumnFormula>
    </tableColumn>
    <tableColumn id="38" xr3:uid="{00000000-0010-0000-0600-000026000000}" name="hts_tst_index_4049_f_neg" dataDxfId="716">
      <calculatedColumnFormula>index_T[[D_hts_tst_neg_index_o15_fy19]:[D_hts_tst_neg_index_o15_fy19]]*index_T[A_hts_tst_index_4049_f_neg]</calculatedColumnFormula>
    </tableColumn>
    <tableColumn id="39" xr3:uid="{00000000-0010-0000-0600-000027000000}" name="hts_tst_index_4049_m_neg" dataDxfId="715">
      <calculatedColumnFormula>index_T[[D_hts_tst_neg_index_o15_fy19]:[D_hts_tst_neg_index_o15_fy19]]*index_T[A_hts_tst_index_4049_m_neg]</calculatedColumnFormula>
    </tableColumn>
    <tableColumn id="40" xr3:uid="{00000000-0010-0000-0600-000028000000}" name="hts_tst_index_o50_f_neg" dataDxfId="714">
      <calculatedColumnFormula>index_T[[D_hts_tst_neg_index_o15_fy19]:[D_hts_tst_neg_index_o15_fy19]]*index_T[A_hts_tst_index_o50_f_neg]</calculatedColumnFormula>
    </tableColumn>
    <tableColumn id="41" xr3:uid="{00000000-0010-0000-0600-000029000000}" name="hts_tst_index_o50_m_neg" dataDxfId="713">
      <calculatedColumnFormula>index_T[[D_hts_tst_neg_index_o15_fy19]:[D_hts_tst_neg_index_o15_fy19]]*index_T[A_hts_tst_index_o50_m_neg]</calculatedColumnFormula>
    </tableColumn>
  </tableColumns>
  <tableStyleInfo name="DP Tab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7000000}" name="sti_T" displayName="sti_T" ref="C6:CM7" totalsRowShown="0" headerRowDxfId="711" dataDxfId="710">
  <autoFilter ref="C6:CM7" xr:uid="{00000000-0009-0000-0100-00000F000000}"/>
  <tableColumns count="89">
    <tableColumn id="1" xr3:uid="{00000000-0010-0000-0700-000001000000}" name="psnu" dataDxfId="709"/>
    <tableColumn id="46" xr3:uid="{00000000-0010-0000-0700-00002E000000}" name="psnuuid" dataDxfId="708"/>
    <tableColumn id="2" xr3:uid="{00000000-0010-0000-0700-000002000000}" name="priority" dataDxfId="707"/>
    <tableColumn id="27" xr3:uid="{00000000-0010-0000-0700-00001B000000}" name="mechid" dataDxfId="706"/>
    <tableColumn id="45" xr3:uid="{00000000-0010-0000-0700-00002D000000}" name="mechname" dataDxfId="705"/>
    <tableColumn id="4" xr3:uid="{00000000-0010-0000-0700-000004000000}" name="type" dataDxfId="704"/>
    <tableColumn id="47" xr3:uid="{00000000-0010-0000-0700-00002F000000}" name="psnu_type" dataDxfId="703"/>
    <tableColumn id="48" xr3:uid="{00000000-0010-0000-0700-000030000000}" name="A_hts_tst_sti_u1_unk_pos" dataDxfId="702"/>
    <tableColumn id="50" xr3:uid="{00000000-0010-0000-0700-000032000000}" name="A_hts_tst_sti_0109_unk_pos" dataDxfId="701"/>
    <tableColumn id="51" xr3:uid="{00000000-0010-0000-0700-000033000000}" name="A_hts_tst_sti_1014_f_pos" dataDxfId="700"/>
    <tableColumn id="55" xr3:uid="{00000000-0010-0000-0700-000037000000}" name="A_hts_tst_sti_1014_m_pos" dataDxfId="699"/>
    <tableColumn id="75" xr3:uid="{00000000-0010-0000-0700-00004B000000}" name="A_hts_tst_sti_u1_unk_neg" dataDxfId="698"/>
    <tableColumn id="76" xr3:uid="{00000000-0010-0000-0700-00004C000000}" name="A_hts_tst_sti_0109_unk_neg" dataDxfId="697"/>
    <tableColumn id="77" xr3:uid="{00000000-0010-0000-0700-00004D000000}" name="A_hts_tst_sti_1014_f_neg" dataDxfId="696"/>
    <tableColumn id="78" xr3:uid="{00000000-0010-0000-0700-00004E000000}" name="A_hts_tst_sti_1014_m_neg" dataDxfId="695"/>
    <tableColumn id="79" xr3:uid="{00000000-0010-0000-0700-00004F000000}" name="A_hts_tst_sti_1519_f_pos" dataDxfId="694"/>
    <tableColumn id="80" xr3:uid="{00000000-0010-0000-0700-000050000000}" name="A_hts_tst_sti_1519_m_pos" dataDxfId="693"/>
    <tableColumn id="81" xr3:uid="{00000000-0010-0000-0700-000051000000}" name="A_hts_tst_sti_2024_f_pos" dataDxfId="692"/>
    <tableColumn id="82" xr3:uid="{00000000-0010-0000-0700-000052000000}" name="A_hts_tst_sti_2024_m_pos" dataDxfId="691"/>
    <tableColumn id="83" xr3:uid="{00000000-0010-0000-0700-000053000000}" name="A_hts_tst_sti_2529_f_pos" dataDxfId="690"/>
    <tableColumn id="84" xr3:uid="{00000000-0010-0000-0700-000054000000}" name="A_hts_tst_sti_2529_m_pos" dataDxfId="689"/>
    <tableColumn id="85" xr3:uid="{00000000-0010-0000-0700-000055000000}" name="A_hts_tst_sti_3034_f_pos" dataDxfId="688"/>
    <tableColumn id="86" xr3:uid="{00000000-0010-0000-0700-000056000000}" name="A_hts_tst_sti_3034_m__pos" dataDxfId="687"/>
    <tableColumn id="87" xr3:uid="{00000000-0010-0000-0700-000057000000}" name="A_hts_tst_sti_3539_f_pos" dataDxfId="686"/>
    <tableColumn id="88" xr3:uid="{00000000-0010-0000-0700-000058000000}" name="A_hts_tst_sti_3539_m__pos" dataDxfId="685"/>
    <tableColumn id="89" xr3:uid="{00000000-0010-0000-0700-000059000000}" name="A_hts_tst_sti_4049_f_pos" dataDxfId="684"/>
    <tableColumn id="90" xr3:uid="{00000000-0010-0000-0700-00005A000000}" name="A_hts_tst_sti_4049_m_pos" dataDxfId="683"/>
    <tableColumn id="91" xr3:uid="{00000000-0010-0000-0700-00005B000000}" name="A_hts_tst_sti_o50_f_pos" dataDxfId="682"/>
    <tableColumn id="92" xr3:uid="{00000000-0010-0000-0700-00005C000000}" name="A_hts_tst_sti_o50_m_pos" dataDxfId="681"/>
    <tableColumn id="56" xr3:uid="{00000000-0010-0000-0700-000038000000}" name="A_hts_tst_sti_1519_f_neg" dataDxfId="680"/>
    <tableColumn id="57" xr3:uid="{00000000-0010-0000-0700-000039000000}" name="A_hts_tst_sti_1519_m_neg" dataDxfId="679"/>
    <tableColumn id="58" xr3:uid="{00000000-0010-0000-0700-00003A000000}" name="A_hts_tst_sti_2024_f_neg" dataDxfId="678"/>
    <tableColumn id="59" xr3:uid="{00000000-0010-0000-0700-00003B000000}" name="A_hts_tst_sti_2024_m_neg" dataDxfId="677"/>
    <tableColumn id="60" xr3:uid="{00000000-0010-0000-0700-00003C000000}" name="A_hts_tst_sti_2529_f_neg" dataDxfId="676"/>
    <tableColumn id="61" xr3:uid="{00000000-0010-0000-0700-00003D000000}" name="A_hts_tst_sti_2529_m_neg" dataDxfId="675"/>
    <tableColumn id="62" xr3:uid="{00000000-0010-0000-0700-00003E000000}" name="A_hts_tst_sti_3034_f_neg" dataDxfId="674"/>
    <tableColumn id="63" xr3:uid="{00000000-0010-0000-0700-00003F000000}" name="A_hts_tst_sti_3034_m_neg" dataDxfId="673"/>
    <tableColumn id="64" xr3:uid="{00000000-0010-0000-0700-000040000000}" name="A_hts_tst_sti_3539_f_neg" dataDxfId="672"/>
    <tableColumn id="65" xr3:uid="{00000000-0010-0000-0700-000041000000}" name="A_hts_tst_sti_3539_m_neg" dataDxfId="671"/>
    <tableColumn id="66" xr3:uid="{00000000-0010-0000-0700-000042000000}" name="A_hts_tst_sti_4049_f_neg" dataDxfId="670"/>
    <tableColumn id="67" xr3:uid="{00000000-0010-0000-0700-000043000000}" name="A_hts_tst_sti_4049_m_neg" dataDxfId="669"/>
    <tableColumn id="68" xr3:uid="{00000000-0010-0000-0700-000044000000}" name="A_hts_tst_sti_o50_f_neg" dataDxfId="668"/>
    <tableColumn id="69" xr3:uid="{00000000-0010-0000-0700-000045000000}" name="A_hts_tst_sti_o50_m_neg" dataDxfId="667"/>
    <tableColumn id="3" xr3:uid="{00000000-0010-0000-0700-000003000000}" name="A_check1" dataDxfId="666"/>
    <tableColumn id="23" xr3:uid="{00000000-0010-0000-0700-000017000000}" name="A_check2" dataDxfId="665"/>
    <tableColumn id="24" xr3:uid="{00000000-0010-0000-0700-000018000000}" name="A_check3" dataDxfId="664"/>
    <tableColumn id="42" xr3:uid="{00000000-0010-0000-0700-00002A000000}" name="A_check4" dataDxfId="663"/>
    <tableColumn id="25" xr3:uid="{00000000-0010-0000-0700-000019000000}" name="D_hts_tst_sti_u15_fy19" dataDxfId="662"/>
    <tableColumn id="70" xr3:uid="{00000000-0010-0000-0700-000046000000}" name="D_hts_tst_pos_sti_u15_fy19" dataDxfId="661"/>
    <tableColumn id="71" xr3:uid="{00000000-0010-0000-0700-000047000000}" name="D_hts_tst_neg_sti_u15_fy19" dataDxfId="660"/>
    <tableColumn id="72" xr3:uid="{00000000-0010-0000-0700-000048000000}" name="D_hts_tst_sti_o15_fy19" dataDxfId="659"/>
    <tableColumn id="73" xr3:uid="{00000000-0010-0000-0700-000049000000}" name="D_hts_tst_pos_sti_o15_fy19" dataDxfId="658"/>
    <tableColumn id="74" xr3:uid="{00000000-0010-0000-0700-00004A000000}" name="D_hts_tst_neg_sti_o15_fy19" dataDxfId="657"/>
    <tableColumn id="5" xr3:uid="{00000000-0010-0000-0700-000005000000}" name="hts_tst_sti_u1_unk_pos" dataDxfId="656">
      <calculatedColumnFormula>sti_T[[D_hts_tst_pos_sti_u15_fy19]:[D_hts_tst_pos_sti_u15_fy19]]*sti_T[A_hts_tst_sti_u1_unk_pos]</calculatedColumnFormula>
    </tableColumn>
    <tableColumn id="6" xr3:uid="{00000000-0010-0000-0700-000006000000}" name="hts_tst_sti_0109_unk_pos" dataDxfId="655">
      <calculatedColumnFormula>sti_T[[D_hts_tst_pos_sti_u15_fy19]:[D_hts_tst_pos_sti_u15_fy19]]*sti_T[A_hts_tst_sti_0109_unk_pos]</calculatedColumnFormula>
    </tableColumn>
    <tableColumn id="22" xr3:uid="{00000000-0010-0000-0700-000016000000}" name="hts_tst_sti_1014_f_pos" dataDxfId="654">
      <calculatedColumnFormula>sti_T[[D_hts_tst_pos_sti_u15_fy19]:[D_hts_tst_pos_sti_u15_fy19]]*sti_T[A_hts_tst_sti_1014_f_pos]</calculatedColumnFormula>
    </tableColumn>
    <tableColumn id="7" xr3:uid="{00000000-0010-0000-0700-000007000000}" name="hts_tst_sti_1014_m_pos" dataDxfId="653">
      <calculatedColumnFormula>sti_T[[D_hts_tst_pos_sti_u15_fy19]:[D_hts_tst_pos_sti_u15_fy19]]*sti_T[A_hts_tst_sti_1014_m_pos]</calculatedColumnFormula>
    </tableColumn>
    <tableColumn id="8" xr3:uid="{00000000-0010-0000-0700-000008000000}" name="hts_tst_sti_u1_unk_neg" dataDxfId="652">
      <calculatedColumnFormula>sti_T[[D_hts_tst_neg_sti_u15_fy19]:[D_hts_tst_neg_sti_u15_fy19]]*sti_T[A_hts_tst_sti_u1_unk_neg]</calculatedColumnFormula>
    </tableColumn>
    <tableColumn id="9" xr3:uid="{00000000-0010-0000-0700-000009000000}" name="hts_tst_sti_0109_unk_neg" dataDxfId="651">
      <calculatedColumnFormula>sti_T[[D_hts_tst_neg_sti_u15_fy19]:[D_hts_tst_neg_sti_u15_fy19]]*sti_T[A_hts_tst_sti_0109_unk_neg]</calculatedColumnFormula>
    </tableColumn>
    <tableColumn id="10" xr3:uid="{00000000-0010-0000-0700-00000A000000}" name="hts_tst_sti_1014_f_neg" dataDxfId="650">
      <calculatedColumnFormula>sti_T[[D_hts_tst_neg_sti_u15_fy19]:[D_hts_tst_neg_sti_u15_fy19]]*sti_T[A_hts_tst_sti_1014_f_neg]</calculatedColumnFormula>
    </tableColumn>
    <tableColumn id="11" xr3:uid="{00000000-0010-0000-0700-00000B000000}" name="hts_tst_sti_1014_m_neg" dataDxfId="649">
      <calculatedColumnFormula>sti_T[[D_hts_tst_neg_sti_u15_fy19]:[D_hts_tst_neg_sti_u15_fy19]]*sti_T[A_hts_tst_sti_1014_m_neg]</calculatedColumnFormula>
    </tableColumn>
    <tableColumn id="12" xr3:uid="{00000000-0010-0000-0700-00000C000000}" name="hts_tst_sti_1519_f_pos" dataDxfId="648">
      <calculatedColumnFormula>sti_T[[D_hts_tst_pos_sti_o15_fy19]:[D_hts_tst_pos_sti_o15_fy19]]*sti_T[A_hts_tst_sti_1519_f_pos]</calculatedColumnFormula>
    </tableColumn>
    <tableColumn id="13" xr3:uid="{00000000-0010-0000-0700-00000D000000}" name="hts_tst_sti_1519_m_pos" dataDxfId="647">
      <calculatedColumnFormula>sti_T[[D_hts_tst_pos_sti_o15_fy19]:[D_hts_tst_pos_sti_o15_fy19]]*sti_T[A_hts_tst_sti_1519_m_pos]</calculatedColumnFormula>
    </tableColumn>
    <tableColumn id="54" xr3:uid="{00000000-0010-0000-0700-000036000000}" name="hts_tst_sti_2024_f_pos" dataDxfId="646">
      <calculatedColumnFormula>sti_T[[D_hts_tst_pos_sti_o15_fy19]:[D_hts_tst_pos_sti_o15_fy19]]*sti_T[A_hts_tst_sti_2024_f_pos]</calculatedColumnFormula>
    </tableColumn>
    <tableColumn id="14" xr3:uid="{00000000-0010-0000-0700-00000E000000}" name="hts_tst_sti_2024_m_pos" dataDxfId="645">
      <calculatedColumnFormula>sti_T[[D_hts_tst_pos_sti_o15_fy19]:[D_hts_tst_pos_sti_o15_fy19]]*sti_T[A_hts_tst_sti_2024_m_pos]</calculatedColumnFormula>
    </tableColumn>
    <tableColumn id="15" xr3:uid="{00000000-0010-0000-0700-00000F000000}" name="hts_tst_sti_2529_f_pos" dataDxfId="644">
      <calculatedColumnFormula>sti_T[[D_hts_tst_pos_sti_o15_fy19]:[D_hts_tst_pos_sti_o15_fy19]]*sti_T[A_hts_tst_sti_2529_f_pos]</calculatedColumnFormula>
    </tableColumn>
    <tableColumn id="16" xr3:uid="{00000000-0010-0000-0700-000010000000}" name="hts_tst_sti_2529_m_pos" dataDxfId="643">
      <calculatedColumnFormula>sti_T[[D_hts_tst_pos_sti_o15_fy19]:[D_hts_tst_pos_sti_o15_fy19]]*sti_T[A_hts_tst_sti_2529_m_pos]</calculatedColumnFormula>
    </tableColumn>
    <tableColumn id="17" xr3:uid="{00000000-0010-0000-0700-000011000000}" name="hts_tst_sti_3034_f_pos" dataDxfId="642">
      <calculatedColumnFormula>sti_T[[D_hts_tst_pos_sti_o15_fy19]:[D_hts_tst_pos_sti_o15_fy19]]*sti_T[A_hts_tst_sti_3034_f_pos]</calculatedColumnFormula>
    </tableColumn>
    <tableColumn id="18" xr3:uid="{00000000-0010-0000-0700-000012000000}" name="hts_tst_sti_3034_m_pos" dataDxfId="641">
      <calculatedColumnFormula>sti_T[[D_hts_tst_pos_sti_o15_fy19]:[D_hts_tst_pos_sti_o15_fy19]]*sti_T[A_hts_tst_sti_3034_m__pos]</calculatedColumnFormula>
    </tableColumn>
    <tableColumn id="19" xr3:uid="{00000000-0010-0000-0700-000013000000}" name="hts_tst_sti_3539_f_pos" dataDxfId="640">
      <calculatedColumnFormula>sti_T[[D_hts_tst_pos_sti_o15_fy19]:[D_hts_tst_pos_sti_o15_fy19]]*sti_T[A_hts_tst_sti_3539_f_pos]</calculatedColumnFormula>
    </tableColumn>
    <tableColumn id="20" xr3:uid="{00000000-0010-0000-0700-000014000000}" name="hts_tst_sti_3539_m_pos" dataDxfId="639">
      <calculatedColumnFormula>sti_T[[D_hts_tst_pos_sti_o15_fy19]:[D_hts_tst_pos_sti_o15_fy19]]*sti_T[A_hts_tst_sti_3539_m__pos]</calculatedColumnFormula>
    </tableColumn>
    <tableColumn id="21" xr3:uid="{00000000-0010-0000-0700-000015000000}" name="hts_tst_sti_4049_f_pos" dataDxfId="638">
      <calculatedColumnFormula>sti_T[[D_hts_tst_pos_sti_o15_fy19]:[D_hts_tst_pos_sti_o15_fy19]]*sti_T[A_hts_tst_sti_4049_f_pos]</calculatedColumnFormula>
    </tableColumn>
    <tableColumn id="26" xr3:uid="{00000000-0010-0000-0700-00001A000000}" name="hts_tst_sti_4049_m_pos" dataDxfId="637">
      <calculatedColumnFormula>sti_T[[D_hts_tst_pos_sti_o15_fy19]:[D_hts_tst_pos_sti_o15_fy19]]*sti_T[A_hts_tst_sti_4049_m_pos]</calculatedColumnFormula>
    </tableColumn>
    <tableColumn id="28" xr3:uid="{00000000-0010-0000-0700-00001C000000}" name="hts_tst_sti_o50_f_pos" dataDxfId="636">
      <calculatedColumnFormula>sti_T[[D_hts_tst_pos_sti_o15_fy19]:[D_hts_tst_pos_sti_o15_fy19]]*sti_T[A_hts_tst_sti_o50_f_pos]</calculatedColumnFormula>
    </tableColumn>
    <tableColumn id="29" xr3:uid="{00000000-0010-0000-0700-00001D000000}" name="hts_tst_sti_o50_m_pos" dataDxfId="635">
      <calculatedColumnFormula>sti_T[[D_hts_tst_pos_sti_o15_fy19]:[D_hts_tst_pos_sti_o15_fy19]]*sti_T[A_hts_tst_sti_o50_m_pos]</calculatedColumnFormula>
    </tableColumn>
    <tableColumn id="30" xr3:uid="{00000000-0010-0000-0700-00001E000000}" name="hts_tst_sti_1519_f_neg" dataDxfId="634">
      <calculatedColumnFormula>sti_T[[D_hts_tst_neg_sti_o15_fy19]:[D_hts_tst_neg_sti_o15_fy19]]*sti_T[A_hts_tst_sti_1519_f_neg]</calculatedColumnFormula>
    </tableColumn>
    <tableColumn id="52" xr3:uid="{00000000-0010-0000-0700-000034000000}" name="hts_tst_sti_1519_m_neg" dataDxfId="633">
      <calculatedColumnFormula>sti_T[[D_hts_tst_neg_sti_o15_fy19]:[D_hts_tst_neg_sti_o15_fy19]]*sti_T[A_hts_tst_sti_1519_m_neg]</calculatedColumnFormula>
    </tableColumn>
    <tableColumn id="31" xr3:uid="{00000000-0010-0000-0700-00001F000000}" name="hts_tst_sti_2024_f_neg" dataDxfId="632">
      <calculatedColumnFormula>sti_T[[D_hts_tst_neg_sti_o15_fy19]:[D_hts_tst_neg_sti_o15_fy19]]*sti_T[A_hts_tst_sti_2024_f_neg]</calculatedColumnFormula>
    </tableColumn>
    <tableColumn id="32" xr3:uid="{00000000-0010-0000-0700-000020000000}" name="hts_tst_sti_2024_m_neg" dataDxfId="631">
      <calculatedColumnFormula>sti_T[[D_hts_tst_neg_sti_o15_fy19]:[D_hts_tst_neg_sti_o15_fy19]]*sti_T[A_hts_tst_sti_2024_m_neg]</calculatedColumnFormula>
    </tableColumn>
    <tableColumn id="33" xr3:uid="{00000000-0010-0000-0700-000021000000}" name="hts_tst_sti_2529_f_neg" dataDxfId="630">
      <calculatedColumnFormula>sti_T[[D_hts_tst_neg_sti_o15_fy19]:[D_hts_tst_neg_sti_o15_fy19]]*sti_T[A_hts_tst_sti_2529_f_neg]</calculatedColumnFormula>
    </tableColumn>
    <tableColumn id="34" xr3:uid="{00000000-0010-0000-0700-000022000000}" name="hts_tst_sti_2529_m_neg" dataDxfId="629">
      <calculatedColumnFormula>sti_T[[D_hts_tst_neg_sti_o15_fy19]:[D_hts_tst_neg_sti_o15_fy19]]*sti_T[A_hts_tst_sti_2529_m_neg]</calculatedColumnFormula>
    </tableColumn>
    <tableColumn id="35" xr3:uid="{00000000-0010-0000-0700-000023000000}" name="hts_tst_sti_3034_f_neg" dataDxfId="628">
      <calculatedColumnFormula>sti_T[[D_hts_tst_neg_sti_o15_fy19]:[D_hts_tst_neg_sti_o15_fy19]]*sti_T[A_hts_tst_sti_3034_f_neg]</calculatedColumnFormula>
    </tableColumn>
    <tableColumn id="36" xr3:uid="{00000000-0010-0000-0700-000024000000}" name="hts_tst_sti_3034_m_neg" dataDxfId="627">
      <calculatedColumnFormula>sti_T[[D_hts_tst_neg_sti_o15_fy19]:[D_hts_tst_neg_sti_o15_fy19]]*sti_T[A_hts_tst_sti_3034_m_neg]</calculatedColumnFormula>
    </tableColumn>
    <tableColumn id="53" xr3:uid="{00000000-0010-0000-0700-000035000000}" name="hts_tst_sti_3539_f_neg" dataDxfId="626">
      <calculatedColumnFormula>sti_T[[D_hts_tst_neg_sti_o15_fy19]:[D_hts_tst_neg_sti_o15_fy19]]*sti_T[A_hts_tst_sti_3539_f_neg]</calculatedColumnFormula>
    </tableColumn>
    <tableColumn id="37" xr3:uid="{00000000-0010-0000-0700-000025000000}" name="hts_tst_sti_3539_m_neg" dataDxfId="625">
      <calculatedColumnFormula>sti_T[[D_hts_tst_neg_sti_o15_fy19]:[D_hts_tst_neg_sti_o15_fy19]]*sti_T[A_hts_tst_sti_3539_m_neg]</calculatedColumnFormula>
    </tableColumn>
    <tableColumn id="38" xr3:uid="{00000000-0010-0000-0700-000026000000}" name="hts_tst_sti_4049_f_neg" dataDxfId="624">
      <calculatedColumnFormula>sti_T[[D_hts_tst_neg_sti_o15_fy19]:[D_hts_tst_neg_sti_o15_fy19]]*sti_T[A_hts_tst_sti_4049_f_neg]</calculatedColumnFormula>
    </tableColumn>
    <tableColumn id="39" xr3:uid="{00000000-0010-0000-0700-000027000000}" name="hts_tst_sti_4049_m_neg" dataDxfId="623">
      <calculatedColumnFormula>sti_T[[D_hts_tst_neg_sti_o15_fy19]:[D_hts_tst_neg_sti_o15_fy19]]*sti_T[A_hts_tst_sti_4049_m_neg]</calculatedColumnFormula>
    </tableColumn>
    <tableColumn id="40" xr3:uid="{00000000-0010-0000-0700-000028000000}" name="hts_tst_sti_o50_f_neg" dataDxfId="622">
      <calculatedColumnFormula>sti_T[[D_hts_tst_neg_sti_o15_fy19]:[D_hts_tst_neg_sti_o15_fy19]]*sti_T[A_hts_tst_sti_o50_f_neg]</calculatedColumnFormula>
    </tableColumn>
    <tableColumn id="41" xr3:uid="{00000000-0010-0000-0700-000029000000}" name="hts_tst_sti_o50_m_neg" dataDxfId="621">
      <calculatedColumnFormula>sti_T[[D_hts_tst_neg_sti_o15_fy19]:[D_hts_tst_neg_sti_o15_fy19]]*sti_T[A_hts_tst_sti_o50_m_neg]</calculatedColumnFormula>
    </tableColumn>
  </tableColumns>
  <tableStyleInfo name="DP Tab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8000000}" name="inpat_T" displayName="inpat_T" ref="C6:CM7" totalsRowShown="0" headerRowDxfId="619" dataDxfId="618">
  <autoFilter ref="C6:CM7" xr:uid="{00000000-0009-0000-0100-000010000000}"/>
  <tableColumns count="89">
    <tableColumn id="1" xr3:uid="{00000000-0010-0000-0800-000001000000}" name="psnu" dataDxfId="617"/>
    <tableColumn id="46" xr3:uid="{00000000-0010-0000-0800-00002E000000}" name="psnuuid" dataDxfId="616"/>
    <tableColumn id="2" xr3:uid="{00000000-0010-0000-0800-000002000000}" name="priority" dataDxfId="615"/>
    <tableColumn id="27" xr3:uid="{00000000-0010-0000-0800-00001B000000}" name="mechid" dataDxfId="614"/>
    <tableColumn id="45" xr3:uid="{00000000-0010-0000-0800-00002D000000}" name="mechname" dataDxfId="613"/>
    <tableColumn id="4" xr3:uid="{00000000-0010-0000-0800-000004000000}" name="type" dataDxfId="612"/>
    <tableColumn id="47" xr3:uid="{00000000-0010-0000-0800-00002F000000}" name="psnu_type" dataDxfId="611"/>
    <tableColumn id="48" xr3:uid="{00000000-0010-0000-0800-000030000000}" name="A_hts_tst_inpat_u1_unk_pos" dataDxfId="610"/>
    <tableColumn id="50" xr3:uid="{00000000-0010-0000-0800-000032000000}" name="A_hts_tst_inpat_0109_unk_pos" dataDxfId="609"/>
    <tableColumn id="51" xr3:uid="{00000000-0010-0000-0800-000033000000}" name="A_hts_tst_inpat_1014_f_pos" dataDxfId="608"/>
    <tableColumn id="55" xr3:uid="{00000000-0010-0000-0800-000037000000}" name="A_hts_tst_inpat_1014_m_pos" dataDxfId="607"/>
    <tableColumn id="75" xr3:uid="{00000000-0010-0000-0800-00004B000000}" name="A_hts_tst_inpat_u1_unk_neg" dataDxfId="606"/>
    <tableColumn id="76" xr3:uid="{00000000-0010-0000-0800-00004C000000}" name="A_hts_tst_inpat_0109_unk_neg" dataDxfId="605"/>
    <tableColumn id="77" xr3:uid="{00000000-0010-0000-0800-00004D000000}" name="A_hts_tst_inpat_1014_f_neg" dataDxfId="604"/>
    <tableColumn id="78" xr3:uid="{00000000-0010-0000-0800-00004E000000}" name="A_hts_tst_inpat_1014_m_neg" dataDxfId="603"/>
    <tableColumn id="79" xr3:uid="{00000000-0010-0000-0800-00004F000000}" name="A_hts_tst_inpat_1519_f_pos" dataDxfId="602"/>
    <tableColumn id="80" xr3:uid="{00000000-0010-0000-0800-000050000000}" name="A_hts_tst_inpat_1519_m_pos" dataDxfId="601"/>
    <tableColumn id="81" xr3:uid="{00000000-0010-0000-0800-000051000000}" name="A_hts_tst_inpat_2024_f_pos" dataDxfId="600"/>
    <tableColumn id="82" xr3:uid="{00000000-0010-0000-0800-000052000000}" name="A_hts_tst_inpat_2024_m_pos" dataDxfId="599"/>
    <tableColumn id="83" xr3:uid="{00000000-0010-0000-0800-000053000000}" name="A_hts_tst_inpat_2529_f_pos" dataDxfId="598"/>
    <tableColumn id="84" xr3:uid="{00000000-0010-0000-0800-000054000000}" name="A_hts_tst_inpat_2529_m_pos" dataDxfId="597"/>
    <tableColumn id="85" xr3:uid="{00000000-0010-0000-0800-000055000000}" name="A_hts_tst_inpat_3034_f_pos" dataDxfId="596"/>
    <tableColumn id="86" xr3:uid="{00000000-0010-0000-0800-000056000000}" name="A_hts_tst_inpat_3034_m__pos" dataDxfId="595"/>
    <tableColumn id="87" xr3:uid="{00000000-0010-0000-0800-000057000000}" name="A_hts_tst_inpat_3539_f_pos" dataDxfId="594"/>
    <tableColumn id="88" xr3:uid="{00000000-0010-0000-0800-000058000000}" name="A_hts_tst_inpat_3539_m__pos" dataDxfId="593"/>
    <tableColumn id="89" xr3:uid="{00000000-0010-0000-0800-000059000000}" name="A_hts_tst_inpat_4049_f_pos" dataDxfId="592"/>
    <tableColumn id="90" xr3:uid="{00000000-0010-0000-0800-00005A000000}" name="A_hts_tst_inpat_4049_m_pos" dataDxfId="591"/>
    <tableColumn id="91" xr3:uid="{00000000-0010-0000-0800-00005B000000}" name="A_hts_tst_inpat_o50_f_pos" dataDxfId="590"/>
    <tableColumn id="92" xr3:uid="{00000000-0010-0000-0800-00005C000000}" name="A_hts_tst_inpat_o50_m_pos" dataDxfId="589"/>
    <tableColumn id="56" xr3:uid="{00000000-0010-0000-0800-000038000000}" name="A_hts_tst_inpat_1519_f_neg" dataDxfId="588"/>
    <tableColumn id="57" xr3:uid="{00000000-0010-0000-0800-000039000000}" name="A_hts_tst_inpat_1519_m_neg" dataDxfId="587"/>
    <tableColumn id="58" xr3:uid="{00000000-0010-0000-0800-00003A000000}" name="A_hts_tst_inpat_2024_f_neg" dataDxfId="586"/>
    <tableColumn id="59" xr3:uid="{00000000-0010-0000-0800-00003B000000}" name="A_hts_tst_inpat_2024_m_neg" dataDxfId="585"/>
    <tableColumn id="60" xr3:uid="{00000000-0010-0000-0800-00003C000000}" name="A_hts_tst_inpat_2529_f_neg" dataDxfId="584"/>
    <tableColumn id="61" xr3:uid="{00000000-0010-0000-0800-00003D000000}" name="A_hts_tst_inpat_2529_m_neg" dataDxfId="583"/>
    <tableColumn id="62" xr3:uid="{00000000-0010-0000-0800-00003E000000}" name="A_hts_tst_inpat_3034_f_neg" dataDxfId="582"/>
    <tableColumn id="63" xr3:uid="{00000000-0010-0000-0800-00003F000000}" name="A_hts_tst_inpat_3034_m_neg" dataDxfId="581"/>
    <tableColumn id="64" xr3:uid="{00000000-0010-0000-0800-000040000000}" name="A_hts_tst_inpat_3539_f_neg" dataDxfId="580"/>
    <tableColumn id="65" xr3:uid="{00000000-0010-0000-0800-000041000000}" name="A_hts_tst_inpat_3539_m_neg" dataDxfId="579"/>
    <tableColumn id="66" xr3:uid="{00000000-0010-0000-0800-000042000000}" name="A_hts_tst_inpat_4049_f_neg" dataDxfId="578"/>
    <tableColumn id="67" xr3:uid="{00000000-0010-0000-0800-000043000000}" name="A_hts_tst_inpat_4049_m_neg" dataDxfId="577"/>
    <tableColumn id="68" xr3:uid="{00000000-0010-0000-0800-000044000000}" name="A_hts_tst_inpat_o50_f_neg" dataDxfId="576"/>
    <tableColumn id="69" xr3:uid="{00000000-0010-0000-0800-000045000000}" name="A_hts_tst_inpat_o50_m_neg" dataDxfId="575"/>
    <tableColumn id="3" xr3:uid="{00000000-0010-0000-0800-000003000000}" name="A_check1" dataDxfId="574"/>
    <tableColumn id="23" xr3:uid="{00000000-0010-0000-0800-000017000000}" name="A_check2" dataDxfId="573"/>
    <tableColumn id="24" xr3:uid="{00000000-0010-0000-0800-000018000000}" name="A_check3" dataDxfId="572"/>
    <tableColumn id="42" xr3:uid="{00000000-0010-0000-0800-00002A000000}" name="A_check4" dataDxfId="571"/>
    <tableColumn id="25" xr3:uid="{00000000-0010-0000-0800-000019000000}" name="D_hts_tst_inpat_u15_fy19" dataDxfId="570"/>
    <tableColumn id="70" xr3:uid="{00000000-0010-0000-0800-000046000000}" name="D_hts_tst_pos_inpat_u15_fy19" dataDxfId="569"/>
    <tableColumn id="71" xr3:uid="{00000000-0010-0000-0800-000047000000}" name="D_hts_tst_neg_inpat_u15_fy19" dataDxfId="568"/>
    <tableColumn id="72" xr3:uid="{00000000-0010-0000-0800-000048000000}" name="D_hts_tst_inpat_o15_fy19" dataDxfId="567"/>
    <tableColumn id="73" xr3:uid="{00000000-0010-0000-0800-000049000000}" name="D_hts_tst_pos_inpat_o15_fy19" dataDxfId="566"/>
    <tableColumn id="74" xr3:uid="{00000000-0010-0000-0800-00004A000000}" name="D_hts_tst_neg_inpat_o15_fy19" dataDxfId="565"/>
    <tableColumn id="5" xr3:uid="{00000000-0010-0000-0800-000005000000}" name="hts_tst_inpat_u1_unk_pos" dataDxfId="564">
      <calculatedColumnFormula>inpat_T[[D_hts_tst_pos_inpat_u15_fy19]:[D_hts_tst_pos_inpat_u15_fy19]]*inpat_T[A_hts_tst_inpat_u1_unk_pos]</calculatedColumnFormula>
    </tableColumn>
    <tableColumn id="6" xr3:uid="{00000000-0010-0000-0800-000006000000}" name="hts_tst_inpat_0109_unk_pos" dataDxfId="563">
      <calculatedColumnFormula>inpat_T[[D_hts_tst_pos_inpat_u15_fy19]:[D_hts_tst_pos_inpat_u15_fy19]]*inpat_T[A_hts_tst_inpat_0109_unk_pos]</calculatedColumnFormula>
    </tableColumn>
    <tableColumn id="22" xr3:uid="{00000000-0010-0000-0800-000016000000}" name="hts_tst_inpat_1014_f_pos" dataDxfId="562">
      <calculatedColumnFormula>inpat_T[[D_hts_tst_pos_inpat_u15_fy19]:[D_hts_tst_pos_inpat_u15_fy19]]*inpat_T[A_hts_tst_inpat_1014_f_pos]</calculatedColumnFormula>
    </tableColumn>
    <tableColumn id="7" xr3:uid="{00000000-0010-0000-0800-000007000000}" name="hts_tst_inpat_1014_m_pos" dataDxfId="561">
      <calculatedColumnFormula>inpat_T[[D_hts_tst_pos_inpat_u15_fy19]:[D_hts_tst_pos_inpat_u15_fy19]]*inpat_T[A_hts_tst_inpat_1014_m_pos]</calculatedColumnFormula>
    </tableColumn>
    <tableColumn id="8" xr3:uid="{00000000-0010-0000-0800-000008000000}" name="hts_tst_inpat_u1_unk_neg" dataDxfId="560">
      <calculatedColumnFormula>inpat_T[[D_hts_tst_neg_inpat_u15_fy19]:[D_hts_tst_neg_inpat_u15_fy19]]*inpat_T[A_hts_tst_inpat_u1_unk_neg]</calculatedColumnFormula>
    </tableColumn>
    <tableColumn id="9" xr3:uid="{00000000-0010-0000-0800-000009000000}" name="hts_tst_inpat_0109_unk_neg" dataDxfId="559">
      <calculatedColumnFormula>inpat_T[[D_hts_tst_neg_inpat_u15_fy19]:[D_hts_tst_neg_inpat_u15_fy19]]*inpat_T[A_hts_tst_inpat_0109_unk_neg]</calculatedColumnFormula>
    </tableColumn>
    <tableColumn id="10" xr3:uid="{00000000-0010-0000-0800-00000A000000}" name="hts_tst_inpat_1014_f_neg" dataDxfId="558">
      <calculatedColumnFormula>inpat_T[[D_hts_tst_neg_inpat_u15_fy19]:[D_hts_tst_neg_inpat_u15_fy19]]*inpat_T[A_hts_tst_inpat_1014_f_neg]</calculatedColumnFormula>
    </tableColumn>
    <tableColumn id="11" xr3:uid="{00000000-0010-0000-0800-00000B000000}" name="hts_tst_inpat_1014_m_neg" dataDxfId="557">
      <calculatedColumnFormula>inpat_T[[D_hts_tst_neg_inpat_u15_fy19]:[D_hts_tst_neg_inpat_u15_fy19]]*inpat_T[A_hts_tst_inpat_1014_m_neg]</calculatedColumnFormula>
    </tableColumn>
    <tableColumn id="12" xr3:uid="{00000000-0010-0000-0800-00000C000000}" name="hts_tst_inpat_1519_f_pos" dataDxfId="556">
      <calculatedColumnFormula>inpat_T[[D_hts_tst_pos_inpat_o15_fy19]:[D_hts_tst_pos_inpat_o15_fy19]]*inpat_T[A_hts_tst_inpat_1519_f_pos]</calculatedColumnFormula>
    </tableColumn>
    <tableColumn id="13" xr3:uid="{00000000-0010-0000-0800-00000D000000}" name="hts_tst_inpat_1519_m_pos" dataDxfId="555">
      <calculatedColumnFormula>inpat_T[[D_hts_tst_pos_inpat_o15_fy19]:[D_hts_tst_pos_inpat_o15_fy19]]*inpat_T[A_hts_tst_inpat_1519_m_pos]</calculatedColumnFormula>
    </tableColumn>
    <tableColumn id="54" xr3:uid="{00000000-0010-0000-0800-000036000000}" name="hts_tst_inpat_2024_f_pos" dataDxfId="554">
      <calculatedColumnFormula>inpat_T[[D_hts_tst_pos_inpat_o15_fy19]:[D_hts_tst_pos_inpat_o15_fy19]]*inpat_T[A_hts_tst_inpat_2024_f_pos]</calculatedColumnFormula>
    </tableColumn>
    <tableColumn id="14" xr3:uid="{00000000-0010-0000-0800-00000E000000}" name="hts_tst_inpat_2024_m_pos" dataDxfId="553">
      <calculatedColumnFormula>inpat_T[[D_hts_tst_pos_inpat_o15_fy19]:[D_hts_tst_pos_inpat_o15_fy19]]*inpat_T[A_hts_tst_inpat_2024_m_pos]</calculatedColumnFormula>
    </tableColumn>
    <tableColumn id="15" xr3:uid="{00000000-0010-0000-0800-00000F000000}" name="hts_tst_inpat_2529_f_pos" dataDxfId="552">
      <calculatedColumnFormula>inpat_T[[D_hts_tst_pos_inpat_o15_fy19]:[D_hts_tst_pos_inpat_o15_fy19]]*inpat_T[A_hts_tst_inpat_2529_f_pos]</calculatedColumnFormula>
    </tableColumn>
    <tableColumn id="16" xr3:uid="{00000000-0010-0000-0800-000010000000}" name="hts_tst_inpat_2529_m_pos" dataDxfId="551">
      <calculatedColumnFormula>inpat_T[[D_hts_tst_pos_inpat_o15_fy19]:[D_hts_tst_pos_inpat_o15_fy19]]*inpat_T[A_hts_tst_inpat_2529_m_pos]</calculatedColumnFormula>
    </tableColumn>
    <tableColumn id="17" xr3:uid="{00000000-0010-0000-0800-000011000000}" name="hts_tst_inpat_3034_f_pos" dataDxfId="550">
      <calculatedColumnFormula>inpat_T[[D_hts_tst_pos_inpat_o15_fy19]:[D_hts_tst_pos_inpat_o15_fy19]]*inpat_T[A_hts_tst_inpat_3034_f_pos]</calculatedColumnFormula>
    </tableColumn>
    <tableColumn id="18" xr3:uid="{00000000-0010-0000-0800-000012000000}" name="hts_tst_inpat_3034_m_pos" dataDxfId="549">
      <calculatedColumnFormula>inpat_T[[D_hts_tst_pos_inpat_o15_fy19]:[D_hts_tst_pos_inpat_o15_fy19]]*inpat_T[A_hts_tst_inpat_3034_m__pos]</calculatedColumnFormula>
    </tableColumn>
    <tableColumn id="19" xr3:uid="{00000000-0010-0000-0800-000013000000}" name="hts_tst_inpat_3539_f_pos" dataDxfId="548">
      <calculatedColumnFormula>inpat_T[[D_hts_tst_pos_inpat_o15_fy19]:[D_hts_tst_pos_inpat_o15_fy19]]*inpat_T[A_hts_tst_inpat_3539_f_pos]</calculatedColumnFormula>
    </tableColumn>
    <tableColumn id="20" xr3:uid="{00000000-0010-0000-0800-000014000000}" name="hts_tst_inpat_3539_m_pos" dataDxfId="547">
      <calculatedColumnFormula>inpat_T[[D_hts_tst_pos_inpat_o15_fy19]:[D_hts_tst_pos_inpat_o15_fy19]]*inpat_T[A_hts_tst_inpat_3539_m__pos]</calculatedColumnFormula>
    </tableColumn>
    <tableColumn id="21" xr3:uid="{00000000-0010-0000-0800-000015000000}" name="hts_tst_inpat_4049_f_pos" dataDxfId="546">
      <calculatedColumnFormula>inpat_T[[D_hts_tst_pos_inpat_o15_fy19]:[D_hts_tst_pos_inpat_o15_fy19]]*inpat_T[A_hts_tst_inpat_4049_f_pos]</calculatedColumnFormula>
    </tableColumn>
    <tableColumn id="26" xr3:uid="{00000000-0010-0000-0800-00001A000000}" name="hts_tst_inpat_4049_m_pos" dataDxfId="545">
      <calculatedColumnFormula>inpat_T[[D_hts_tst_pos_inpat_o15_fy19]:[D_hts_tst_pos_inpat_o15_fy19]]*inpat_T[A_hts_tst_inpat_4049_m_pos]</calculatedColumnFormula>
    </tableColumn>
    <tableColumn id="28" xr3:uid="{00000000-0010-0000-0800-00001C000000}" name="hts_tst_inpat_o50_f_pos" dataDxfId="544">
      <calculatedColumnFormula>inpat_T[[D_hts_tst_pos_inpat_o15_fy19]:[D_hts_tst_pos_inpat_o15_fy19]]*inpat_T[A_hts_tst_inpat_o50_f_pos]</calculatedColumnFormula>
    </tableColumn>
    <tableColumn id="29" xr3:uid="{00000000-0010-0000-0800-00001D000000}" name="hts_tst_inpat_o50_m_pos" dataDxfId="543">
      <calculatedColumnFormula>inpat_T[[D_hts_tst_pos_inpat_o15_fy19]:[D_hts_tst_pos_inpat_o15_fy19]]*inpat_T[A_hts_tst_inpat_o50_m_pos]</calculatedColumnFormula>
    </tableColumn>
    <tableColumn id="30" xr3:uid="{00000000-0010-0000-0800-00001E000000}" name="hts_tst_inpat_1519_f_neg" dataDxfId="542">
      <calculatedColumnFormula>inpat_T[[D_hts_tst_neg_inpat_o15_fy19]:[D_hts_tst_neg_inpat_o15_fy19]]*inpat_T[A_hts_tst_inpat_1519_f_neg]</calculatedColumnFormula>
    </tableColumn>
    <tableColumn id="52" xr3:uid="{00000000-0010-0000-0800-000034000000}" name="hts_tst_inpat_1519_m_neg" dataDxfId="541">
      <calculatedColumnFormula>inpat_T[[D_hts_tst_neg_inpat_o15_fy19]:[D_hts_tst_neg_inpat_o15_fy19]]*inpat_T[A_hts_tst_inpat_1519_m_neg]</calculatedColumnFormula>
    </tableColumn>
    <tableColumn id="31" xr3:uid="{00000000-0010-0000-0800-00001F000000}" name="hts_tst_inpat_2024_f_neg" dataDxfId="540">
      <calculatedColumnFormula>inpat_T[[D_hts_tst_neg_inpat_o15_fy19]:[D_hts_tst_neg_inpat_o15_fy19]]*inpat_T[A_hts_tst_inpat_2024_f_neg]</calculatedColumnFormula>
    </tableColumn>
    <tableColumn id="32" xr3:uid="{00000000-0010-0000-0800-000020000000}" name="hts_tst_inpat_2024_m_neg" dataDxfId="539">
      <calculatedColumnFormula>inpat_T[[D_hts_tst_neg_inpat_o15_fy19]:[D_hts_tst_neg_inpat_o15_fy19]]*inpat_T[A_hts_tst_inpat_2024_m_neg]</calculatedColumnFormula>
    </tableColumn>
    <tableColumn id="33" xr3:uid="{00000000-0010-0000-0800-000021000000}" name="hts_tst_inpat_2529_f_neg" dataDxfId="538">
      <calculatedColumnFormula>inpat_T[[D_hts_tst_neg_inpat_o15_fy19]:[D_hts_tst_neg_inpat_o15_fy19]]*inpat_T[A_hts_tst_inpat_2529_f_neg]</calculatedColumnFormula>
    </tableColumn>
    <tableColumn id="34" xr3:uid="{00000000-0010-0000-0800-000022000000}" name="hts_tst_inpat_2529_m_neg" dataDxfId="537">
      <calculatedColumnFormula>inpat_T[[D_hts_tst_neg_inpat_o15_fy19]:[D_hts_tst_neg_inpat_o15_fy19]]*inpat_T[A_hts_tst_inpat_2529_m_neg]</calculatedColumnFormula>
    </tableColumn>
    <tableColumn id="35" xr3:uid="{00000000-0010-0000-0800-000023000000}" name="hts_tst_inpat_3034_f_neg" dataDxfId="536">
      <calculatedColumnFormula>inpat_T[[D_hts_tst_neg_inpat_o15_fy19]:[D_hts_tst_neg_inpat_o15_fy19]]*inpat_T[A_hts_tst_inpat_3034_f_neg]</calculatedColumnFormula>
    </tableColumn>
    <tableColumn id="36" xr3:uid="{00000000-0010-0000-0800-000024000000}" name="hts_tst_inpat_3034_m_neg" dataDxfId="535">
      <calculatedColumnFormula>inpat_T[[D_hts_tst_neg_inpat_o15_fy19]:[D_hts_tst_neg_inpat_o15_fy19]]*inpat_T[A_hts_tst_inpat_3034_m_neg]</calculatedColumnFormula>
    </tableColumn>
    <tableColumn id="53" xr3:uid="{00000000-0010-0000-0800-000035000000}" name="hts_tst_inpat_3539_f_neg" dataDxfId="534">
      <calculatedColumnFormula>inpat_T[[D_hts_tst_neg_inpat_o15_fy19]:[D_hts_tst_neg_inpat_o15_fy19]]*inpat_T[A_hts_tst_inpat_3539_f_neg]</calculatedColumnFormula>
    </tableColumn>
    <tableColumn id="37" xr3:uid="{00000000-0010-0000-0800-000025000000}" name="hts_tst_inpat_3539_m_neg" dataDxfId="533">
      <calculatedColumnFormula>inpat_T[[D_hts_tst_neg_inpat_o15_fy19]:[D_hts_tst_neg_inpat_o15_fy19]]*inpat_T[A_hts_tst_inpat_3539_m_neg]</calculatedColumnFormula>
    </tableColumn>
    <tableColumn id="38" xr3:uid="{00000000-0010-0000-0800-000026000000}" name="hts_tst_inpat_4049_f_neg" dataDxfId="532">
      <calculatedColumnFormula>inpat_T[[D_hts_tst_neg_inpat_o15_fy19]:[D_hts_tst_neg_inpat_o15_fy19]]*inpat_T[A_hts_tst_inpat_4049_f_neg]</calculatedColumnFormula>
    </tableColumn>
    <tableColumn id="39" xr3:uid="{00000000-0010-0000-0800-000027000000}" name="hts_tst_inpat_4049_m_neg" dataDxfId="531">
      <calculatedColumnFormula>inpat_T[[D_hts_tst_neg_inpat_o15_fy19]:[D_hts_tst_neg_inpat_o15_fy19]]*inpat_T[A_hts_tst_inpat_4049_m_neg]</calculatedColumnFormula>
    </tableColumn>
    <tableColumn id="40" xr3:uid="{00000000-0010-0000-0800-000028000000}" name="hts_tst_inpat_o50_f_neg" dataDxfId="530">
      <calculatedColumnFormula>inpat_T[[D_hts_tst_neg_inpat_o15_fy19]:[D_hts_tst_neg_inpat_o15_fy19]]*inpat_T[A_hts_tst_inpat_o50_f_neg]</calculatedColumnFormula>
    </tableColumn>
    <tableColumn id="41" xr3:uid="{00000000-0010-0000-0800-000029000000}" name="hts_tst_inpat_o50_m_neg" dataDxfId="529">
      <calculatedColumnFormula>inpat_T[[D_hts_tst_neg_inpat_o15_fy19]:[D_hts_tst_neg_inpat_o15_fy19]]*inpat_T[A_hts_tst_inpat_o50_m_neg]</calculatedColumnFormula>
    </tableColumn>
  </tableColumns>
  <tableStyleInfo name="DP Tabl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9000000}" name="emergency_T" displayName="emergency_T" ref="C6:CM7" totalsRowShown="0" headerRowDxfId="527" dataDxfId="526">
  <autoFilter ref="C6:CM7" xr:uid="{00000000-0009-0000-0100-000011000000}"/>
  <tableColumns count="89">
    <tableColumn id="1" xr3:uid="{00000000-0010-0000-0900-000001000000}" name="psnu" dataDxfId="525"/>
    <tableColumn id="46" xr3:uid="{00000000-0010-0000-0900-00002E000000}" name="psnuuid" dataDxfId="524"/>
    <tableColumn id="2" xr3:uid="{00000000-0010-0000-0900-000002000000}" name="priority" dataDxfId="523"/>
    <tableColumn id="27" xr3:uid="{00000000-0010-0000-0900-00001B000000}" name="mechid" dataDxfId="522"/>
    <tableColumn id="45" xr3:uid="{00000000-0010-0000-0900-00002D000000}" name="mechname" dataDxfId="521"/>
    <tableColumn id="4" xr3:uid="{00000000-0010-0000-0900-000004000000}" name="type" dataDxfId="520"/>
    <tableColumn id="47" xr3:uid="{00000000-0010-0000-0900-00002F000000}" name="psnu_type" dataDxfId="519"/>
    <tableColumn id="48" xr3:uid="{00000000-0010-0000-0900-000030000000}" name="A_hts_tst_emergency_u1_unk_pos" dataDxfId="518"/>
    <tableColumn id="50" xr3:uid="{00000000-0010-0000-0900-000032000000}" name="A_hts_tst_emergency_0109_unk_pos" dataDxfId="517"/>
    <tableColumn id="51" xr3:uid="{00000000-0010-0000-0900-000033000000}" name="A_hts_tst_emergency_1014_f_pos" dataDxfId="516"/>
    <tableColumn id="55" xr3:uid="{00000000-0010-0000-0900-000037000000}" name="A_hts_tst_emergency_1014_m_pos" dataDxfId="515"/>
    <tableColumn id="75" xr3:uid="{00000000-0010-0000-0900-00004B000000}" name="A_hts_tst_emergency_u1_unk_neg" dataDxfId="514"/>
    <tableColumn id="76" xr3:uid="{00000000-0010-0000-0900-00004C000000}" name="A_hts_tst_emergency_0109_unk_neg" dataDxfId="513"/>
    <tableColumn id="77" xr3:uid="{00000000-0010-0000-0900-00004D000000}" name="A_hts_tst_emergency_1014_f_neg" dataDxfId="512"/>
    <tableColumn id="78" xr3:uid="{00000000-0010-0000-0900-00004E000000}" name="A_hts_tst_emergency_1014_m_neg" dataDxfId="511"/>
    <tableColumn id="79" xr3:uid="{00000000-0010-0000-0900-00004F000000}" name="A_hts_tst_emergency_1519_f_pos" dataDxfId="510"/>
    <tableColumn id="80" xr3:uid="{00000000-0010-0000-0900-000050000000}" name="A_hts_tst_emergency_1519_m_pos" dataDxfId="509"/>
    <tableColumn id="81" xr3:uid="{00000000-0010-0000-0900-000051000000}" name="A_hts_tst_emergency_2024_f_pos" dataDxfId="508"/>
    <tableColumn id="82" xr3:uid="{00000000-0010-0000-0900-000052000000}" name="A_hts_tst_emergency_2024_m_pos" dataDxfId="507"/>
    <tableColumn id="83" xr3:uid="{00000000-0010-0000-0900-000053000000}" name="A_hts_tst_emergency_2529_f_pos" dataDxfId="506"/>
    <tableColumn id="84" xr3:uid="{00000000-0010-0000-0900-000054000000}" name="A_hts_tst_emergency_2529_m_pos" dataDxfId="505"/>
    <tableColumn id="85" xr3:uid="{00000000-0010-0000-0900-000055000000}" name="A_hts_tst_emergency_3034_f_pos" dataDxfId="504"/>
    <tableColumn id="86" xr3:uid="{00000000-0010-0000-0900-000056000000}" name="A_hts_tst_emergency_3034_m__pos" dataDxfId="503"/>
    <tableColumn id="87" xr3:uid="{00000000-0010-0000-0900-000057000000}" name="A_hts_tst_emergency_3539_f_pos" dataDxfId="502"/>
    <tableColumn id="88" xr3:uid="{00000000-0010-0000-0900-000058000000}" name="A_hts_tst_emergency_3539_m__pos" dataDxfId="501"/>
    <tableColumn id="89" xr3:uid="{00000000-0010-0000-0900-000059000000}" name="A_hts_tst_emergency_4049_f_pos" dataDxfId="500"/>
    <tableColumn id="90" xr3:uid="{00000000-0010-0000-0900-00005A000000}" name="A_hts_tst_emergency_4049_m_pos" dataDxfId="499"/>
    <tableColumn id="91" xr3:uid="{00000000-0010-0000-0900-00005B000000}" name="A_hts_tst_emergency_o50_f_pos" dataDxfId="498"/>
    <tableColumn id="92" xr3:uid="{00000000-0010-0000-0900-00005C000000}" name="A_hts_tst_emergency_o50_m_pos" dataDxfId="497"/>
    <tableColumn id="56" xr3:uid="{00000000-0010-0000-0900-000038000000}" name="A_hts_tst_emergency_1519_f_neg" dataDxfId="496"/>
    <tableColumn id="57" xr3:uid="{00000000-0010-0000-0900-000039000000}" name="A_hts_tst_emergency_1519_m_neg" dataDxfId="495"/>
    <tableColumn id="58" xr3:uid="{00000000-0010-0000-0900-00003A000000}" name="A_hts_tst_emergency_2024_f_neg" dataDxfId="494"/>
    <tableColumn id="59" xr3:uid="{00000000-0010-0000-0900-00003B000000}" name="A_hts_tst_emergency_2024_m_neg" dataDxfId="493"/>
    <tableColumn id="60" xr3:uid="{00000000-0010-0000-0900-00003C000000}" name="A_hts_tst_emergency_2529_f_neg" dataDxfId="492"/>
    <tableColumn id="61" xr3:uid="{00000000-0010-0000-0900-00003D000000}" name="A_hts_tst_emergency_2529_m_neg" dataDxfId="491"/>
    <tableColumn id="62" xr3:uid="{00000000-0010-0000-0900-00003E000000}" name="A_hts_tst_emergency_3034_f_neg" dataDxfId="490"/>
    <tableColumn id="63" xr3:uid="{00000000-0010-0000-0900-00003F000000}" name="A_hts_tst_emergency_3034_m_neg" dataDxfId="489"/>
    <tableColumn id="64" xr3:uid="{00000000-0010-0000-0900-000040000000}" name="A_hts_tst_emergency_3539_f_neg" dataDxfId="488"/>
    <tableColumn id="65" xr3:uid="{00000000-0010-0000-0900-000041000000}" name="A_hts_tst_emergency_3539_m_neg" dataDxfId="487"/>
    <tableColumn id="66" xr3:uid="{00000000-0010-0000-0900-000042000000}" name="A_hts_tst_emergency_4049_f_neg" dataDxfId="486"/>
    <tableColumn id="67" xr3:uid="{00000000-0010-0000-0900-000043000000}" name="A_hts_tst_emergency_4049_m_neg" dataDxfId="485"/>
    <tableColumn id="68" xr3:uid="{00000000-0010-0000-0900-000044000000}" name="A_hts_tst_emergency_o50_f_neg" dataDxfId="484"/>
    <tableColumn id="69" xr3:uid="{00000000-0010-0000-0900-000045000000}" name="A_hts_tst_emergency_o50_m_neg" dataDxfId="483"/>
    <tableColumn id="3" xr3:uid="{00000000-0010-0000-0900-000003000000}" name="A_check1" dataDxfId="482"/>
    <tableColumn id="23" xr3:uid="{00000000-0010-0000-0900-000017000000}" name="A_check2" dataDxfId="481"/>
    <tableColumn id="24" xr3:uid="{00000000-0010-0000-0900-000018000000}" name="A_check3" dataDxfId="480"/>
    <tableColumn id="42" xr3:uid="{00000000-0010-0000-0900-00002A000000}" name="A_check4" dataDxfId="479"/>
    <tableColumn id="25" xr3:uid="{00000000-0010-0000-0900-000019000000}" name="D_hts_tst_emergency_u15_fy19" dataDxfId="478"/>
    <tableColumn id="70" xr3:uid="{00000000-0010-0000-0900-000046000000}" name="D_hts_tst_pos_emergency_u15_fy19" dataDxfId="477"/>
    <tableColumn id="71" xr3:uid="{00000000-0010-0000-0900-000047000000}" name="D_hts_tst_neg_emergency_u15_fy19" dataDxfId="476"/>
    <tableColumn id="72" xr3:uid="{00000000-0010-0000-0900-000048000000}" name="D_hts_tst_emergency_o15_fy19" dataDxfId="475"/>
    <tableColumn id="73" xr3:uid="{00000000-0010-0000-0900-000049000000}" name="D_hts_tst_pos_emergency_o15_fy19" dataDxfId="474"/>
    <tableColumn id="74" xr3:uid="{00000000-0010-0000-0900-00004A000000}" name="D_hts_tst_neg_emergency_o15_fy19" dataDxfId="473"/>
    <tableColumn id="5" xr3:uid="{00000000-0010-0000-0900-000005000000}" name="hts_tst_emergency_u1_unk_pos" dataDxfId="472">
      <calculatedColumnFormula>emergency_T[[D_hts_tst_pos_emergency_u15_fy19]:[D_hts_tst_pos_emergency_u15_fy19]]*emergency_T[A_hts_tst_emergency_u1_unk_pos]</calculatedColumnFormula>
    </tableColumn>
    <tableColumn id="6" xr3:uid="{00000000-0010-0000-0900-000006000000}" name="hts_tst_emergency_0109_unk_pos" dataDxfId="471">
      <calculatedColumnFormula>emergency_T[[D_hts_tst_pos_emergency_u15_fy19]:[D_hts_tst_pos_emergency_u15_fy19]]*emergency_T[A_hts_tst_emergency_0109_unk_pos]</calculatedColumnFormula>
    </tableColumn>
    <tableColumn id="22" xr3:uid="{00000000-0010-0000-0900-000016000000}" name="hts_tst_emergency_1014_f_pos" dataDxfId="470">
      <calculatedColumnFormula>emergency_T[[D_hts_tst_pos_emergency_u15_fy19]:[D_hts_tst_pos_emergency_u15_fy19]]*emergency_T[A_hts_tst_emergency_1014_f_pos]</calculatedColumnFormula>
    </tableColumn>
    <tableColumn id="7" xr3:uid="{00000000-0010-0000-0900-000007000000}" name="hts_tst_emergency_1014_m_pos" dataDxfId="469">
      <calculatedColumnFormula>emergency_T[[D_hts_tst_pos_emergency_u15_fy19]:[D_hts_tst_pos_emergency_u15_fy19]]*emergency_T[A_hts_tst_emergency_1014_m_pos]</calculatedColumnFormula>
    </tableColumn>
    <tableColumn id="8" xr3:uid="{00000000-0010-0000-0900-000008000000}" name="hts_tst_emergency_u1_unk_neg" dataDxfId="468">
      <calculatedColumnFormula>emergency_T[[D_hts_tst_neg_emergency_u15_fy19]:[D_hts_tst_neg_emergency_u15_fy19]]*emergency_T[A_hts_tst_emergency_u1_unk_neg]</calculatedColumnFormula>
    </tableColumn>
    <tableColumn id="9" xr3:uid="{00000000-0010-0000-0900-000009000000}" name="hts_tst_emergency_0109_unk_neg" dataDxfId="467">
      <calculatedColumnFormula>emergency_T[[D_hts_tst_neg_emergency_u15_fy19]:[D_hts_tst_neg_emergency_u15_fy19]]*emergency_T[A_hts_tst_emergency_0109_unk_neg]</calculatedColumnFormula>
    </tableColumn>
    <tableColumn id="10" xr3:uid="{00000000-0010-0000-0900-00000A000000}" name="hts_tst_emergency_1014_f_neg" dataDxfId="466">
      <calculatedColumnFormula>emergency_T[[D_hts_tst_neg_emergency_u15_fy19]:[D_hts_tst_neg_emergency_u15_fy19]]*emergency_T[A_hts_tst_emergency_1014_f_neg]</calculatedColumnFormula>
    </tableColumn>
    <tableColumn id="11" xr3:uid="{00000000-0010-0000-0900-00000B000000}" name="hts_tst_emergency_1014_m_neg" dataDxfId="465">
      <calculatedColumnFormula>emergency_T[[D_hts_tst_neg_emergency_u15_fy19]:[D_hts_tst_neg_emergency_u15_fy19]]*emergency_T[A_hts_tst_emergency_1014_m_neg]</calculatedColumnFormula>
    </tableColumn>
    <tableColumn id="12" xr3:uid="{00000000-0010-0000-0900-00000C000000}" name="hts_tst_emergency_1519_f_pos" dataDxfId="464">
      <calculatedColumnFormula>emergency_T[[D_hts_tst_pos_emergency_o15_fy19]:[D_hts_tst_pos_emergency_o15_fy19]]*emergency_T[A_hts_tst_emergency_1519_f_pos]</calculatedColumnFormula>
    </tableColumn>
    <tableColumn id="13" xr3:uid="{00000000-0010-0000-0900-00000D000000}" name="hts_tst_emergency_1519_m_pos" dataDxfId="463">
      <calculatedColumnFormula>emergency_T[[D_hts_tst_pos_emergency_o15_fy19]:[D_hts_tst_pos_emergency_o15_fy19]]*emergency_T[A_hts_tst_emergency_1519_m_pos]</calculatedColumnFormula>
    </tableColumn>
    <tableColumn id="54" xr3:uid="{00000000-0010-0000-0900-000036000000}" name="hts_tst_emergency_2024_f_pos" dataDxfId="462">
      <calculatedColumnFormula>emergency_T[[D_hts_tst_pos_emergency_o15_fy19]:[D_hts_tst_pos_emergency_o15_fy19]]*emergency_T[A_hts_tst_emergency_2024_f_pos]</calculatedColumnFormula>
    </tableColumn>
    <tableColumn id="14" xr3:uid="{00000000-0010-0000-0900-00000E000000}" name="hts_tst_emergency_2024_m_pos" dataDxfId="461">
      <calculatedColumnFormula>emergency_T[[D_hts_tst_pos_emergency_o15_fy19]:[D_hts_tst_pos_emergency_o15_fy19]]*emergency_T[A_hts_tst_emergency_2024_m_pos]</calculatedColumnFormula>
    </tableColumn>
    <tableColumn id="15" xr3:uid="{00000000-0010-0000-0900-00000F000000}" name="hts_tst_emergency_2529_f_pos" dataDxfId="460">
      <calculatedColumnFormula>emergency_T[[D_hts_tst_pos_emergency_o15_fy19]:[D_hts_tst_pos_emergency_o15_fy19]]*emergency_T[A_hts_tst_emergency_2529_f_pos]</calculatedColumnFormula>
    </tableColumn>
    <tableColumn id="16" xr3:uid="{00000000-0010-0000-0900-000010000000}" name="hts_tst_emergency_2529_m_pos" dataDxfId="459">
      <calculatedColumnFormula>emergency_T[[D_hts_tst_pos_emergency_o15_fy19]:[D_hts_tst_pos_emergency_o15_fy19]]*emergency_T[A_hts_tst_emergency_2529_m_pos]</calculatedColumnFormula>
    </tableColumn>
    <tableColumn id="17" xr3:uid="{00000000-0010-0000-0900-000011000000}" name="hts_tst_emergency_3034_f_pos" dataDxfId="458">
      <calculatedColumnFormula>emergency_T[[D_hts_tst_pos_emergency_o15_fy19]:[D_hts_tst_pos_emergency_o15_fy19]]*emergency_T[A_hts_tst_emergency_3034_f_pos]</calculatedColumnFormula>
    </tableColumn>
    <tableColumn id="18" xr3:uid="{00000000-0010-0000-0900-000012000000}" name="hts_tst_emergency_3034_m_pos" dataDxfId="457">
      <calculatedColumnFormula>emergency_T[[D_hts_tst_pos_emergency_o15_fy19]:[D_hts_tst_pos_emergency_o15_fy19]]*emergency_T[A_hts_tst_emergency_3034_m__pos]</calculatedColumnFormula>
    </tableColumn>
    <tableColumn id="19" xr3:uid="{00000000-0010-0000-0900-000013000000}" name="hts_tst_emergency_3539_f_pos" dataDxfId="456">
      <calculatedColumnFormula>emergency_T[[D_hts_tst_pos_emergency_o15_fy19]:[D_hts_tst_pos_emergency_o15_fy19]]*emergency_T[A_hts_tst_emergency_3539_f_pos]</calculatedColumnFormula>
    </tableColumn>
    <tableColumn id="20" xr3:uid="{00000000-0010-0000-0900-000014000000}" name="hts_tst_emergency_3539_m_pos" dataDxfId="455">
      <calculatedColumnFormula>emergency_T[[D_hts_tst_pos_emergency_o15_fy19]:[D_hts_tst_pos_emergency_o15_fy19]]*emergency_T[A_hts_tst_emergency_3539_m__pos]</calculatedColumnFormula>
    </tableColumn>
    <tableColumn id="21" xr3:uid="{00000000-0010-0000-0900-000015000000}" name="hts_tst_emergency_4049_f_pos" dataDxfId="454">
      <calculatedColumnFormula>emergency_T[[D_hts_tst_pos_emergency_o15_fy19]:[D_hts_tst_pos_emergency_o15_fy19]]*emergency_T[A_hts_tst_emergency_4049_f_pos]</calculatedColumnFormula>
    </tableColumn>
    <tableColumn id="26" xr3:uid="{00000000-0010-0000-0900-00001A000000}" name="hts_tst_emergency_4049_m_pos" dataDxfId="453">
      <calculatedColumnFormula>emergency_T[[D_hts_tst_pos_emergency_o15_fy19]:[D_hts_tst_pos_emergency_o15_fy19]]*emergency_T[A_hts_tst_emergency_4049_m_pos]</calculatedColumnFormula>
    </tableColumn>
    <tableColumn id="28" xr3:uid="{00000000-0010-0000-0900-00001C000000}" name="hts_tst_emergency_o50_f_pos" dataDxfId="452">
      <calculatedColumnFormula>emergency_T[[D_hts_tst_pos_emergency_o15_fy19]:[D_hts_tst_pos_emergency_o15_fy19]]*emergency_T[A_hts_tst_emergency_o50_f_pos]</calculatedColumnFormula>
    </tableColumn>
    <tableColumn id="29" xr3:uid="{00000000-0010-0000-0900-00001D000000}" name="hts_tst_emergency_o50_m_pos" dataDxfId="451">
      <calculatedColumnFormula>emergency_T[[D_hts_tst_pos_emergency_o15_fy19]:[D_hts_tst_pos_emergency_o15_fy19]]*emergency_T[A_hts_tst_emergency_o50_m_pos]</calculatedColumnFormula>
    </tableColumn>
    <tableColumn id="30" xr3:uid="{00000000-0010-0000-0900-00001E000000}" name="hts_tst_emergency_1519_f_neg" dataDxfId="450">
      <calculatedColumnFormula>emergency_T[[D_hts_tst_neg_emergency_o15_fy19]:[D_hts_tst_neg_emergency_o15_fy19]]*emergency_T[A_hts_tst_emergency_1519_f_neg]</calculatedColumnFormula>
    </tableColumn>
    <tableColumn id="52" xr3:uid="{00000000-0010-0000-0900-000034000000}" name="hts_tst_emergency_1519_m_neg" dataDxfId="449">
      <calculatedColumnFormula>emergency_T[[D_hts_tst_neg_emergency_o15_fy19]:[D_hts_tst_neg_emergency_o15_fy19]]*emergency_T[A_hts_tst_emergency_1519_m_neg]</calculatedColumnFormula>
    </tableColumn>
    <tableColumn id="31" xr3:uid="{00000000-0010-0000-0900-00001F000000}" name="hts_tst_emergency_2024_f_neg" dataDxfId="448">
      <calculatedColumnFormula>emergency_T[[D_hts_tst_neg_emergency_o15_fy19]:[D_hts_tst_neg_emergency_o15_fy19]]*emergency_T[A_hts_tst_emergency_2024_f_neg]</calculatedColumnFormula>
    </tableColumn>
    <tableColumn id="32" xr3:uid="{00000000-0010-0000-0900-000020000000}" name="hts_tst_emergency_2024_m_neg" dataDxfId="447">
      <calculatedColumnFormula>emergency_T[[D_hts_tst_neg_emergency_o15_fy19]:[D_hts_tst_neg_emergency_o15_fy19]]*emergency_T[A_hts_tst_emergency_2024_m_neg]</calculatedColumnFormula>
    </tableColumn>
    <tableColumn id="33" xr3:uid="{00000000-0010-0000-0900-000021000000}" name="hts_tst_emergency_2529_f_neg" dataDxfId="446">
      <calculatedColumnFormula>emergency_T[[D_hts_tst_neg_emergency_o15_fy19]:[D_hts_tst_neg_emergency_o15_fy19]]*emergency_T[A_hts_tst_emergency_2529_f_neg]</calculatedColumnFormula>
    </tableColumn>
    <tableColumn id="34" xr3:uid="{00000000-0010-0000-0900-000022000000}" name="hts_tst_emergency_2529_m_neg" dataDxfId="445">
      <calculatedColumnFormula>emergency_T[[D_hts_tst_neg_emergency_o15_fy19]:[D_hts_tst_neg_emergency_o15_fy19]]*emergency_T[A_hts_tst_emergency_2529_m_neg]</calculatedColumnFormula>
    </tableColumn>
    <tableColumn id="35" xr3:uid="{00000000-0010-0000-0900-000023000000}" name="hts_tst_emergency_3034_f_neg" dataDxfId="444">
      <calculatedColumnFormula>emergency_T[[D_hts_tst_neg_emergency_o15_fy19]:[D_hts_tst_neg_emergency_o15_fy19]]*emergency_T[A_hts_tst_emergency_3034_f_neg]</calculatedColumnFormula>
    </tableColumn>
    <tableColumn id="36" xr3:uid="{00000000-0010-0000-0900-000024000000}" name="hts_tst_emergency_3034_m_neg" dataDxfId="443">
      <calculatedColumnFormula>emergency_T[[D_hts_tst_neg_emergency_o15_fy19]:[D_hts_tst_neg_emergency_o15_fy19]]*emergency_T[A_hts_tst_emergency_3034_m_neg]</calculatedColumnFormula>
    </tableColumn>
    <tableColumn id="53" xr3:uid="{00000000-0010-0000-0900-000035000000}" name="hts_tst_emergency_3539_f_neg" dataDxfId="442">
      <calculatedColumnFormula>emergency_T[[D_hts_tst_neg_emergency_o15_fy19]:[D_hts_tst_neg_emergency_o15_fy19]]*emergency_T[A_hts_tst_emergency_3539_f_neg]</calculatedColumnFormula>
    </tableColumn>
    <tableColumn id="37" xr3:uid="{00000000-0010-0000-0900-000025000000}" name="hts_tst_emergency_3539_m_neg" dataDxfId="441">
      <calculatedColumnFormula>emergency_T[[D_hts_tst_neg_emergency_o15_fy19]:[D_hts_tst_neg_emergency_o15_fy19]]*emergency_T[A_hts_tst_emergency_3539_m_neg]</calculatedColumnFormula>
    </tableColumn>
    <tableColumn id="38" xr3:uid="{00000000-0010-0000-0900-000026000000}" name="hts_tst_emergency_4049_f_neg" dataDxfId="440">
      <calculatedColumnFormula>emergency_T[[D_hts_tst_neg_emergency_o15_fy19]:[D_hts_tst_neg_emergency_o15_fy19]]*emergency_T[A_hts_tst_emergency_4049_f_neg]</calculatedColumnFormula>
    </tableColumn>
    <tableColumn id="39" xr3:uid="{00000000-0010-0000-0900-000027000000}" name="hts_tst_emergency_4049_m_neg" dataDxfId="439">
      <calculatedColumnFormula>emergency_T[[D_hts_tst_neg_emergency_o15_fy19]:[D_hts_tst_neg_emergency_o15_fy19]]*emergency_T[A_hts_tst_emergency_4049_m_neg]</calculatedColumnFormula>
    </tableColumn>
    <tableColumn id="40" xr3:uid="{00000000-0010-0000-0900-000028000000}" name="hts_tst_emergency_o50_f_neg" dataDxfId="438">
      <calculatedColumnFormula>emergency_T[[D_hts_tst_neg_emergency_o15_fy19]:[D_hts_tst_neg_emergency_o15_fy19]]*emergency_T[A_hts_tst_emergency_o50_f_neg]</calculatedColumnFormula>
    </tableColumn>
    <tableColumn id="41" xr3:uid="{00000000-0010-0000-0900-000029000000}" name="hts_tst_emergency_o50_m_neg" dataDxfId="437">
      <calculatedColumnFormula>emergency_T[[D_hts_tst_neg_emergency_o15_fy19]:[D_hts_tst_neg_emergency_o15_fy19]]*emergency_T[A_hts_tst_emergency_o50_m_neg]</calculatedColumnFormula>
    </tableColumn>
  </tableColumns>
  <tableStyleInfo name="DP Tabl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A000000}" name="vct_T" displayName="vct_T" ref="C6:CM7" totalsRowShown="0" headerRowDxfId="435" dataDxfId="434">
  <autoFilter ref="C6:CM7" xr:uid="{00000000-0009-0000-0100-000012000000}"/>
  <tableColumns count="89">
    <tableColumn id="1" xr3:uid="{00000000-0010-0000-0A00-000001000000}" name="psnu" dataDxfId="433"/>
    <tableColumn id="46" xr3:uid="{00000000-0010-0000-0A00-00002E000000}" name="psnuuid" dataDxfId="432"/>
    <tableColumn id="2" xr3:uid="{00000000-0010-0000-0A00-000002000000}" name="priority" dataDxfId="431"/>
    <tableColumn id="27" xr3:uid="{00000000-0010-0000-0A00-00001B000000}" name="mechid" dataDxfId="430"/>
    <tableColumn id="45" xr3:uid="{00000000-0010-0000-0A00-00002D000000}" name="mechname" dataDxfId="429"/>
    <tableColumn id="4" xr3:uid="{00000000-0010-0000-0A00-000004000000}" name="type" dataDxfId="428"/>
    <tableColumn id="47" xr3:uid="{00000000-0010-0000-0A00-00002F000000}" name="psnu_type" dataDxfId="427"/>
    <tableColumn id="48" xr3:uid="{00000000-0010-0000-0A00-000030000000}" name="A_hts_tst_vct_u1_unk_pos" dataDxfId="426"/>
    <tableColumn id="50" xr3:uid="{00000000-0010-0000-0A00-000032000000}" name="A_hts_tst_vct_0109_unk_pos" dataDxfId="425"/>
    <tableColumn id="51" xr3:uid="{00000000-0010-0000-0A00-000033000000}" name="A_hts_tst_vct_1014_f_pos" dataDxfId="424"/>
    <tableColumn id="55" xr3:uid="{00000000-0010-0000-0A00-000037000000}" name="A_hts_tst_vct_1014_m_pos" dataDxfId="423"/>
    <tableColumn id="75" xr3:uid="{00000000-0010-0000-0A00-00004B000000}" name="A_hts_tst_vct_u1_unk_neg" dataDxfId="422"/>
    <tableColumn id="76" xr3:uid="{00000000-0010-0000-0A00-00004C000000}" name="A_hts_tst_vct_0109_unk_neg" dataDxfId="421"/>
    <tableColumn id="77" xr3:uid="{00000000-0010-0000-0A00-00004D000000}" name="A_hts_tst_vct_1014_f_neg" dataDxfId="420"/>
    <tableColumn id="78" xr3:uid="{00000000-0010-0000-0A00-00004E000000}" name="A_hts_tst_vct_1014_m_neg" dataDxfId="419"/>
    <tableColumn id="79" xr3:uid="{00000000-0010-0000-0A00-00004F000000}" name="A_hts_tst_vct_1519_f_pos" dataDxfId="418"/>
    <tableColumn id="80" xr3:uid="{00000000-0010-0000-0A00-000050000000}" name="A_hts_tst_vct_1519_m_pos" dataDxfId="417"/>
    <tableColumn id="81" xr3:uid="{00000000-0010-0000-0A00-000051000000}" name="A_hts_tst_vct_2024_f_pos" dataDxfId="416"/>
    <tableColumn id="82" xr3:uid="{00000000-0010-0000-0A00-000052000000}" name="A_hts_tst_vct_2024_m_pos" dataDxfId="415"/>
    <tableColumn id="83" xr3:uid="{00000000-0010-0000-0A00-000053000000}" name="A_hts_tst_vct_2529_f_pos" dataDxfId="414"/>
    <tableColumn id="84" xr3:uid="{00000000-0010-0000-0A00-000054000000}" name="A_hts_tst_vct_2529_m_pos" dataDxfId="413"/>
    <tableColumn id="85" xr3:uid="{00000000-0010-0000-0A00-000055000000}" name="A_hts_tst_vct_3034_f_pos" dataDxfId="412"/>
    <tableColumn id="86" xr3:uid="{00000000-0010-0000-0A00-000056000000}" name="A_hts_tst_vct_3034_m__pos" dataDxfId="411"/>
    <tableColumn id="87" xr3:uid="{00000000-0010-0000-0A00-000057000000}" name="A_hts_tst_vct_3539_f_pos" dataDxfId="410"/>
    <tableColumn id="88" xr3:uid="{00000000-0010-0000-0A00-000058000000}" name="A_hts_tst_vct_3539_m__pos" dataDxfId="409"/>
    <tableColumn id="89" xr3:uid="{00000000-0010-0000-0A00-000059000000}" name="A_hts_tst_vct_4049_f_pos" dataDxfId="408"/>
    <tableColumn id="90" xr3:uid="{00000000-0010-0000-0A00-00005A000000}" name="A_hts_tst_vct_4049_m_pos" dataDxfId="407"/>
    <tableColumn id="91" xr3:uid="{00000000-0010-0000-0A00-00005B000000}" name="A_hts_tst_vct_o50_f_pos" dataDxfId="406"/>
    <tableColumn id="92" xr3:uid="{00000000-0010-0000-0A00-00005C000000}" name="A_hts_tst_vct_o50_m_pos" dataDxfId="405"/>
    <tableColumn id="56" xr3:uid="{00000000-0010-0000-0A00-000038000000}" name="A_hts_tst_vct_1519_f_neg" dataDxfId="404"/>
    <tableColumn id="57" xr3:uid="{00000000-0010-0000-0A00-000039000000}" name="A_hts_tst_vct_1519_m_neg" dataDxfId="403"/>
    <tableColumn id="58" xr3:uid="{00000000-0010-0000-0A00-00003A000000}" name="A_hts_tst_vct_2024_f_neg" dataDxfId="402"/>
    <tableColumn id="59" xr3:uid="{00000000-0010-0000-0A00-00003B000000}" name="A_hts_tst_vct_2024_m_neg" dataDxfId="401"/>
    <tableColumn id="60" xr3:uid="{00000000-0010-0000-0A00-00003C000000}" name="A_hts_tst_vct_2529_f_neg" dataDxfId="400"/>
    <tableColumn id="61" xr3:uid="{00000000-0010-0000-0A00-00003D000000}" name="A_hts_tst_vct_2529_m_neg" dataDxfId="399"/>
    <tableColumn id="62" xr3:uid="{00000000-0010-0000-0A00-00003E000000}" name="A_hts_tst_vct_3034_f_neg" dataDxfId="398"/>
    <tableColumn id="63" xr3:uid="{00000000-0010-0000-0A00-00003F000000}" name="A_hts_tst_vct_3034_m_neg" dataDxfId="397"/>
    <tableColumn id="64" xr3:uid="{00000000-0010-0000-0A00-000040000000}" name="A_hts_tst_vct_3539_f_neg" dataDxfId="396"/>
    <tableColumn id="65" xr3:uid="{00000000-0010-0000-0A00-000041000000}" name="A_hts_tst_vct_3539_m_neg" dataDxfId="395"/>
    <tableColumn id="66" xr3:uid="{00000000-0010-0000-0A00-000042000000}" name="A_hts_tst_vct_4049_f_neg" dataDxfId="394"/>
    <tableColumn id="67" xr3:uid="{00000000-0010-0000-0A00-000043000000}" name="A_hts_tst_vct_4049_m_neg" dataDxfId="393"/>
    <tableColumn id="68" xr3:uid="{00000000-0010-0000-0A00-000044000000}" name="A_hts_tst_vct_o50_f_neg" dataDxfId="392"/>
    <tableColumn id="69" xr3:uid="{00000000-0010-0000-0A00-000045000000}" name="A_hts_tst_vct_o50_m_neg" dataDxfId="391"/>
    <tableColumn id="3" xr3:uid="{00000000-0010-0000-0A00-000003000000}" name="A_check1" dataDxfId="390"/>
    <tableColumn id="23" xr3:uid="{00000000-0010-0000-0A00-000017000000}" name="A_check2" dataDxfId="389"/>
    <tableColumn id="24" xr3:uid="{00000000-0010-0000-0A00-000018000000}" name="A_check3" dataDxfId="388"/>
    <tableColumn id="42" xr3:uid="{00000000-0010-0000-0A00-00002A000000}" name="A_check4" dataDxfId="387"/>
    <tableColumn id="25" xr3:uid="{00000000-0010-0000-0A00-000019000000}" name="D_hts_tst_vct_u15_fy19" dataDxfId="386"/>
    <tableColumn id="70" xr3:uid="{00000000-0010-0000-0A00-000046000000}" name="D_hts_tst_pos_vct_u15_fy19" dataDxfId="385"/>
    <tableColumn id="71" xr3:uid="{00000000-0010-0000-0A00-000047000000}" name="D_hts_tst_neg_vct_u15_fy19" dataDxfId="384"/>
    <tableColumn id="72" xr3:uid="{00000000-0010-0000-0A00-000048000000}" name="D_hts_tst_vct_o15_fy19" dataDxfId="383"/>
    <tableColumn id="73" xr3:uid="{00000000-0010-0000-0A00-000049000000}" name="D_hts_tst_pos_vct_o15_fy19" dataDxfId="382"/>
    <tableColumn id="74" xr3:uid="{00000000-0010-0000-0A00-00004A000000}" name="D_hts_tst_neg_vct_o15_fy19" dataDxfId="381"/>
    <tableColumn id="5" xr3:uid="{00000000-0010-0000-0A00-000005000000}" name="hts_tst_vct_u1_unk_pos" dataDxfId="380">
      <calculatedColumnFormula>vct_T[[D_hts_tst_pos_vct_u15_fy19]:[D_hts_tst_pos_vct_u15_fy19]]*vct_T[A_hts_tst_vct_u1_unk_pos]</calculatedColumnFormula>
    </tableColumn>
    <tableColumn id="6" xr3:uid="{00000000-0010-0000-0A00-000006000000}" name="hts_tst_vct_0109_unk_pos" dataDxfId="379">
      <calculatedColumnFormula>vct_T[[D_hts_tst_pos_vct_u15_fy19]:[D_hts_tst_pos_vct_u15_fy19]]*vct_T[A_hts_tst_vct_0109_unk_pos]</calculatedColumnFormula>
    </tableColumn>
    <tableColumn id="22" xr3:uid="{00000000-0010-0000-0A00-000016000000}" name="hts_tst_vct_1014_f_pos" dataDxfId="378">
      <calculatedColumnFormula>vct_T[[D_hts_tst_pos_vct_u15_fy19]:[D_hts_tst_pos_vct_u15_fy19]]*vct_T[A_hts_tst_vct_1014_f_pos]</calculatedColumnFormula>
    </tableColumn>
    <tableColumn id="7" xr3:uid="{00000000-0010-0000-0A00-000007000000}" name="hts_tst_vct_1014_m_pos" dataDxfId="377">
      <calculatedColumnFormula>vct_T[[D_hts_tst_pos_vct_u15_fy19]:[D_hts_tst_pos_vct_u15_fy19]]*vct_T[A_hts_tst_vct_1014_m_pos]</calculatedColumnFormula>
    </tableColumn>
    <tableColumn id="8" xr3:uid="{00000000-0010-0000-0A00-000008000000}" name="hts_tst_vct_u1_unk_neg" dataDxfId="376">
      <calculatedColumnFormula>vct_T[[D_hts_tst_neg_vct_u15_fy19]:[D_hts_tst_neg_vct_u15_fy19]]*vct_T[A_hts_tst_vct_u1_unk_neg]</calculatedColumnFormula>
    </tableColumn>
    <tableColumn id="9" xr3:uid="{00000000-0010-0000-0A00-000009000000}" name="hts_tst_vct_0109_unk_neg" dataDxfId="375">
      <calculatedColumnFormula>vct_T[[D_hts_tst_neg_vct_u15_fy19]:[D_hts_tst_neg_vct_u15_fy19]]*vct_T[A_hts_tst_vct_0109_unk_neg]</calculatedColumnFormula>
    </tableColumn>
    <tableColumn id="10" xr3:uid="{00000000-0010-0000-0A00-00000A000000}" name="hts_tst_vct_1014_f_neg" dataDxfId="374">
      <calculatedColumnFormula>vct_T[[D_hts_tst_neg_vct_u15_fy19]:[D_hts_tst_neg_vct_u15_fy19]]*vct_T[A_hts_tst_vct_1014_f_neg]</calculatedColumnFormula>
    </tableColumn>
    <tableColumn id="11" xr3:uid="{00000000-0010-0000-0A00-00000B000000}" name="hts_tst_vct_1014_m_neg" dataDxfId="373">
      <calculatedColumnFormula>vct_T[[D_hts_tst_neg_vct_u15_fy19]:[D_hts_tst_neg_vct_u15_fy19]]*vct_T[A_hts_tst_vct_1014_m_neg]</calculatedColumnFormula>
    </tableColumn>
    <tableColumn id="12" xr3:uid="{00000000-0010-0000-0A00-00000C000000}" name="hts_tst_vct_1519_f_pos" dataDxfId="372">
      <calculatedColumnFormula>vct_T[[D_hts_tst_pos_vct_o15_fy19]:[D_hts_tst_pos_vct_o15_fy19]]*vct_T[A_hts_tst_vct_1519_f_pos]</calculatedColumnFormula>
    </tableColumn>
    <tableColumn id="13" xr3:uid="{00000000-0010-0000-0A00-00000D000000}" name="hts_tst_vct_1519_m_pos" dataDxfId="371">
      <calculatedColumnFormula>vct_T[[D_hts_tst_pos_vct_o15_fy19]:[D_hts_tst_pos_vct_o15_fy19]]*vct_T[A_hts_tst_vct_1519_m_pos]</calculatedColumnFormula>
    </tableColumn>
    <tableColumn id="54" xr3:uid="{00000000-0010-0000-0A00-000036000000}" name="hts_tst_vct_2024_f_pos" dataDxfId="370">
      <calculatedColumnFormula>vct_T[[D_hts_tst_pos_vct_o15_fy19]:[D_hts_tst_pos_vct_o15_fy19]]*vct_T[A_hts_tst_vct_2024_f_pos]</calculatedColumnFormula>
    </tableColumn>
    <tableColumn id="14" xr3:uid="{00000000-0010-0000-0A00-00000E000000}" name="hts_tst_vct_2024_m_pos" dataDxfId="369">
      <calculatedColumnFormula>vct_T[[D_hts_tst_pos_vct_o15_fy19]:[D_hts_tst_pos_vct_o15_fy19]]*vct_T[A_hts_tst_vct_2024_m_pos]</calculatedColumnFormula>
    </tableColumn>
    <tableColumn id="15" xr3:uid="{00000000-0010-0000-0A00-00000F000000}" name="hts_tst_vct_2529_f_pos" dataDxfId="368">
      <calculatedColumnFormula>vct_T[[D_hts_tst_pos_vct_o15_fy19]:[D_hts_tst_pos_vct_o15_fy19]]*vct_T[A_hts_tst_vct_2529_f_pos]</calculatedColumnFormula>
    </tableColumn>
    <tableColumn id="16" xr3:uid="{00000000-0010-0000-0A00-000010000000}" name="hts_tst_vct_2529_m_pos" dataDxfId="367">
      <calculatedColumnFormula>vct_T[[D_hts_tst_pos_vct_o15_fy19]:[D_hts_tst_pos_vct_o15_fy19]]*vct_T[A_hts_tst_vct_2529_m_pos]</calculatedColumnFormula>
    </tableColumn>
    <tableColumn id="17" xr3:uid="{00000000-0010-0000-0A00-000011000000}" name="hts_tst_vct_3034_f_pos" dataDxfId="366">
      <calculatedColumnFormula>vct_T[[D_hts_tst_pos_vct_o15_fy19]:[D_hts_tst_pos_vct_o15_fy19]]*vct_T[A_hts_tst_vct_3034_f_pos]</calculatedColumnFormula>
    </tableColumn>
    <tableColumn id="18" xr3:uid="{00000000-0010-0000-0A00-000012000000}" name="hts_tst_vct_3034_m_pos" dataDxfId="365">
      <calculatedColumnFormula>vct_T[[D_hts_tst_pos_vct_o15_fy19]:[D_hts_tst_pos_vct_o15_fy19]]*vct_T[A_hts_tst_vct_3034_m__pos]</calculatedColumnFormula>
    </tableColumn>
    <tableColumn id="19" xr3:uid="{00000000-0010-0000-0A00-000013000000}" name="hts_tst_vct_3539_f_pos" dataDxfId="364">
      <calculatedColumnFormula>vct_T[[D_hts_tst_pos_vct_o15_fy19]:[D_hts_tst_pos_vct_o15_fy19]]*vct_T[A_hts_tst_vct_3539_f_pos]</calculatedColumnFormula>
    </tableColumn>
    <tableColumn id="20" xr3:uid="{00000000-0010-0000-0A00-000014000000}" name="hts_tst_vct_3539_m_pos" dataDxfId="363">
      <calculatedColumnFormula>vct_T[[D_hts_tst_pos_vct_o15_fy19]:[D_hts_tst_pos_vct_o15_fy19]]*vct_T[A_hts_tst_vct_3539_m__pos]</calculatedColumnFormula>
    </tableColumn>
    <tableColumn id="21" xr3:uid="{00000000-0010-0000-0A00-000015000000}" name="hts_tst_vct_4049_f_pos" dataDxfId="362">
      <calculatedColumnFormula>vct_T[[D_hts_tst_pos_vct_o15_fy19]:[D_hts_tst_pos_vct_o15_fy19]]*vct_T[A_hts_tst_vct_4049_f_pos]</calculatedColumnFormula>
    </tableColumn>
    <tableColumn id="26" xr3:uid="{00000000-0010-0000-0A00-00001A000000}" name="hts_tst_vct_4049_m_pos" dataDxfId="361">
      <calculatedColumnFormula>vct_T[[D_hts_tst_pos_vct_o15_fy19]:[D_hts_tst_pos_vct_o15_fy19]]*vct_T[A_hts_tst_vct_4049_m_pos]</calculatedColumnFormula>
    </tableColumn>
    <tableColumn id="28" xr3:uid="{00000000-0010-0000-0A00-00001C000000}" name="hts_tst_vct_o50_f_pos" dataDxfId="360">
      <calculatedColumnFormula>vct_T[[D_hts_tst_pos_vct_o15_fy19]:[D_hts_tst_pos_vct_o15_fy19]]*vct_T[A_hts_tst_vct_o50_f_pos]</calculatedColumnFormula>
    </tableColumn>
    <tableColumn id="29" xr3:uid="{00000000-0010-0000-0A00-00001D000000}" name="hts_tst_vct_o50_m_pos" dataDxfId="359">
      <calculatedColumnFormula>vct_T[[D_hts_tst_pos_vct_o15_fy19]:[D_hts_tst_pos_vct_o15_fy19]]*vct_T[A_hts_tst_vct_o50_m_pos]</calculatedColumnFormula>
    </tableColumn>
    <tableColumn id="30" xr3:uid="{00000000-0010-0000-0A00-00001E000000}" name="hts_tst_vct_1519_f_neg" dataDxfId="358">
      <calculatedColumnFormula>vct_T[[D_hts_tst_neg_vct_o15_fy19]:[D_hts_tst_neg_vct_o15_fy19]]*vct_T[A_hts_tst_vct_1519_f_neg]</calculatedColumnFormula>
    </tableColumn>
    <tableColumn id="52" xr3:uid="{00000000-0010-0000-0A00-000034000000}" name="hts_tst_vct_1519_m_neg" dataDxfId="357">
      <calculatedColumnFormula>vct_T[[D_hts_tst_neg_vct_o15_fy19]:[D_hts_tst_neg_vct_o15_fy19]]*vct_T[A_hts_tst_vct_1519_m_neg]</calculatedColumnFormula>
    </tableColumn>
    <tableColumn id="31" xr3:uid="{00000000-0010-0000-0A00-00001F000000}" name="hts_tst_vct_2024_f_neg" dataDxfId="356">
      <calculatedColumnFormula>vct_T[[D_hts_tst_neg_vct_o15_fy19]:[D_hts_tst_neg_vct_o15_fy19]]*vct_T[A_hts_tst_vct_2024_f_neg]</calculatedColumnFormula>
    </tableColumn>
    <tableColumn id="32" xr3:uid="{00000000-0010-0000-0A00-000020000000}" name="hts_tst_vct_2024_m_neg" dataDxfId="355">
      <calculatedColumnFormula>vct_T[[D_hts_tst_neg_vct_o15_fy19]:[D_hts_tst_neg_vct_o15_fy19]]*vct_T[A_hts_tst_vct_2024_m_neg]</calculatedColumnFormula>
    </tableColumn>
    <tableColumn id="33" xr3:uid="{00000000-0010-0000-0A00-000021000000}" name="hts_tst_vct_2529_f_neg" dataDxfId="354">
      <calculatedColumnFormula>vct_T[[D_hts_tst_neg_vct_o15_fy19]:[D_hts_tst_neg_vct_o15_fy19]]*vct_T[A_hts_tst_vct_2529_f_neg]</calculatedColumnFormula>
    </tableColumn>
    <tableColumn id="34" xr3:uid="{00000000-0010-0000-0A00-000022000000}" name="hts_tst_vct_2529_m_neg" dataDxfId="353">
      <calculatedColumnFormula>vct_T[[D_hts_tst_neg_vct_o15_fy19]:[D_hts_tst_neg_vct_o15_fy19]]*vct_T[A_hts_tst_vct_2529_m_neg]</calculatedColumnFormula>
    </tableColumn>
    <tableColumn id="35" xr3:uid="{00000000-0010-0000-0A00-000023000000}" name="hts_tst_vct_3034_f_neg" dataDxfId="352">
      <calculatedColumnFormula>vct_T[[D_hts_tst_neg_vct_o15_fy19]:[D_hts_tst_neg_vct_o15_fy19]]*vct_T[A_hts_tst_vct_3034_f_neg]</calculatedColumnFormula>
    </tableColumn>
    <tableColumn id="36" xr3:uid="{00000000-0010-0000-0A00-000024000000}" name="hts_tst_vct_3034_m_neg" dataDxfId="351">
      <calculatedColumnFormula>vct_T[[D_hts_tst_neg_vct_o15_fy19]:[D_hts_tst_neg_vct_o15_fy19]]*vct_T[A_hts_tst_vct_3034_m_neg]</calculatedColumnFormula>
    </tableColumn>
    <tableColumn id="53" xr3:uid="{00000000-0010-0000-0A00-000035000000}" name="hts_tst_vct_3539_f_neg" dataDxfId="350">
      <calculatedColumnFormula>vct_T[[D_hts_tst_neg_vct_o15_fy19]:[D_hts_tst_neg_vct_o15_fy19]]*vct_T[A_hts_tst_vct_3539_f_neg]</calculatedColumnFormula>
    </tableColumn>
    <tableColumn id="37" xr3:uid="{00000000-0010-0000-0A00-000025000000}" name="hts_tst_vct_3539_m_neg" dataDxfId="349">
      <calculatedColumnFormula>vct_T[[D_hts_tst_neg_vct_o15_fy19]:[D_hts_tst_neg_vct_o15_fy19]]*vct_T[A_hts_tst_vct_3539_m_neg]</calculatedColumnFormula>
    </tableColumn>
    <tableColumn id="38" xr3:uid="{00000000-0010-0000-0A00-000026000000}" name="hts_tst_vct_4049_f_neg" dataDxfId="348">
      <calculatedColumnFormula>vct_T[[D_hts_tst_neg_vct_o15_fy19]:[D_hts_tst_neg_vct_o15_fy19]]*vct_T[A_hts_tst_vct_4049_f_neg]</calculatedColumnFormula>
    </tableColumn>
    <tableColumn id="39" xr3:uid="{00000000-0010-0000-0A00-000027000000}" name="hts_tst_vct_4049_m_neg" dataDxfId="347">
      <calculatedColumnFormula>vct_T[[D_hts_tst_neg_vct_o15_fy19]:[D_hts_tst_neg_vct_o15_fy19]]*vct_T[A_hts_tst_vct_4049_m_neg]</calculatedColumnFormula>
    </tableColumn>
    <tableColumn id="40" xr3:uid="{00000000-0010-0000-0A00-000028000000}" name="hts_tst_vct_o50_f_neg" dataDxfId="346">
      <calculatedColumnFormula>vct_T[[D_hts_tst_neg_vct_o15_fy19]:[D_hts_tst_neg_vct_o15_fy19]]*vct_T[A_hts_tst_vct_o50_f_neg]</calculatedColumnFormula>
    </tableColumn>
    <tableColumn id="41" xr3:uid="{00000000-0010-0000-0A00-000029000000}" name="hts_tst_vct_o50_m_neg" dataDxfId="345">
      <calculatedColumnFormula>vct_T[[D_hts_tst_neg_vct_o15_fy19]:[D_hts_tst_neg_vct_o15_fy19]]*vct_T[A_hts_tst_vct_o50_m_neg]</calculatedColumnFormula>
    </tableColumn>
  </tableColumns>
  <tableStyleInfo name="DP Table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B000000}" name="vmmc_T" displayName="vmmc_T" ref="C6:BB7" totalsRowShown="0" headerRowDxfId="343" dataDxfId="342">
  <autoFilter ref="C6:BB7" xr:uid="{00000000-0009-0000-0100-000013000000}"/>
  <tableColumns count="52">
    <tableColumn id="1" xr3:uid="{00000000-0010-0000-0B00-000001000000}" name="psnu" dataDxfId="341"/>
    <tableColumn id="46" xr3:uid="{00000000-0010-0000-0B00-00002E000000}" name="psnuuid" dataDxfId="340"/>
    <tableColumn id="2" xr3:uid="{00000000-0010-0000-0B00-000002000000}" name="priority" dataDxfId="339"/>
    <tableColumn id="27" xr3:uid="{00000000-0010-0000-0B00-00001B000000}" name="mechid" dataDxfId="338"/>
    <tableColumn id="45" xr3:uid="{00000000-0010-0000-0B00-00002D000000}" name="mechname" dataDxfId="337"/>
    <tableColumn id="4" xr3:uid="{00000000-0010-0000-0B00-000004000000}" name="type" dataDxfId="336"/>
    <tableColumn id="47" xr3:uid="{00000000-0010-0000-0B00-00002F000000}" name="psnu_type" dataDxfId="335"/>
    <tableColumn id="48" xr3:uid="{00000000-0010-0000-0B00-000030000000}" name="A_hts_tst_vmmc_u1_m_pos" dataDxfId="334"/>
    <tableColumn id="50" xr3:uid="{00000000-0010-0000-0B00-000032000000}" name="A_hts_tst_vmmc_0109_m_pos" dataDxfId="333"/>
    <tableColumn id="55" xr3:uid="{00000000-0010-0000-0B00-000037000000}" name="A_hts_tst_vmmc_1014_m_pos" dataDxfId="332"/>
    <tableColumn id="80" xr3:uid="{00000000-0010-0000-0B00-000050000000}" name="A_hts_tst_vmmc_1519_m_pos" dataDxfId="331"/>
    <tableColumn id="82" xr3:uid="{00000000-0010-0000-0B00-000052000000}" name="A_hts_tst_vmmc_2024_m_pos" dataDxfId="330"/>
    <tableColumn id="84" xr3:uid="{00000000-0010-0000-0B00-000054000000}" name="A_hts_tst_vmmc_2529_m_pos" dataDxfId="329"/>
    <tableColumn id="86" xr3:uid="{00000000-0010-0000-0B00-000056000000}" name="A_hts_tst_vmmc_3034_m__pos" dataDxfId="328"/>
    <tableColumn id="88" xr3:uid="{00000000-0010-0000-0B00-000058000000}" name="A_hts_tst_vmmc_3539_m__pos" dataDxfId="327"/>
    <tableColumn id="90" xr3:uid="{00000000-0010-0000-0B00-00005A000000}" name="A_hts_tst_vmmc_4049_m_pos" dataDxfId="326"/>
    <tableColumn id="92" xr3:uid="{00000000-0010-0000-0B00-00005C000000}" name="A_hts_tst_vmmc_o50_m_pos" dataDxfId="325"/>
    <tableColumn id="75" xr3:uid="{00000000-0010-0000-0B00-00004B000000}" name="A_hts_tst_vmmc_u1_m_neg" dataDxfId="324"/>
    <tableColumn id="76" xr3:uid="{00000000-0010-0000-0B00-00004C000000}" name="A_hts_tst_vmmc_0109_m_neg" dataDxfId="323"/>
    <tableColumn id="78" xr3:uid="{00000000-0010-0000-0B00-00004E000000}" name="A_hts_tst_vmmc_1014_m_neg" dataDxfId="322"/>
    <tableColumn id="57" xr3:uid="{00000000-0010-0000-0B00-000039000000}" name="A_hts_tst_vmmc_1519_m_neg" dataDxfId="321"/>
    <tableColumn id="59" xr3:uid="{00000000-0010-0000-0B00-00003B000000}" name="A_hts_tst_vmmc_2024_m_neg" dataDxfId="320"/>
    <tableColumn id="61" xr3:uid="{00000000-0010-0000-0B00-00003D000000}" name="A_hts_tst_vmmc_2529_m_neg" dataDxfId="319"/>
    <tableColumn id="63" xr3:uid="{00000000-0010-0000-0B00-00003F000000}" name="A_hts_tst_vmmc_3034_m_neg" dataDxfId="318"/>
    <tableColumn id="65" xr3:uid="{00000000-0010-0000-0B00-000041000000}" name="A_hts_tst_vmmc_3539_m_neg" dataDxfId="317"/>
    <tableColumn id="67" xr3:uid="{00000000-0010-0000-0B00-000043000000}" name="A_hts_tst_vmmc_4049_m_neg" dataDxfId="316"/>
    <tableColumn id="69" xr3:uid="{00000000-0010-0000-0B00-000045000000}" name="A_hts_tst_vmmc_o50_m_neg" dataDxfId="315"/>
    <tableColumn id="3" xr3:uid="{00000000-0010-0000-0B00-000003000000}" name="A_check1" dataDxfId="314"/>
    <tableColumn id="10" xr3:uid="{00000000-0010-0000-0B00-00000A000000}" name="A_check2" dataDxfId="313"/>
    <tableColumn id="25" xr3:uid="{00000000-0010-0000-0B00-000019000000}" name="D_vmmc_circ_fy19" dataDxfId="312"/>
    <tableColumn id="70" xr3:uid="{00000000-0010-0000-0B00-000046000000}" name="D_hts_tst_pos_vmmc_fy19" dataDxfId="311"/>
    <tableColumn id="71" xr3:uid="{00000000-0010-0000-0B00-000047000000}" name="D_hts_tst_neg_vmmc_fy19" dataDxfId="310"/>
    <tableColumn id="5" xr3:uid="{00000000-0010-0000-0B00-000005000000}" name="hts_tst_vmmc_u1_m_pos" dataDxfId="309">
      <calculatedColumnFormula>vmmc_T[[D_hts_tst_pos_vmmc_fy19]:[D_hts_tst_pos_vmmc_fy19]]*vmmc_T[A_hts_tst_vmmc_u1_m_pos]</calculatedColumnFormula>
    </tableColumn>
    <tableColumn id="6" xr3:uid="{00000000-0010-0000-0B00-000006000000}" name="hts_tst_vmmc_0109_m_pos" dataDxfId="308">
      <calculatedColumnFormula>vmmc_T[[D_hts_tst_pos_vmmc_fy19]:[D_hts_tst_pos_vmmc_fy19]]*vmmc_T[A_hts_tst_vmmc_0109_m_pos]</calculatedColumnFormula>
    </tableColumn>
    <tableColumn id="7" xr3:uid="{00000000-0010-0000-0B00-000007000000}" name="hts_tst_vmmc_1014_m_pos" dataDxfId="307">
      <calculatedColumnFormula>vmmc_T[[D_hts_tst_pos_vmmc_fy19]:[D_hts_tst_pos_vmmc_fy19]]*vmmc_T[A_hts_tst_vmmc_1014_m_pos]</calculatedColumnFormula>
    </tableColumn>
    <tableColumn id="13" xr3:uid="{00000000-0010-0000-0B00-00000D000000}" name="hts_tst_vmmc_1519_m_pos" dataDxfId="306">
      <calculatedColumnFormula>vmmc_T[[D_hts_tst_pos_vmmc_fy19]:[D_hts_tst_pos_vmmc_fy19]]*vmmc_T[A_hts_tst_vmmc_1519_m_pos]</calculatedColumnFormula>
    </tableColumn>
    <tableColumn id="14" xr3:uid="{00000000-0010-0000-0B00-00000E000000}" name="hts_tst_vmmc_2024_m_pos" dataDxfId="305">
      <calculatedColumnFormula>vmmc_T[[D_hts_tst_pos_vmmc_fy19]:[D_hts_tst_pos_vmmc_fy19]]*vmmc_T[A_hts_tst_vmmc_2024_m_pos]</calculatedColumnFormula>
    </tableColumn>
    <tableColumn id="16" xr3:uid="{00000000-0010-0000-0B00-000010000000}" name="hts_tst_vmmc_2529_m_pos" dataDxfId="304">
      <calculatedColumnFormula>vmmc_T[[D_hts_tst_pos_vmmc_fy19]:[D_hts_tst_pos_vmmc_fy19]]*vmmc_T[A_hts_tst_vmmc_2529_m_pos]</calculatedColumnFormula>
    </tableColumn>
    <tableColumn id="18" xr3:uid="{00000000-0010-0000-0B00-000012000000}" name="hts_tst_vmmc_3034_m_pos" dataDxfId="303">
      <calculatedColumnFormula>vmmc_T[[D_hts_tst_pos_vmmc_fy19]:[D_hts_tst_pos_vmmc_fy19]]*vmmc_T[A_hts_tst_vmmc_3034_m__pos]</calculatedColumnFormula>
    </tableColumn>
    <tableColumn id="20" xr3:uid="{00000000-0010-0000-0B00-000014000000}" name="hts_tst_vmmc_3539_m_pos" dataDxfId="302">
      <calculatedColumnFormula>vmmc_T[[D_hts_tst_pos_vmmc_fy19]:[D_hts_tst_pos_vmmc_fy19]]*vmmc_T[A_hts_tst_vmmc_3539_m__pos]</calculatedColumnFormula>
    </tableColumn>
    <tableColumn id="26" xr3:uid="{00000000-0010-0000-0B00-00001A000000}" name="hts_tst_vmmc_4049_m_pos" dataDxfId="301">
      <calculatedColumnFormula>vmmc_T[[D_hts_tst_pos_vmmc_fy19]:[D_hts_tst_pos_vmmc_fy19]]*vmmc_T[A_hts_tst_vmmc_4049_m_pos]</calculatedColumnFormula>
    </tableColumn>
    <tableColumn id="29" xr3:uid="{00000000-0010-0000-0B00-00001D000000}" name="hts_tst_vmmc_o50_m_pos" dataDxfId="300">
      <calculatedColumnFormula>vmmc_T[[D_hts_tst_pos_vmmc_fy19]:[D_hts_tst_pos_vmmc_fy19]]*vmmc_T[A_hts_tst_vmmc_o50_m_pos]</calculatedColumnFormula>
    </tableColumn>
    <tableColumn id="8" xr3:uid="{00000000-0010-0000-0B00-000008000000}" name="hts_tst_vmmc_u1_m_neg" dataDxfId="299">
      <calculatedColumnFormula>vmmc_T[[D_hts_tst_neg_vmmc_fy19]:[D_hts_tst_neg_vmmc_fy19]]*vmmc_T[A_hts_tst_vmmc_u1_m_neg]</calculatedColumnFormula>
    </tableColumn>
    <tableColumn id="9" xr3:uid="{00000000-0010-0000-0B00-000009000000}" name="hts_tst_vmmc_0109_unk_neg" dataDxfId="298">
      <calculatedColumnFormula>vmmc_T[[D_hts_tst_neg_vmmc_fy19]:[D_hts_tst_neg_vmmc_fy19]]*vmmc_T[A_hts_tst_vmmc_0109_m_neg]</calculatedColumnFormula>
    </tableColumn>
    <tableColumn id="11" xr3:uid="{00000000-0010-0000-0B00-00000B000000}" name="hts_tst_vmmc_1014_m_neg" dataDxfId="297">
      <calculatedColumnFormula>vmmc_T[[D_hts_tst_neg_vmmc_fy19]:[D_hts_tst_neg_vmmc_fy19]]*vmmc_T[A_hts_tst_vmmc_1014_m_neg]</calculatedColumnFormula>
    </tableColumn>
    <tableColumn id="52" xr3:uid="{00000000-0010-0000-0B00-000034000000}" name="hts_tst_vmmc_1519_m_neg" dataDxfId="296">
      <calculatedColumnFormula>vmmc_T[[D_hts_tst_neg_vmmc_fy19]:[D_hts_tst_neg_vmmc_fy19]]*vmmc_T[A_hts_tst_vmmc_1519_m_neg]</calculatedColumnFormula>
    </tableColumn>
    <tableColumn id="32" xr3:uid="{00000000-0010-0000-0B00-000020000000}" name="hts_tst_vmmc_2024_m_neg" dataDxfId="295">
      <calculatedColumnFormula>vmmc_T[[D_hts_tst_neg_vmmc_fy19]:[D_hts_tst_neg_vmmc_fy19]]*vmmc_T[A_hts_tst_vmmc_2024_m_neg]</calculatedColumnFormula>
    </tableColumn>
    <tableColumn id="34" xr3:uid="{00000000-0010-0000-0B00-000022000000}" name="hts_tst_vmmc_2529_m_neg" dataDxfId="294">
      <calculatedColumnFormula>vmmc_T[[D_hts_tst_neg_vmmc_fy19]:[D_hts_tst_neg_vmmc_fy19]]*vmmc_T[A_hts_tst_vmmc_2529_m_neg]</calculatedColumnFormula>
    </tableColumn>
    <tableColumn id="36" xr3:uid="{00000000-0010-0000-0B00-000024000000}" name="hts_tst_vmmc_3034_m_neg" dataDxfId="293">
      <calculatedColumnFormula>vmmc_T[[D_hts_tst_neg_vmmc_fy19]:[D_hts_tst_neg_vmmc_fy19]]*vmmc_T[A_hts_tst_vmmc_3034_m_neg]</calculatedColumnFormula>
    </tableColumn>
    <tableColumn id="37" xr3:uid="{00000000-0010-0000-0B00-000025000000}" name="hts_tst_vmmc_3539_m_neg" dataDxfId="292">
      <calculatedColumnFormula>vmmc_T[[D_hts_tst_neg_vmmc_fy19]:[D_hts_tst_neg_vmmc_fy19]]*vmmc_T[A_hts_tst_vmmc_3539_m_neg]</calculatedColumnFormula>
    </tableColumn>
    <tableColumn id="39" xr3:uid="{00000000-0010-0000-0B00-000027000000}" name="hts_tst_vmmc_4049_m_neg" dataDxfId="291">
      <calculatedColumnFormula>vmmc_T[[D_hts_tst_neg_vmmc_fy19]:[D_hts_tst_neg_vmmc_fy19]]*vmmc_T[A_hts_tst_vmmc_4049_m_neg]</calculatedColumnFormula>
    </tableColumn>
    <tableColumn id="41" xr3:uid="{00000000-0010-0000-0B00-000029000000}" name="hts_tst_vmmc_o50_m_neg" dataDxfId="290">
      <calculatedColumnFormula>vmmc_T[[D_hts_tst_neg_vmmc_fy19]:[D_hts_tst_neg_vmmc_fy19]]*vmmc_T[A_hts_tst_vmmc_o50_m_neg]</calculatedColumnFormula>
    </tableColumn>
  </tableColumns>
  <tableStyleInfo name="DP Table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C000000}" name="tbclinic_T" displayName="tbclinic_T" ref="C6:CH7" totalsRowShown="0" headerRowDxfId="288" dataDxfId="287">
  <autoFilter ref="C6:CH7" xr:uid="{00000000-0009-0000-0100-00001A000000}"/>
  <tableColumns count="84">
    <tableColumn id="1" xr3:uid="{00000000-0010-0000-0C00-000001000000}" name="psnu" dataDxfId="286"/>
    <tableColumn id="46" xr3:uid="{00000000-0010-0000-0C00-00002E000000}" name="psnuuid" dataDxfId="285"/>
    <tableColumn id="2" xr3:uid="{00000000-0010-0000-0C00-000002000000}" name="priority" dataDxfId="284"/>
    <tableColumn id="27" xr3:uid="{00000000-0010-0000-0C00-00001B000000}" name="mechid" dataDxfId="283"/>
    <tableColumn id="45" xr3:uid="{00000000-0010-0000-0C00-00002D000000}" name="mechname" dataDxfId="282"/>
    <tableColumn id="4" xr3:uid="{00000000-0010-0000-0C00-000004000000}" name="type" dataDxfId="281"/>
    <tableColumn id="47" xr3:uid="{00000000-0010-0000-0C00-00002F000000}" name="psnu_type" dataDxfId="280"/>
    <tableColumn id="48" xr3:uid="{00000000-0010-0000-0C00-000030000000}" name="A_hts_tst_tbclinic_u1_unk_pos" dataDxfId="279"/>
    <tableColumn id="50" xr3:uid="{00000000-0010-0000-0C00-000032000000}" name="A_hts_tst_tbclinic_0109_unk_pos" dataDxfId="278"/>
    <tableColumn id="51" xr3:uid="{00000000-0010-0000-0C00-000033000000}" name="A_hts_tst_tbclinic_1014_f_pos" dataDxfId="277"/>
    <tableColumn id="55" xr3:uid="{00000000-0010-0000-0C00-000037000000}" name="A_hts_tst_tbclinic_1014_m_pos" dataDxfId="276"/>
    <tableColumn id="79" xr3:uid="{00000000-0010-0000-0C00-00004F000000}" name="A_hts_tst_tbclinic_1519_f_pos" dataDxfId="275"/>
    <tableColumn id="80" xr3:uid="{00000000-0010-0000-0C00-000050000000}" name="A_hts_tst_tbclinic_1519_m_pos" dataDxfId="274"/>
    <tableColumn id="81" xr3:uid="{00000000-0010-0000-0C00-000051000000}" name="A_hts_tst_tbclinic_2024_f_pos" dataDxfId="273"/>
    <tableColumn id="82" xr3:uid="{00000000-0010-0000-0C00-000052000000}" name="A_hts_tst_tbclinic_2024_m_pos" dataDxfId="272"/>
    <tableColumn id="83" xr3:uid="{00000000-0010-0000-0C00-000053000000}" name="A_hts_tst_tbclinic_2529_f_pos" dataDxfId="271"/>
    <tableColumn id="84" xr3:uid="{00000000-0010-0000-0C00-000054000000}" name="A_hts_tst_tbclinic_2529_m_pos" dataDxfId="270"/>
    <tableColumn id="85" xr3:uid="{00000000-0010-0000-0C00-000055000000}" name="A_hts_tst_tbclinic_3034_f_pos" dataDxfId="269"/>
    <tableColumn id="86" xr3:uid="{00000000-0010-0000-0C00-000056000000}" name="A_hts_tst_tbclinic_3034_m__pos" dataDxfId="268"/>
    <tableColumn id="87" xr3:uid="{00000000-0010-0000-0C00-000057000000}" name="A_hts_tst_tbclinic_3539_f_pos" dataDxfId="267"/>
    <tableColumn id="88" xr3:uid="{00000000-0010-0000-0C00-000058000000}" name="A_hts_tst_tbclinic_3539_m__pos" dataDxfId="266"/>
    <tableColumn id="89" xr3:uid="{00000000-0010-0000-0C00-000059000000}" name="A_hts_tst_tbclinic_4049_f_pos" dataDxfId="265"/>
    <tableColumn id="90" xr3:uid="{00000000-0010-0000-0C00-00005A000000}" name="A_hts_tst_tbclinic_4049_m_pos" dataDxfId="264"/>
    <tableColumn id="91" xr3:uid="{00000000-0010-0000-0C00-00005B000000}" name="A_hts_tst_tbclinic_o50_f_pos" dataDxfId="263"/>
    <tableColumn id="92" xr3:uid="{00000000-0010-0000-0C00-00005C000000}" name="A_hts_tst_tbclinic_o50_m_pos" dataDxfId="262"/>
    <tableColumn id="75" xr3:uid="{00000000-0010-0000-0C00-00004B000000}" name="A_hts_tst_tbclinic_u1_unk_neg" dataDxfId="261"/>
    <tableColumn id="76" xr3:uid="{00000000-0010-0000-0C00-00004C000000}" name="A_hts_tst_tbclinic_0109_unk_neg" dataDxfId="260"/>
    <tableColumn id="77" xr3:uid="{00000000-0010-0000-0C00-00004D000000}" name="A_hts_tst_tbclinic_1014_f_neg" dataDxfId="259"/>
    <tableColumn id="78" xr3:uid="{00000000-0010-0000-0C00-00004E000000}" name="A_hts_tst_tbclinic_1014_m_neg" dataDxfId="258"/>
    <tableColumn id="56" xr3:uid="{00000000-0010-0000-0C00-000038000000}" name="A_hts_tst_tbclinic_1519_f_neg" dataDxfId="257"/>
    <tableColumn id="57" xr3:uid="{00000000-0010-0000-0C00-000039000000}" name="A_hts_tst_tbclinic_1519_m_neg" dataDxfId="256"/>
    <tableColumn id="58" xr3:uid="{00000000-0010-0000-0C00-00003A000000}" name="A_hts_tst_tbclinic_2024_f_neg" dataDxfId="255"/>
    <tableColumn id="59" xr3:uid="{00000000-0010-0000-0C00-00003B000000}" name="A_hts_tst_tbclinic_2024_m_neg" dataDxfId="254"/>
    <tableColumn id="60" xr3:uid="{00000000-0010-0000-0C00-00003C000000}" name="A_hts_tst_tbclinic_2529_f_neg" dataDxfId="253"/>
    <tableColumn id="61" xr3:uid="{00000000-0010-0000-0C00-00003D000000}" name="A_hts_tst_tbclinic_2529_m_neg" dataDxfId="252"/>
    <tableColumn id="62" xr3:uid="{00000000-0010-0000-0C00-00003E000000}" name="A_hts_tst_tbclinic_3034_f_neg" dataDxfId="251"/>
    <tableColumn id="63" xr3:uid="{00000000-0010-0000-0C00-00003F000000}" name="A_hts_tst_tbclinic_3034_m_neg" dataDxfId="250"/>
    <tableColumn id="64" xr3:uid="{00000000-0010-0000-0C00-000040000000}" name="A_hts_tst_tbclinic_3539_f_neg" dataDxfId="249"/>
    <tableColumn id="65" xr3:uid="{00000000-0010-0000-0C00-000041000000}" name="A_hts_tst_tbclinic_3539_m_neg" dataDxfId="248"/>
    <tableColumn id="66" xr3:uid="{00000000-0010-0000-0C00-000042000000}" name="A_hts_tst_tbclinic_4049_f_neg" dataDxfId="247"/>
    <tableColumn id="67" xr3:uid="{00000000-0010-0000-0C00-000043000000}" name="A_hts_tst_tbclinic_4049_m_neg" dataDxfId="246"/>
    <tableColumn id="68" xr3:uid="{00000000-0010-0000-0C00-000044000000}" name="A_hts_tst_tbclinic_o50_f_neg" dataDxfId="245"/>
    <tableColumn id="69" xr3:uid="{00000000-0010-0000-0C00-000045000000}" name="A_hts_tst_tbclinic_o50_m_neg" dataDxfId="244"/>
    <tableColumn id="3" xr3:uid="{00000000-0010-0000-0C00-000003000000}" name="A_check1" dataDxfId="243"/>
    <tableColumn id="23" xr3:uid="{00000000-0010-0000-0C00-000017000000}" name="A_check2" dataDxfId="242"/>
    <tableColumn id="25" xr3:uid="{00000000-0010-0000-0C00-000019000000}" name="D_hts_tst_tbclinic_fy19" dataDxfId="241"/>
    <tableColumn id="70" xr3:uid="{00000000-0010-0000-0C00-000046000000}" name="D_tb_stat_newpos_fy19" dataDxfId="240"/>
    <tableColumn id="71" xr3:uid="{00000000-0010-0000-0C00-000047000000}" name="D_tb_stat_newneg_fy19" dataDxfId="239"/>
    <tableColumn id="5" xr3:uid="{00000000-0010-0000-0C00-000005000000}" name="hts_tst_tbclinic_u1_unk_pos" dataDxfId="238">
      <calculatedColumnFormula>tbclinic_T[[D_tb_stat_newpos_fy19]:[D_tb_stat_newpos_fy19]]*tbclinic_T[A_hts_tst_tbclinic_u1_unk_pos]</calculatedColumnFormula>
    </tableColumn>
    <tableColumn id="6" xr3:uid="{00000000-0010-0000-0C00-000006000000}" name="hts_tst_tbclinic_0109_unk_pos" dataDxfId="237">
      <calculatedColumnFormula>tbclinic_T[[D_tb_stat_newpos_fy19]:[D_tb_stat_newpos_fy19]]*tbclinic_T[A_hts_tst_tbclinic_0109_unk_pos]</calculatedColumnFormula>
    </tableColumn>
    <tableColumn id="22" xr3:uid="{00000000-0010-0000-0C00-000016000000}" name="hts_tst_tbclinic_1014_f_pos" dataDxfId="236">
      <calculatedColumnFormula>tbclinic_T[[D_tb_stat_newpos_fy19]:[D_tb_stat_newpos_fy19]]*tbclinic_T[A_hts_tst_tbclinic_1014_f_pos]</calculatedColumnFormula>
    </tableColumn>
    <tableColumn id="7" xr3:uid="{00000000-0010-0000-0C00-000007000000}" name="hts_tst_tbclinic_1014_m_pos" dataDxfId="235">
      <calculatedColumnFormula>tbclinic_T[[D_tb_stat_newpos_fy19]:[D_tb_stat_newpos_fy19]]*tbclinic_T[A_hts_tst_tbclinic_1014_m_pos]</calculatedColumnFormula>
    </tableColumn>
    <tableColumn id="12" xr3:uid="{00000000-0010-0000-0C00-00000C000000}" name="hts_tst_tbclinic_1519_f_pos" dataDxfId="234">
      <calculatedColumnFormula>tbclinic_T[[D_tb_stat_newpos_fy19]:[D_tb_stat_newpos_fy19]]*tbclinic_T[A_hts_tst_tbclinic_1519_f_pos]</calculatedColumnFormula>
    </tableColumn>
    <tableColumn id="13" xr3:uid="{00000000-0010-0000-0C00-00000D000000}" name="hts_tst_tbclinic_1519_m_pos" dataDxfId="233">
      <calculatedColumnFormula>tbclinic_T[[D_tb_stat_newpos_fy19]:[D_tb_stat_newpos_fy19]]*tbclinic_T[A_hts_tst_tbclinic_1519_m_pos]</calculatedColumnFormula>
    </tableColumn>
    <tableColumn id="54" xr3:uid="{00000000-0010-0000-0C00-000036000000}" name="hts_tst_tbclinic_2024_f_pos" dataDxfId="232">
      <calculatedColumnFormula>tbclinic_T[[D_tb_stat_newpos_fy19]:[D_tb_stat_newpos_fy19]]*tbclinic_T[A_hts_tst_tbclinic_2024_f_pos]</calculatedColumnFormula>
    </tableColumn>
    <tableColumn id="14" xr3:uid="{00000000-0010-0000-0C00-00000E000000}" name="hts_tst_tbclinic_2024_m_pos" dataDxfId="231">
      <calculatedColumnFormula>tbclinic_T[[D_tb_stat_newpos_fy19]:[D_tb_stat_newpos_fy19]]*tbclinic_T[A_hts_tst_tbclinic_2024_m_pos]</calculatedColumnFormula>
    </tableColumn>
    <tableColumn id="15" xr3:uid="{00000000-0010-0000-0C00-00000F000000}" name="hts_tst_tbclinic_2529_f_pos" dataDxfId="230">
      <calculatedColumnFormula>tbclinic_T[[D_tb_stat_newpos_fy19]:[D_tb_stat_newpos_fy19]]*tbclinic_T[A_hts_tst_tbclinic_2529_f_pos]</calculatedColumnFormula>
    </tableColumn>
    <tableColumn id="16" xr3:uid="{00000000-0010-0000-0C00-000010000000}" name="hts_tst_tbclinic_2529_m_pos" dataDxfId="229">
      <calculatedColumnFormula>tbclinic_T[[D_tb_stat_newpos_fy19]:[D_tb_stat_newpos_fy19]]*tbclinic_T[A_hts_tst_tbclinic_2529_m_pos]</calculatedColumnFormula>
    </tableColumn>
    <tableColumn id="17" xr3:uid="{00000000-0010-0000-0C00-000011000000}" name="hts_tst_tbclinic_3034_f_pos" dataDxfId="228">
      <calculatedColumnFormula>tbclinic_T[[D_tb_stat_newpos_fy19]:[D_tb_stat_newpos_fy19]]*tbclinic_T[A_hts_tst_tbclinic_3034_f_pos]</calculatedColumnFormula>
    </tableColumn>
    <tableColumn id="18" xr3:uid="{00000000-0010-0000-0C00-000012000000}" name="hts_tst_tbclinic_3034_m_pos" dataDxfId="227">
      <calculatedColumnFormula>tbclinic_T[[D_tb_stat_newpos_fy19]:[D_tb_stat_newpos_fy19]]*tbclinic_T[A_hts_tst_tbclinic_3034_m__pos]</calculatedColumnFormula>
    </tableColumn>
    <tableColumn id="19" xr3:uid="{00000000-0010-0000-0C00-000013000000}" name="hts_tst_tbclinic_3539_f_pos" dataDxfId="226">
      <calculatedColumnFormula>tbclinic_T[[D_tb_stat_newpos_fy19]:[D_tb_stat_newpos_fy19]]*tbclinic_T[A_hts_tst_tbclinic_3539_f_pos]</calculatedColumnFormula>
    </tableColumn>
    <tableColumn id="20" xr3:uid="{00000000-0010-0000-0C00-000014000000}" name="hts_tst_tbclinic_3539_m_pos" dataDxfId="225">
      <calculatedColumnFormula>tbclinic_T[[D_tb_stat_newpos_fy19]:[D_tb_stat_newpos_fy19]]*tbclinic_T[A_hts_tst_tbclinic_3539_m__pos]</calculatedColumnFormula>
    </tableColumn>
    <tableColumn id="21" xr3:uid="{00000000-0010-0000-0C00-000015000000}" name="hts_tst_tbclinic_4049_f_pos" dataDxfId="224">
      <calculatedColumnFormula>tbclinic_T[[D_tb_stat_newpos_fy19]:[D_tb_stat_newpos_fy19]]*tbclinic_T[A_hts_tst_tbclinic_4049_f_pos]</calculatedColumnFormula>
    </tableColumn>
    <tableColumn id="26" xr3:uid="{00000000-0010-0000-0C00-00001A000000}" name="hts_tst_tbclinic_4049_m_pos" dataDxfId="223">
      <calculatedColumnFormula>tbclinic_T[[D_tb_stat_newpos_fy19]:[D_tb_stat_newpos_fy19]]*tbclinic_T[A_hts_tst_tbclinic_4049_m_pos]</calculatedColumnFormula>
    </tableColumn>
    <tableColumn id="28" xr3:uid="{00000000-0010-0000-0C00-00001C000000}" name="hts_tst_tbclinic_o50_f_pos" dataDxfId="222">
      <calculatedColumnFormula>tbclinic_T[[D_tb_stat_newpos_fy19]:[D_tb_stat_newpos_fy19]]*tbclinic_T[A_hts_tst_tbclinic_o50_f_pos]</calculatedColumnFormula>
    </tableColumn>
    <tableColumn id="29" xr3:uid="{00000000-0010-0000-0C00-00001D000000}" name="hts_tst_tbclinic_o50_m_pos" dataDxfId="221">
      <calculatedColumnFormula>tbclinic_T[[D_tb_stat_newpos_fy19]:[D_tb_stat_newpos_fy19]]*tbclinic_T[A_hts_tst_tbclinic_o50_m_pos]</calculatedColumnFormula>
    </tableColumn>
    <tableColumn id="8" xr3:uid="{00000000-0010-0000-0C00-000008000000}" name="hts_tst_tbclinic_u1_unk_neg" dataDxfId="220">
      <calculatedColumnFormula>tbclinic_T[[D_tb_stat_newneg_fy19]:[D_tb_stat_newneg_fy19]]*tbclinic_T[A_hts_tst_tbclinic_u1_unk_neg]</calculatedColumnFormula>
    </tableColumn>
    <tableColumn id="9" xr3:uid="{00000000-0010-0000-0C00-000009000000}" name="hts_tst_tbclinic_0109_unk_neg" dataDxfId="219">
      <calculatedColumnFormula>tbclinic_T[[D_tb_stat_newneg_fy19]:[D_tb_stat_newneg_fy19]]*tbclinic_T[A_hts_tst_tbclinic_0109_unk_neg]</calculatedColumnFormula>
    </tableColumn>
    <tableColumn id="10" xr3:uid="{00000000-0010-0000-0C00-00000A000000}" name="hts_tst_tbclinic_1014_f_neg" dataDxfId="218">
      <calculatedColumnFormula>tbclinic_T[[D_tb_stat_newneg_fy19]:[D_tb_stat_newneg_fy19]]*tbclinic_T[A_hts_tst_tbclinic_1014_f_neg]</calculatedColumnFormula>
    </tableColumn>
    <tableColumn id="11" xr3:uid="{00000000-0010-0000-0C00-00000B000000}" name="hts_tst_tbclinic_1014_m_neg" dataDxfId="217">
      <calculatedColumnFormula>tbclinic_T[[D_tb_stat_newneg_fy19]:[D_tb_stat_newneg_fy19]]*tbclinic_T[A_hts_tst_tbclinic_1014_m_neg]</calculatedColumnFormula>
    </tableColumn>
    <tableColumn id="30" xr3:uid="{00000000-0010-0000-0C00-00001E000000}" name="hts_tst_tbclinic_1519_f_neg" dataDxfId="216">
      <calculatedColumnFormula>tbclinic_T[[D_tb_stat_newneg_fy19]:[D_tb_stat_newneg_fy19]]*tbclinic_T[A_hts_tst_tbclinic_1519_f_neg]</calculatedColumnFormula>
    </tableColumn>
    <tableColumn id="52" xr3:uid="{00000000-0010-0000-0C00-000034000000}" name="hts_tst_tbclinic_1519_m_neg" dataDxfId="215">
      <calculatedColumnFormula>tbclinic_T[[D_tb_stat_newneg_fy19]:[D_tb_stat_newneg_fy19]]*tbclinic_T[A_hts_tst_tbclinic_1519_m_neg]</calculatedColumnFormula>
    </tableColumn>
    <tableColumn id="31" xr3:uid="{00000000-0010-0000-0C00-00001F000000}" name="hts_tst_tbclinic_2024_f_neg" dataDxfId="214">
      <calculatedColumnFormula>tbclinic_T[[D_tb_stat_newneg_fy19]:[D_tb_stat_newneg_fy19]]*tbclinic_T[A_hts_tst_tbclinic_2024_f_neg]</calculatedColumnFormula>
    </tableColumn>
    <tableColumn id="32" xr3:uid="{00000000-0010-0000-0C00-000020000000}" name="hts_tst_tbclinic_2024_m_neg" dataDxfId="213">
      <calculatedColumnFormula>tbclinic_T[[D_tb_stat_newneg_fy19]:[D_tb_stat_newneg_fy19]]*tbclinic_T[A_hts_tst_tbclinic_2024_m_neg]</calculatedColumnFormula>
    </tableColumn>
    <tableColumn id="33" xr3:uid="{00000000-0010-0000-0C00-000021000000}" name="hts_tst_tbclinic_2529_f_neg" dataDxfId="212">
      <calculatedColumnFormula>tbclinic_T[[D_tb_stat_newneg_fy19]:[D_tb_stat_newneg_fy19]]*tbclinic_T[A_hts_tst_tbclinic_2529_f_neg]</calculatedColumnFormula>
    </tableColumn>
    <tableColumn id="34" xr3:uid="{00000000-0010-0000-0C00-000022000000}" name="hts_tst_tbclinic_2529_m_neg" dataDxfId="211">
      <calculatedColumnFormula>tbclinic_T[[D_tb_stat_newneg_fy19]:[D_tb_stat_newneg_fy19]]*tbclinic_T[A_hts_tst_tbclinic_2529_m_neg]</calculatedColumnFormula>
    </tableColumn>
    <tableColumn id="35" xr3:uid="{00000000-0010-0000-0C00-000023000000}" name="hts_tst_tbclinic_3034_f_neg" dataDxfId="210">
      <calculatedColumnFormula>tbclinic_T[[D_tb_stat_newneg_fy19]:[D_tb_stat_newneg_fy19]]*tbclinic_T[A_hts_tst_tbclinic_3034_f_neg]</calculatedColumnFormula>
    </tableColumn>
    <tableColumn id="36" xr3:uid="{00000000-0010-0000-0C00-000024000000}" name="hts_tst_tbclinic_3034_m_neg" dataDxfId="209">
      <calculatedColumnFormula>tbclinic_T[[D_tb_stat_newneg_fy19]:[D_tb_stat_newneg_fy19]]*tbclinic_T[A_hts_tst_tbclinic_3034_m_neg]</calculatedColumnFormula>
    </tableColumn>
    <tableColumn id="53" xr3:uid="{00000000-0010-0000-0C00-000035000000}" name="hts_tst_tbclinic_3539_f_neg" dataDxfId="208">
      <calculatedColumnFormula>tbclinic_T[[D_tb_stat_newneg_fy19]:[D_tb_stat_newneg_fy19]]*tbclinic_T[A_hts_tst_tbclinic_3539_f_neg]</calculatedColumnFormula>
    </tableColumn>
    <tableColumn id="37" xr3:uid="{00000000-0010-0000-0C00-000025000000}" name="hts_tst_tbclinic_3539_m_neg" dataDxfId="207">
      <calculatedColumnFormula>tbclinic_T[[D_tb_stat_newneg_fy19]:[D_tb_stat_newneg_fy19]]*tbclinic_T[A_hts_tst_tbclinic_3539_m_neg]</calculatedColumnFormula>
    </tableColumn>
    <tableColumn id="38" xr3:uid="{00000000-0010-0000-0C00-000026000000}" name="hts_tst_tbclinic_4049_f_neg" dataDxfId="206">
      <calculatedColumnFormula>tbclinic_T[[D_tb_stat_newneg_fy19]:[D_tb_stat_newneg_fy19]]*tbclinic_T[A_hts_tst_tbclinic_4049_f_neg]</calculatedColumnFormula>
    </tableColumn>
    <tableColumn id="39" xr3:uid="{00000000-0010-0000-0C00-000027000000}" name="hts_tst_tbclinic_4049_m_neg" dataDxfId="205">
      <calculatedColumnFormula>tbclinic_T[[D_tb_stat_newneg_fy19]:[D_tb_stat_newneg_fy19]]*tbclinic_T[A_hts_tst_tbclinic_4049_m_neg]</calculatedColumnFormula>
    </tableColumn>
    <tableColumn id="40" xr3:uid="{00000000-0010-0000-0C00-000028000000}" name="hts_tst_tbclinic_o50_f_neg" dataDxfId="204">
      <calculatedColumnFormula>tbclinic_T[[D_tb_stat_newneg_fy19]:[D_tb_stat_newneg_fy19]]*tbclinic_T[A_hts_tst_tbclinic_o50_f_neg]</calculatedColumnFormula>
    </tableColumn>
    <tableColumn id="41" xr3:uid="{00000000-0010-0000-0C00-000029000000}" name="hts_tst_tbclinic_o50_m_neg" dataDxfId="203">
      <calculatedColumnFormula>tbclinic_T[[D_tb_stat_newneg_fy19]:[D_tb_stat_newneg_fy19]]*tbclinic_T[A_hts_tst_tbclinic_o50_m_neg]</calculatedColumnFormula>
    </tableColumn>
  </tableColumns>
  <tableStyleInfo name="DP Table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D000000}" name="pmtct_T" displayName="pmtct_T" ref="C6:BB7" totalsRowShown="0" headerRowDxfId="201" dataDxfId="200">
  <autoFilter ref="C6:BB7" xr:uid="{00000000-0009-0000-0100-000014000000}"/>
  <tableColumns count="52">
    <tableColumn id="1" xr3:uid="{00000000-0010-0000-0D00-000001000000}" name="psnu" dataDxfId="199"/>
    <tableColumn id="46" xr3:uid="{00000000-0010-0000-0D00-00002E000000}" name="psnuuid" dataDxfId="198"/>
    <tableColumn id="2" xr3:uid="{00000000-0010-0000-0D00-000002000000}" name="priority" dataDxfId="197"/>
    <tableColumn id="27" xr3:uid="{00000000-0010-0000-0D00-00001B000000}" name="mechid" dataDxfId="196"/>
    <tableColumn id="45" xr3:uid="{00000000-0010-0000-0D00-00002D000000}" name="mechname" dataDxfId="195"/>
    <tableColumn id="4" xr3:uid="{00000000-0010-0000-0D00-000004000000}" name="type" dataDxfId="194"/>
    <tableColumn id="47" xr3:uid="{00000000-0010-0000-0D00-00002F000000}" name="psnu_type" dataDxfId="193"/>
    <tableColumn id="48" xr3:uid="{00000000-0010-0000-0D00-000030000000}" name="A_hts_tst_pmtctanc_u1_f_pos" dataDxfId="192"/>
    <tableColumn id="50" xr3:uid="{00000000-0010-0000-0D00-000032000000}" name="A_hts_tst_pmtctanc_0109_f_pos" dataDxfId="191"/>
    <tableColumn id="51" xr3:uid="{00000000-0010-0000-0D00-000033000000}" name="A_hts_tst_pmtctanc_1014_f_pos" dataDxfId="190"/>
    <tableColumn id="79" xr3:uid="{00000000-0010-0000-0D00-00004F000000}" name="A_hts_tst_pmtctanc_1519_f_pos" dataDxfId="189"/>
    <tableColumn id="81" xr3:uid="{00000000-0010-0000-0D00-000051000000}" name="A_hts_tst_pmtctanc_2024_f_pos" dataDxfId="188"/>
    <tableColumn id="83" xr3:uid="{00000000-0010-0000-0D00-000053000000}" name="A_hts_tst_pmtctanc_2529_f_pos" dataDxfId="187"/>
    <tableColumn id="85" xr3:uid="{00000000-0010-0000-0D00-000055000000}" name="A_hts_tst_pmtctanc_3034_f_pos" dataDxfId="186"/>
    <tableColumn id="87" xr3:uid="{00000000-0010-0000-0D00-000057000000}" name="A_hts_tst_pmtctanc_3539_f_pos" dataDxfId="185"/>
    <tableColumn id="89" xr3:uid="{00000000-0010-0000-0D00-000059000000}" name="A_hts_tst_pmtctanc_4049_f_pos" dataDxfId="184"/>
    <tableColumn id="91" xr3:uid="{00000000-0010-0000-0D00-00005B000000}" name="A_hts_tst_pmtctanc_o50_f_pos" dataDxfId="183"/>
    <tableColumn id="75" xr3:uid="{00000000-0010-0000-0D00-00004B000000}" name="A_hts_tst_pmtctanc_u1_f_neg" dataDxfId="182"/>
    <tableColumn id="76" xr3:uid="{00000000-0010-0000-0D00-00004C000000}" name="A_hts_tst_pmtctanc_0109_f_neg" dataDxfId="181"/>
    <tableColumn id="77" xr3:uid="{00000000-0010-0000-0D00-00004D000000}" name="A_hts_tst_pmtctanc_1014_f_neg" dataDxfId="180"/>
    <tableColumn id="56" xr3:uid="{00000000-0010-0000-0D00-000038000000}" name="A_hts_tst_pmtctanc_1519_f_neg" dataDxfId="179"/>
    <tableColumn id="58" xr3:uid="{00000000-0010-0000-0D00-00003A000000}" name="A_hts_tst_pmtctanc_2024_f_neg" dataDxfId="178"/>
    <tableColumn id="60" xr3:uid="{00000000-0010-0000-0D00-00003C000000}" name="A_hts_tst_pmtctanc_2529_f_neg" dataDxfId="177"/>
    <tableColumn id="62" xr3:uid="{00000000-0010-0000-0D00-00003E000000}" name="A_hts_tst_pmtctanc_3034_f_neg" dataDxfId="176"/>
    <tableColumn id="64" xr3:uid="{00000000-0010-0000-0D00-000040000000}" name="A_hts_tst_pmtctanc_3539_f_neg" dataDxfId="175"/>
    <tableColumn id="66" xr3:uid="{00000000-0010-0000-0D00-000042000000}" name="A_hts_tst_pmtctanc_4049_f_neg" dataDxfId="174"/>
    <tableColumn id="68" xr3:uid="{00000000-0010-0000-0D00-000044000000}" name="A_hts_tst_pmtctanc_o50_f_neg" dataDxfId="173"/>
    <tableColumn id="3" xr3:uid="{00000000-0010-0000-0D00-000003000000}" name="A_check1" dataDxfId="172"/>
    <tableColumn id="7" xr3:uid="{00000000-0010-0000-0D00-000007000000}" name="A_check2" dataDxfId="171"/>
    <tableColumn id="25" xr3:uid="{00000000-0010-0000-0D00-000019000000}" name="D_hts_tst_pmtctanc_fy19" dataDxfId="170"/>
    <tableColumn id="70" xr3:uid="{00000000-0010-0000-0D00-000046000000}" name="D_pmtct_stat_newpos_fy19" dataDxfId="169"/>
    <tableColumn id="93" xr3:uid="{00000000-0010-0000-0D00-00005D000000}" name="D_pmtct_stat_newneg_fy19" dataDxfId="168"/>
    <tableColumn id="5" xr3:uid="{00000000-0010-0000-0D00-000005000000}" name="hts_tst_pmtctanc_u1_f_pos" dataDxfId="167">
      <calculatedColumnFormula>pmtct_T[[D_pmtct_stat_newpos_fy19]:[D_pmtct_stat_newpos_fy19]]*pmtct_T[A_hts_tst_pmtctanc_u1_f_pos]</calculatedColumnFormula>
    </tableColumn>
    <tableColumn id="6" xr3:uid="{00000000-0010-0000-0D00-000006000000}" name="hts_tst_pmtctanc_0109_f_pos" dataDxfId="166">
      <calculatedColumnFormula>pmtct_T[[D_pmtct_stat_newpos_fy19]:[D_pmtct_stat_newpos_fy19]]*pmtct_T[A_hts_tst_pmtctanc_0109_f_pos]</calculatedColumnFormula>
    </tableColumn>
    <tableColumn id="22" xr3:uid="{00000000-0010-0000-0D00-000016000000}" name="hts_tst_pmtctanc_1014_f_pos" dataDxfId="165">
      <calculatedColumnFormula>pmtct_T[[D_pmtct_stat_newpos_fy19]:[D_pmtct_stat_newpos_fy19]]*pmtct_T[A_hts_tst_pmtctanc_1014_f_pos]</calculatedColumnFormula>
    </tableColumn>
    <tableColumn id="12" xr3:uid="{00000000-0010-0000-0D00-00000C000000}" name="hts_tst_pmtctanc_1519_f_pos" dataDxfId="164">
      <calculatedColumnFormula>pmtct_T[[D_pmtct_stat_newpos_fy19]:[D_pmtct_stat_newpos_fy19]]*pmtct_T[A_hts_tst_pmtctanc_1519_f_pos]</calculatedColumnFormula>
    </tableColumn>
    <tableColumn id="54" xr3:uid="{00000000-0010-0000-0D00-000036000000}" name="hts_tst_pmtctanc_2024_f_pos" dataDxfId="163">
      <calculatedColumnFormula>pmtct_T[[D_pmtct_stat_newpos_fy19]:[D_pmtct_stat_newpos_fy19]]*pmtct_T[A_hts_tst_pmtctanc_2024_f_pos]</calculatedColumnFormula>
    </tableColumn>
    <tableColumn id="15" xr3:uid="{00000000-0010-0000-0D00-00000F000000}" name="hts_tst_pmtctanc_2529_f_pos" dataDxfId="162">
      <calculatedColumnFormula>pmtct_T[[D_pmtct_stat_newpos_fy19]:[D_pmtct_stat_newpos_fy19]]*pmtct_T[A_hts_tst_pmtctanc_2529_f_pos]</calculatedColumnFormula>
    </tableColumn>
    <tableColumn id="17" xr3:uid="{00000000-0010-0000-0D00-000011000000}" name="hts_tst_pmtctanc_3034_f_pos" dataDxfId="161">
      <calculatedColumnFormula>pmtct_T[[D_pmtct_stat_newpos_fy19]:[D_pmtct_stat_newpos_fy19]]*pmtct_T[A_hts_tst_pmtctanc_3034_f_pos]</calculatedColumnFormula>
    </tableColumn>
    <tableColumn id="19" xr3:uid="{00000000-0010-0000-0D00-000013000000}" name="hts_tst_pmtctanc_3539_f_pos" dataDxfId="160">
      <calculatedColumnFormula>pmtct_T[[D_pmtct_stat_newpos_fy19]:[D_pmtct_stat_newpos_fy19]]*pmtct_T[A_hts_tst_pmtctanc_3539_f_pos]</calculatedColumnFormula>
    </tableColumn>
    <tableColumn id="21" xr3:uid="{00000000-0010-0000-0D00-000015000000}" name="hts_tst_pmtctanc_4049_f_pos" dataDxfId="159">
      <calculatedColumnFormula>pmtct_T[[D_pmtct_stat_newpos_fy19]:[D_pmtct_stat_newpos_fy19]]*pmtct_T[A_hts_tst_pmtctanc_4049_f_pos]</calculatedColumnFormula>
    </tableColumn>
    <tableColumn id="28" xr3:uid="{00000000-0010-0000-0D00-00001C000000}" name="hts_tst_pmtctanc_o50_f_pos" dataDxfId="158">
      <calculatedColumnFormula>pmtct_T[[D_pmtct_stat_newpos_fy19]:[D_pmtct_stat_newpos_fy19]]*pmtct_T[A_hts_tst_pmtctanc_o50_f_pos]</calculatedColumnFormula>
    </tableColumn>
    <tableColumn id="8" xr3:uid="{00000000-0010-0000-0D00-000008000000}" name="hts_tst_pmtctanc_u1_f_neg" dataDxfId="157">
      <calculatedColumnFormula>pmtct_T[[D_pmtct_stat_newneg_fy19]:[D_pmtct_stat_newneg_fy19]]*pmtct_T[A_hts_tst_pmtctanc_u1_f_neg]</calculatedColumnFormula>
    </tableColumn>
    <tableColumn id="9" xr3:uid="{00000000-0010-0000-0D00-000009000000}" name="hts_tst_pmtctanc_0109_f_neg" dataDxfId="156">
      <calculatedColumnFormula>pmtct_T[[D_pmtct_stat_newneg_fy19]:[D_pmtct_stat_newneg_fy19]]*pmtct_T[A_hts_tst_pmtctanc_0109_f_neg]</calculatedColumnFormula>
    </tableColumn>
    <tableColumn id="10" xr3:uid="{00000000-0010-0000-0D00-00000A000000}" name="hts_tst_pmtctanc_1014_f_neg" dataDxfId="155">
      <calculatedColumnFormula>pmtct_T[[D_pmtct_stat_newneg_fy19]:[D_pmtct_stat_newneg_fy19]]*pmtct_T[A_hts_tst_pmtctanc_1014_f_neg]</calculatedColumnFormula>
    </tableColumn>
    <tableColumn id="30" xr3:uid="{00000000-0010-0000-0D00-00001E000000}" name="hts_tst_pmtctanc_1519_f_neg" dataDxfId="154">
      <calculatedColumnFormula>pmtct_T[[D_pmtct_stat_newneg_fy19]:[D_pmtct_stat_newneg_fy19]]*pmtct_T[A_hts_tst_pmtctanc_1519_f_neg]</calculatedColumnFormula>
    </tableColumn>
    <tableColumn id="31" xr3:uid="{00000000-0010-0000-0D00-00001F000000}" name="hts_tst_pmtctanc_2024_f_neg" dataDxfId="153">
      <calculatedColumnFormula>pmtct_T[[D_pmtct_stat_newneg_fy19]:[D_pmtct_stat_newneg_fy19]]*pmtct_T[A_hts_tst_pmtctanc_2024_f_neg]</calculatedColumnFormula>
    </tableColumn>
    <tableColumn id="33" xr3:uid="{00000000-0010-0000-0D00-000021000000}" name="hts_tst_pmtctanc_2529_f_neg" dataDxfId="152">
      <calculatedColumnFormula>pmtct_T[[D_pmtct_stat_newneg_fy19]:[D_pmtct_stat_newneg_fy19]]*pmtct_T[A_hts_tst_pmtctanc_2529_f_neg]</calculatedColumnFormula>
    </tableColumn>
    <tableColumn id="35" xr3:uid="{00000000-0010-0000-0D00-000023000000}" name="hts_tst_pmtctanc_3034_f_neg" dataDxfId="151">
      <calculatedColumnFormula>pmtct_T[[D_pmtct_stat_newneg_fy19]:[D_pmtct_stat_newneg_fy19]]*pmtct_T[A_hts_tst_pmtctanc_3034_f_neg]</calculatedColumnFormula>
    </tableColumn>
    <tableColumn id="53" xr3:uid="{00000000-0010-0000-0D00-000035000000}" name="hts_tst_pmtctanc_3539_f_neg" dataDxfId="150">
      <calculatedColumnFormula>pmtct_T[[D_pmtct_stat_newneg_fy19]:[D_pmtct_stat_newneg_fy19]]*pmtct_T[A_hts_tst_pmtctanc_3539_f_neg]</calculatedColumnFormula>
    </tableColumn>
    <tableColumn id="38" xr3:uid="{00000000-0010-0000-0D00-000026000000}" name="hts_tst_pmtctanc_4049_f_neg" dataDxfId="149">
      <calculatedColumnFormula>pmtct_T[[D_pmtct_stat_newneg_fy19]:[D_pmtct_stat_newneg_fy19]]*pmtct_T[A_hts_tst_pmtctanc_4049_f_neg]</calculatedColumnFormula>
    </tableColumn>
    <tableColumn id="40" xr3:uid="{00000000-0010-0000-0D00-000028000000}" name="hts_tst_pmtctanc_o50_f_neg" dataDxfId="148">
      <calculatedColumnFormula>pmtct_T[[D_pmtct_stat_newneg_fy19]:[D_pmtct_stat_newneg_fy19]]*pmtct_T[A_hts_tst_pmtctanc_o50_f_neg]</calculatedColumnFormula>
    </tableColumn>
  </tableColumns>
  <tableStyleInfo name="DP Table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E000000}" name="pediatric_T" displayName="pediatric_T" ref="C6:L7" totalsRowShown="0" headerRowDxfId="147" dataDxfId="146">
  <autoFilter ref="C6:L7" xr:uid="{00000000-0009-0000-0100-000017000000}"/>
  <tableColumns count="10">
    <tableColumn id="1" xr3:uid="{00000000-0010-0000-0E00-000001000000}" name="psnu" dataDxfId="145"/>
    <tableColumn id="46" xr3:uid="{00000000-0010-0000-0E00-00002E000000}" name="psnuuid" dataDxfId="144"/>
    <tableColumn id="2" xr3:uid="{00000000-0010-0000-0E00-000002000000}" name="priority" dataDxfId="143"/>
    <tableColumn id="27" xr3:uid="{00000000-0010-0000-0E00-00001B000000}" name="mechid" dataDxfId="142"/>
    <tableColumn id="45" xr3:uid="{00000000-0010-0000-0E00-00002D000000}" name="mechname" dataDxfId="141"/>
    <tableColumn id="4" xr3:uid="{00000000-0010-0000-0E00-000004000000}" name="type" dataDxfId="140"/>
    <tableColumn id="47" xr3:uid="{00000000-0010-0000-0E00-00002F000000}" name="psnu_type" dataDxfId="139"/>
    <tableColumn id="25" xr3:uid="{00000000-0010-0000-0E00-000019000000}" name="D_hts_tst_pediatric_u15_fy19" dataDxfId="138"/>
    <tableColumn id="70" xr3:uid="{00000000-0010-0000-0E00-000046000000}" name="D_hts_tst_pos_pediatric_u15_fy19" dataDxfId="137"/>
    <tableColumn id="71" xr3:uid="{00000000-0010-0000-0E00-000047000000}" name="D_hts_tst_neg_pediatric_u15_fy19" dataDxfId="136"/>
  </tableColumns>
  <tableStyleInfo name="DP Table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malnutrition_T25" displayName="malnutrition_T25" ref="C6:L7" totalsRowShown="0" headerRowDxfId="135" dataDxfId="134">
  <autoFilter ref="C6:L7" xr:uid="{00000000-0009-0000-0100-000018000000}"/>
  <tableColumns count="10">
    <tableColumn id="1" xr3:uid="{00000000-0010-0000-0F00-000001000000}" name="psnu" dataDxfId="133"/>
    <tableColumn id="46" xr3:uid="{00000000-0010-0000-0F00-00002E000000}" name="psnuuid" dataDxfId="132"/>
    <tableColumn id="2" xr3:uid="{00000000-0010-0000-0F00-000002000000}" name="priority" dataDxfId="131"/>
    <tableColumn id="27" xr3:uid="{00000000-0010-0000-0F00-00001B000000}" name="mechid" dataDxfId="130"/>
    <tableColumn id="45" xr3:uid="{00000000-0010-0000-0F00-00002D000000}" name="mechname" dataDxfId="129"/>
    <tableColumn id="4" xr3:uid="{00000000-0010-0000-0F00-000004000000}" name="type" dataDxfId="128"/>
    <tableColumn id="47" xr3:uid="{00000000-0010-0000-0F00-00002F000000}" name="psnu_type" dataDxfId="127"/>
    <tableColumn id="25" xr3:uid="{00000000-0010-0000-0F00-000019000000}" name="D_hts_tst_malnutrition_u15_fy19" dataDxfId="126"/>
    <tableColumn id="70" xr3:uid="{00000000-0010-0000-0F00-000046000000}" name="D_hts_tst_pos_malnutrition_u15_fy19" dataDxfId="125"/>
    <tableColumn id="71" xr3:uid="{00000000-0010-0000-0F00-000047000000}" name="D_hts_tst_neg_malnutrition_u15_fy19" dataDxfId="124"/>
  </tableColumns>
  <tableStyleInfo name="DP Table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0000000}" name="otherpitc_T" displayName="otherpitc_T" ref="C6:CM7" totalsRowShown="0" headerRowDxfId="122" dataDxfId="121">
  <autoFilter ref="C6:CM7" xr:uid="{00000000-0009-0000-0100-000016000000}"/>
  <tableColumns count="89">
    <tableColumn id="1" xr3:uid="{00000000-0010-0000-1000-000001000000}" name="psnu" dataDxfId="120"/>
    <tableColumn id="46" xr3:uid="{00000000-0010-0000-1000-00002E000000}" name="psnuuid" dataDxfId="119"/>
    <tableColumn id="2" xr3:uid="{00000000-0010-0000-1000-000002000000}" name="priority" dataDxfId="118"/>
    <tableColumn id="27" xr3:uid="{00000000-0010-0000-1000-00001B000000}" name="mechid" dataDxfId="117"/>
    <tableColumn id="45" xr3:uid="{00000000-0010-0000-1000-00002D000000}" name="mechname" dataDxfId="116"/>
    <tableColumn id="4" xr3:uid="{00000000-0010-0000-1000-000004000000}" name="type" dataDxfId="115"/>
    <tableColumn id="47" xr3:uid="{00000000-0010-0000-1000-00002F000000}" name="psnu_type" dataDxfId="114"/>
    <tableColumn id="48" xr3:uid="{00000000-0010-0000-1000-000030000000}" name="A_hts_tst_otherpitc_u1_unk_pos" dataDxfId="113"/>
    <tableColumn id="50" xr3:uid="{00000000-0010-0000-1000-000032000000}" name="A_hts_tst_otherpitc_0109_unk_pos" dataDxfId="112"/>
    <tableColumn id="51" xr3:uid="{00000000-0010-0000-1000-000033000000}" name="A_hts_tst_otherpitc_1014_f_pos" dataDxfId="111"/>
    <tableColumn id="55" xr3:uid="{00000000-0010-0000-1000-000037000000}" name="A_hts_tst_otherpitc_1014_m_pos" dataDxfId="110"/>
    <tableColumn id="75" xr3:uid="{00000000-0010-0000-1000-00004B000000}" name="A_hts_tst_otherpitc_u1_unk_neg" dataDxfId="109"/>
    <tableColumn id="76" xr3:uid="{00000000-0010-0000-1000-00004C000000}" name="A_hts_tst_otherpitc_0109_unk_neg" dataDxfId="108"/>
    <tableColumn id="77" xr3:uid="{00000000-0010-0000-1000-00004D000000}" name="A_hts_tst_otherpitc_1014_f_neg" dataDxfId="107"/>
    <tableColumn id="78" xr3:uid="{00000000-0010-0000-1000-00004E000000}" name="A_hts_tst_otherpitc_1014_m_neg" dataDxfId="106"/>
    <tableColumn id="79" xr3:uid="{00000000-0010-0000-1000-00004F000000}" name="A_hts_tst_otherpitc_1519_f_pos" dataDxfId="105"/>
    <tableColumn id="80" xr3:uid="{00000000-0010-0000-1000-000050000000}" name="A_hts_tst_otherpitc_1519_m_pos" dataDxfId="104"/>
    <tableColumn id="81" xr3:uid="{00000000-0010-0000-1000-000051000000}" name="A_hts_tst_otherpitc_2024_f_pos" dataDxfId="103"/>
    <tableColumn id="82" xr3:uid="{00000000-0010-0000-1000-000052000000}" name="A_hts_tst_otherpitc_2024_m_pos" dataDxfId="102"/>
    <tableColumn id="83" xr3:uid="{00000000-0010-0000-1000-000053000000}" name="A_hts_tst_otherpitc_2529_f_pos" dataDxfId="101"/>
    <tableColumn id="84" xr3:uid="{00000000-0010-0000-1000-000054000000}" name="A_hts_tst_otherpitc_2529_m_pos" dataDxfId="100"/>
    <tableColumn id="85" xr3:uid="{00000000-0010-0000-1000-000055000000}" name="A_hts_tst_otherpitc_3034_f_pos" dataDxfId="99"/>
    <tableColumn id="86" xr3:uid="{00000000-0010-0000-1000-000056000000}" name="A_hts_tst_otherpitc_3034_m__pos" dataDxfId="98"/>
    <tableColumn id="87" xr3:uid="{00000000-0010-0000-1000-000057000000}" name="A_hts_tst_otherpitc_3539_f_pos" dataDxfId="97"/>
    <tableColumn id="88" xr3:uid="{00000000-0010-0000-1000-000058000000}" name="A_hts_tst_otherpitc_3539_m__pos" dataDxfId="96"/>
    <tableColumn id="89" xr3:uid="{00000000-0010-0000-1000-000059000000}" name="A_hts_tst_otherpitc_4049_f_pos" dataDxfId="95"/>
    <tableColumn id="90" xr3:uid="{00000000-0010-0000-1000-00005A000000}" name="A_hts_tst_otherpitc_4049_m_pos" dataDxfId="94"/>
    <tableColumn id="91" xr3:uid="{00000000-0010-0000-1000-00005B000000}" name="A_hts_tst_otherpitc_o50_f_pos" dataDxfId="93"/>
    <tableColumn id="92" xr3:uid="{00000000-0010-0000-1000-00005C000000}" name="A_hts_tst_otherpitc_o50_m_pos" dataDxfId="92"/>
    <tableColumn id="56" xr3:uid="{00000000-0010-0000-1000-000038000000}" name="A_hts_tst_otherpitc_1519_f_neg" dataDxfId="91"/>
    <tableColumn id="57" xr3:uid="{00000000-0010-0000-1000-000039000000}" name="A_hts_tst_otherpitc_1519_m_neg" dataDxfId="90"/>
    <tableColumn id="58" xr3:uid="{00000000-0010-0000-1000-00003A000000}" name="A_hts_tst_otherpitc_2024_f_neg" dataDxfId="89"/>
    <tableColumn id="59" xr3:uid="{00000000-0010-0000-1000-00003B000000}" name="A_hts_tst_otherpitc_2024_m_neg" dataDxfId="88"/>
    <tableColumn id="60" xr3:uid="{00000000-0010-0000-1000-00003C000000}" name="A_hts_tst_otherpitc_2529_f_neg" dataDxfId="87"/>
    <tableColumn id="61" xr3:uid="{00000000-0010-0000-1000-00003D000000}" name="A_hts_tst_otherpitc_2529_m_neg" dataDxfId="86"/>
    <tableColumn id="62" xr3:uid="{00000000-0010-0000-1000-00003E000000}" name="A_hts_tst_otherpitc_3034_f_neg" dataDxfId="85"/>
    <tableColumn id="63" xr3:uid="{00000000-0010-0000-1000-00003F000000}" name="A_hts_tst_otherpitc_3034_m_neg" dataDxfId="84"/>
    <tableColumn id="64" xr3:uid="{00000000-0010-0000-1000-000040000000}" name="A_hts_tst_otherpitc_3539_f_neg" dataDxfId="83"/>
    <tableColumn id="65" xr3:uid="{00000000-0010-0000-1000-000041000000}" name="A_hts_tst_otherpitc_3539_m_neg" dataDxfId="82"/>
    <tableColumn id="66" xr3:uid="{00000000-0010-0000-1000-000042000000}" name="A_hts_tst_otherpitc_4049_f_neg" dataDxfId="81"/>
    <tableColumn id="67" xr3:uid="{00000000-0010-0000-1000-000043000000}" name="A_hts_tst_otherpitc_4049_m_neg" dataDxfId="80"/>
    <tableColumn id="68" xr3:uid="{00000000-0010-0000-1000-000044000000}" name="A_hts_tst_otherpitc_o50_f_neg" dataDxfId="79"/>
    <tableColumn id="69" xr3:uid="{00000000-0010-0000-1000-000045000000}" name="A_hts_tst_otherpitc_o50_m_neg" dataDxfId="78"/>
    <tableColumn id="3" xr3:uid="{00000000-0010-0000-1000-000003000000}" name="A_check1" dataDxfId="77"/>
    <tableColumn id="23" xr3:uid="{00000000-0010-0000-1000-000017000000}" name="A_check2" dataDxfId="76"/>
    <tableColumn id="24" xr3:uid="{00000000-0010-0000-1000-000018000000}" name="A_check3" dataDxfId="75"/>
    <tableColumn id="42" xr3:uid="{00000000-0010-0000-1000-00002A000000}" name="A_check4" dataDxfId="74"/>
    <tableColumn id="25" xr3:uid="{00000000-0010-0000-1000-000019000000}" name="D_hts_tst_otherpitc_u15_fy19" dataDxfId="73"/>
    <tableColumn id="70" xr3:uid="{00000000-0010-0000-1000-000046000000}" name="D_hts_tst_pos_otherpitc_u15_fy19" dataDxfId="72"/>
    <tableColumn id="71" xr3:uid="{00000000-0010-0000-1000-000047000000}" name="D_hts_tst_neg_otherpitc_u15_fy19" dataDxfId="71"/>
    <tableColumn id="72" xr3:uid="{00000000-0010-0000-1000-000048000000}" name="D_hts_tst_otherpitc_o15_fy19" dataDxfId="70"/>
    <tableColumn id="73" xr3:uid="{00000000-0010-0000-1000-000049000000}" name="D_hts_tst_pos_otherpitc_o15_fy19" dataDxfId="69"/>
    <tableColumn id="74" xr3:uid="{00000000-0010-0000-1000-00004A000000}" name="D_hts_tst_neg_otherpitc_o15_fy19" dataDxfId="68"/>
    <tableColumn id="5" xr3:uid="{00000000-0010-0000-1000-000005000000}" name="hts_tst_otherpitc_u1_unk_pos" dataDxfId="67">
      <calculatedColumnFormula>otherpitc_T[[D_hts_tst_pos_otherpitc_u15_fy19]:[D_hts_tst_pos_otherpitc_u15_fy19]]*otherpitc_T[A_hts_tst_otherpitc_u1_unk_pos]</calculatedColumnFormula>
    </tableColumn>
    <tableColumn id="6" xr3:uid="{00000000-0010-0000-1000-000006000000}" name="hts_tst_otherpitc_0109_unk_pos" dataDxfId="66">
      <calculatedColumnFormula>otherpitc_T[[D_hts_tst_pos_otherpitc_u15_fy19]:[D_hts_tst_pos_otherpitc_u15_fy19]]*otherpitc_T[A_hts_tst_otherpitc_0109_unk_pos]</calculatedColumnFormula>
    </tableColumn>
    <tableColumn id="22" xr3:uid="{00000000-0010-0000-1000-000016000000}" name="hts_tst_otherpitc_1014_f_pos" dataDxfId="65">
      <calculatedColumnFormula>otherpitc_T[[D_hts_tst_pos_otherpitc_u15_fy19]:[D_hts_tst_pos_otherpitc_u15_fy19]]*otherpitc_T[A_hts_tst_otherpitc_1014_f_pos]</calculatedColumnFormula>
    </tableColumn>
    <tableColumn id="7" xr3:uid="{00000000-0010-0000-1000-000007000000}" name="hts_tst_otherpitc_1014_m_pos" dataDxfId="64">
      <calculatedColumnFormula>otherpitc_T[[D_hts_tst_pos_otherpitc_u15_fy19]:[D_hts_tst_pos_otherpitc_u15_fy19]]*otherpitc_T[A_hts_tst_otherpitc_1014_m_pos]</calculatedColumnFormula>
    </tableColumn>
    <tableColumn id="8" xr3:uid="{00000000-0010-0000-1000-000008000000}" name="hts_tst_otherpitc_u1_unk_neg" dataDxfId="63">
      <calculatedColumnFormula>otherpitc_T[[D_hts_tst_neg_otherpitc_u15_fy19]:[D_hts_tst_neg_otherpitc_u15_fy19]]*otherpitc_T[A_hts_tst_otherpitc_u1_unk_neg]</calculatedColumnFormula>
    </tableColumn>
    <tableColumn id="9" xr3:uid="{00000000-0010-0000-1000-000009000000}" name="hts_tst_otherpitc_0109_unk_neg" dataDxfId="62">
      <calculatedColumnFormula>otherpitc_T[[D_hts_tst_neg_otherpitc_u15_fy19]:[D_hts_tst_neg_otherpitc_u15_fy19]]*otherpitc_T[A_hts_tst_otherpitc_0109_unk_neg]</calculatedColumnFormula>
    </tableColumn>
    <tableColumn id="10" xr3:uid="{00000000-0010-0000-1000-00000A000000}" name="hts_tst_otherpitc_1014_f_neg" dataDxfId="61">
      <calculatedColumnFormula>otherpitc_T[[D_hts_tst_neg_otherpitc_u15_fy19]:[D_hts_tst_neg_otherpitc_u15_fy19]]*otherpitc_T[A_hts_tst_otherpitc_1014_f_neg]</calculatedColumnFormula>
    </tableColumn>
    <tableColumn id="11" xr3:uid="{00000000-0010-0000-1000-00000B000000}" name="hts_tst_otherpitc_1014_m_neg" dataDxfId="60">
      <calculatedColumnFormula>otherpitc_T[[D_hts_tst_neg_otherpitc_u15_fy19]:[D_hts_tst_neg_otherpitc_u15_fy19]]*otherpitc_T[A_hts_tst_otherpitc_1014_m_neg]</calculatedColumnFormula>
    </tableColumn>
    <tableColumn id="12" xr3:uid="{00000000-0010-0000-1000-00000C000000}" name="hts_tst_otherpitc_1519_f_pos" dataDxfId="59">
      <calculatedColumnFormula>otherpitc_T[[D_hts_tst_pos_otherpitc_o15_fy19]:[D_hts_tst_pos_otherpitc_o15_fy19]]*otherpitc_T[A_hts_tst_otherpitc_1519_f_pos]</calculatedColumnFormula>
    </tableColumn>
    <tableColumn id="13" xr3:uid="{00000000-0010-0000-1000-00000D000000}" name="hts_tst_otherpitc_1519_m_pos" dataDxfId="58">
      <calculatedColumnFormula>otherpitc_T[[D_hts_tst_pos_otherpitc_o15_fy19]:[D_hts_tst_pos_otherpitc_o15_fy19]]*otherpitc_T[A_hts_tst_otherpitc_1519_m_pos]</calculatedColumnFormula>
    </tableColumn>
    <tableColumn id="54" xr3:uid="{00000000-0010-0000-1000-000036000000}" name="hts_tst_otherpitc_2024_f_pos" dataDxfId="57">
      <calculatedColumnFormula>otherpitc_T[[D_hts_tst_pos_otherpitc_o15_fy19]:[D_hts_tst_pos_otherpitc_o15_fy19]]*otherpitc_T[A_hts_tst_otherpitc_2024_f_pos]</calculatedColumnFormula>
    </tableColumn>
    <tableColumn id="14" xr3:uid="{00000000-0010-0000-1000-00000E000000}" name="hts_tst_otherpitc_2024_m_pos" dataDxfId="56">
      <calculatedColumnFormula>otherpitc_T[[D_hts_tst_pos_otherpitc_o15_fy19]:[D_hts_tst_pos_otherpitc_o15_fy19]]*otherpitc_T[A_hts_tst_otherpitc_2024_m_pos]</calculatedColumnFormula>
    </tableColumn>
    <tableColumn id="15" xr3:uid="{00000000-0010-0000-1000-00000F000000}" name="hts_tst_otherpitc_2529_f_pos" dataDxfId="55">
      <calculatedColumnFormula>otherpitc_T[[D_hts_tst_pos_otherpitc_o15_fy19]:[D_hts_tst_pos_otherpitc_o15_fy19]]*otherpitc_T[A_hts_tst_otherpitc_2529_f_pos]</calculatedColumnFormula>
    </tableColumn>
    <tableColumn id="16" xr3:uid="{00000000-0010-0000-1000-000010000000}" name="hts_tst_otherpitc_2529_m_pos" dataDxfId="54">
      <calculatedColumnFormula>otherpitc_T[[D_hts_tst_pos_otherpitc_o15_fy19]:[D_hts_tst_pos_otherpitc_o15_fy19]]*otherpitc_T[A_hts_tst_otherpitc_2529_m_pos]</calculatedColumnFormula>
    </tableColumn>
    <tableColumn id="17" xr3:uid="{00000000-0010-0000-1000-000011000000}" name="hts_tst_otherpitc_3034_f_pos" dataDxfId="53">
      <calculatedColumnFormula>otherpitc_T[[D_hts_tst_pos_otherpitc_o15_fy19]:[D_hts_tst_pos_otherpitc_o15_fy19]]*otherpitc_T[A_hts_tst_otherpitc_3034_f_pos]</calculatedColumnFormula>
    </tableColumn>
    <tableColumn id="18" xr3:uid="{00000000-0010-0000-1000-000012000000}" name="hts_tst_otherpitc_3034_m_pos" dataDxfId="52">
      <calculatedColumnFormula>otherpitc_T[[D_hts_tst_pos_otherpitc_o15_fy19]:[D_hts_tst_pos_otherpitc_o15_fy19]]*otherpitc_T[A_hts_tst_otherpitc_3034_m__pos]</calculatedColumnFormula>
    </tableColumn>
    <tableColumn id="19" xr3:uid="{00000000-0010-0000-1000-000013000000}" name="hts_tst_otherpitc_3539_f_pos" dataDxfId="51">
      <calculatedColumnFormula>otherpitc_T[[D_hts_tst_pos_otherpitc_o15_fy19]:[D_hts_tst_pos_otherpitc_o15_fy19]]*otherpitc_T[A_hts_tst_otherpitc_3539_f_pos]</calculatedColumnFormula>
    </tableColumn>
    <tableColumn id="20" xr3:uid="{00000000-0010-0000-1000-000014000000}" name="hts_tst_otherpitc_3539_m_pos" dataDxfId="50">
      <calculatedColumnFormula>otherpitc_T[[D_hts_tst_pos_otherpitc_o15_fy19]:[D_hts_tst_pos_otherpitc_o15_fy19]]*otherpitc_T[A_hts_tst_otherpitc_3539_m__pos]</calculatedColumnFormula>
    </tableColumn>
    <tableColumn id="21" xr3:uid="{00000000-0010-0000-1000-000015000000}" name="hts_tst_otherpitc_4049_f_pos" dataDxfId="49">
      <calculatedColumnFormula>otherpitc_T[[D_hts_tst_pos_otherpitc_o15_fy19]:[D_hts_tst_pos_otherpitc_o15_fy19]]*otherpitc_T[A_hts_tst_otherpitc_4049_f_pos]</calculatedColumnFormula>
    </tableColumn>
    <tableColumn id="26" xr3:uid="{00000000-0010-0000-1000-00001A000000}" name="hts_tst_otherpitc_4049_m_pos" dataDxfId="48">
      <calculatedColumnFormula>otherpitc_T[[D_hts_tst_pos_otherpitc_o15_fy19]:[D_hts_tst_pos_otherpitc_o15_fy19]]*otherpitc_T[A_hts_tst_otherpitc_4049_m_pos]</calculatedColumnFormula>
    </tableColumn>
    <tableColumn id="28" xr3:uid="{00000000-0010-0000-1000-00001C000000}" name="hts_tst_otherpitc_o50_f_pos" dataDxfId="47">
      <calculatedColumnFormula>otherpitc_T[[D_hts_tst_pos_otherpitc_o15_fy19]:[D_hts_tst_pos_otherpitc_o15_fy19]]*otherpitc_T[A_hts_tst_otherpitc_o50_f_pos]</calculatedColumnFormula>
    </tableColumn>
    <tableColumn id="29" xr3:uid="{00000000-0010-0000-1000-00001D000000}" name="hts_tst_otherpitc_o50_m_pos" dataDxfId="46">
      <calculatedColumnFormula>otherpitc_T[[D_hts_tst_pos_otherpitc_o15_fy19]:[D_hts_tst_pos_otherpitc_o15_fy19]]*otherpitc_T[A_hts_tst_otherpitc_o50_m_pos]</calculatedColumnFormula>
    </tableColumn>
    <tableColumn id="30" xr3:uid="{00000000-0010-0000-1000-00001E000000}" name="hts_tst_otherpitc_1519_f_neg" dataDxfId="45">
      <calculatedColumnFormula>otherpitc_T[[D_hts_tst_neg_otherpitc_o15_fy19]:[D_hts_tst_neg_otherpitc_o15_fy19]]*otherpitc_T[A_hts_tst_otherpitc_1519_f_neg]</calculatedColumnFormula>
    </tableColumn>
    <tableColumn id="52" xr3:uid="{00000000-0010-0000-1000-000034000000}" name="hts_tst_otherpitc_1519_m_neg" dataDxfId="44">
      <calculatedColumnFormula>otherpitc_T[[D_hts_tst_neg_otherpitc_o15_fy19]:[D_hts_tst_neg_otherpitc_o15_fy19]]*otherpitc_T[A_hts_tst_otherpitc_1519_m_neg]</calculatedColumnFormula>
    </tableColumn>
    <tableColumn id="31" xr3:uid="{00000000-0010-0000-1000-00001F000000}" name="hts_tst_otherpitc_2024_f_neg" dataDxfId="43">
      <calculatedColumnFormula>otherpitc_T[[D_hts_tst_neg_otherpitc_o15_fy19]:[D_hts_tst_neg_otherpitc_o15_fy19]]*otherpitc_T[A_hts_tst_otherpitc_2024_f_neg]</calculatedColumnFormula>
    </tableColumn>
    <tableColumn id="32" xr3:uid="{00000000-0010-0000-1000-000020000000}" name="hts_tst_otherpitc_2024_m_neg" dataDxfId="42">
      <calculatedColumnFormula>otherpitc_T[[D_hts_tst_neg_otherpitc_o15_fy19]:[D_hts_tst_neg_otherpitc_o15_fy19]]*otherpitc_T[A_hts_tst_otherpitc_2024_m_neg]</calculatedColumnFormula>
    </tableColumn>
    <tableColumn id="33" xr3:uid="{00000000-0010-0000-1000-000021000000}" name="hts_tst_otherpitc_2529_f_neg" dataDxfId="41">
      <calculatedColumnFormula>otherpitc_T[[D_hts_tst_neg_otherpitc_o15_fy19]:[D_hts_tst_neg_otherpitc_o15_fy19]]*otherpitc_T[A_hts_tst_otherpitc_2529_f_neg]</calculatedColumnFormula>
    </tableColumn>
    <tableColumn id="34" xr3:uid="{00000000-0010-0000-1000-000022000000}" name="hts_tst_otherpitc_2529_m_neg" dataDxfId="40">
      <calculatedColumnFormula>otherpitc_T[[D_hts_tst_neg_otherpitc_o15_fy19]:[D_hts_tst_neg_otherpitc_o15_fy19]]*otherpitc_T[A_hts_tst_otherpitc_2529_m_neg]</calculatedColumnFormula>
    </tableColumn>
    <tableColumn id="35" xr3:uid="{00000000-0010-0000-1000-000023000000}" name="hts_tst_otherpitc_3034_f_neg" dataDxfId="39">
      <calculatedColumnFormula>otherpitc_T[[D_hts_tst_neg_otherpitc_o15_fy19]:[D_hts_tst_neg_otherpitc_o15_fy19]]*otherpitc_T[A_hts_tst_otherpitc_3034_f_neg]</calculatedColumnFormula>
    </tableColumn>
    <tableColumn id="36" xr3:uid="{00000000-0010-0000-1000-000024000000}" name="hts_tst_otherpitc_3034_m_neg" dataDxfId="38">
      <calculatedColumnFormula>otherpitc_T[[D_hts_tst_neg_otherpitc_o15_fy19]:[D_hts_tst_neg_otherpitc_o15_fy19]]*otherpitc_T[A_hts_tst_otherpitc_3034_m_neg]</calculatedColumnFormula>
    </tableColumn>
    <tableColumn id="53" xr3:uid="{00000000-0010-0000-1000-000035000000}" name="hts_tst_otherpitc_3539_f_neg" dataDxfId="37">
      <calculatedColumnFormula>otherpitc_T[[D_hts_tst_neg_otherpitc_o15_fy19]:[D_hts_tst_neg_otherpitc_o15_fy19]]*otherpitc_T[A_hts_tst_otherpitc_3539_f_neg]</calculatedColumnFormula>
    </tableColumn>
    <tableColumn id="37" xr3:uid="{00000000-0010-0000-1000-000025000000}" name="hts_tst_otherpitc_3539_m_neg" dataDxfId="36">
      <calculatedColumnFormula>otherpitc_T[[D_hts_tst_neg_otherpitc_o15_fy19]:[D_hts_tst_neg_otherpitc_o15_fy19]]*otherpitc_T[A_hts_tst_otherpitc_3539_m_neg]</calculatedColumnFormula>
    </tableColumn>
    <tableColumn id="38" xr3:uid="{00000000-0010-0000-1000-000026000000}" name="hts_tst_otherpitc_4049_f_neg" dataDxfId="35">
      <calculatedColumnFormula>otherpitc_T[[D_hts_tst_neg_otherpitc_o15_fy19]:[D_hts_tst_neg_otherpitc_o15_fy19]]*otherpitc_T[A_hts_tst_otherpitc_4049_f_neg]</calculatedColumnFormula>
    </tableColumn>
    <tableColumn id="39" xr3:uid="{00000000-0010-0000-1000-000027000000}" name="hts_tst_otherpitc_4049_m_neg" dataDxfId="34">
      <calculatedColumnFormula>otherpitc_T[[D_hts_tst_neg_otherpitc_o15_fy19]:[D_hts_tst_neg_otherpitc_o15_fy19]]*otherpitc_T[A_hts_tst_otherpitc_4049_m_neg]</calculatedColumnFormula>
    </tableColumn>
    <tableColumn id="40" xr3:uid="{00000000-0010-0000-1000-000028000000}" name="hts_tst_otherpitc_o50_f_neg" dataDxfId="33">
      <calculatedColumnFormula>otherpitc_T[[D_hts_tst_neg_otherpitc_o15_fy19]:[D_hts_tst_neg_otherpitc_o15_fy19]]*otherpitc_T[A_hts_tst_otherpitc_o50_f_neg]</calculatedColumnFormula>
    </tableColumn>
    <tableColumn id="41" xr3:uid="{00000000-0010-0000-1000-000029000000}" name="hts_tst_otherpitc_o50_m_neg" dataDxfId="32">
      <calculatedColumnFormula>otherpitc_T[[D_hts_tst_neg_otherpitc_o15_fy19]:[D_hts_tst_neg_otherpitc_o15_fy19]]*otherpitc_T[A_hts_tst_otherpitc_o50_m_neg]</calculatedColumnFormula>
    </tableColumn>
  </tableColumns>
  <tableStyleInfo name="DP Table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1000000}" name="keypop_T" displayName="keypop_T" ref="C6:AE7" totalsRowShown="0" headerRowDxfId="30" dataDxfId="29">
  <autoFilter ref="C6:AE7" xr:uid="{00000000-0009-0000-0100-00001B000000}"/>
  <tableColumns count="29">
    <tableColumn id="1" xr3:uid="{00000000-0010-0000-1100-000001000000}" name="psnu" dataDxfId="28"/>
    <tableColumn id="26" xr3:uid="{00000000-0010-0000-1100-00001A000000}" name="psnuuid" dataDxfId="27"/>
    <tableColumn id="2" xr3:uid="{00000000-0010-0000-1100-000002000000}" name="priority" dataDxfId="26"/>
    <tableColumn id="3" xr3:uid="{00000000-0010-0000-1100-000003000000}" name="mechid" dataDxfId="25"/>
    <tableColumn id="21" xr3:uid="{00000000-0010-0000-1100-000015000000}" name="mechname" dataDxfId="24"/>
    <tableColumn id="4" xr3:uid="{00000000-0010-0000-1100-000004000000}" name="type" dataDxfId="23"/>
    <tableColumn id="25" xr3:uid="{00000000-0010-0000-1100-000019000000}" name="psnu_type" dataDxfId="22"/>
    <tableColumn id="5" xr3:uid="{00000000-0010-0000-1100-000005000000}" name="A_hts_tst_keypop_fsw_pos" dataDxfId="21"/>
    <tableColumn id="6" xr3:uid="{00000000-0010-0000-1100-000006000000}" name="A_hts_tst_keypop_msm_pos" dataDxfId="20"/>
    <tableColumn id="7" xr3:uid="{00000000-0010-0000-1100-000007000000}" name="A_hts_tst_keypop_prison_pos" dataDxfId="19"/>
    <tableColumn id="10" xr3:uid="{00000000-0010-0000-1100-00000A000000}" name="A_hts_tst_keypop_pwid_pos" dataDxfId="18"/>
    <tableColumn id="13" xr3:uid="{00000000-0010-0000-1100-00000D000000}" name="A_hts_tst_keypop_tg_pos" dataDxfId="17"/>
    <tableColumn id="14" xr3:uid="{00000000-0010-0000-1100-00000E000000}" name="A_hts_tst_keypop_fsw_neg" dataDxfId="16"/>
    <tableColumn id="16" xr3:uid="{00000000-0010-0000-1100-000010000000}" name="A_hts_tst_keypop_msm_neg" dataDxfId="15"/>
    <tableColumn id="18" xr3:uid="{00000000-0010-0000-1100-000012000000}" name="A_hts_tst_keypop_prison_neg" dataDxfId="14"/>
    <tableColumn id="20" xr3:uid="{00000000-0010-0000-1100-000014000000}" name="A_hts_tst_keypop_pwid_neg" dataDxfId="13"/>
    <tableColumn id="24" xr3:uid="{00000000-0010-0000-1100-000018000000}" name="A_hts_tst_keypop_tg_neg" dataDxfId="12"/>
    <tableColumn id="28" xr3:uid="{00000000-0010-0000-1100-00001C000000}" name="A_check1" dataDxfId="11"/>
    <tableColumn id="27" xr3:uid="{00000000-0010-0000-1100-00001B000000}" name="D_hts_tst_keypop_fy19" dataDxfId="10"/>
    <tableColumn id="23" xr3:uid="{00000000-0010-0000-1100-000017000000}" name="hts_tst_keypop_fsw_pos" dataDxfId="9">
      <calculatedColumnFormula>keypop_T[[D_hts_tst_keypop_fy19]:[D_hts_tst_keypop_fy19]]*keypop_T[A_hts_tst_keypop_fsw_pos]</calculatedColumnFormula>
    </tableColumn>
    <tableColumn id="8" xr3:uid="{00000000-0010-0000-1100-000008000000}" name="hts_tst_keypop_msm_pos" dataDxfId="8">
      <calculatedColumnFormula>keypop_T[[D_hts_tst_keypop_fy19]:[D_hts_tst_keypop_fy19]]*keypop_T[A_hts_tst_keypop_msm_pos]</calculatedColumnFormula>
    </tableColumn>
    <tableColumn id="11" xr3:uid="{00000000-0010-0000-1100-00000B000000}" name="hts_tst_keypop_prison_pos" dataDxfId="7">
      <calculatedColumnFormula>keypop_T[[D_hts_tst_keypop_fy19]:[D_hts_tst_keypop_fy19]]*keypop_T[A_hts_tst_keypop_prison_pos]</calculatedColumnFormula>
    </tableColumn>
    <tableColumn id="22" xr3:uid="{00000000-0010-0000-1100-000016000000}" name="hts_tst_keypop_pwid_pos" dataDxfId="6">
      <calculatedColumnFormula>keypop_T[[D_hts_tst_keypop_fy19]:[D_hts_tst_keypop_fy19]]*keypop_T[A_hts_tst_keypop_pwid_pos]</calculatedColumnFormula>
    </tableColumn>
    <tableColumn id="9" xr3:uid="{00000000-0010-0000-1100-000009000000}" name="hts_tst_keypop_tg_pos" dataDxfId="5">
      <calculatedColumnFormula>keypop_T[[D_hts_tst_keypop_fy19]:[D_hts_tst_keypop_fy19]]*keypop_T[A_hts_tst_keypop_tg_pos]</calculatedColumnFormula>
    </tableColumn>
    <tableColumn id="12" xr3:uid="{00000000-0010-0000-1100-00000C000000}" name="hts_tst_keypop_fsw_neg" dataDxfId="4">
      <calculatedColumnFormula>keypop_T[[D_hts_tst_keypop_fy19]:[D_hts_tst_keypop_fy19]]*keypop_T[A_hts_tst_keypop_fsw_neg]</calculatedColumnFormula>
    </tableColumn>
    <tableColumn id="54" xr3:uid="{00000000-0010-0000-1100-000036000000}" name="hts_tst_keypop_msm_neg" dataDxfId="3">
      <calculatedColumnFormula>keypop_T[[D_hts_tst_keypop_fy19]:[D_hts_tst_keypop_fy19]]*keypop_T[A_hts_tst_keypop_msm_neg]</calculatedColumnFormula>
    </tableColumn>
    <tableColumn id="15" xr3:uid="{00000000-0010-0000-1100-00000F000000}" name="hts_tst_keypop_prison_neg" dataDxfId="2">
      <calculatedColumnFormula>keypop_T[[D_hts_tst_keypop_fy19]:[D_hts_tst_keypop_fy19]]*keypop_T[A_hts_tst_keypop_prison_neg]</calculatedColumnFormula>
    </tableColumn>
    <tableColumn id="17" xr3:uid="{00000000-0010-0000-1100-000011000000}" name="hts_tst_keypop_pwid_neg" dataDxfId="1">
      <calculatedColumnFormula>keypop_T[[D_hts_tst_keypop_fy19]:[D_hts_tst_keypop_fy19]]*keypop_T[A_hts_tst_keypop_pwid_neg]</calculatedColumnFormula>
    </tableColumn>
    <tableColumn id="19" xr3:uid="{00000000-0010-0000-1100-000013000000}" name="hts_tst_keypop_tg_neg" dataDxfId="0">
      <calculatedColumnFormula>keypop_T[[D_hts_tst_keypop_fy19]:[D_hts_tst_keypop_fy19]]*keypop_T[A_hts_tst_keypop_tg_neg]</calculatedColumnFormula>
    </tableColumn>
  </tableColumns>
  <tableStyleInfo name="DP Ta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djacency">
      <a:dk1>
        <a:srgbClr val="2F2B20"/>
      </a:dk1>
      <a:lt1>
        <a:srgbClr val="FFFFFF"/>
      </a:lt1>
      <a:dk2>
        <a:srgbClr val="675E47"/>
      </a:dk2>
      <a:lt2>
        <a:srgbClr val="DFDCB7"/>
      </a:lt2>
      <a:accent1>
        <a:srgbClr val="A9A57C"/>
      </a:accent1>
      <a:accent2>
        <a:srgbClr val="9CBEBD"/>
      </a:accent2>
      <a:accent3>
        <a:srgbClr val="D2CB6C"/>
      </a:accent3>
      <a:accent4>
        <a:srgbClr val="95A39D"/>
      </a:accent4>
      <a:accent5>
        <a:srgbClr val="C89F5D"/>
      </a:accent5>
      <a:accent6>
        <a:srgbClr val="B1A089"/>
      </a:accent6>
      <a:hlink>
        <a:srgbClr val="D25814"/>
      </a:hlink>
      <a:folHlink>
        <a:srgbClr val="849A0A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9">
    <tabColor theme="9"/>
  </sheetPr>
  <dimension ref="W1:AD10"/>
  <sheetViews>
    <sheetView showGridLines="0" showRowColHeaders="0" tabSelected="1" zoomScale="80" zoomScaleNormal="80" workbookViewId="0">
      <selection activeCell="D38" sqref="D38"/>
    </sheetView>
  </sheetViews>
  <sheetFormatPr defaultRowHeight="15" x14ac:dyDescent="0.25"/>
  <sheetData>
    <row r="1" spans="23:30" x14ac:dyDescent="0.25">
      <c r="W1" s="18"/>
      <c r="X1" s="18"/>
      <c r="Y1" s="18"/>
      <c r="Z1" s="18"/>
    </row>
    <row r="2" spans="23:30" x14ac:dyDescent="0.25">
      <c r="W2" s="18"/>
      <c r="X2" s="18"/>
      <c r="Y2" s="18"/>
      <c r="Z2" s="18"/>
    </row>
    <row r="3" spans="23:30" x14ac:dyDescent="0.25">
      <c r="W3" s="18"/>
      <c r="X3" s="18"/>
      <c r="Y3" s="18"/>
      <c r="Z3" s="18"/>
    </row>
    <row r="4" spans="23:30" x14ac:dyDescent="0.25">
      <c r="W4" s="18"/>
      <c r="X4" s="18"/>
      <c r="Y4" s="18"/>
      <c r="Z4" s="18"/>
    </row>
    <row r="5" spans="23:30" x14ac:dyDescent="0.25">
      <c r="W5" s="18"/>
      <c r="X5" s="18"/>
      <c r="Y5" s="18"/>
      <c r="Z5" s="18"/>
    </row>
    <row r="6" spans="23:30" x14ac:dyDescent="0.25">
      <c r="W6" s="18"/>
      <c r="X6" s="18"/>
      <c r="Y6" s="18"/>
      <c r="Z6" s="18"/>
    </row>
    <row r="7" spans="23:30" x14ac:dyDescent="0.25">
      <c r="W7" s="18"/>
      <c r="X7" s="18"/>
      <c r="Y7" s="18"/>
      <c r="Z7" s="18"/>
      <c r="AA7" s="18"/>
      <c r="AB7" s="18"/>
      <c r="AC7" s="18"/>
      <c r="AD7" s="18"/>
    </row>
    <row r="8" spans="23:30" x14ac:dyDescent="0.25">
      <c r="W8" s="18"/>
      <c r="X8" s="18"/>
      <c r="Y8" s="18"/>
      <c r="Z8" s="18"/>
      <c r="AA8" s="18"/>
      <c r="AB8" s="18"/>
      <c r="AC8" s="18"/>
      <c r="AD8" s="18"/>
    </row>
    <row r="9" spans="23:30" x14ac:dyDescent="0.25">
      <c r="W9" s="18"/>
      <c r="X9" s="18"/>
      <c r="Y9" s="18"/>
      <c r="Z9" s="18"/>
      <c r="AA9" s="18"/>
      <c r="AB9" s="18"/>
      <c r="AC9" s="18"/>
      <c r="AD9" s="18"/>
    </row>
    <row r="10" spans="23:30" x14ac:dyDescent="0.25">
      <c r="W10" s="18"/>
      <c r="X10" s="18"/>
      <c r="Y10" s="18"/>
      <c r="Z10" s="18"/>
      <c r="AA10" s="18"/>
      <c r="AB10" s="18"/>
      <c r="AC10" s="18"/>
      <c r="AD10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9"/>
  </sheetPr>
  <dimension ref="A1:K447"/>
  <sheetViews>
    <sheetView zoomScale="115" zoomScaleNormal="115" workbookViewId="0">
      <pane ySplit="1" topLeftCell="A2" activePane="bottomLeft" state="frozen"/>
      <selection activeCell="F38" sqref="F38"/>
      <selection pane="bottomLeft" activeCell="C437" sqref="C418:C437"/>
    </sheetView>
  </sheetViews>
  <sheetFormatPr defaultRowHeight="15" x14ac:dyDescent="0.25"/>
  <cols>
    <col min="2" max="2" width="37.42578125" bestFit="1" customWidth="1"/>
    <col min="4" max="4" width="9.140625" style="55"/>
    <col min="7" max="7" width="9.140625" style="56"/>
    <col min="9" max="9" width="29.28515625" customWidth="1"/>
    <col min="10" max="10" width="28.140625" style="56" customWidth="1"/>
  </cols>
  <sheetData>
    <row r="1" spans="1:11" x14ac:dyDescent="0.25">
      <c r="A1" s="20" t="s">
        <v>27</v>
      </c>
      <c r="B1" s="20" t="s">
        <v>130</v>
      </c>
      <c r="C1" s="20" t="s">
        <v>26</v>
      </c>
      <c r="D1" s="54" t="s">
        <v>25</v>
      </c>
      <c r="E1" s="20" t="s">
        <v>24</v>
      </c>
      <c r="F1" s="20" t="s">
        <v>23</v>
      </c>
      <c r="G1" s="20" t="s">
        <v>126</v>
      </c>
      <c r="H1" s="20" t="s">
        <v>131</v>
      </c>
      <c r="I1" s="4" t="s">
        <v>129</v>
      </c>
      <c r="J1" s="4" t="s">
        <v>127</v>
      </c>
      <c r="K1" s="20" t="s">
        <v>128</v>
      </c>
    </row>
    <row r="2" spans="1:11" x14ac:dyDescent="0.25">
      <c r="A2" t="s">
        <v>1572</v>
      </c>
      <c r="B2" t="s">
        <v>1573</v>
      </c>
      <c r="D2" s="57" t="s">
        <v>5</v>
      </c>
      <c r="E2" t="s">
        <v>78</v>
      </c>
      <c r="G2" t="s">
        <v>1519</v>
      </c>
      <c r="H2" t="s">
        <v>22</v>
      </c>
      <c r="I2" s="80" t="s">
        <v>1582</v>
      </c>
      <c r="J2" t="s">
        <v>1583</v>
      </c>
      <c r="K2" t="s">
        <v>609</v>
      </c>
    </row>
    <row r="3" spans="1:11" x14ac:dyDescent="0.25">
      <c r="A3" s="56" t="s">
        <v>1572</v>
      </c>
      <c r="B3" s="56" t="s">
        <v>1573</v>
      </c>
      <c r="C3" s="56"/>
      <c r="D3" s="57" t="s">
        <v>6</v>
      </c>
      <c r="E3" s="56" t="s">
        <v>78</v>
      </c>
      <c r="G3" t="s">
        <v>1519</v>
      </c>
      <c r="H3" t="s">
        <v>22</v>
      </c>
      <c r="I3" s="80" t="s">
        <v>1582</v>
      </c>
      <c r="J3" s="56" t="s">
        <v>1583</v>
      </c>
      <c r="K3" t="s">
        <v>610</v>
      </c>
    </row>
    <row r="4" spans="1:11" x14ac:dyDescent="0.25">
      <c r="A4" s="56" t="s">
        <v>1572</v>
      </c>
      <c r="B4" t="s">
        <v>1574</v>
      </c>
      <c r="C4" t="s">
        <v>10</v>
      </c>
      <c r="D4" s="57" t="s">
        <v>7</v>
      </c>
      <c r="E4" s="56" t="s">
        <v>78</v>
      </c>
      <c r="G4" t="s">
        <v>1519</v>
      </c>
      <c r="H4" t="s">
        <v>22</v>
      </c>
      <c r="I4" s="80" t="s">
        <v>1582</v>
      </c>
      <c r="J4" s="56" t="s">
        <v>1583</v>
      </c>
      <c r="K4" t="s">
        <v>611</v>
      </c>
    </row>
    <row r="5" spans="1:11" x14ac:dyDescent="0.25">
      <c r="A5" s="56" t="s">
        <v>1572</v>
      </c>
      <c r="B5" s="56" t="s">
        <v>1574</v>
      </c>
      <c r="C5" t="s">
        <v>11</v>
      </c>
      <c r="D5" s="57" t="s">
        <v>7</v>
      </c>
      <c r="E5" s="56" t="s">
        <v>78</v>
      </c>
      <c r="G5" t="s">
        <v>1519</v>
      </c>
      <c r="H5" t="s">
        <v>22</v>
      </c>
      <c r="I5" s="80" t="s">
        <v>1582</v>
      </c>
      <c r="J5" s="56" t="s">
        <v>1583</v>
      </c>
      <c r="K5" t="s">
        <v>612</v>
      </c>
    </row>
    <row r="6" spans="1:11" x14ac:dyDescent="0.25">
      <c r="A6" s="56" t="s">
        <v>1572</v>
      </c>
      <c r="B6" s="56" t="s">
        <v>1573</v>
      </c>
      <c r="C6" s="56"/>
      <c r="D6" s="57" t="s">
        <v>5</v>
      </c>
      <c r="E6" t="s">
        <v>125</v>
      </c>
      <c r="G6" t="s">
        <v>1519</v>
      </c>
      <c r="H6" s="56" t="s">
        <v>22</v>
      </c>
      <c r="I6" s="80" t="s">
        <v>1584</v>
      </c>
      <c r="J6" s="56" t="s">
        <v>1583</v>
      </c>
      <c r="K6" t="s">
        <v>613</v>
      </c>
    </row>
    <row r="7" spans="1:11" x14ac:dyDescent="0.25">
      <c r="A7" s="56" t="s">
        <v>1572</v>
      </c>
      <c r="B7" s="56" t="s">
        <v>1573</v>
      </c>
      <c r="C7" s="56"/>
      <c r="D7" s="57" t="s">
        <v>6</v>
      </c>
      <c r="E7" s="56" t="s">
        <v>125</v>
      </c>
      <c r="G7" t="s">
        <v>1519</v>
      </c>
      <c r="H7" s="56" t="s">
        <v>22</v>
      </c>
      <c r="I7" s="80" t="s">
        <v>1584</v>
      </c>
      <c r="J7" s="56" t="s">
        <v>1583</v>
      </c>
      <c r="K7" t="s">
        <v>614</v>
      </c>
    </row>
    <row r="8" spans="1:11" x14ac:dyDescent="0.25">
      <c r="A8" s="56" t="s">
        <v>1572</v>
      </c>
      <c r="B8" s="56" t="s">
        <v>1574</v>
      </c>
      <c r="C8" s="56" t="s">
        <v>10</v>
      </c>
      <c r="D8" s="57" t="s">
        <v>7</v>
      </c>
      <c r="E8" s="56" t="s">
        <v>125</v>
      </c>
      <c r="G8" t="s">
        <v>1519</v>
      </c>
      <c r="H8" s="56" t="s">
        <v>22</v>
      </c>
      <c r="I8" s="80" t="s">
        <v>1584</v>
      </c>
      <c r="J8" s="56" t="s">
        <v>1583</v>
      </c>
      <c r="K8" t="s">
        <v>615</v>
      </c>
    </row>
    <row r="9" spans="1:11" x14ac:dyDescent="0.25">
      <c r="A9" s="56" t="s">
        <v>1572</v>
      </c>
      <c r="B9" s="56" t="s">
        <v>1574</v>
      </c>
      <c r="C9" s="56" t="s">
        <v>11</v>
      </c>
      <c r="D9" s="57" t="s">
        <v>7</v>
      </c>
      <c r="E9" s="56" t="s">
        <v>125</v>
      </c>
      <c r="G9" t="s">
        <v>1519</v>
      </c>
      <c r="H9" s="56" t="s">
        <v>22</v>
      </c>
      <c r="I9" s="80" t="s">
        <v>1584</v>
      </c>
      <c r="J9" s="56" t="s">
        <v>1583</v>
      </c>
      <c r="K9" t="s">
        <v>616</v>
      </c>
    </row>
    <row r="10" spans="1:11" x14ac:dyDescent="0.25">
      <c r="A10" s="56" t="s">
        <v>1572</v>
      </c>
      <c r="B10" s="56" t="s">
        <v>1574</v>
      </c>
      <c r="C10" s="56" t="s">
        <v>10</v>
      </c>
      <c r="D10" s="57" t="s">
        <v>8</v>
      </c>
      <c r="E10" s="56" t="s">
        <v>78</v>
      </c>
      <c r="G10" t="s">
        <v>1519</v>
      </c>
      <c r="H10" s="56" t="s">
        <v>22</v>
      </c>
      <c r="I10" s="80" t="s">
        <v>1585</v>
      </c>
      <c r="J10" s="56" t="s">
        <v>1583</v>
      </c>
      <c r="K10" t="s">
        <v>617</v>
      </c>
    </row>
    <row r="11" spans="1:11" x14ac:dyDescent="0.25">
      <c r="A11" s="56" t="s">
        <v>1572</v>
      </c>
      <c r="B11" s="56" t="s">
        <v>1574</v>
      </c>
      <c r="C11" s="56" t="s">
        <v>11</v>
      </c>
      <c r="D11" s="57" t="s">
        <v>8</v>
      </c>
      <c r="E11" s="56" t="s">
        <v>78</v>
      </c>
      <c r="G11" t="s">
        <v>1519</v>
      </c>
      <c r="H11" s="56" t="s">
        <v>22</v>
      </c>
      <c r="I11" s="80" t="s">
        <v>1585</v>
      </c>
      <c r="J11" s="56" t="s">
        <v>1583</v>
      </c>
      <c r="K11" t="s">
        <v>618</v>
      </c>
    </row>
    <row r="12" spans="1:11" x14ac:dyDescent="0.25">
      <c r="A12" s="56" t="s">
        <v>1572</v>
      </c>
      <c r="B12" s="56" t="s">
        <v>1574</v>
      </c>
      <c r="C12" s="56" t="s">
        <v>10</v>
      </c>
      <c r="D12" s="57" t="s">
        <v>15</v>
      </c>
      <c r="E12" s="56" t="s">
        <v>78</v>
      </c>
      <c r="G12" t="s">
        <v>1519</v>
      </c>
      <c r="H12" s="56" t="s">
        <v>22</v>
      </c>
      <c r="I12" s="80" t="s">
        <v>1585</v>
      </c>
      <c r="J12" s="56" t="s">
        <v>1583</v>
      </c>
      <c r="K12" t="s">
        <v>619</v>
      </c>
    </row>
    <row r="13" spans="1:11" x14ac:dyDescent="0.25">
      <c r="A13" s="56" t="s">
        <v>1572</v>
      </c>
      <c r="B13" s="56" t="s">
        <v>1574</v>
      </c>
      <c r="C13" s="56" t="s">
        <v>11</v>
      </c>
      <c r="D13" s="57" t="s">
        <v>15</v>
      </c>
      <c r="E13" s="56" t="s">
        <v>78</v>
      </c>
      <c r="G13" t="s">
        <v>1519</v>
      </c>
      <c r="H13" s="56" t="s">
        <v>22</v>
      </c>
      <c r="I13" s="80" t="s">
        <v>1585</v>
      </c>
      <c r="J13" s="56" t="s">
        <v>1583</v>
      </c>
      <c r="K13" t="s">
        <v>620</v>
      </c>
    </row>
    <row r="14" spans="1:11" x14ac:dyDescent="0.25">
      <c r="A14" s="56" t="s">
        <v>1572</v>
      </c>
      <c r="B14" s="56"/>
      <c r="C14" s="56"/>
      <c r="D14" s="57"/>
      <c r="E14" s="56"/>
      <c r="G14"/>
      <c r="H14" s="56"/>
      <c r="J14" s="56" t="s">
        <v>1586</v>
      </c>
      <c r="K14" t="s">
        <v>621</v>
      </c>
    </row>
    <row r="15" spans="1:11" x14ac:dyDescent="0.25">
      <c r="A15" s="56" t="s">
        <v>1572</v>
      </c>
      <c r="B15" s="56"/>
      <c r="C15" s="56"/>
      <c r="D15" s="57"/>
      <c r="E15" s="56"/>
      <c r="G15"/>
      <c r="H15" s="56"/>
      <c r="J15" s="56" t="s">
        <v>1586</v>
      </c>
      <c r="K15" t="s">
        <v>622</v>
      </c>
    </row>
    <row r="16" spans="1:11" x14ac:dyDescent="0.25">
      <c r="A16" s="56" t="s">
        <v>1572</v>
      </c>
      <c r="B16" s="56"/>
      <c r="C16" s="56"/>
      <c r="D16" s="57"/>
      <c r="E16" s="56"/>
      <c r="G16"/>
      <c r="H16" s="56"/>
      <c r="J16" s="56" t="s">
        <v>1586</v>
      </c>
      <c r="K16" t="s">
        <v>623</v>
      </c>
    </row>
    <row r="17" spans="1:11" x14ac:dyDescent="0.25">
      <c r="A17" s="56" t="s">
        <v>1572</v>
      </c>
      <c r="B17" s="56"/>
      <c r="C17" s="56"/>
      <c r="D17" s="57"/>
      <c r="E17" s="56"/>
      <c r="G17"/>
      <c r="H17" s="56"/>
      <c r="J17" s="56" t="s">
        <v>1586</v>
      </c>
      <c r="K17" t="s">
        <v>624</v>
      </c>
    </row>
    <row r="18" spans="1:11" x14ac:dyDescent="0.25">
      <c r="A18" s="56" t="s">
        <v>1572</v>
      </c>
      <c r="B18" s="56"/>
      <c r="C18" s="56"/>
      <c r="D18" s="57"/>
      <c r="E18" s="56"/>
      <c r="G18"/>
      <c r="H18" s="56"/>
      <c r="J18" s="56" t="s">
        <v>1586</v>
      </c>
      <c r="K18" t="s">
        <v>625</v>
      </c>
    </row>
    <row r="19" spans="1:11" x14ac:dyDescent="0.25">
      <c r="A19" s="56" t="s">
        <v>1572</v>
      </c>
      <c r="B19" s="56"/>
      <c r="C19" s="56"/>
      <c r="D19" s="57"/>
      <c r="E19" s="56"/>
      <c r="G19"/>
      <c r="H19" s="56"/>
      <c r="J19" s="56" t="s">
        <v>1586</v>
      </c>
      <c r="K19" t="s">
        <v>626</v>
      </c>
    </row>
    <row r="20" spans="1:11" x14ac:dyDescent="0.25">
      <c r="A20" s="56" t="s">
        <v>1572</v>
      </c>
      <c r="B20" s="56"/>
      <c r="C20" s="56"/>
      <c r="D20" s="57"/>
      <c r="E20" s="56"/>
      <c r="G20"/>
      <c r="H20" s="56"/>
      <c r="J20" s="56" t="s">
        <v>1586</v>
      </c>
      <c r="K20" t="s">
        <v>627</v>
      </c>
    </row>
    <row r="21" spans="1:11" x14ac:dyDescent="0.25">
      <c r="A21" s="56" t="s">
        <v>1572</v>
      </c>
      <c r="B21" s="56"/>
      <c r="C21" s="56"/>
      <c r="D21" s="57"/>
      <c r="E21" s="56"/>
      <c r="G21"/>
      <c r="H21" s="56"/>
      <c r="J21" s="56" t="s">
        <v>1586</v>
      </c>
      <c r="K21" t="s">
        <v>628</v>
      </c>
    </row>
    <row r="22" spans="1:11" x14ac:dyDescent="0.25">
      <c r="A22" s="56" t="s">
        <v>1572</v>
      </c>
      <c r="B22" s="56" t="s">
        <v>1574</v>
      </c>
      <c r="C22" s="56" t="s">
        <v>10</v>
      </c>
      <c r="D22" s="57" t="s">
        <v>16</v>
      </c>
      <c r="E22" s="56" t="s">
        <v>78</v>
      </c>
      <c r="G22" t="s">
        <v>1519</v>
      </c>
      <c r="H22" s="56" t="s">
        <v>22</v>
      </c>
      <c r="I22" s="80" t="s">
        <v>1585</v>
      </c>
      <c r="J22" s="56" t="s">
        <v>1583</v>
      </c>
      <c r="K22" t="s">
        <v>629</v>
      </c>
    </row>
    <row r="23" spans="1:11" x14ac:dyDescent="0.25">
      <c r="A23" s="56" t="s">
        <v>1572</v>
      </c>
      <c r="B23" s="56" t="s">
        <v>1574</v>
      </c>
      <c r="C23" s="56" t="s">
        <v>11</v>
      </c>
      <c r="D23" s="57" t="s">
        <v>16</v>
      </c>
      <c r="E23" s="56" t="s">
        <v>78</v>
      </c>
      <c r="G23" t="s">
        <v>1519</v>
      </c>
      <c r="H23" s="56" t="s">
        <v>22</v>
      </c>
      <c r="I23" s="80" t="s">
        <v>1585</v>
      </c>
      <c r="J23" s="56" t="s">
        <v>1583</v>
      </c>
      <c r="K23" t="s">
        <v>630</v>
      </c>
    </row>
    <row r="24" spans="1:11" x14ac:dyDescent="0.25">
      <c r="A24" s="56" t="s">
        <v>1572</v>
      </c>
      <c r="B24" s="56" t="s">
        <v>1574</v>
      </c>
      <c r="C24" s="56" t="s">
        <v>10</v>
      </c>
      <c r="D24" s="57" t="s">
        <v>8</v>
      </c>
      <c r="E24" s="56" t="s">
        <v>125</v>
      </c>
      <c r="G24" t="s">
        <v>1519</v>
      </c>
      <c r="H24" s="56" t="s">
        <v>22</v>
      </c>
      <c r="I24" s="80" t="s">
        <v>1587</v>
      </c>
      <c r="J24" s="56" t="s">
        <v>1583</v>
      </c>
      <c r="K24" t="s">
        <v>631</v>
      </c>
    </row>
    <row r="25" spans="1:11" x14ac:dyDescent="0.25">
      <c r="A25" s="56" t="s">
        <v>1572</v>
      </c>
      <c r="B25" s="56" t="s">
        <v>1574</v>
      </c>
      <c r="C25" s="56" t="s">
        <v>11</v>
      </c>
      <c r="D25" s="57" t="s">
        <v>8</v>
      </c>
      <c r="E25" s="56" t="s">
        <v>125</v>
      </c>
      <c r="G25" t="s">
        <v>1519</v>
      </c>
      <c r="H25" s="56" t="s">
        <v>22</v>
      </c>
      <c r="I25" s="80" t="s">
        <v>1587</v>
      </c>
      <c r="J25" s="56" t="s">
        <v>1583</v>
      </c>
      <c r="K25" t="s">
        <v>632</v>
      </c>
    </row>
    <row r="26" spans="1:11" x14ac:dyDescent="0.25">
      <c r="A26" s="56" t="s">
        <v>1572</v>
      </c>
      <c r="B26" s="56" t="s">
        <v>1574</v>
      </c>
      <c r="C26" s="56" t="s">
        <v>10</v>
      </c>
      <c r="D26" s="57" t="s">
        <v>15</v>
      </c>
      <c r="E26" s="56" t="s">
        <v>125</v>
      </c>
      <c r="G26" t="s">
        <v>1519</v>
      </c>
      <c r="H26" s="56" t="s">
        <v>22</v>
      </c>
      <c r="I26" s="80" t="s">
        <v>1587</v>
      </c>
      <c r="J26" s="56" t="s">
        <v>1583</v>
      </c>
      <c r="K26" t="s">
        <v>633</v>
      </c>
    </row>
    <row r="27" spans="1:11" x14ac:dyDescent="0.25">
      <c r="A27" s="56" t="s">
        <v>1572</v>
      </c>
      <c r="B27" s="56" t="s">
        <v>1574</v>
      </c>
      <c r="C27" s="56" t="s">
        <v>11</v>
      </c>
      <c r="D27" s="57" t="s">
        <v>15</v>
      </c>
      <c r="E27" s="56" t="s">
        <v>125</v>
      </c>
      <c r="G27" t="s">
        <v>1519</v>
      </c>
      <c r="H27" s="56" t="s">
        <v>22</v>
      </c>
      <c r="I27" s="80" t="s">
        <v>1587</v>
      </c>
      <c r="J27" s="56" t="s">
        <v>1583</v>
      </c>
      <c r="K27" t="s">
        <v>634</v>
      </c>
    </row>
    <row r="28" spans="1:11" x14ac:dyDescent="0.25">
      <c r="A28" s="56" t="s">
        <v>1572</v>
      </c>
      <c r="C28" s="56"/>
      <c r="D28" s="57"/>
      <c r="E28" s="56"/>
      <c r="G28"/>
      <c r="H28" s="56"/>
      <c r="J28" s="56" t="s">
        <v>1586</v>
      </c>
      <c r="K28" t="s">
        <v>635</v>
      </c>
    </row>
    <row r="29" spans="1:11" x14ac:dyDescent="0.25">
      <c r="A29" s="56" t="s">
        <v>1572</v>
      </c>
      <c r="C29" s="56"/>
      <c r="D29" s="57"/>
      <c r="E29" s="56"/>
      <c r="G29"/>
      <c r="H29" s="56"/>
      <c r="J29" s="56" t="s">
        <v>1586</v>
      </c>
      <c r="K29" t="s">
        <v>636</v>
      </c>
    </row>
    <row r="30" spans="1:11" x14ac:dyDescent="0.25">
      <c r="A30" s="56" t="s">
        <v>1572</v>
      </c>
      <c r="C30" s="56"/>
      <c r="D30" s="57"/>
      <c r="E30" s="56"/>
      <c r="G30"/>
      <c r="H30" s="56"/>
      <c r="J30" s="56" t="s">
        <v>1586</v>
      </c>
      <c r="K30" t="s">
        <v>637</v>
      </c>
    </row>
    <row r="31" spans="1:11" x14ac:dyDescent="0.25">
      <c r="A31" s="56" t="s">
        <v>1572</v>
      </c>
      <c r="C31" s="56"/>
      <c r="D31" s="57"/>
      <c r="E31" s="56"/>
      <c r="G31"/>
      <c r="H31" s="56"/>
      <c r="J31" s="56" t="s">
        <v>1586</v>
      </c>
      <c r="K31" t="s">
        <v>638</v>
      </c>
    </row>
    <row r="32" spans="1:11" x14ac:dyDescent="0.25">
      <c r="A32" s="56" t="s">
        <v>1572</v>
      </c>
      <c r="C32" s="56"/>
      <c r="D32" s="57"/>
      <c r="E32" s="56"/>
      <c r="G32"/>
      <c r="H32" s="56"/>
      <c r="J32" s="56" t="s">
        <v>1586</v>
      </c>
      <c r="K32" t="s">
        <v>639</v>
      </c>
    </row>
    <row r="33" spans="1:11" x14ac:dyDescent="0.25">
      <c r="A33" s="56" t="s">
        <v>1572</v>
      </c>
      <c r="C33" s="56"/>
      <c r="D33" s="57"/>
      <c r="E33" s="56"/>
      <c r="G33"/>
      <c r="H33" s="56"/>
      <c r="J33" s="56" t="s">
        <v>1586</v>
      </c>
      <c r="K33" t="s">
        <v>640</v>
      </c>
    </row>
    <row r="34" spans="1:11" x14ac:dyDescent="0.25">
      <c r="A34" s="56" t="s">
        <v>1572</v>
      </c>
      <c r="C34" s="56"/>
      <c r="D34" s="57"/>
      <c r="E34" s="56"/>
      <c r="G34"/>
      <c r="H34" s="56"/>
      <c r="J34" s="56" t="s">
        <v>1586</v>
      </c>
      <c r="K34" t="s">
        <v>641</v>
      </c>
    </row>
    <row r="35" spans="1:11" x14ac:dyDescent="0.25">
      <c r="A35" s="56" t="s">
        <v>1572</v>
      </c>
      <c r="C35" s="56"/>
      <c r="D35" s="57"/>
      <c r="E35" s="56"/>
      <c r="G35"/>
      <c r="H35" s="56"/>
      <c r="J35" s="56" t="s">
        <v>1586</v>
      </c>
      <c r="K35" t="s">
        <v>642</v>
      </c>
    </row>
    <row r="36" spans="1:11" x14ac:dyDescent="0.25">
      <c r="A36" s="56" t="s">
        <v>1572</v>
      </c>
      <c r="B36" s="56" t="s">
        <v>1574</v>
      </c>
      <c r="C36" s="56" t="s">
        <v>10</v>
      </c>
      <c r="D36" s="57" t="s">
        <v>16</v>
      </c>
      <c r="E36" s="56" t="s">
        <v>125</v>
      </c>
      <c r="G36" t="s">
        <v>1519</v>
      </c>
      <c r="H36" s="56" t="s">
        <v>22</v>
      </c>
      <c r="I36" s="80" t="s">
        <v>1587</v>
      </c>
      <c r="J36" s="56" t="s">
        <v>1583</v>
      </c>
      <c r="K36" t="s">
        <v>643</v>
      </c>
    </row>
    <row r="37" spans="1:11" x14ac:dyDescent="0.25">
      <c r="A37" s="56" t="s">
        <v>1572</v>
      </c>
      <c r="B37" s="56" t="s">
        <v>1574</v>
      </c>
      <c r="C37" s="56" t="s">
        <v>11</v>
      </c>
      <c r="D37" s="57" t="s">
        <v>16</v>
      </c>
      <c r="E37" s="56" t="s">
        <v>125</v>
      </c>
      <c r="G37" t="s">
        <v>1519</v>
      </c>
      <c r="H37" s="56" t="s">
        <v>22</v>
      </c>
      <c r="I37" s="80" t="s">
        <v>1587</v>
      </c>
      <c r="J37" s="56" t="s">
        <v>1583</v>
      </c>
      <c r="K37" t="s">
        <v>644</v>
      </c>
    </row>
    <row r="38" spans="1:11" x14ac:dyDescent="0.25">
      <c r="A38" s="56" t="s">
        <v>1572</v>
      </c>
      <c r="B38" s="56" t="s">
        <v>1573</v>
      </c>
      <c r="C38" s="56"/>
      <c r="D38" s="57" t="s">
        <v>5</v>
      </c>
      <c r="E38" s="56" t="s">
        <v>78</v>
      </c>
      <c r="G38" t="s">
        <v>1520</v>
      </c>
      <c r="H38" s="56" t="s">
        <v>22</v>
      </c>
      <c r="I38" s="80" t="s">
        <v>1588</v>
      </c>
      <c r="J38" s="56" t="s">
        <v>1583</v>
      </c>
      <c r="K38" t="s">
        <v>682</v>
      </c>
    </row>
    <row r="39" spans="1:11" x14ac:dyDescent="0.25">
      <c r="A39" s="56" t="s">
        <v>1572</v>
      </c>
      <c r="B39" s="56" t="s">
        <v>1573</v>
      </c>
      <c r="C39" s="56"/>
      <c r="D39" s="57" t="s">
        <v>6</v>
      </c>
      <c r="E39" s="56" t="s">
        <v>78</v>
      </c>
      <c r="G39" t="s">
        <v>1520</v>
      </c>
      <c r="H39" s="56" t="s">
        <v>22</v>
      </c>
      <c r="I39" s="80" t="s">
        <v>1588</v>
      </c>
      <c r="J39" s="56" t="s">
        <v>1583</v>
      </c>
      <c r="K39" t="s">
        <v>683</v>
      </c>
    </row>
    <row r="40" spans="1:11" x14ac:dyDescent="0.25">
      <c r="A40" s="56" t="s">
        <v>1572</v>
      </c>
      <c r="B40" s="56" t="s">
        <v>1574</v>
      </c>
      <c r="C40" s="56" t="s">
        <v>10</v>
      </c>
      <c r="D40" s="57" t="s">
        <v>7</v>
      </c>
      <c r="E40" s="56" t="s">
        <v>78</v>
      </c>
      <c r="G40" t="s">
        <v>1520</v>
      </c>
      <c r="H40" s="56" t="s">
        <v>22</v>
      </c>
      <c r="I40" s="80" t="s">
        <v>1588</v>
      </c>
      <c r="J40" s="56" t="s">
        <v>1583</v>
      </c>
      <c r="K40" t="s">
        <v>684</v>
      </c>
    </row>
    <row r="41" spans="1:11" x14ac:dyDescent="0.25">
      <c r="A41" s="56" t="s">
        <v>1572</v>
      </c>
      <c r="B41" s="56" t="s">
        <v>1574</v>
      </c>
      <c r="C41" s="56" t="s">
        <v>11</v>
      </c>
      <c r="D41" s="57" t="s">
        <v>7</v>
      </c>
      <c r="E41" s="56" t="s">
        <v>78</v>
      </c>
      <c r="G41" t="s">
        <v>1520</v>
      </c>
      <c r="H41" s="56" t="s">
        <v>22</v>
      </c>
      <c r="I41" s="80" t="s">
        <v>1588</v>
      </c>
      <c r="J41" s="56" t="s">
        <v>1583</v>
      </c>
      <c r="K41" t="s">
        <v>685</v>
      </c>
    </row>
    <row r="42" spans="1:11" x14ac:dyDescent="0.25">
      <c r="A42" s="56" t="s">
        <v>1572</v>
      </c>
      <c r="B42" s="56" t="s">
        <v>1573</v>
      </c>
      <c r="C42" s="56"/>
      <c r="D42" s="57" t="s">
        <v>5</v>
      </c>
      <c r="E42" s="56" t="s">
        <v>125</v>
      </c>
      <c r="G42" t="s">
        <v>1520</v>
      </c>
      <c r="H42" s="56" t="s">
        <v>22</v>
      </c>
      <c r="I42" s="80" t="s">
        <v>1589</v>
      </c>
      <c r="J42" s="56" t="s">
        <v>1583</v>
      </c>
      <c r="K42" t="s">
        <v>686</v>
      </c>
    </row>
    <row r="43" spans="1:11" x14ac:dyDescent="0.25">
      <c r="A43" s="56" t="s">
        <v>1572</v>
      </c>
      <c r="B43" s="56" t="s">
        <v>1573</v>
      </c>
      <c r="C43" s="56"/>
      <c r="D43" s="57" t="s">
        <v>6</v>
      </c>
      <c r="E43" s="56" t="s">
        <v>125</v>
      </c>
      <c r="G43" t="s">
        <v>1520</v>
      </c>
      <c r="H43" s="56" t="s">
        <v>22</v>
      </c>
      <c r="I43" s="80" t="s">
        <v>1589</v>
      </c>
      <c r="J43" s="56" t="s">
        <v>1583</v>
      </c>
      <c r="K43" t="s">
        <v>687</v>
      </c>
    </row>
    <row r="44" spans="1:11" x14ac:dyDescent="0.25">
      <c r="A44" s="56" t="s">
        <v>1572</v>
      </c>
      <c r="B44" s="56" t="s">
        <v>1574</v>
      </c>
      <c r="C44" s="56" t="s">
        <v>10</v>
      </c>
      <c r="D44" s="57" t="s">
        <v>7</v>
      </c>
      <c r="E44" s="56" t="s">
        <v>125</v>
      </c>
      <c r="G44" t="s">
        <v>1520</v>
      </c>
      <c r="H44" s="56" t="s">
        <v>22</v>
      </c>
      <c r="I44" s="80" t="s">
        <v>1589</v>
      </c>
      <c r="J44" s="56" t="s">
        <v>1583</v>
      </c>
      <c r="K44" t="s">
        <v>688</v>
      </c>
    </row>
    <row r="45" spans="1:11" x14ac:dyDescent="0.25">
      <c r="A45" s="56" t="s">
        <v>1572</v>
      </c>
      <c r="B45" s="56" t="s">
        <v>1574</v>
      </c>
      <c r="C45" s="56" t="s">
        <v>11</v>
      </c>
      <c r="D45" s="57" t="s">
        <v>7</v>
      </c>
      <c r="E45" s="56" t="s">
        <v>125</v>
      </c>
      <c r="G45" t="s">
        <v>1520</v>
      </c>
      <c r="H45" s="56" t="s">
        <v>22</v>
      </c>
      <c r="I45" s="80" t="s">
        <v>1589</v>
      </c>
      <c r="J45" s="56" t="s">
        <v>1583</v>
      </c>
      <c r="K45" t="s">
        <v>689</v>
      </c>
    </row>
    <row r="46" spans="1:11" x14ac:dyDescent="0.25">
      <c r="A46" s="56" t="s">
        <v>1572</v>
      </c>
      <c r="B46" s="56" t="s">
        <v>1574</v>
      </c>
      <c r="C46" s="56" t="s">
        <v>10</v>
      </c>
      <c r="D46" s="57" t="s">
        <v>8</v>
      </c>
      <c r="E46" s="56" t="s">
        <v>78</v>
      </c>
      <c r="G46" t="s">
        <v>1520</v>
      </c>
      <c r="H46" s="56" t="s">
        <v>22</v>
      </c>
      <c r="I46" s="80" t="s">
        <v>1590</v>
      </c>
      <c r="J46" s="56" t="s">
        <v>1583</v>
      </c>
      <c r="K46" t="s">
        <v>690</v>
      </c>
    </row>
    <row r="47" spans="1:11" x14ac:dyDescent="0.25">
      <c r="A47" s="56" t="s">
        <v>1572</v>
      </c>
      <c r="B47" s="56" t="s">
        <v>1574</v>
      </c>
      <c r="C47" s="56" t="s">
        <v>11</v>
      </c>
      <c r="D47" s="57" t="s">
        <v>8</v>
      </c>
      <c r="E47" s="56" t="s">
        <v>78</v>
      </c>
      <c r="G47" t="s">
        <v>1520</v>
      </c>
      <c r="H47" s="56" t="s">
        <v>22</v>
      </c>
      <c r="I47" s="80" t="s">
        <v>1590</v>
      </c>
      <c r="J47" s="56" t="s">
        <v>1583</v>
      </c>
      <c r="K47" t="s">
        <v>691</v>
      </c>
    </row>
    <row r="48" spans="1:11" x14ac:dyDescent="0.25">
      <c r="A48" s="56" t="s">
        <v>1572</v>
      </c>
      <c r="B48" s="56" t="s">
        <v>1574</v>
      </c>
      <c r="C48" s="56" t="s">
        <v>10</v>
      </c>
      <c r="D48" s="57" t="s">
        <v>15</v>
      </c>
      <c r="E48" s="56" t="s">
        <v>78</v>
      </c>
      <c r="G48" t="s">
        <v>1520</v>
      </c>
      <c r="H48" s="56" t="s">
        <v>22</v>
      </c>
      <c r="I48" s="80" t="s">
        <v>1590</v>
      </c>
      <c r="J48" s="56" t="s">
        <v>1583</v>
      </c>
      <c r="K48" t="s">
        <v>692</v>
      </c>
    </row>
    <row r="49" spans="1:11" x14ac:dyDescent="0.25">
      <c r="A49" s="56" t="s">
        <v>1572</v>
      </c>
      <c r="B49" s="56" t="s">
        <v>1574</v>
      </c>
      <c r="C49" s="56" t="s">
        <v>11</v>
      </c>
      <c r="D49" s="57" t="s">
        <v>15</v>
      </c>
      <c r="E49" s="56" t="s">
        <v>78</v>
      </c>
      <c r="G49" t="s">
        <v>1520</v>
      </c>
      <c r="H49" s="56" t="s">
        <v>22</v>
      </c>
      <c r="I49" s="80" t="s">
        <v>1590</v>
      </c>
      <c r="J49" s="56" t="s">
        <v>1583</v>
      </c>
      <c r="K49" t="s">
        <v>693</v>
      </c>
    </row>
    <row r="50" spans="1:11" x14ac:dyDescent="0.25">
      <c r="A50" s="56" t="s">
        <v>1572</v>
      </c>
      <c r="B50" s="56"/>
      <c r="C50" s="56"/>
      <c r="D50" s="57"/>
      <c r="E50" s="56"/>
      <c r="G50"/>
      <c r="H50" s="56"/>
      <c r="I50" s="56"/>
      <c r="J50" s="56" t="s">
        <v>1586</v>
      </c>
      <c r="K50" t="s">
        <v>694</v>
      </c>
    </row>
    <row r="51" spans="1:11" x14ac:dyDescent="0.25">
      <c r="A51" s="56" t="s">
        <v>1572</v>
      </c>
      <c r="B51" s="56"/>
      <c r="C51" s="56"/>
      <c r="D51" s="57"/>
      <c r="E51" s="56"/>
      <c r="G51"/>
      <c r="H51" s="56"/>
      <c r="I51" s="56"/>
      <c r="J51" s="56" t="s">
        <v>1586</v>
      </c>
      <c r="K51" t="s">
        <v>695</v>
      </c>
    </row>
    <row r="52" spans="1:11" x14ac:dyDescent="0.25">
      <c r="A52" s="56" t="s">
        <v>1572</v>
      </c>
      <c r="B52" s="56"/>
      <c r="C52" s="56"/>
      <c r="D52" s="57"/>
      <c r="E52" s="56"/>
      <c r="G52"/>
      <c r="H52" s="56"/>
      <c r="I52" s="56"/>
      <c r="J52" s="56" t="s">
        <v>1586</v>
      </c>
      <c r="K52" t="s">
        <v>696</v>
      </c>
    </row>
    <row r="53" spans="1:11" x14ac:dyDescent="0.25">
      <c r="A53" s="56" t="s">
        <v>1572</v>
      </c>
      <c r="B53" s="56"/>
      <c r="C53" s="56"/>
      <c r="D53" s="57"/>
      <c r="E53" s="56"/>
      <c r="G53"/>
      <c r="H53" s="56"/>
      <c r="I53" s="56"/>
      <c r="J53" s="56" t="s">
        <v>1586</v>
      </c>
      <c r="K53" t="s">
        <v>697</v>
      </c>
    </row>
    <row r="54" spans="1:11" x14ac:dyDescent="0.25">
      <c r="A54" s="56" t="s">
        <v>1572</v>
      </c>
      <c r="B54" s="56"/>
      <c r="C54" s="56"/>
      <c r="D54" s="57"/>
      <c r="E54" s="56"/>
      <c r="G54"/>
      <c r="H54" s="56"/>
      <c r="I54" s="56"/>
      <c r="J54" s="56" t="s">
        <v>1586</v>
      </c>
      <c r="K54" t="s">
        <v>698</v>
      </c>
    </row>
    <row r="55" spans="1:11" x14ac:dyDescent="0.25">
      <c r="A55" s="56" t="s">
        <v>1572</v>
      </c>
      <c r="B55" s="56"/>
      <c r="C55" s="56"/>
      <c r="D55" s="57"/>
      <c r="E55" s="56"/>
      <c r="G55"/>
      <c r="H55" s="56"/>
      <c r="I55" s="56"/>
      <c r="J55" s="56" t="s">
        <v>1586</v>
      </c>
      <c r="K55" t="s">
        <v>699</v>
      </c>
    </row>
    <row r="56" spans="1:11" x14ac:dyDescent="0.25">
      <c r="A56" s="56" t="s">
        <v>1572</v>
      </c>
      <c r="B56" s="56"/>
      <c r="C56" s="56"/>
      <c r="D56" s="57"/>
      <c r="E56" s="56"/>
      <c r="G56"/>
      <c r="H56" s="56"/>
      <c r="I56" s="56"/>
      <c r="J56" s="56" t="s">
        <v>1586</v>
      </c>
      <c r="K56" t="s">
        <v>700</v>
      </c>
    </row>
    <row r="57" spans="1:11" x14ac:dyDescent="0.25">
      <c r="A57" s="56" t="s">
        <v>1572</v>
      </c>
      <c r="B57" s="56"/>
      <c r="C57" s="56"/>
      <c r="D57" s="57"/>
      <c r="E57" s="56"/>
      <c r="G57"/>
      <c r="H57" s="56"/>
      <c r="I57" s="56"/>
      <c r="J57" s="56" t="s">
        <v>1586</v>
      </c>
      <c r="K57" t="s">
        <v>701</v>
      </c>
    </row>
    <row r="58" spans="1:11" x14ac:dyDescent="0.25">
      <c r="A58" s="56" t="s">
        <v>1572</v>
      </c>
      <c r="B58" s="56" t="s">
        <v>1574</v>
      </c>
      <c r="C58" s="56" t="s">
        <v>10</v>
      </c>
      <c r="D58" s="57" t="s">
        <v>16</v>
      </c>
      <c r="E58" s="56" t="s">
        <v>78</v>
      </c>
      <c r="G58" t="s">
        <v>1520</v>
      </c>
      <c r="H58" s="56" t="s">
        <v>22</v>
      </c>
      <c r="I58" s="80" t="s">
        <v>1590</v>
      </c>
      <c r="J58" s="56" t="s">
        <v>1583</v>
      </c>
      <c r="K58" t="s">
        <v>702</v>
      </c>
    </row>
    <row r="59" spans="1:11" x14ac:dyDescent="0.25">
      <c r="A59" s="56" t="s">
        <v>1572</v>
      </c>
      <c r="B59" s="56" t="s">
        <v>1574</v>
      </c>
      <c r="C59" s="56" t="s">
        <v>11</v>
      </c>
      <c r="D59" s="57" t="s">
        <v>16</v>
      </c>
      <c r="E59" s="56" t="s">
        <v>78</v>
      </c>
      <c r="G59" t="s">
        <v>1520</v>
      </c>
      <c r="H59" s="56" t="s">
        <v>22</v>
      </c>
      <c r="I59" s="80" t="s">
        <v>1590</v>
      </c>
      <c r="J59" s="56" t="s">
        <v>1583</v>
      </c>
      <c r="K59" t="s">
        <v>703</v>
      </c>
    </row>
    <row r="60" spans="1:11" x14ac:dyDescent="0.25">
      <c r="A60" s="56" t="s">
        <v>1572</v>
      </c>
      <c r="B60" s="56" t="s">
        <v>1574</v>
      </c>
      <c r="C60" s="56" t="s">
        <v>10</v>
      </c>
      <c r="D60" s="57" t="s">
        <v>8</v>
      </c>
      <c r="E60" s="56" t="s">
        <v>125</v>
      </c>
      <c r="G60" t="s">
        <v>1520</v>
      </c>
      <c r="H60" s="56" t="s">
        <v>22</v>
      </c>
      <c r="I60" s="80" t="s">
        <v>1591</v>
      </c>
      <c r="J60" s="56" t="s">
        <v>1583</v>
      </c>
      <c r="K60" t="s">
        <v>704</v>
      </c>
    </row>
    <row r="61" spans="1:11" x14ac:dyDescent="0.25">
      <c r="A61" s="56" t="s">
        <v>1572</v>
      </c>
      <c r="B61" s="56" t="s">
        <v>1574</v>
      </c>
      <c r="C61" s="56" t="s">
        <v>11</v>
      </c>
      <c r="D61" s="57" t="s">
        <v>8</v>
      </c>
      <c r="E61" s="56" t="s">
        <v>125</v>
      </c>
      <c r="G61" t="s">
        <v>1520</v>
      </c>
      <c r="H61" s="56" t="s">
        <v>22</v>
      </c>
      <c r="I61" s="80" t="s">
        <v>1591</v>
      </c>
      <c r="J61" s="56" t="s">
        <v>1583</v>
      </c>
      <c r="K61" t="s">
        <v>705</v>
      </c>
    </row>
    <row r="62" spans="1:11" x14ac:dyDescent="0.25">
      <c r="A62" s="56" t="s">
        <v>1572</v>
      </c>
      <c r="B62" s="56" t="s">
        <v>1574</v>
      </c>
      <c r="C62" s="56" t="s">
        <v>10</v>
      </c>
      <c r="D62" s="57" t="s">
        <v>15</v>
      </c>
      <c r="E62" s="56" t="s">
        <v>125</v>
      </c>
      <c r="G62" t="s">
        <v>1520</v>
      </c>
      <c r="H62" s="56" t="s">
        <v>22</v>
      </c>
      <c r="I62" s="80" t="s">
        <v>1591</v>
      </c>
      <c r="J62" s="56" t="s">
        <v>1583</v>
      </c>
      <c r="K62" t="s">
        <v>706</v>
      </c>
    </row>
    <row r="63" spans="1:11" x14ac:dyDescent="0.25">
      <c r="A63" s="56" t="s">
        <v>1572</v>
      </c>
      <c r="B63" s="56" t="s">
        <v>1574</v>
      </c>
      <c r="C63" s="56" t="s">
        <v>11</v>
      </c>
      <c r="D63" s="57" t="s">
        <v>15</v>
      </c>
      <c r="E63" s="56" t="s">
        <v>125</v>
      </c>
      <c r="G63" t="s">
        <v>1520</v>
      </c>
      <c r="H63" s="56" t="s">
        <v>22</v>
      </c>
      <c r="I63" s="80" t="s">
        <v>1591</v>
      </c>
      <c r="J63" s="56" t="s">
        <v>1583</v>
      </c>
      <c r="K63" t="s">
        <v>707</v>
      </c>
    </row>
    <row r="64" spans="1:11" x14ac:dyDescent="0.25">
      <c r="A64" s="56" t="s">
        <v>1572</v>
      </c>
      <c r="B64" s="56"/>
      <c r="C64" s="56"/>
      <c r="D64" s="57"/>
      <c r="E64" s="56"/>
      <c r="G64"/>
      <c r="H64" s="56"/>
      <c r="I64" s="56"/>
      <c r="J64" s="56" t="s">
        <v>1586</v>
      </c>
      <c r="K64" t="s">
        <v>708</v>
      </c>
    </row>
    <row r="65" spans="1:11" x14ac:dyDescent="0.25">
      <c r="A65" s="56" t="s">
        <v>1572</v>
      </c>
      <c r="B65" s="56"/>
      <c r="C65" s="56"/>
      <c r="D65" s="57"/>
      <c r="E65" s="56"/>
      <c r="G65"/>
      <c r="H65" s="56"/>
      <c r="I65" s="56"/>
      <c r="J65" s="56" t="s">
        <v>1586</v>
      </c>
      <c r="K65" t="s">
        <v>709</v>
      </c>
    </row>
    <row r="66" spans="1:11" x14ac:dyDescent="0.25">
      <c r="A66" s="56" t="s">
        <v>1572</v>
      </c>
      <c r="B66" s="56"/>
      <c r="C66" s="56"/>
      <c r="D66" s="57"/>
      <c r="E66" s="56"/>
      <c r="G66"/>
      <c r="H66" s="56"/>
      <c r="I66" s="56"/>
      <c r="J66" s="56" t="s">
        <v>1586</v>
      </c>
      <c r="K66" t="s">
        <v>710</v>
      </c>
    </row>
    <row r="67" spans="1:11" x14ac:dyDescent="0.25">
      <c r="A67" s="56" t="s">
        <v>1572</v>
      </c>
      <c r="B67" s="56"/>
      <c r="C67" s="56"/>
      <c r="D67" s="57"/>
      <c r="E67" s="56"/>
      <c r="G67"/>
      <c r="H67" s="56"/>
      <c r="I67" s="56"/>
      <c r="J67" s="56" t="s">
        <v>1586</v>
      </c>
      <c r="K67" t="s">
        <v>711</v>
      </c>
    </row>
    <row r="68" spans="1:11" x14ac:dyDescent="0.25">
      <c r="A68" s="56" t="s">
        <v>1572</v>
      </c>
      <c r="B68" s="56"/>
      <c r="C68" s="56"/>
      <c r="D68" s="57"/>
      <c r="E68" s="56"/>
      <c r="G68"/>
      <c r="H68" s="56"/>
      <c r="I68" s="56"/>
      <c r="J68" s="56" t="s">
        <v>1586</v>
      </c>
      <c r="K68" t="s">
        <v>712</v>
      </c>
    </row>
    <row r="69" spans="1:11" x14ac:dyDescent="0.25">
      <c r="A69" s="56" t="s">
        <v>1572</v>
      </c>
      <c r="B69" s="56"/>
      <c r="C69" s="56"/>
      <c r="D69" s="57"/>
      <c r="E69" s="56"/>
      <c r="G69"/>
      <c r="H69" s="56"/>
      <c r="I69" s="56"/>
      <c r="J69" s="56" t="s">
        <v>1586</v>
      </c>
      <c r="K69" t="s">
        <v>713</v>
      </c>
    </row>
    <row r="70" spans="1:11" x14ac:dyDescent="0.25">
      <c r="A70" s="56" t="s">
        <v>1572</v>
      </c>
      <c r="B70" s="56"/>
      <c r="C70" s="56"/>
      <c r="D70" s="57"/>
      <c r="E70" s="56"/>
      <c r="G70"/>
      <c r="H70" s="56"/>
      <c r="I70" s="56"/>
      <c r="J70" s="56" t="s">
        <v>1586</v>
      </c>
      <c r="K70" t="s">
        <v>714</v>
      </c>
    </row>
    <row r="71" spans="1:11" x14ac:dyDescent="0.25">
      <c r="A71" s="56" t="s">
        <v>1572</v>
      </c>
      <c r="B71" s="56"/>
      <c r="C71" s="56"/>
      <c r="D71" s="57"/>
      <c r="E71" s="56"/>
      <c r="G71"/>
      <c r="H71" s="56"/>
      <c r="I71" s="56"/>
      <c r="J71" s="56" t="s">
        <v>1586</v>
      </c>
      <c r="K71" t="s">
        <v>715</v>
      </c>
    </row>
    <row r="72" spans="1:11" x14ac:dyDescent="0.25">
      <c r="A72" s="56" t="s">
        <v>1572</v>
      </c>
      <c r="B72" s="56" t="s">
        <v>1574</v>
      </c>
      <c r="C72" s="56" t="s">
        <v>10</v>
      </c>
      <c r="D72" s="57" t="s">
        <v>16</v>
      </c>
      <c r="E72" s="56" t="s">
        <v>125</v>
      </c>
      <c r="G72" t="s">
        <v>1520</v>
      </c>
      <c r="H72" s="56" t="s">
        <v>22</v>
      </c>
      <c r="I72" s="80" t="s">
        <v>1591</v>
      </c>
      <c r="J72" s="56" t="s">
        <v>1583</v>
      </c>
      <c r="K72" t="s">
        <v>716</v>
      </c>
    </row>
    <row r="73" spans="1:11" x14ac:dyDescent="0.25">
      <c r="A73" s="56" t="s">
        <v>1572</v>
      </c>
      <c r="B73" s="56" t="s">
        <v>1574</v>
      </c>
      <c r="C73" s="56" t="s">
        <v>11</v>
      </c>
      <c r="D73" s="57" t="s">
        <v>16</v>
      </c>
      <c r="E73" s="56" t="s">
        <v>125</v>
      </c>
      <c r="G73" t="s">
        <v>1520</v>
      </c>
      <c r="H73" s="56" t="s">
        <v>22</v>
      </c>
      <c r="I73" s="80" t="s">
        <v>1591</v>
      </c>
      <c r="J73" s="56" t="s">
        <v>1583</v>
      </c>
      <c r="K73" t="s">
        <v>717</v>
      </c>
    </row>
    <row r="74" spans="1:11" x14ac:dyDescent="0.25">
      <c r="A74" s="56" t="s">
        <v>1572</v>
      </c>
      <c r="B74" s="56" t="s">
        <v>1573</v>
      </c>
      <c r="C74" s="56"/>
      <c r="D74" s="57" t="s">
        <v>5</v>
      </c>
      <c r="E74" s="56" t="s">
        <v>78</v>
      </c>
      <c r="G74" t="s">
        <v>1521</v>
      </c>
      <c r="H74" s="56" t="s">
        <v>22</v>
      </c>
      <c r="I74" s="80" t="s">
        <v>1592</v>
      </c>
      <c r="J74" s="56" t="s">
        <v>1583</v>
      </c>
      <c r="K74" t="s">
        <v>757</v>
      </c>
    </row>
    <row r="75" spans="1:11" x14ac:dyDescent="0.25">
      <c r="A75" s="56" t="s">
        <v>1572</v>
      </c>
      <c r="B75" s="56" t="s">
        <v>1573</v>
      </c>
      <c r="C75" s="56"/>
      <c r="D75" s="57" t="s">
        <v>6</v>
      </c>
      <c r="E75" s="56" t="s">
        <v>78</v>
      </c>
      <c r="G75" t="s">
        <v>1521</v>
      </c>
      <c r="H75" s="56" t="s">
        <v>22</v>
      </c>
      <c r="I75" s="80" t="s">
        <v>1592</v>
      </c>
      <c r="J75" s="56" t="s">
        <v>1583</v>
      </c>
      <c r="K75" t="s">
        <v>758</v>
      </c>
    </row>
    <row r="76" spans="1:11" x14ac:dyDescent="0.25">
      <c r="A76" s="56" t="s">
        <v>1572</v>
      </c>
      <c r="B76" s="56" t="s">
        <v>1574</v>
      </c>
      <c r="C76" s="56" t="s">
        <v>10</v>
      </c>
      <c r="D76" s="57" t="s">
        <v>7</v>
      </c>
      <c r="E76" s="56" t="s">
        <v>78</v>
      </c>
      <c r="G76" t="s">
        <v>1521</v>
      </c>
      <c r="H76" s="56" t="s">
        <v>22</v>
      </c>
      <c r="I76" s="80" t="s">
        <v>1592</v>
      </c>
      <c r="J76" s="56" t="s">
        <v>1583</v>
      </c>
      <c r="K76" t="s">
        <v>759</v>
      </c>
    </row>
    <row r="77" spans="1:11" x14ac:dyDescent="0.25">
      <c r="A77" s="56" t="s">
        <v>1572</v>
      </c>
      <c r="B77" s="56" t="s">
        <v>1574</v>
      </c>
      <c r="C77" s="56" t="s">
        <v>11</v>
      </c>
      <c r="D77" s="57" t="s">
        <v>7</v>
      </c>
      <c r="E77" s="56" t="s">
        <v>78</v>
      </c>
      <c r="G77" t="s">
        <v>1521</v>
      </c>
      <c r="H77" s="56" t="s">
        <v>22</v>
      </c>
      <c r="I77" s="80" t="s">
        <v>1592</v>
      </c>
      <c r="J77" s="56" t="s">
        <v>1583</v>
      </c>
      <c r="K77" t="s">
        <v>760</v>
      </c>
    </row>
    <row r="78" spans="1:11" x14ac:dyDescent="0.25">
      <c r="A78" s="56" t="s">
        <v>1572</v>
      </c>
      <c r="B78" s="56" t="s">
        <v>1573</v>
      </c>
      <c r="C78" s="56"/>
      <c r="D78" s="57" t="s">
        <v>5</v>
      </c>
      <c r="E78" s="56" t="s">
        <v>125</v>
      </c>
      <c r="G78" t="s">
        <v>1521</v>
      </c>
      <c r="H78" s="56" t="s">
        <v>22</v>
      </c>
      <c r="I78" s="80" t="s">
        <v>1593</v>
      </c>
      <c r="J78" s="56" t="s">
        <v>1583</v>
      </c>
      <c r="K78" t="s">
        <v>761</v>
      </c>
    </row>
    <row r="79" spans="1:11" x14ac:dyDescent="0.25">
      <c r="A79" s="56" t="s">
        <v>1572</v>
      </c>
      <c r="B79" s="56" t="s">
        <v>1573</v>
      </c>
      <c r="C79" s="56"/>
      <c r="D79" s="57" t="s">
        <v>6</v>
      </c>
      <c r="E79" s="56" t="s">
        <v>125</v>
      </c>
      <c r="G79" t="s">
        <v>1521</v>
      </c>
      <c r="H79" s="56" t="s">
        <v>22</v>
      </c>
      <c r="I79" s="80" t="s">
        <v>1593</v>
      </c>
      <c r="J79" s="56" t="s">
        <v>1583</v>
      </c>
      <c r="K79" t="s">
        <v>762</v>
      </c>
    </row>
    <row r="80" spans="1:11" x14ac:dyDescent="0.25">
      <c r="A80" s="56" t="s">
        <v>1572</v>
      </c>
      <c r="B80" s="56" t="s">
        <v>1574</v>
      </c>
      <c r="C80" s="56" t="s">
        <v>10</v>
      </c>
      <c r="D80" s="57" t="s">
        <v>7</v>
      </c>
      <c r="E80" s="56" t="s">
        <v>125</v>
      </c>
      <c r="G80" t="s">
        <v>1521</v>
      </c>
      <c r="H80" s="56" t="s">
        <v>22</v>
      </c>
      <c r="I80" s="80" t="s">
        <v>1593</v>
      </c>
      <c r="J80" s="56" t="s">
        <v>1583</v>
      </c>
      <c r="K80" t="s">
        <v>763</v>
      </c>
    </row>
    <row r="81" spans="1:11" x14ac:dyDescent="0.25">
      <c r="A81" s="56" t="s">
        <v>1572</v>
      </c>
      <c r="B81" s="56" t="s">
        <v>1574</v>
      </c>
      <c r="C81" s="56" t="s">
        <v>11</v>
      </c>
      <c r="D81" s="57" t="s">
        <v>7</v>
      </c>
      <c r="E81" s="56" t="s">
        <v>125</v>
      </c>
      <c r="G81" t="s">
        <v>1521</v>
      </c>
      <c r="H81" s="56" t="s">
        <v>22</v>
      </c>
      <c r="I81" s="80" t="s">
        <v>1593</v>
      </c>
      <c r="J81" s="56" t="s">
        <v>1583</v>
      </c>
      <c r="K81" t="s">
        <v>764</v>
      </c>
    </row>
    <row r="82" spans="1:11" x14ac:dyDescent="0.25">
      <c r="A82" s="56" t="s">
        <v>1572</v>
      </c>
      <c r="B82" s="56" t="s">
        <v>1574</v>
      </c>
      <c r="C82" s="56" t="s">
        <v>10</v>
      </c>
      <c r="D82" s="57" t="s">
        <v>8</v>
      </c>
      <c r="E82" s="56" t="s">
        <v>78</v>
      </c>
      <c r="G82" t="s">
        <v>1521</v>
      </c>
      <c r="H82" s="56" t="s">
        <v>22</v>
      </c>
      <c r="I82" s="80" t="s">
        <v>1594</v>
      </c>
      <c r="J82" s="56" t="s">
        <v>1583</v>
      </c>
      <c r="K82" t="s">
        <v>765</v>
      </c>
    </row>
    <row r="83" spans="1:11" x14ac:dyDescent="0.25">
      <c r="A83" s="56" t="s">
        <v>1572</v>
      </c>
      <c r="B83" s="56" t="s">
        <v>1574</v>
      </c>
      <c r="C83" s="56" t="s">
        <v>11</v>
      </c>
      <c r="D83" s="57" t="s">
        <v>8</v>
      </c>
      <c r="E83" s="56" t="s">
        <v>78</v>
      </c>
      <c r="G83" t="s">
        <v>1521</v>
      </c>
      <c r="H83" s="56" t="s">
        <v>22</v>
      </c>
      <c r="I83" s="80" t="s">
        <v>1594</v>
      </c>
      <c r="J83" s="56" t="s">
        <v>1583</v>
      </c>
      <c r="K83" t="s">
        <v>766</v>
      </c>
    </row>
    <row r="84" spans="1:11" x14ac:dyDescent="0.25">
      <c r="A84" s="56" t="s">
        <v>1572</v>
      </c>
      <c r="B84" s="56" t="s">
        <v>1574</v>
      </c>
      <c r="C84" s="56" t="s">
        <v>10</v>
      </c>
      <c r="D84" s="57" t="s">
        <v>15</v>
      </c>
      <c r="E84" s="56" t="s">
        <v>78</v>
      </c>
      <c r="G84" t="s">
        <v>1521</v>
      </c>
      <c r="H84" s="56" t="s">
        <v>22</v>
      </c>
      <c r="I84" s="80" t="s">
        <v>1594</v>
      </c>
      <c r="J84" s="56" t="s">
        <v>1583</v>
      </c>
      <c r="K84" t="s">
        <v>767</v>
      </c>
    </row>
    <row r="85" spans="1:11" x14ac:dyDescent="0.25">
      <c r="A85" s="56" t="s">
        <v>1572</v>
      </c>
      <c r="B85" s="56" t="s">
        <v>1574</v>
      </c>
      <c r="C85" s="56" t="s">
        <v>11</v>
      </c>
      <c r="D85" s="57" t="s">
        <v>15</v>
      </c>
      <c r="E85" s="56" t="s">
        <v>78</v>
      </c>
      <c r="G85" t="s">
        <v>1521</v>
      </c>
      <c r="H85" s="56" t="s">
        <v>22</v>
      </c>
      <c r="I85" s="80" t="s">
        <v>1594</v>
      </c>
      <c r="J85" s="56" t="s">
        <v>1583</v>
      </c>
      <c r="K85" t="s">
        <v>768</v>
      </c>
    </row>
    <row r="86" spans="1:11" x14ac:dyDescent="0.25">
      <c r="A86" s="56" t="s">
        <v>1572</v>
      </c>
      <c r="B86" s="56"/>
      <c r="C86" s="56"/>
      <c r="D86" s="57"/>
      <c r="E86" s="56"/>
      <c r="G86"/>
      <c r="H86" s="56"/>
      <c r="I86" s="56"/>
      <c r="J86" s="56" t="s">
        <v>1586</v>
      </c>
      <c r="K86" t="s">
        <v>769</v>
      </c>
    </row>
    <row r="87" spans="1:11" x14ac:dyDescent="0.25">
      <c r="A87" s="56" t="s">
        <v>1572</v>
      </c>
      <c r="B87" s="56"/>
      <c r="C87" s="56"/>
      <c r="D87" s="57"/>
      <c r="E87" s="56"/>
      <c r="G87"/>
      <c r="H87" s="56"/>
      <c r="I87" s="56"/>
      <c r="J87" s="56" t="s">
        <v>1586</v>
      </c>
      <c r="K87" t="s">
        <v>770</v>
      </c>
    </row>
    <row r="88" spans="1:11" x14ac:dyDescent="0.25">
      <c r="A88" s="56" t="s">
        <v>1572</v>
      </c>
      <c r="B88" s="56"/>
      <c r="C88" s="56"/>
      <c r="D88" s="57"/>
      <c r="E88" s="56"/>
      <c r="G88"/>
      <c r="H88" s="56"/>
      <c r="I88" s="56"/>
      <c r="J88" s="56" t="s">
        <v>1586</v>
      </c>
      <c r="K88" t="s">
        <v>771</v>
      </c>
    </row>
    <row r="89" spans="1:11" x14ac:dyDescent="0.25">
      <c r="A89" s="56" t="s">
        <v>1572</v>
      </c>
      <c r="B89" s="56"/>
      <c r="C89" s="56"/>
      <c r="D89" s="57"/>
      <c r="E89" s="56"/>
      <c r="G89"/>
      <c r="H89" s="56"/>
      <c r="I89" s="56"/>
      <c r="J89" s="56" t="s">
        <v>1586</v>
      </c>
      <c r="K89" t="s">
        <v>772</v>
      </c>
    </row>
    <row r="90" spans="1:11" x14ac:dyDescent="0.25">
      <c r="A90" s="56" t="s">
        <v>1572</v>
      </c>
      <c r="B90" s="56"/>
      <c r="C90" s="56"/>
      <c r="D90" s="57"/>
      <c r="E90" s="56"/>
      <c r="G90"/>
      <c r="H90" s="56"/>
      <c r="I90" s="56"/>
      <c r="J90" s="56" t="s">
        <v>1586</v>
      </c>
      <c r="K90" t="s">
        <v>773</v>
      </c>
    </row>
    <row r="91" spans="1:11" x14ac:dyDescent="0.25">
      <c r="A91" s="56" t="s">
        <v>1572</v>
      </c>
      <c r="B91" s="56"/>
      <c r="C91" s="56"/>
      <c r="D91" s="57"/>
      <c r="E91" s="56"/>
      <c r="G91"/>
      <c r="H91" s="56"/>
      <c r="I91" s="56"/>
      <c r="J91" s="56" t="s">
        <v>1586</v>
      </c>
      <c r="K91" t="s">
        <v>774</v>
      </c>
    </row>
    <row r="92" spans="1:11" x14ac:dyDescent="0.25">
      <c r="A92" s="56" t="s">
        <v>1572</v>
      </c>
      <c r="B92" s="56"/>
      <c r="C92" s="56"/>
      <c r="D92" s="57"/>
      <c r="E92" s="56"/>
      <c r="G92"/>
      <c r="H92" s="56"/>
      <c r="I92" s="56"/>
      <c r="J92" s="56" t="s">
        <v>1586</v>
      </c>
      <c r="K92" t="s">
        <v>775</v>
      </c>
    </row>
    <row r="93" spans="1:11" x14ac:dyDescent="0.25">
      <c r="A93" s="56" t="s">
        <v>1572</v>
      </c>
      <c r="B93" s="56"/>
      <c r="C93" s="56"/>
      <c r="D93" s="57"/>
      <c r="E93" s="56"/>
      <c r="G93"/>
      <c r="H93" s="56"/>
      <c r="I93" s="56"/>
      <c r="J93" s="56" t="s">
        <v>1586</v>
      </c>
      <c r="K93" t="s">
        <v>776</v>
      </c>
    </row>
    <row r="94" spans="1:11" x14ac:dyDescent="0.25">
      <c r="A94" s="56" t="s">
        <v>1572</v>
      </c>
      <c r="B94" s="56" t="s">
        <v>1574</v>
      </c>
      <c r="C94" s="56" t="s">
        <v>10</v>
      </c>
      <c r="D94" s="57" t="s">
        <v>16</v>
      </c>
      <c r="E94" s="56" t="s">
        <v>78</v>
      </c>
      <c r="G94" t="s">
        <v>1521</v>
      </c>
      <c r="H94" s="56" t="s">
        <v>22</v>
      </c>
      <c r="I94" s="80" t="s">
        <v>1594</v>
      </c>
      <c r="J94" s="56" t="s">
        <v>1583</v>
      </c>
      <c r="K94" t="s">
        <v>777</v>
      </c>
    </row>
    <row r="95" spans="1:11" x14ac:dyDescent="0.25">
      <c r="A95" s="56" t="s">
        <v>1572</v>
      </c>
      <c r="B95" s="56" t="s">
        <v>1574</v>
      </c>
      <c r="C95" s="56" t="s">
        <v>11</v>
      </c>
      <c r="D95" s="57" t="s">
        <v>16</v>
      </c>
      <c r="E95" s="56" t="s">
        <v>78</v>
      </c>
      <c r="G95" t="s">
        <v>1521</v>
      </c>
      <c r="H95" s="56" t="s">
        <v>22</v>
      </c>
      <c r="I95" s="80" t="s">
        <v>1594</v>
      </c>
      <c r="J95" s="56" t="s">
        <v>1583</v>
      </c>
      <c r="K95" t="s">
        <v>778</v>
      </c>
    </row>
    <row r="96" spans="1:11" x14ac:dyDescent="0.25">
      <c r="A96" s="56" t="s">
        <v>1572</v>
      </c>
      <c r="B96" s="56" t="s">
        <v>1574</v>
      </c>
      <c r="C96" s="56" t="s">
        <v>10</v>
      </c>
      <c r="D96" s="57" t="s">
        <v>8</v>
      </c>
      <c r="E96" s="56" t="s">
        <v>125</v>
      </c>
      <c r="G96" t="s">
        <v>1521</v>
      </c>
      <c r="H96" s="56" t="s">
        <v>22</v>
      </c>
      <c r="I96" s="80" t="s">
        <v>1595</v>
      </c>
      <c r="J96" s="56" t="s">
        <v>1583</v>
      </c>
      <c r="K96" t="s">
        <v>779</v>
      </c>
    </row>
    <row r="97" spans="1:11" x14ac:dyDescent="0.25">
      <c r="A97" s="56" t="s">
        <v>1572</v>
      </c>
      <c r="B97" s="56" t="s">
        <v>1574</v>
      </c>
      <c r="C97" s="56" t="s">
        <v>11</v>
      </c>
      <c r="D97" s="57" t="s">
        <v>8</v>
      </c>
      <c r="E97" s="56" t="s">
        <v>125</v>
      </c>
      <c r="G97" t="s">
        <v>1521</v>
      </c>
      <c r="H97" s="56" t="s">
        <v>22</v>
      </c>
      <c r="I97" s="80" t="s">
        <v>1595</v>
      </c>
      <c r="J97" s="56" t="s">
        <v>1583</v>
      </c>
      <c r="K97" t="s">
        <v>780</v>
      </c>
    </row>
    <row r="98" spans="1:11" x14ac:dyDescent="0.25">
      <c r="A98" s="56" t="s">
        <v>1572</v>
      </c>
      <c r="B98" s="56" t="s">
        <v>1574</v>
      </c>
      <c r="C98" s="56" t="s">
        <v>10</v>
      </c>
      <c r="D98" s="57" t="s">
        <v>15</v>
      </c>
      <c r="E98" s="56" t="s">
        <v>125</v>
      </c>
      <c r="G98" t="s">
        <v>1521</v>
      </c>
      <c r="H98" s="56" t="s">
        <v>22</v>
      </c>
      <c r="I98" s="80" t="s">
        <v>1595</v>
      </c>
      <c r="J98" s="56" t="s">
        <v>1583</v>
      </c>
      <c r="K98" t="s">
        <v>781</v>
      </c>
    </row>
    <row r="99" spans="1:11" x14ac:dyDescent="0.25">
      <c r="A99" s="56" t="s">
        <v>1572</v>
      </c>
      <c r="B99" s="56" t="s">
        <v>1574</v>
      </c>
      <c r="C99" s="56" t="s">
        <v>11</v>
      </c>
      <c r="D99" s="57" t="s">
        <v>15</v>
      </c>
      <c r="E99" s="56" t="s">
        <v>125</v>
      </c>
      <c r="G99" t="s">
        <v>1521</v>
      </c>
      <c r="H99" s="56" t="s">
        <v>22</v>
      </c>
      <c r="I99" s="80" t="s">
        <v>1595</v>
      </c>
      <c r="J99" s="56" t="s">
        <v>1583</v>
      </c>
      <c r="K99" t="s">
        <v>782</v>
      </c>
    </row>
    <row r="100" spans="1:11" x14ac:dyDescent="0.25">
      <c r="A100" s="56" t="s">
        <v>1572</v>
      </c>
      <c r="B100" s="56"/>
      <c r="C100" s="56"/>
      <c r="D100" s="57"/>
      <c r="E100" s="56"/>
      <c r="G100"/>
      <c r="H100" s="56"/>
      <c r="I100" s="56"/>
      <c r="J100" s="56" t="s">
        <v>1586</v>
      </c>
      <c r="K100" t="s">
        <v>783</v>
      </c>
    </row>
    <row r="101" spans="1:11" x14ac:dyDescent="0.25">
      <c r="A101" s="56" t="s">
        <v>1572</v>
      </c>
      <c r="B101" s="56"/>
      <c r="C101" s="56"/>
      <c r="D101" s="57"/>
      <c r="E101" s="56"/>
      <c r="G101"/>
      <c r="H101" s="56"/>
      <c r="I101" s="56"/>
      <c r="J101" s="56" t="s">
        <v>1586</v>
      </c>
      <c r="K101" t="s">
        <v>784</v>
      </c>
    </row>
    <row r="102" spans="1:11" x14ac:dyDescent="0.25">
      <c r="A102" s="56" t="s">
        <v>1572</v>
      </c>
      <c r="B102" s="56"/>
      <c r="C102" s="56"/>
      <c r="D102" s="57"/>
      <c r="E102" s="56"/>
      <c r="G102"/>
      <c r="H102" s="56"/>
      <c r="I102" s="56"/>
      <c r="J102" s="56" t="s">
        <v>1586</v>
      </c>
      <c r="K102" t="s">
        <v>785</v>
      </c>
    </row>
    <row r="103" spans="1:11" x14ac:dyDescent="0.25">
      <c r="A103" s="56" t="s">
        <v>1572</v>
      </c>
      <c r="B103" s="56"/>
      <c r="C103" s="56"/>
      <c r="D103" s="57"/>
      <c r="E103" s="56"/>
      <c r="G103"/>
      <c r="H103" s="56"/>
      <c r="I103" s="56"/>
      <c r="J103" s="56" t="s">
        <v>1586</v>
      </c>
      <c r="K103" t="s">
        <v>786</v>
      </c>
    </row>
    <row r="104" spans="1:11" x14ac:dyDescent="0.25">
      <c r="A104" s="56" t="s">
        <v>1572</v>
      </c>
      <c r="B104" s="56"/>
      <c r="C104" s="56"/>
      <c r="D104" s="57"/>
      <c r="E104" s="56"/>
      <c r="G104"/>
      <c r="H104" s="56"/>
      <c r="I104" s="56"/>
      <c r="J104" s="56" t="s">
        <v>1586</v>
      </c>
      <c r="K104" t="s">
        <v>787</v>
      </c>
    </row>
    <row r="105" spans="1:11" x14ac:dyDescent="0.25">
      <c r="A105" s="56" t="s">
        <v>1572</v>
      </c>
      <c r="B105" s="56"/>
      <c r="C105" s="56"/>
      <c r="D105" s="57"/>
      <c r="E105" s="56"/>
      <c r="G105"/>
      <c r="H105" s="56"/>
      <c r="I105" s="56"/>
      <c r="J105" s="56" t="s">
        <v>1586</v>
      </c>
      <c r="K105" t="s">
        <v>788</v>
      </c>
    </row>
    <row r="106" spans="1:11" x14ac:dyDescent="0.25">
      <c r="A106" s="56" t="s">
        <v>1572</v>
      </c>
      <c r="B106" s="56"/>
      <c r="C106" s="56"/>
      <c r="D106" s="57"/>
      <c r="E106" s="56"/>
      <c r="G106"/>
      <c r="H106" s="56"/>
      <c r="I106" s="56"/>
      <c r="J106" s="56" t="s">
        <v>1586</v>
      </c>
      <c r="K106" t="s">
        <v>789</v>
      </c>
    </row>
    <row r="107" spans="1:11" x14ac:dyDescent="0.25">
      <c r="A107" s="56" t="s">
        <v>1572</v>
      </c>
      <c r="B107" s="56"/>
      <c r="C107" s="56"/>
      <c r="D107" s="57"/>
      <c r="E107" s="56"/>
      <c r="G107"/>
      <c r="H107" s="56"/>
      <c r="I107" s="56"/>
      <c r="J107" s="56" t="s">
        <v>1586</v>
      </c>
      <c r="K107" t="s">
        <v>790</v>
      </c>
    </row>
    <row r="108" spans="1:11" x14ac:dyDescent="0.25">
      <c r="A108" s="56" t="s">
        <v>1572</v>
      </c>
      <c r="B108" s="56" t="s">
        <v>1574</v>
      </c>
      <c r="C108" s="56" t="s">
        <v>10</v>
      </c>
      <c r="D108" s="57" t="s">
        <v>16</v>
      </c>
      <c r="E108" s="56" t="s">
        <v>125</v>
      </c>
      <c r="G108" t="s">
        <v>1521</v>
      </c>
      <c r="H108" s="56" t="s">
        <v>22</v>
      </c>
      <c r="I108" s="80" t="s">
        <v>1595</v>
      </c>
      <c r="J108" s="56" t="s">
        <v>1583</v>
      </c>
      <c r="K108" t="s">
        <v>791</v>
      </c>
    </row>
    <row r="109" spans="1:11" x14ac:dyDescent="0.25">
      <c r="A109" s="56" t="s">
        <v>1572</v>
      </c>
      <c r="B109" s="56" t="s">
        <v>1574</v>
      </c>
      <c r="C109" s="56" t="s">
        <v>11</v>
      </c>
      <c r="D109" s="57" t="s">
        <v>16</v>
      </c>
      <c r="E109" s="56" t="s">
        <v>125</v>
      </c>
      <c r="G109" t="s">
        <v>1521</v>
      </c>
      <c r="H109" s="56" t="s">
        <v>22</v>
      </c>
      <c r="I109" s="80" t="s">
        <v>1595</v>
      </c>
      <c r="J109" s="56" t="s">
        <v>1583</v>
      </c>
      <c r="K109" t="s">
        <v>792</v>
      </c>
    </row>
    <row r="110" spans="1:11" x14ac:dyDescent="0.25">
      <c r="A110" s="56" t="s">
        <v>1572</v>
      </c>
      <c r="B110" s="56" t="s">
        <v>1573</v>
      </c>
      <c r="C110" s="56"/>
      <c r="D110" s="57" t="s">
        <v>5</v>
      </c>
      <c r="E110" s="56" t="s">
        <v>78</v>
      </c>
      <c r="G110" t="s">
        <v>1522</v>
      </c>
      <c r="H110" s="56" t="s">
        <v>22</v>
      </c>
      <c r="I110" s="80" t="s">
        <v>1596</v>
      </c>
      <c r="J110" s="56" t="s">
        <v>1583</v>
      </c>
      <c r="K110" t="s">
        <v>832</v>
      </c>
    </row>
    <row r="111" spans="1:11" x14ac:dyDescent="0.25">
      <c r="A111" s="56" t="s">
        <v>1572</v>
      </c>
      <c r="B111" s="56" t="s">
        <v>1573</v>
      </c>
      <c r="C111" s="56"/>
      <c r="D111" s="57" t="s">
        <v>6</v>
      </c>
      <c r="E111" s="56" t="s">
        <v>78</v>
      </c>
      <c r="G111" t="s">
        <v>1522</v>
      </c>
      <c r="H111" s="56" t="s">
        <v>22</v>
      </c>
      <c r="I111" s="80" t="s">
        <v>1596</v>
      </c>
      <c r="J111" s="56" t="s">
        <v>1583</v>
      </c>
      <c r="K111" t="s">
        <v>833</v>
      </c>
    </row>
    <row r="112" spans="1:11" x14ac:dyDescent="0.25">
      <c r="A112" s="56" t="s">
        <v>1572</v>
      </c>
      <c r="B112" s="56" t="s">
        <v>1574</v>
      </c>
      <c r="C112" s="56" t="s">
        <v>10</v>
      </c>
      <c r="D112" s="57" t="s">
        <v>7</v>
      </c>
      <c r="E112" s="56" t="s">
        <v>78</v>
      </c>
      <c r="G112" t="s">
        <v>1522</v>
      </c>
      <c r="H112" s="56" t="s">
        <v>22</v>
      </c>
      <c r="I112" s="80" t="s">
        <v>1596</v>
      </c>
      <c r="J112" s="56" t="s">
        <v>1583</v>
      </c>
      <c r="K112" t="s">
        <v>834</v>
      </c>
    </row>
    <row r="113" spans="1:11" x14ac:dyDescent="0.25">
      <c r="A113" s="56" t="s">
        <v>1572</v>
      </c>
      <c r="B113" s="56" t="s">
        <v>1574</v>
      </c>
      <c r="C113" s="56" t="s">
        <v>11</v>
      </c>
      <c r="D113" s="57" t="s">
        <v>7</v>
      </c>
      <c r="E113" s="56" t="s">
        <v>78</v>
      </c>
      <c r="G113" t="s">
        <v>1522</v>
      </c>
      <c r="H113" s="56" t="s">
        <v>22</v>
      </c>
      <c r="I113" s="80" t="s">
        <v>1596</v>
      </c>
      <c r="J113" s="56" t="s">
        <v>1583</v>
      </c>
      <c r="K113" t="s">
        <v>835</v>
      </c>
    </row>
    <row r="114" spans="1:11" x14ac:dyDescent="0.25">
      <c r="A114" s="56" t="s">
        <v>1572</v>
      </c>
      <c r="B114" s="56" t="s">
        <v>1573</v>
      </c>
      <c r="C114" s="56"/>
      <c r="D114" s="57" t="s">
        <v>5</v>
      </c>
      <c r="E114" s="56" t="s">
        <v>125</v>
      </c>
      <c r="G114" t="s">
        <v>1522</v>
      </c>
      <c r="H114" s="56" t="s">
        <v>22</v>
      </c>
      <c r="I114" s="80" t="s">
        <v>1597</v>
      </c>
      <c r="J114" s="56" t="s">
        <v>1583</v>
      </c>
      <c r="K114" t="s">
        <v>836</v>
      </c>
    </row>
    <row r="115" spans="1:11" x14ac:dyDescent="0.25">
      <c r="A115" s="56" t="s">
        <v>1572</v>
      </c>
      <c r="B115" s="56" t="s">
        <v>1573</v>
      </c>
      <c r="C115" s="56"/>
      <c r="D115" s="57" t="s">
        <v>6</v>
      </c>
      <c r="E115" s="56" t="s">
        <v>125</v>
      </c>
      <c r="G115" t="s">
        <v>1522</v>
      </c>
      <c r="H115" s="56" t="s">
        <v>22</v>
      </c>
      <c r="I115" s="80" t="s">
        <v>1597</v>
      </c>
      <c r="J115" s="56" t="s">
        <v>1583</v>
      </c>
      <c r="K115" t="s">
        <v>837</v>
      </c>
    </row>
    <row r="116" spans="1:11" x14ac:dyDescent="0.25">
      <c r="A116" s="56" t="s">
        <v>1572</v>
      </c>
      <c r="B116" s="56" t="s">
        <v>1574</v>
      </c>
      <c r="C116" s="56" t="s">
        <v>10</v>
      </c>
      <c r="D116" s="57" t="s">
        <v>7</v>
      </c>
      <c r="E116" s="56" t="s">
        <v>125</v>
      </c>
      <c r="G116" t="s">
        <v>1522</v>
      </c>
      <c r="H116" s="56" t="s">
        <v>22</v>
      </c>
      <c r="I116" s="80" t="s">
        <v>1597</v>
      </c>
      <c r="J116" s="56" t="s">
        <v>1583</v>
      </c>
      <c r="K116" t="s">
        <v>838</v>
      </c>
    </row>
    <row r="117" spans="1:11" x14ac:dyDescent="0.25">
      <c r="A117" s="56" t="s">
        <v>1572</v>
      </c>
      <c r="B117" s="56" t="s">
        <v>1574</v>
      </c>
      <c r="C117" s="56" t="s">
        <v>11</v>
      </c>
      <c r="D117" s="57" t="s">
        <v>7</v>
      </c>
      <c r="E117" s="56" t="s">
        <v>125</v>
      </c>
      <c r="G117" t="s">
        <v>1522</v>
      </c>
      <c r="H117" s="56" t="s">
        <v>22</v>
      </c>
      <c r="I117" s="80" t="s">
        <v>1597</v>
      </c>
      <c r="J117" s="56" t="s">
        <v>1583</v>
      </c>
      <c r="K117" t="s">
        <v>839</v>
      </c>
    </row>
    <row r="118" spans="1:11" x14ac:dyDescent="0.25">
      <c r="A118" s="56" t="s">
        <v>1572</v>
      </c>
      <c r="B118" s="56" t="s">
        <v>1574</v>
      </c>
      <c r="C118" s="56" t="s">
        <v>10</v>
      </c>
      <c r="D118" s="57" t="s">
        <v>8</v>
      </c>
      <c r="E118" s="56" t="s">
        <v>78</v>
      </c>
      <c r="G118" t="s">
        <v>1522</v>
      </c>
      <c r="H118" s="56" t="s">
        <v>22</v>
      </c>
      <c r="I118" s="80" t="s">
        <v>1598</v>
      </c>
      <c r="J118" s="56" t="s">
        <v>1583</v>
      </c>
      <c r="K118" t="s">
        <v>840</v>
      </c>
    </row>
    <row r="119" spans="1:11" x14ac:dyDescent="0.25">
      <c r="A119" s="56" t="s">
        <v>1572</v>
      </c>
      <c r="B119" s="56" t="s">
        <v>1574</v>
      </c>
      <c r="C119" s="56" t="s">
        <v>11</v>
      </c>
      <c r="D119" s="57" t="s">
        <v>8</v>
      </c>
      <c r="E119" s="56" t="s">
        <v>78</v>
      </c>
      <c r="G119" t="s">
        <v>1522</v>
      </c>
      <c r="H119" s="56" t="s">
        <v>22</v>
      </c>
      <c r="I119" s="80" t="s">
        <v>1598</v>
      </c>
      <c r="J119" s="56" t="s">
        <v>1583</v>
      </c>
      <c r="K119" t="s">
        <v>841</v>
      </c>
    </row>
    <row r="120" spans="1:11" x14ac:dyDescent="0.25">
      <c r="A120" s="56" t="s">
        <v>1572</v>
      </c>
      <c r="B120" s="56" t="s">
        <v>1574</v>
      </c>
      <c r="C120" s="56" t="s">
        <v>10</v>
      </c>
      <c r="D120" s="57" t="s">
        <v>15</v>
      </c>
      <c r="E120" s="56" t="s">
        <v>78</v>
      </c>
      <c r="G120" t="s">
        <v>1522</v>
      </c>
      <c r="H120" s="56" t="s">
        <v>22</v>
      </c>
      <c r="I120" s="80" t="s">
        <v>1598</v>
      </c>
      <c r="J120" s="56" t="s">
        <v>1583</v>
      </c>
      <c r="K120" t="s">
        <v>842</v>
      </c>
    </row>
    <row r="121" spans="1:11" x14ac:dyDescent="0.25">
      <c r="A121" s="56" t="s">
        <v>1572</v>
      </c>
      <c r="B121" s="56" t="s">
        <v>1574</v>
      </c>
      <c r="C121" s="56" t="s">
        <v>11</v>
      </c>
      <c r="D121" s="57" t="s">
        <v>15</v>
      </c>
      <c r="E121" s="56" t="s">
        <v>78</v>
      </c>
      <c r="G121" t="s">
        <v>1522</v>
      </c>
      <c r="H121" s="56" t="s">
        <v>22</v>
      </c>
      <c r="I121" s="80" t="s">
        <v>1598</v>
      </c>
      <c r="J121" s="56" t="s">
        <v>1583</v>
      </c>
      <c r="K121" t="s">
        <v>843</v>
      </c>
    </row>
    <row r="122" spans="1:11" x14ac:dyDescent="0.25">
      <c r="A122" s="56" t="s">
        <v>1572</v>
      </c>
      <c r="B122" s="56"/>
      <c r="C122" s="56"/>
      <c r="D122" s="57"/>
      <c r="E122" s="56"/>
      <c r="G122"/>
      <c r="H122" s="56"/>
      <c r="I122" s="56"/>
      <c r="J122" s="56" t="s">
        <v>1586</v>
      </c>
      <c r="K122" t="s">
        <v>844</v>
      </c>
    </row>
    <row r="123" spans="1:11" x14ac:dyDescent="0.25">
      <c r="A123" s="56" t="s">
        <v>1572</v>
      </c>
      <c r="B123" s="56"/>
      <c r="C123" s="56"/>
      <c r="D123" s="57"/>
      <c r="E123" s="56"/>
      <c r="G123"/>
      <c r="H123" s="56"/>
      <c r="I123" s="56"/>
      <c r="J123" s="56" t="s">
        <v>1586</v>
      </c>
      <c r="K123" t="s">
        <v>845</v>
      </c>
    </row>
    <row r="124" spans="1:11" x14ac:dyDescent="0.25">
      <c r="A124" s="56" t="s">
        <v>1572</v>
      </c>
      <c r="B124" s="56"/>
      <c r="C124" s="56"/>
      <c r="D124" s="57"/>
      <c r="E124" s="56"/>
      <c r="G124"/>
      <c r="H124" s="56"/>
      <c r="I124" s="56"/>
      <c r="J124" s="56" t="s">
        <v>1586</v>
      </c>
      <c r="K124" t="s">
        <v>846</v>
      </c>
    </row>
    <row r="125" spans="1:11" x14ac:dyDescent="0.25">
      <c r="A125" s="56" t="s">
        <v>1572</v>
      </c>
      <c r="B125" s="56"/>
      <c r="C125" s="56"/>
      <c r="D125" s="57"/>
      <c r="E125" s="56"/>
      <c r="G125"/>
      <c r="H125" s="56"/>
      <c r="I125" s="56"/>
      <c r="J125" s="56" t="s">
        <v>1586</v>
      </c>
      <c r="K125" t="s">
        <v>847</v>
      </c>
    </row>
    <row r="126" spans="1:11" x14ac:dyDescent="0.25">
      <c r="A126" s="56" t="s">
        <v>1572</v>
      </c>
      <c r="B126" s="56"/>
      <c r="C126" s="56"/>
      <c r="D126" s="57"/>
      <c r="E126" s="56"/>
      <c r="G126"/>
      <c r="H126" s="56"/>
      <c r="I126" s="56"/>
      <c r="J126" s="56" t="s">
        <v>1586</v>
      </c>
      <c r="K126" t="s">
        <v>848</v>
      </c>
    </row>
    <row r="127" spans="1:11" x14ac:dyDescent="0.25">
      <c r="A127" s="56" t="s">
        <v>1572</v>
      </c>
      <c r="B127" s="56"/>
      <c r="C127" s="56"/>
      <c r="D127" s="57"/>
      <c r="E127" s="56"/>
      <c r="G127"/>
      <c r="H127" s="56"/>
      <c r="I127" s="56"/>
      <c r="J127" s="56" t="s">
        <v>1586</v>
      </c>
      <c r="K127" t="s">
        <v>849</v>
      </c>
    </row>
    <row r="128" spans="1:11" x14ac:dyDescent="0.25">
      <c r="A128" s="56" t="s">
        <v>1572</v>
      </c>
      <c r="B128" s="56"/>
      <c r="C128" s="56"/>
      <c r="D128" s="57"/>
      <c r="E128" s="56"/>
      <c r="G128"/>
      <c r="H128" s="56"/>
      <c r="I128" s="56"/>
      <c r="J128" s="56" t="s">
        <v>1586</v>
      </c>
      <c r="K128" t="s">
        <v>850</v>
      </c>
    </row>
    <row r="129" spans="1:11" x14ac:dyDescent="0.25">
      <c r="A129" s="56" t="s">
        <v>1572</v>
      </c>
      <c r="B129" s="56"/>
      <c r="C129" s="56"/>
      <c r="D129" s="57"/>
      <c r="E129" s="56"/>
      <c r="G129"/>
      <c r="H129" s="56"/>
      <c r="I129" s="56"/>
      <c r="J129" s="56" t="s">
        <v>1586</v>
      </c>
      <c r="K129" t="s">
        <v>851</v>
      </c>
    </row>
    <row r="130" spans="1:11" x14ac:dyDescent="0.25">
      <c r="A130" s="56" t="s">
        <v>1572</v>
      </c>
      <c r="B130" s="56" t="s">
        <v>1574</v>
      </c>
      <c r="C130" s="56" t="s">
        <v>10</v>
      </c>
      <c r="D130" s="57" t="s">
        <v>16</v>
      </c>
      <c r="E130" s="56" t="s">
        <v>78</v>
      </c>
      <c r="G130" t="s">
        <v>1522</v>
      </c>
      <c r="H130" s="56" t="s">
        <v>22</v>
      </c>
      <c r="I130" s="80" t="s">
        <v>1598</v>
      </c>
      <c r="J130" s="56" t="s">
        <v>1583</v>
      </c>
      <c r="K130" t="s">
        <v>852</v>
      </c>
    </row>
    <row r="131" spans="1:11" x14ac:dyDescent="0.25">
      <c r="A131" s="56" t="s">
        <v>1572</v>
      </c>
      <c r="B131" s="56" t="s">
        <v>1574</v>
      </c>
      <c r="C131" s="56" t="s">
        <v>11</v>
      </c>
      <c r="D131" s="57" t="s">
        <v>16</v>
      </c>
      <c r="E131" s="56" t="s">
        <v>78</v>
      </c>
      <c r="G131" t="s">
        <v>1522</v>
      </c>
      <c r="H131" s="56" t="s">
        <v>22</v>
      </c>
      <c r="I131" s="80" t="s">
        <v>1598</v>
      </c>
      <c r="J131" s="56" t="s">
        <v>1583</v>
      </c>
      <c r="K131" t="s">
        <v>853</v>
      </c>
    </row>
    <row r="132" spans="1:11" x14ac:dyDescent="0.25">
      <c r="A132" s="56" t="s">
        <v>1572</v>
      </c>
      <c r="B132" s="56" t="s">
        <v>1574</v>
      </c>
      <c r="C132" s="56" t="s">
        <v>10</v>
      </c>
      <c r="D132" s="57" t="s">
        <v>8</v>
      </c>
      <c r="E132" s="56" t="s">
        <v>125</v>
      </c>
      <c r="G132" t="s">
        <v>1522</v>
      </c>
      <c r="H132" s="56" t="s">
        <v>22</v>
      </c>
      <c r="I132" s="80" t="s">
        <v>1599</v>
      </c>
      <c r="J132" s="56" t="s">
        <v>1583</v>
      </c>
      <c r="K132" t="s">
        <v>854</v>
      </c>
    </row>
    <row r="133" spans="1:11" x14ac:dyDescent="0.25">
      <c r="A133" s="56" t="s">
        <v>1572</v>
      </c>
      <c r="B133" s="56" t="s">
        <v>1574</v>
      </c>
      <c r="C133" s="56" t="s">
        <v>11</v>
      </c>
      <c r="D133" s="57" t="s">
        <v>8</v>
      </c>
      <c r="E133" s="56" t="s">
        <v>125</v>
      </c>
      <c r="G133" t="s">
        <v>1522</v>
      </c>
      <c r="H133" s="56" t="s">
        <v>22</v>
      </c>
      <c r="I133" s="80" t="s">
        <v>1599</v>
      </c>
      <c r="J133" s="56" t="s">
        <v>1583</v>
      </c>
      <c r="K133" t="s">
        <v>855</v>
      </c>
    </row>
    <row r="134" spans="1:11" x14ac:dyDescent="0.25">
      <c r="A134" s="56" t="s">
        <v>1572</v>
      </c>
      <c r="B134" s="56" t="s">
        <v>1574</v>
      </c>
      <c r="C134" s="56" t="s">
        <v>10</v>
      </c>
      <c r="D134" s="57" t="s">
        <v>15</v>
      </c>
      <c r="E134" s="56" t="s">
        <v>125</v>
      </c>
      <c r="G134" t="s">
        <v>1522</v>
      </c>
      <c r="H134" s="56" t="s">
        <v>22</v>
      </c>
      <c r="I134" s="80" t="s">
        <v>1599</v>
      </c>
      <c r="J134" s="56" t="s">
        <v>1583</v>
      </c>
      <c r="K134" t="s">
        <v>856</v>
      </c>
    </row>
    <row r="135" spans="1:11" x14ac:dyDescent="0.25">
      <c r="A135" s="56" t="s">
        <v>1572</v>
      </c>
      <c r="B135" s="56" t="s">
        <v>1574</v>
      </c>
      <c r="C135" s="56" t="s">
        <v>11</v>
      </c>
      <c r="D135" s="57" t="s">
        <v>15</v>
      </c>
      <c r="E135" s="56" t="s">
        <v>125</v>
      </c>
      <c r="G135" t="s">
        <v>1522</v>
      </c>
      <c r="H135" s="56" t="s">
        <v>22</v>
      </c>
      <c r="I135" s="80" t="s">
        <v>1599</v>
      </c>
      <c r="J135" s="56" t="s">
        <v>1583</v>
      </c>
      <c r="K135" t="s">
        <v>857</v>
      </c>
    </row>
    <row r="136" spans="1:11" x14ac:dyDescent="0.25">
      <c r="A136" s="56" t="s">
        <v>1572</v>
      </c>
      <c r="B136" s="56"/>
      <c r="C136" s="56"/>
      <c r="D136" s="57"/>
      <c r="E136" s="56"/>
      <c r="G136"/>
      <c r="H136" s="56"/>
      <c r="I136" s="56"/>
      <c r="J136" s="56" t="s">
        <v>1586</v>
      </c>
      <c r="K136" t="s">
        <v>858</v>
      </c>
    </row>
    <row r="137" spans="1:11" x14ac:dyDescent="0.25">
      <c r="A137" s="56" t="s">
        <v>1572</v>
      </c>
      <c r="B137" s="56"/>
      <c r="C137" s="56"/>
      <c r="D137" s="57"/>
      <c r="E137" s="56"/>
      <c r="G137"/>
      <c r="H137" s="56"/>
      <c r="I137" s="56"/>
      <c r="J137" s="56" t="s">
        <v>1586</v>
      </c>
      <c r="K137" t="s">
        <v>859</v>
      </c>
    </row>
    <row r="138" spans="1:11" x14ac:dyDescent="0.25">
      <c r="A138" s="56" t="s">
        <v>1572</v>
      </c>
      <c r="B138" s="56"/>
      <c r="C138" s="56"/>
      <c r="D138" s="57"/>
      <c r="E138" s="56"/>
      <c r="G138"/>
      <c r="H138" s="56"/>
      <c r="I138" s="56"/>
      <c r="J138" s="56" t="s">
        <v>1586</v>
      </c>
      <c r="K138" t="s">
        <v>860</v>
      </c>
    </row>
    <row r="139" spans="1:11" x14ac:dyDescent="0.25">
      <c r="A139" s="56" t="s">
        <v>1572</v>
      </c>
      <c r="B139" s="56"/>
      <c r="C139" s="56"/>
      <c r="D139" s="57"/>
      <c r="E139" s="56"/>
      <c r="G139"/>
      <c r="H139" s="56"/>
      <c r="I139" s="56"/>
      <c r="J139" s="56" t="s">
        <v>1586</v>
      </c>
      <c r="K139" t="s">
        <v>861</v>
      </c>
    </row>
    <row r="140" spans="1:11" x14ac:dyDescent="0.25">
      <c r="A140" s="56" t="s">
        <v>1572</v>
      </c>
      <c r="B140" s="56"/>
      <c r="C140" s="56"/>
      <c r="D140" s="57"/>
      <c r="E140" s="56"/>
      <c r="G140"/>
      <c r="H140" s="56"/>
      <c r="I140" s="56"/>
      <c r="J140" s="56" t="s">
        <v>1586</v>
      </c>
      <c r="K140" t="s">
        <v>862</v>
      </c>
    </row>
    <row r="141" spans="1:11" x14ac:dyDescent="0.25">
      <c r="A141" s="56" t="s">
        <v>1572</v>
      </c>
      <c r="B141" s="56"/>
      <c r="C141" s="56"/>
      <c r="D141" s="57"/>
      <c r="E141" s="56"/>
      <c r="G141"/>
      <c r="H141" s="56"/>
      <c r="I141" s="56"/>
      <c r="J141" s="56" t="s">
        <v>1586</v>
      </c>
      <c r="K141" t="s">
        <v>863</v>
      </c>
    </row>
    <row r="142" spans="1:11" x14ac:dyDescent="0.25">
      <c r="A142" s="56" t="s">
        <v>1572</v>
      </c>
      <c r="B142" s="56"/>
      <c r="C142" s="56"/>
      <c r="D142" s="57"/>
      <c r="E142" s="56"/>
      <c r="G142"/>
      <c r="H142" s="56"/>
      <c r="I142" s="56"/>
      <c r="J142" s="56" t="s">
        <v>1586</v>
      </c>
      <c r="K142" t="s">
        <v>864</v>
      </c>
    </row>
    <row r="143" spans="1:11" x14ac:dyDescent="0.25">
      <c r="A143" s="56" t="s">
        <v>1572</v>
      </c>
      <c r="B143" s="56"/>
      <c r="C143" s="56"/>
      <c r="D143" s="57"/>
      <c r="E143" s="56"/>
      <c r="G143"/>
      <c r="H143" s="56"/>
      <c r="I143" s="56"/>
      <c r="J143" s="56" t="s">
        <v>1586</v>
      </c>
      <c r="K143" t="s">
        <v>865</v>
      </c>
    </row>
    <row r="144" spans="1:11" x14ac:dyDescent="0.25">
      <c r="A144" s="56" t="s">
        <v>1572</v>
      </c>
      <c r="B144" s="56" t="s">
        <v>1574</v>
      </c>
      <c r="C144" s="56" t="s">
        <v>10</v>
      </c>
      <c r="D144" s="57" t="s">
        <v>16</v>
      </c>
      <c r="E144" s="56" t="s">
        <v>125</v>
      </c>
      <c r="G144" t="s">
        <v>1522</v>
      </c>
      <c r="H144" s="56" t="s">
        <v>22</v>
      </c>
      <c r="I144" s="80" t="s">
        <v>1599</v>
      </c>
      <c r="J144" s="56" t="s">
        <v>1583</v>
      </c>
      <c r="K144" t="s">
        <v>866</v>
      </c>
    </row>
    <row r="145" spans="1:11" x14ac:dyDescent="0.25">
      <c r="A145" s="56" t="s">
        <v>1572</v>
      </c>
      <c r="B145" s="56" t="s">
        <v>1574</v>
      </c>
      <c r="C145" s="56" t="s">
        <v>11</v>
      </c>
      <c r="D145" s="57" t="s">
        <v>16</v>
      </c>
      <c r="E145" s="56" t="s">
        <v>125</v>
      </c>
      <c r="G145" t="s">
        <v>1522</v>
      </c>
      <c r="H145" s="56" t="s">
        <v>22</v>
      </c>
      <c r="I145" s="80" t="s">
        <v>1599</v>
      </c>
      <c r="J145" s="56" t="s">
        <v>1583</v>
      </c>
      <c r="K145" t="s">
        <v>867</v>
      </c>
    </row>
    <row r="146" spans="1:11" x14ac:dyDescent="0.25">
      <c r="A146" s="56" t="s">
        <v>1572</v>
      </c>
      <c r="B146" s="56" t="s">
        <v>1573</v>
      </c>
      <c r="C146" s="56"/>
      <c r="D146" s="57" t="s">
        <v>5</v>
      </c>
      <c r="E146" s="56" t="s">
        <v>78</v>
      </c>
      <c r="G146" t="s">
        <v>1523</v>
      </c>
      <c r="H146" s="56" t="s">
        <v>22</v>
      </c>
      <c r="I146" s="80" t="s">
        <v>1600</v>
      </c>
      <c r="J146" s="56" t="s">
        <v>1583</v>
      </c>
      <c r="K146" t="s">
        <v>907</v>
      </c>
    </row>
    <row r="147" spans="1:11" x14ac:dyDescent="0.25">
      <c r="A147" s="56" t="s">
        <v>1572</v>
      </c>
      <c r="B147" s="56" t="s">
        <v>1573</v>
      </c>
      <c r="C147" s="56"/>
      <c r="D147" s="57" t="s">
        <v>6</v>
      </c>
      <c r="E147" s="56" t="s">
        <v>78</v>
      </c>
      <c r="G147" t="s">
        <v>1523</v>
      </c>
      <c r="H147" s="56" t="s">
        <v>22</v>
      </c>
      <c r="I147" s="80" t="s">
        <v>1600</v>
      </c>
      <c r="J147" s="56" t="s">
        <v>1583</v>
      </c>
      <c r="K147" t="s">
        <v>908</v>
      </c>
    </row>
    <row r="148" spans="1:11" x14ac:dyDescent="0.25">
      <c r="A148" s="56" t="s">
        <v>1572</v>
      </c>
      <c r="B148" s="56" t="s">
        <v>1574</v>
      </c>
      <c r="C148" s="56" t="s">
        <v>10</v>
      </c>
      <c r="D148" s="57" t="s">
        <v>7</v>
      </c>
      <c r="E148" s="56" t="s">
        <v>78</v>
      </c>
      <c r="G148" t="s">
        <v>1523</v>
      </c>
      <c r="H148" s="56" t="s">
        <v>22</v>
      </c>
      <c r="I148" s="80" t="s">
        <v>1600</v>
      </c>
      <c r="J148" s="56" t="s">
        <v>1583</v>
      </c>
      <c r="K148" t="s">
        <v>909</v>
      </c>
    </row>
    <row r="149" spans="1:11" x14ac:dyDescent="0.25">
      <c r="A149" s="56" t="s">
        <v>1572</v>
      </c>
      <c r="B149" s="56" t="s">
        <v>1574</v>
      </c>
      <c r="C149" s="56" t="s">
        <v>11</v>
      </c>
      <c r="D149" s="57" t="s">
        <v>7</v>
      </c>
      <c r="E149" s="56" t="s">
        <v>78</v>
      </c>
      <c r="G149" t="s">
        <v>1523</v>
      </c>
      <c r="H149" s="56" t="s">
        <v>22</v>
      </c>
      <c r="I149" s="80" t="s">
        <v>1600</v>
      </c>
      <c r="J149" s="56" t="s">
        <v>1583</v>
      </c>
      <c r="K149" t="s">
        <v>910</v>
      </c>
    </row>
    <row r="150" spans="1:11" x14ac:dyDescent="0.25">
      <c r="A150" s="56" t="s">
        <v>1572</v>
      </c>
      <c r="B150" s="56" t="s">
        <v>1573</v>
      </c>
      <c r="C150" s="56"/>
      <c r="D150" s="57" t="s">
        <v>5</v>
      </c>
      <c r="E150" s="56" t="s">
        <v>125</v>
      </c>
      <c r="G150" t="s">
        <v>1523</v>
      </c>
      <c r="H150" s="56" t="s">
        <v>22</v>
      </c>
      <c r="I150" s="80" t="s">
        <v>1601</v>
      </c>
      <c r="J150" s="56" t="s">
        <v>1583</v>
      </c>
      <c r="K150" t="s">
        <v>911</v>
      </c>
    </row>
    <row r="151" spans="1:11" x14ac:dyDescent="0.25">
      <c r="A151" s="56" t="s">
        <v>1572</v>
      </c>
      <c r="B151" s="56" t="s">
        <v>1573</v>
      </c>
      <c r="C151" s="56"/>
      <c r="D151" s="57" t="s">
        <v>6</v>
      </c>
      <c r="E151" s="56" t="s">
        <v>125</v>
      </c>
      <c r="G151" t="s">
        <v>1523</v>
      </c>
      <c r="H151" s="56" t="s">
        <v>22</v>
      </c>
      <c r="I151" s="80" t="s">
        <v>1601</v>
      </c>
      <c r="J151" s="56" t="s">
        <v>1583</v>
      </c>
      <c r="K151" t="s">
        <v>912</v>
      </c>
    </row>
    <row r="152" spans="1:11" x14ac:dyDescent="0.25">
      <c r="A152" s="56" t="s">
        <v>1572</v>
      </c>
      <c r="B152" s="56" t="s">
        <v>1574</v>
      </c>
      <c r="C152" s="56" t="s">
        <v>10</v>
      </c>
      <c r="D152" s="57" t="s">
        <v>7</v>
      </c>
      <c r="E152" s="56" t="s">
        <v>125</v>
      </c>
      <c r="G152" t="s">
        <v>1523</v>
      </c>
      <c r="H152" s="56" t="s">
        <v>22</v>
      </c>
      <c r="I152" s="80" t="s">
        <v>1601</v>
      </c>
      <c r="J152" s="56" t="s">
        <v>1583</v>
      </c>
      <c r="K152" t="s">
        <v>913</v>
      </c>
    </row>
    <row r="153" spans="1:11" x14ac:dyDescent="0.25">
      <c r="A153" s="56" t="s">
        <v>1572</v>
      </c>
      <c r="B153" s="56" t="s">
        <v>1574</v>
      </c>
      <c r="C153" s="56" t="s">
        <v>11</v>
      </c>
      <c r="D153" s="57" t="s">
        <v>7</v>
      </c>
      <c r="E153" s="56" t="s">
        <v>125</v>
      </c>
      <c r="G153" t="s">
        <v>1523</v>
      </c>
      <c r="H153" s="56" t="s">
        <v>22</v>
      </c>
      <c r="I153" s="80" t="s">
        <v>1601</v>
      </c>
      <c r="J153" s="56" t="s">
        <v>1583</v>
      </c>
      <c r="K153" t="s">
        <v>914</v>
      </c>
    </row>
    <row r="154" spans="1:11" s="56" customFormat="1" x14ac:dyDescent="0.25">
      <c r="A154" s="56" t="s">
        <v>1572</v>
      </c>
      <c r="B154" s="56" t="s">
        <v>1574</v>
      </c>
      <c r="C154" s="56" t="s">
        <v>10</v>
      </c>
      <c r="D154" s="57" t="s">
        <v>8</v>
      </c>
      <c r="E154" s="56" t="s">
        <v>78</v>
      </c>
      <c r="G154" s="56" t="s">
        <v>1523</v>
      </c>
      <c r="H154" s="56" t="s">
        <v>22</v>
      </c>
      <c r="I154" s="80" t="s">
        <v>1602</v>
      </c>
      <c r="J154" s="56" t="s">
        <v>1583</v>
      </c>
      <c r="K154" s="56" t="s">
        <v>915</v>
      </c>
    </row>
    <row r="155" spans="1:11" s="56" customFormat="1" x14ac:dyDescent="0.25">
      <c r="A155" s="56" t="s">
        <v>1572</v>
      </c>
      <c r="B155" s="56" t="s">
        <v>1574</v>
      </c>
      <c r="C155" s="56" t="s">
        <v>11</v>
      </c>
      <c r="D155" s="57" t="s">
        <v>8</v>
      </c>
      <c r="E155" s="56" t="s">
        <v>78</v>
      </c>
      <c r="G155" s="56" t="s">
        <v>1523</v>
      </c>
      <c r="H155" s="56" t="s">
        <v>22</v>
      </c>
      <c r="I155" s="80" t="s">
        <v>1602</v>
      </c>
      <c r="J155" s="56" t="s">
        <v>1583</v>
      </c>
      <c r="K155" s="56" t="s">
        <v>916</v>
      </c>
    </row>
    <row r="156" spans="1:11" s="56" customFormat="1" x14ac:dyDescent="0.25">
      <c r="A156" s="56" t="s">
        <v>1572</v>
      </c>
      <c r="B156" s="56" t="s">
        <v>1574</v>
      </c>
      <c r="C156" s="56" t="s">
        <v>10</v>
      </c>
      <c r="D156" s="57" t="s">
        <v>15</v>
      </c>
      <c r="E156" s="56" t="s">
        <v>78</v>
      </c>
      <c r="G156" s="56" t="s">
        <v>1523</v>
      </c>
      <c r="H156" s="56" t="s">
        <v>22</v>
      </c>
      <c r="I156" s="80" t="s">
        <v>1602</v>
      </c>
      <c r="J156" s="56" t="s">
        <v>1583</v>
      </c>
      <c r="K156" s="56" t="s">
        <v>917</v>
      </c>
    </row>
    <row r="157" spans="1:11" s="56" customFormat="1" x14ac:dyDescent="0.25">
      <c r="A157" s="56" t="s">
        <v>1572</v>
      </c>
      <c r="B157" s="56" t="s">
        <v>1574</v>
      </c>
      <c r="C157" s="56" t="s">
        <v>11</v>
      </c>
      <c r="D157" s="57" t="s">
        <v>15</v>
      </c>
      <c r="E157" s="56" t="s">
        <v>78</v>
      </c>
      <c r="G157" s="56" t="s">
        <v>1523</v>
      </c>
      <c r="H157" s="56" t="s">
        <v>22</v>
      </c>
      <c r="I157" s="80" t="s">
        <v>1602</v>
      </c>
      <c r="J157" s="56" t="s">
        <v>1583</v>
      </c>
      <c r="K157" s="56" t="s">
        <v>918</v>
      </c>
    </row>
    <row r="158" spans="1:11" x14ac:dyDescent="0.25">
      <c r="A158" s="56" t="s">
        <v>1572</v>
      </c>
      <c r="B158" s="56"/>
      <c r="C158" s="56"/>
      <c r="D158" s="57"/>
      <c r="E158" s="56"/>
      <c r="G158"/>
      <c r="H158" s="56"/>
      <c r="I158" s="56"/>
      <c r="J158" s="56" t="s">
        <v>1586</v>
      </c>
      <c r="K158" t="s">
        <v>919</v>
      </c>
    </row>
    <row r="159" spans="1:11" x14ac:dyDescent="0.25">
      <c r="A159" s="56" t="s">
        <v>1572</v>
      </c>
      <c r="B159" s="56"/>
      <c r="C159" s="56"/>
      <c r="D159" s="57"/>
      <c r="E159" s="56"/>
      <c r="G159"/>
      <c r="H159" s="56"/>
      <c r="I159" s="56"/>
      <c r="J159" s="56" t="s">
        <v>1586</v>
      </c>
      <c r="K159" t="s">
        <v>920</v>
      </c>
    </row>
    <row r="160" spans="1:11" x14ac:dyDescent="0.25">
      <c r="A160" s="56" t="s">
        <v>1572</v>
      </c>
      <c r="B160" s="56"/>
      <c r="C160" s="56"/>
      <c r="D160" s="57"/>
      <c r="E160" s="56"/>
      <c r="G160"/>
      <c r="H160" s="56"/>
      <c r="I160" s="56"/>
      <c r="J160" s="56" t="s">
        <v>1586</v>
      </c>
      <c r="K160" t="s">
        <v>921</v>
      </c>
    </row>
    <row r="161" spans="1:11" x14ac:dyDescent="0.25">
      <c r="A161" s="56" t="s">
        <v>1572</v>
      </c>
      <c r="B161" s="56"/>
      <c r="C161" s="56"/>
      <c r="D161" s="57"/>
      <c r="E161" s="56"/>
      <c r="G161"/>
      <c r="H161" s="56"/>
      <c r="I161" s="56"/>
      <c r="J161" s="56" t="s">
        <v>1586</v>
      </c>
      <c r="K161" t="s">
        <v>922</v>
      </c>
    </row>
    <row r="162" spans="1:11" x14ac:dyDescent="0.25">
      <c r="A162" s="56" t="s">
        <v>1572</v>
      </c>
      <c r="B162" s="56"/>
      <c r="C162" s="56"/>
      <c r="D162" s="57"/>
      <c r="E162" s="56"/>
      <c r="G162"/>
      <c r="H162" s="56"/>
      <c r="I162" s="56"/>
      <c r="J162" s="56" t="s">
        <v>1586</v>
      </c>
      <c r="K162" t="s">
        <v>923</v>
      </c>
    </row>
    <row r="163" spans="1:11" x14ac:dyDescent="0.25">
      <c r="A163" s="56" t="s">
        <v>1572</v>
      </c>
      <c r="B163" s="56"/>
      <c r="C163" s="56"/>
      <c r="D163" s="57"/>
      <c r="E163" s="56"/>
      <c r="G163"/>
      <c r="H163" s="56"/>
      <c r="I163" s="56"/>
      <c r="J163" s="56" t="s">
        <v>1586</v>
      </c>
      <c r="K163" t="s">
        <v>924</v>
      </c>
    </row>
    <row r="164" spans="1:11" x14ac:dyDescent="0.25">
      <c r="A164" s="56" t="s">
        <v>1572</v>
      </c>
      <c r="B164" s="56"/>
      <c r="C164" s="56"/>
      <c r="D164" s="57"/>
      <c r="E164" s="56"/>
      <c r="G164"/>
      <c r="H164" s="56"/>
      <c r="I164" s="56"/>
      <c r="J164" s="56" t="s">
        <v>1586</v>
      </c>
      <c r="K164" t="s">
        <v>925</v>
      </c>
    </row>
    <row r="165" spans="1:11" x14ac:dyDescent="0.25">
      <c r="A165" s="56" t="s">
        <v>1572</v>
      </c>
      <c r="B165" s="56"/>
      <c r="C165" s="56"/>
      <c r="D165" s="57"/>
      <c r="E165" s="56"/>
      <c r="G165"/>
      <c r="H165" s="56"/>
      <c r="I165" s="56"/>
      <c r="J165" s="56" t="s">
        <v>1586</v>
      </c>
      <c r="K165" t="s">
        <v>926</v>
      </c>
    </row>
    <row r="166" spans="1:11" x14ac:dyDescent="0.25">
      <c r="A166" s="56" t="s">
        <v>1572</v>
      </c>
      <c r="B166" s="56" t="s">
        <v>1574</v>
      </c>
      <c r="C166" s="56" t="s">
        <v>10</v>
      </c>
      <c r="D166" s="57" t="s">
        <v>16</v>
      </c>
      <c r="E166" s="56" t="s">
        <v>78</v>
      </c>
      <c r="G166" t="s">
        <v>1523</v>
      </c>
      <c r="H166" s="56" t="s">
        <v>22</v>
      </c>
      <c r="I166" s="80" t="s">
        <v>1602</v>
      </c>
      <c r="J166" s="56" t="s">
        <v>1583</v>
      </c>
      <c r="K166" t="s">
        <v>927</v>
      </c>
    </row>
    <row r="167" spans="1:11" x14ac:dyDescent="0.25">
      <c r="A167" s="56" t="s">
        <v>1572</v>
      </c>
      <c r="B167" s="56" t="s">
        <v>1574</v>
      </c>
      <c r="C167" s="56" t="s">
        <v>11</v>
      </c>
      <c r="D167" s="57" t="s">
        <v>16</v>
      </c>
      <c r="E167" s="56" t="s">
        <v>78</v>
      </c>
      <c r="G167" t="s">
        <v>1523</v>
      </c>
      <c r="H167" s="56" t="s">
        <v>22</v>
      </c>
      <c r="I167" s="80" t="s">
        <v>1602</v>
      </c>
      <c r="J167" s="56" t="s">
        <v>1583</v>
      </c>
      <c r="K167" t="s">
        <v>928</v>
      </c>
    </row>
    <row r="168" spans="1:11" x14ac:dyDescent="0.25">
      <c r="A168" s="56" t="s">
        <v>1572</v>
      </c>
      <c r="B168" s="56" t="s">
        <v>1574</v>
      </c>
      <c r="C168" s="56" t="s">
        <v>10</v>
      </c>
      <c r="D168" s="57" t="s">
        <v>8</v>
      </c>
      <c r="E168" s="56" t="s">
        <v>125</v>
      </c>
      <c r="G168" t="s">
        <v>1523</v>
      </c>
      <c r="H168" s="56" t="s">
        <v>22</v>
      </c>
      <c r="I168" s="80" t="s">
        <v>1603</v>
      </c>
      <c r="J168" s="56" t="s">
        <v>1583</v>
      </c>
      <c r="K168" t="s">
        <v>929</v>
      </c>
    </row>
    <row r="169" spans="1:11" x14ac:dyDescent="0.25">
      <c r="A169" s="56" t="s">
        <v>1572</v>
      </c>
      <c r="B169" s="56" t="s">
        <v>1574</v>
      </c>
      <c r="C169" s="56" t="s">
        <v>11</v>
      </c>
      <c r="D169" s="57" t="s">
        <v>8</v>
      </c>
      <c r="E169" s="56" t="s">
        <v>125</v>
      </c>
      <c r="G169" t="s">
        <v>1523</v>
      </c>
      <c r="H169" s="56" t="s">
        <v>22</v>
      </c>
      <c r="I169" s="80" t="s">
        <v>1603</v>
      </c>
      <c r="J169" s="56" t="s">
        <v>1583</v>
      </c>
      <c r="K169" t="s">
        <v>930</v>
      </c>
    </row>
    <row r="170" spans="1:11" x14ac:dyDescent="0.25">
      <c r="A170" s="56" t="s">
        <v>1572</v>
      </c>
      <c r="B170" s="56" t="s">
        <v>1574</v>
      </c>
      <c r="C170" s="56" t="s">
        <v>10</v>
      </c>
      <c r="D170" s="57" t="s">
        <v>15</v>
      </c>
      <c r="E170" s="56" t="s">
        <v>125</v>
      </c>
      <c r="G170" t="s">
        <v>1523</v>
      </c>
      <c r="H170" s="56" t="s">
        <v>22</v>
      </c>
      <c r="I170" s="80" t="s">
        <v>1603</v>
      </c>
      <c r="J170" s="56" t="s">
        <v>1583</v>
      </c>
      <c r="K170" t="s">
        <v>931</v>
      </c>
    </row>
    <row r="171" spans="1:11" x14ac:dyDescent="0.25">
      <c r="A171" s="56" t="s">
        <v>1572</v>
      </c>
      <c r="B171" s="56" t="s">
        <v>1574</v>
      </c>
      <c r="C171" s="56" t="s">
        <v>11</v>
      </c>
      <c r="D171" s="57" t="s">
        <v>15</v>
      </c>
      <c r="E171" s="56" t="s">
        <v>125</v>
      </c>
      <c r="G171" t="s">
        <v>1523</v>
      </c>
      <c r="H171" s="56" t="s">
        <v>22</v>
      </c>
      <c r="I171" s="80" t="s">
        <v>1603</v>
      </c>
      <c r="J171" s="56" t="s">
        <v>1583</v>
      </c>
      <c r="K171" t="s">
        <v>932</v>
      </c>
    </row>
    <row r="172" spans="1:11" x14ac:dyDescent="0.25">
      <c r="A172" s="56" t="s">
        <v>1572</v>
      </c>
      <c r="B172" s="56"/>
      <c r="C172" s="56"/>
      <c r="D172" s="57"/>
      <c r="E172" s="56"/>
      <c r="G172"/>
      <c r="H172" s="56"/>
      <c r="I172" s="56"/>
      <c r="J172" s="56" t="s">
        <v>1586</v>
      </c>
      <c r="K172" t="s">
        <v>933</v>
      </c>
    </row>
    <row r="173" spans="1:11" x14ac:dyDescent="0.25">
      <c r="A173" s="56" t="s">
        <v>1572</v>
      </c>
      <c r="B173" s="56"/>
      <c r="C173" s="56"/>
      <c r="D173" s="57"/>
      <c r="E173" s="56"/>
      <c r="G173"/>
      <c r="H173" s="56"/>
      <c r="I173" s="56"/>
      <c r="J173" s="56" t="s">
        <v>1586</v>
      </c>
      <c r="K173" t="s">
        <v>934</v>
      </c>
    </row>
    <row r="174" spans="1:11" x14ac:dyDescent="0.25">
      <c r="A174" s="56" t="s">
        <v>1572</v>
      </c>
      <c r="B174" s="56"/>
      <c r="C174" s="56"/>
      <c r="D174" s="57"/>
      <c r="E174" s="56"/>
      <c r="G174"/>
      <c r="H174" s="56"/>
      <c r="I174" s="56"/>
      <c r="J174" s="56" t="s">
        <v>1586</v>
      </c>
      <c r="K174" t="s">
        <v>935</v>
      </c>
    </row>
    <row r="175" spans="1:11" x14ac:dyDescent="0.25">
      <c r="A175" s="56" t="s">
        <v>1572</v>
      </c>
      <c r="B175" s="56"/>
      <c r="C175" s="56"/>
      <c r="D175" s="57"/>
      <c r="E175" s="56"/>
      <c r="G175"/>
      <c r="H175" s="56"/>
      <c r="I175" s="56"/>
      <c r="J175" s="56" t="s">
        <v>1586</v>
      </c>
      <c r="K175" t="s">
        <v>936</v>
      </c>
    </row>
    <row r="176" spans="1:11" x14ac:dyDescent="0.25">
      <c r="A176" s="56" t="s">
        <v>1572</v>
      </c>
      <c r="B176" s="56"/>
      <c r="C176" s="56"/>
      <c r="D176" s="57"/>
      <c r="E176" s="56"/>
      <c r="G176"/>
      <c r="H176" s="56"/>
      <c r="I176" s="56"/>
      <c r="J176" s="56" t="s">
        <v>1586</v>
      </c>
      <c r="K176" t="s">
        <v>937</v>
      </c>
    </row>
    <row r="177" spans="1:11" x14ac:dyDescent="0.25">
      <c r="A177" s="56" t="s">
        <v>1572</v>
      </c>
      <c r="B177" s="56"/>
      <c r="C177" s="56"/>
      <c r="D177" s="57"/>
      <c r="E177" s="56"/>
      <c r="G177"/>
      <c r="H177" s="56"/>
      <c r="I177" s="56"/>
      <c r="J177" s="56" t="s">
        <v>1586</v>
      </c>
      <c r="K177" t="s">
        <v>938</v>
      </c>
    </row>
    <row r="178" spans="1:11" x14ac:dyDescent="0.25">
      <c r="A178" s="56" t="s">
        <v>1572</v>
      </c>
      <c r="B178" s="56"/>
      <c r="C178" s="56"/>
      <c r="D178" s="57"/>
      <c r="E178" s="56"/>
      <c r="G178"/>
      <c r="H178" s="56"/>
      <c r="I178" s="56"/>
      <c r="J178" s="56" t="s">
        <v>1586</v>
      </c>
      <c r="K178" t="s">
        <v>939</v>
      </c>
    </row>
    <row r="179" spans="1:11" x14ac:dyDescent="0.25">
      <c r="A179" s="56" t="s">
        <v>1572</v>
      </c>
      <c r="B179" s="56"/>
      <c r="C179" s="56"/>
      <c r="D179" s="57"/>
      <c r="E179" s="56"/>
      <c r="G179"/>
      <c r="H179" s="56"/>
      <c r="I179" s="56"/>
      <c r="J179" s="56" t="s">
        <v>1586</v>
      </c>
      <c r="K179" t="s">
        <v>940</v>
      </c>
    </row>
    <row r="180" spans="1:11" x14ac:dyDescent="0.25">
      <c r="A180" s="56" t="s">
        <v>1572</v>
      </c>
      <c r="B180" s="56" t="s">
        <v>1574</v>
      </c>
      <c r="C180" s="56" t="s">
        <v>10</v>
      </c>
      <c r="D180" s="57" t="s">
        <v>16</v>
      </c>
      <c r="E180" s="56" t="s">
        <v>125</v>
      </c>
      <c r="G180" t="s">
        <v>1523</v>
      </c>
      <c r="H180" s="56" t="s">
        <v>22</v>
      </c>
      <c r="I180" s="80" t="s">
        <v>1603</v>
      </c>
      <c r="J180" s="56" t="s">
        <v>1583</v>
      </c>
      <c r="K180" t="s">
        <v>941</v>
      </c>
    </row>
    <row r="181" spans="1:11" x14ac:dyDescent="0.25">
      <c r="A181" s="56" t="s">
        <v>1572</v>
      </c>
      <c r="B181" s="56" t="s">
        <v>1574</v>
      </c>
      <c r="C181" s="56" t="s">
        <v>11</v>
      </c>
      <c r="D181" s="57" t="s">
        <v>16</v>
      </c>
      <c r="E181" s="56" t="s">
        <v>125</v>
      </c>
      <c r="G181" t="s">
        <v>1523</v>
      </c>
      <c r="H181" s="56" t="s">
        <v>22</v>
      </c>
      <c r="I181" s="80" t="s">
        <v>1603</v>
      </c>
      <c r="J181" s="56" t="s">
        <v>1583</v>
      </c>
      <c r="K181" t="s">
        <v>942</v>
      </c>
    </row>
    <row r="182" spans="1:11" x14ac:dyDescent="0.25">
      <c r="A182" s="56" t="s">
        <v>1572</v>
      </c>
      <c r="B182" s="56"/>
      <c r="C182" s="56"/>
      <c r="D182" s="57"/>
      <c r="E182" s="56"/>
      <c r="G182"/>
      <c r="H182" s="56"/>
      <c r="I182" s="80"/>
      <c r="K182" t="s">
        <v>982</v>
      </c>
    </row>
    <row r="183" spans="1:11" x14ac:dyDescent="0.25">
      <c r="A183" s="56" t="s">
        <v>1572</v>
      </c>
      <c r="B183" s="56"/>
      <c r="C183" s="56"/>
      <c r="D183" s="57"/>
      <c r="E183" s="56"/>
      <c r="G183"/>
      <c r="H183" s="56"/>
      <c r="I183" s="80"/>
      <c r="K183" t="s">
        <v>983</v>
      </c>
    </row>
    <row r="184" spans="1:11" x14ac:dyDescent="0.25">
      <c r="A184" s="56" t="s">
        <v>1572</v>
      </c>
      <c r="B184" s="56"/>
      <c r="C184" s="56"/>
      <c r="D184" s="57"/>
      <c r="E184" s="56"/>
      <c r="G184"/>
      <c r="H184" s="56"/>
      <c r="I184" s="80"/>
      <c r="K184" t="s">
        <v>984</v>
      </c>
    </row>
    <row r="185" spans="1:11" x14ac:dyDescent="0.25">
      <c r="A185" s="56" t="s">
        <v>1572</v>
      </c>
      <c r="B185" s="56"/>
      <c r="C185" s="56"/>
      <c r="D185" s="57"/>
      <c r="E185" s="56"/>
      <c r="G185"/>
      <c r="H185" s="56"/>
      <c r="I185" s="80"/>
      <c r="K185" t="s">
        <v>985</v>
      </c>
    </row>
    <row r="186" spans="1:11" x14ac:dyDescent="0.25">
      <c r="A186" s="56" t="s">
        <v>1572</v>
      </c>
      <c r="B186" s="56"/>
      <c r="C186" s="56"/>
      <c r="D186" s="57"/>
      <c r="E186" s="56"/>
      <c r="G186"/>
      <c r="H186" s="56"/>
      <c r="I186" s="80"/>
      <c r="K186" t="s">
        <v>986</v>
      </c>
    </row>
    <row r="187" spans="1:11" x14ac:dyDescent="0.25">
      <c r="A187" s="56" t="s">
        <v>1572</v>
      </c>
      <c r="B187" s="56"/>
      <c r="C187" s="56"/>
      <c r="D187" s="57"/>
      <c r="E187" s="56"/>
      <c r="G187"/>
      <c r="H187" s="56"/>
      <c r="I187" s="80"/>
      <c r="K187" t="s">
        <v>987</v>
      </c>
    </row>
    <row r="188" spans="1:11" x14ac:dyDescent="0.25">
      <c r="A188" s="56" t="s">
        <v>1572</v>
      </c>
      <c r="B188" s="56"/>
      <c r="C188" s="56"/>
      <c r="D188" s="57"/>
      <c r="E188" s="56"/>
      <c r="G188"/>
      <c r="H188" s="56"/>
      <c r="I188" s="80"/>
      <c r="K188" t="s">
        <v>988</v>
      </c>
    </row>
    <row r="189" spans="1:11" x14ac:dyDescent="0.25">
      <c r="A189" s="56" t="s">
        <v>1572</v>
      </c>
      <c r="B189" s="56"/>
      <c r="C189" s="56"/>
      <c r="D189" s="57"/>
      <c r="E189" s="56"/>
      <c r="G189"/>
      <c r="H189" s="56"/>
      <c r="I189" s="80"/>
      <c r="K189" t="s">
        <v>989</v>
      </c>
    </row>
    <row r="190" spans="1:11" x14ac:dyDescent="0.25">
      <c r="A190" s="56" t="s">
        <v>1572</v>
      </c>
      <c r="B190" s="56"/>
      <c r="C190" s="56"/>
      <c r="D190" s="57"/>
      <c r="E190" s="56"/>
      <c r="G190"/>
      <c r="H190" s="56"/>
      <c r="I190" s="80"/>
      <c r="K190" t="s">
        <v>990</v>
      </c>
    </row>
    <row r="191" spans="1:11" x14ac:dyDescent="0.25">
      <c r="A191" s="56" t="s">
        <v>1572</v>
      </c>
      <c r="B191" s="56"/>
      <c r="C191" s="56"/>
      <c r="D191" s="57"/>
      <c r="E191" s="56"/>
      <c r="G191"/>
      <c r="H191" s="56"/>
      <c r="I191" s="80"/>
      <c r="K191" t="s">
        <v>991</v>
      </c>
    </row>
    <row r="192" spans="1:11" x14ac:dyDescent="0.25">
      <c r="A192" s="56" t="s">
        <v>1572</v>
      </c>
      <c r="B192" s="56"/>
      <c r="C192" s="56"/>
      <c r="D192" s="57"/>
      <c r="E192" s="56"/>
      <c r="G192"/>
      <c r="H192" s="56"/>
      <c r="I192" s="80"/>
      <c r="K192" t="s">
        <v>992</v>
      </c>
    </row>
    <row r="193" spans="1:11" x14ac:dyDescent="0.25">
      <c r="A193" s="56" t="s">
        <v>1572</v>
      </c>
      <c r="B193" s="56"/>
      <c r="C193" s="56"/>
      <c r="D193" s="57"/>
      <c r="E193" s="56"/>
      <c r="G193"/>
      <c r="H193" s="56"/>
      <c r="I193" s="80"/>
      <c r="K193" t="s">
        <v>993</v>
      </c>
    </row>
    <row r="194" spans="1:11" x14ac:dyDescent="0.25">
      <c r="A194" s="56" t="s">
        <v>1572</v>
      </c>
      <c r="B194" s="56"/>
      <c r="C194" s="56"/>
      <c r="D194" s="57"/>
      <c r="E194" s="56"/>
      <c r="G194"/>
      <c r="H194" s="56"/>
      <c r="I194" s="56"/>
      <c r="K194" t="s">
        <v>994</v>
      </c>
    </row>
    <row r="195" spans="1:11" x14ac:dyDescent="0.25">
      <c r="A195" s="56" t="s">
        <v>1572</v>
      </c>
      <c r="B195" s="56"/>
      <c r="C195" s="56"/>
      <c r="D195" s="57"/>
      <c r="E195" s="56"/>
      <c r="G195"/>
      <c r="H195" s="56"/>
      <c r="I195" s="56"/>
      <c r="K195" t="s">
        <v>995</v>
      </c>
    </row>
    <row r="196" spans="1:11" x14ac:dyDescent="0.25">
      <c r="A196" s="56" t="s">
        <v>1572</v>
      </c>
      <c r="B196" s="56"/>
      <c r="C196" s="56"/>
      <c r="D196" s="57"/>
      <c r="E196" s="56"/>
      <c r="G196"/>
      <c r="H196" s="56"/>
      <c r="I196" s="56"/>
      <c r="K196" t="s">
        <v>996</v>
      </c>
    </row>
    <row r="197" spans="1:11" x14ac:dyDescent="0.25">
      <c r="A197" s="56" t="s">
        <v>1572</v>
      </c>
      <c r="B197" s="56"/>
      <c r="C197" s="56"/>
      <c r="D197" s="57"/>
      <c r="E197" s="56"/>
      <c r="G197"/>
      <c r="H197" s="56"/>
      <c r="I197" s="56"/>
      <c r="K197" t="s">
        <v>997</v>
      </c>
    </row>
    <row r="198" spans="1:11" x14ac:dyDescent="0.25">
      <c r="A198" s="56" t="s">
        <v>1572</v>
      </c>
      <c r="B198" s="56"/>
      <c r="C198" s="56"/>
      <c r="D198" s="57"/>
      <c r="E198" s="56"/>
      <c r="G198"/>
      <c r="H198" s="56"/>
      <c r="I198" s="56"/>
      <c r="K198" t="s">
        <v>998</v>
      </c>
    </row>
    <row r="199" spans="1:11" x14ac:dyDescent="0.25">
      <c r="A199" s="56" t="s">
        <v>1572</v>
      </c>
      <c r="B199" s="56"/>
      <c r="C199" s="56"/>
      <c r="D199" s="57"/>
      <c r="E199" s="56"/>
      <c r="G199"/>
      <c r="H199" s="56"/>
      <c r="I199" s="56"/>
      <c r="K199" t="s">
        <v>999</v>
      </c>
    </row>
    <row r="200" spans="1:11" x14ac:dyDescent="0.25">
      <c r="A200" s="56" t="s">
        <v>1572</v>
      </c>
      <c r="B200" s="56"/>
      <c r="C200" s="56"/>
      <c r="D200" s="57"/>
      <c r="E200" s="56"/>
      <c r="G200"/>
      <c r="H200" s="56"/>
      <c r="I200" s="56"/>
      <c r="K200" t="s">
        <v>1000</v>
      </c>
    </row>
    <row r="201" spans="1:11" x14ac:dyDescent="0.25">
      <c r="A201" s="56" t="s">
        <v>1572</v>
      </c>
      <c r="B201" s="56"/>
      <c r="C201" s="56"/>
      <c r="D201" s="57"/>
      <c r="E201" s="56"/>
      <c r="G201"/>
      <c r="H201" s="56"/>
      <c r="I201" s="56"/>
      <c r="K201" t="s">
        <v>1001</v>
      </c>
    </row>
    <row r="202" spans="1:11" x14ac:dyDescent="0.25">
      <c r="A202" s="56" t="s">
        <v>1572</v>
      </c>
      <c r="B202" s="56"/>
      <c r="C202" s="56"/>
      <c r="D202" s="57"/>
      <c r="E202" s="56"/>
      <c r="G202"/>
      <c r="H202" s="56"/>
      <c r="I202" s="80"/>
      <c r="K202" t="s">
        <v>1002</v>
      </c>
    </row>
    <row r="203" spans="1:11" x14ac:dyDescent="0.25">
      <c r="A203" s="56" t="s">
        <v>1572</v>
      </c>
      <c r="B203" s="56"/>
      <c r="C203" s="56"/>
      <c r="D203" s="57"/>
      <c r="E203" s="56"/>
      <c r="G203"/>
      <c r="H203" s="56"/>
      <c r="I203" s="80"/>
      <c r="K203" t="s">
        <v>1003</v>
      </c>
    </row>
    <row r="204" spans="1:11" x14ac:dyDescent="0.25">
      <c r="A204" s="56" t="s">
        <v>1572</v>
      </c>
      <c r="B204" s="56"/>
      <c r="C204" s="56"/>
      <c r="D204" s="57"/>
      <c r="E204" s="56"/>
      <c r="G204"/>
      <c r="H204" s="56"/>
      <c r="I204" s="80"/>
      <c r="K204" t="s">
        <v>1004</v>
      </c>
    </row>
    <row r="205" spans="1:11" x14ac:dyDescent="0.25">
      <c r="A205" s="56" t="s">
        <v>1572</v>
      </c>
      <c r="B205" s="56"/>
      <c r="C205" s="56"/>
      <c r="D205" s="57"/>
      <c r="E205" s="56"/>
      <c r="G205"/>
      <c r="H205" s="56"/>
      <c r="I205" s="80"/>
      <c r="K205" t="s">
        <v>1005</v>
      </c>
    </row>
    <row r="206" spans="1:11" x14ac:dyDescent="0.25">
      <c r="A206" s="56" t="s">
        <v>1572</v>
      </c>
      <c r="B206" s="56"/>
      <c r="C206" s="56"/>
      <c r="D206" s="57"/>
      <c r="E206" s="56"/>
      <c r="G206"/>
      <c r="H206" s="56"/>
      <c r="I206" s="80"/>
      <c r="K206" t="s">
        <v>1006</v>
      </c>
    </row>
    <row r="207" spans="1:11" x14ac:dyDescent="0.25">
      <c r="A207" s="56" t="s">
        <v>1572</v>
      </c>
      <c r="B207" s="56"/>
      <c r="C207" s="56"/>
      <c r="D207" s="57"/>
      <c r="E207" s="56"/>
      <c r="G207"/>
      <c r="H207" s="56"/>
      <c r="I207" s="80"/>
      <c r="K207" t="s">
        <v>1007</v>
      </c>
    </row>
    <row r="208" spans="1:11" x14ac:dyDescent="0.25">
      <c r="A208" s="56" t="s">
        <v>1572</v>
      </c>
      <c r="B208" s="56"/>
      <c r="C208" s="56"/>
      <c r="D208" s="57"/>
      <c r="E208" s="56"/>
      <c r="G208"/>
      <c r="H208" s="56"/>
      <c r="I208" s="56"/>
      <c r="K208" t="s">
        <v>1008</v>
      </c>
    </row>
    <row r="209" spans="1:11" x14ac:dyDescent="0.25">
      <c r="A209" s="56" t="s">
        <v>1572</v>
      </c>
      <c r="B209" s="56"/>
      <c r="C209" s="56"/>
      <c r="D209" s="57"/>
      <c r="E209" s="56"/>
      <c r="G209"/>
      <c r="H209" s="56"/>
      <c r="I209" s="56"/>
      <c r="K209" t="s">
        <v>1009</v>
      </c>
    </row>
    <row r="210" spans="1:11" x14ac:dyDescent="0.25">
      <c r="A210" s="56" t="s">
        <v>1572</v>
      </c>
      <c r="B210" s="56"/>
      <c r="C210" s="56"/>
      <c r="D210" s="57"/>
      <c r="E210" s="56"/>
      <c r="G210"/>
      <c r="H210" s="56"/>
      <c r="I210" s="56"/>
      <c r="K210" t="s">
        <v>1010</v>
      </c>
    </row>
    <row r="211" spans="1:11" x14ac:dyDescent="0.25">
      <c r="A211" s="56" t="s">
        <v>1572</v>
      </c>
      <c r="B211" s="56"/>
      <c r="C211" s="56"/>
      <c r="D211" s="57"/>
      <c r="E211" s="56"/>
      <c r="G211"/>
      <c r="H211" s="56"/>
      <c r="I211" s="56"/>
      <c r="K211" t="s">
        <v>1011</v>
      </c>
    </row>
    <row r="212" spans="1:11" x14ac:dyDescent="0.25">
      <c r="A212" s="56" t="s">
        <v>1572</v>
      </c>
      <c r="B212" s="56"/>
      <c r="C212" s="56"/>
      <c r="D212" s="57"/>
      <c r="E212" s="56"/>
      <c r="G212"/>
      <c r="H212" s="56"/>
      <c r="I212" s="56"/>
      <c r="K212" t="s">
        <v>1012</v>
      </c>
    </row>
    <row r="213" spans="1:11" x14ac:dyDescent="0.25">
      <c r="A213" s="56" t="s">
        <v>1572</v>
      </c>
      <c r="B213" s="56"/>
      <c r="C213" s="56"/>
      <c r="D213" s="57"/>
      <c r="E213" s="56"/>
      <c r="G213"/>
      <c r="H213" s="56"/>
      <c r="I213" s="56"/>
      <c r="K213" t="s">
        <v>1013</v>
      </c>
    </row>
    <row r="214" spans="1:11" s="52" customFormat="1" x14ac:dyDescent="0.25">
      <c r="A214" s="56" t="s">
        <v>1572</v>
      </c>
      <c r="B214" s="56"/>
      <c r="C214" s="56"/>
      <c r="D214" s="57"/>
      <c r="E214" s="56"/>
      <c r="H214" s="56"/>
      <c r="I214" s="56"/>
      <c r="J214" s="56"/>
      <c r="K214" s="52" t="s">
        <v>1014</v>
      </c>
    </row>
    <row r="215" spans="1:11" s="52" customFormat="1" x14ac:dyDescent="0.25">
      <c r="A215" s="56" t="s">
        <v>1572</v>
      </c>
      <c r="B215" s="56"/>
      <c r="C215" s="56"/>
      <c r="D215" s="57"/>
      <c r="E215" s="56"/>
      <c r="H215" s="56"/>
      <c r="I215" s="56"/>
      <c r="J215" s="56"/>
      <c r="K215" s="52" t="s">
        <v>1015</v>
      </c>
    </row>
    <row r="216" spans="1:11" s="52" customFormat="1" x14ac:dyDescent="0.25">
      <c r="A216" s="56" t="s">
        <v>1572</v>
      </c>
      <c r="B216" s="56"/>
      <c r="C216" s="56"/>
      <c r="D216" s="57"/>
      <c r="E216" s="56"/>
      <c r="H216" s="56"/>
      <c r="I216" s="80"/>
      <c r="J216" s="56"/>
      <c r="K216" s="52" t="s">
        <v>1016</v>
      </c>
    </row>
    <row r="217" spans="1:11" x14ac:dyDescent="0.25">
      <c r="A217" s="56" t="s">
        <v>1572</v>
      </c>
      <c r="B217" s="56"/>
      <c r="C217" s="56"/>
      <c r="D217" s="57"/>
      <c r="E217" s="56"/>
      <c r="G217"/>
      <c r="H217" s="56"/>
      <c r="I217" s="80"/>
      <c r="K217" t="s">
        <v>1017</v>
      </c>
    </row>
    <row r="218" spans="1:11" x14ac:dyDescent="0.25">
      <c r="A218" s="56" t="s">
        <v>1572</v>
      </c>
      <c r="B218" s="56" t="s">
        <v>1573</v>
      </c>
      <c r="C218" s="56"/>
      <c r="D218" s="57" t="s">
        <v>5</v>
      </c>
      <c r="E218" s="56" t="s">
        <v>78</v>
      </c>
      <c r="G218" t="s">
        <v>1524</v>
      </c>
      <c r="H218" s="56" t="s">
        <v>22</v>
      </c>
      <c r="I218" s="80" t="s">
        <v>1604</v>
      </c>
      <c r="J218" s="56" t="s">
        <v>1583</v>
      </c>
      <c r="K218" t="s">
        <v>1057</v>
      </c>
    </row>
    <row r="219" spans="1:11" x14ac:dyDescent="0.25">
      <c r="A219" s="56" t="s">
        <v>1572</v>
      </c>
      <c r="B219" s="56" t="s">
        <v>1573</v>
      </c>
      <c r="C219" s="56"/>
      <c r="D219" s="57" t="s">
        <v>6</v>
      </c>
      <c r="E219" s="56" t="s">
        <v>78</v>
      </c>
      <c r="G219" t="s">
        <v>1524</v>
      </c>
      <c r="H219" s="56" t="s">
        <v>22</v>
      </c>
      <c r="I219" s="80" t="s">
        <v>1604</v>
      </c>
      <c r="J219" s="56" t="s">
        <v>1583</v>
      </c>
      <c r="K219" t="s">
        <v>1058</v>
      </c>
    </row>
    <row r="220" spans="1:11" x14ac:dyDescent="0.25">
      <c r="A220" s="56" t="s">
        <v>1572</v>
      </c>
      <c r="B220" s="56" t="s">
        <v>1574</v>
      </c>
      <c r="C220" s="56" t="s">
        <v>10</v>
      </c>
      <c r="D220" s="57" t="s">
        <v>7</v>
      </c>
      <c r="E220" s="56" t="s">
        <v>78</v>
      </c>
      <c r="G220" t="s">
        <v>1524</v>
      </c>
      <c r="H220" s="56" t="s">
        <v>22</v>
      </c>
      <c r="I220" s="80" t="s">
        <v>1604</v>
      </c>
      <c r="J220" s="56" t="s">
        <v>1583</v>
      </c>
      <c r="K220" t="s">
        <v>1059</v>
      </c>
    </row>
    <row r="221" spans="1:11" x14ac:dyDescent="0.25">
      <c r="A221" s="56" t="s">
        <v>1572</v>
      </c>
      <c r="B221" s="56" t="s">
        <v>1574</v>
      </c>
      <c r="C221" s="56" t="s">
        <v>11</v>
      </c>
      <c r="D221" s="57" t="s">
        <v>7</v>
      </c>
      <c r="E221" s="56" t="s">
        <v>78</v>
      </c>
      <c r="G221" t="s">
        <v>1524</v>
      </c>
      <c r="H221" s="56" t="s">
        <v>22</v>
      </c>
      <c r="I221" s="80" t="s">
        <v>1604</v>
      </c>
      <c r="J221" s="56" t="s">
        <v>1583</v>
      </c>
      <c r="K221" t="s">
        <v>1060</v>
      </c>
    </row>
    <row r="222" spans="1:11" x14ac:dyDescent="0.25">
      <c r="A222" s="56" t="s">
        <v>1572</v>
      </c>
      <c r="B222" s="56" t="s">
        <v>1573</v>
      </c>
      <c r="C222" s="56"/>
      <c r="D222" s="57" t="s">
        <v>5</v>
      </c>
      <c r="E222" s="56" t="s">
        <v>125</v>
      </c>
      <c r="G222" t="s">
        <v>1524</v>
      </c>
      <c r="H222" s="56" t="s">
        <v>22</v>
      </c>
      <c r="I222" s="80" t="s">
        <v>1605</v>
      </c>
      <c r="J222" s="56" t="s">
        <v>1583</v>
      </c>
      <c r="K222" t="s">
        <v>1061</v>
      </c>
    </row>
    <row r="223" spans="1:11" x14ac:dyDescent="0.25">
      <c r="A223" s="56" t="s">
        <v>1572</v>
      </c>
      <c r="B223" s="56" t="s">
        <v>1573</v>
      </c>
      <c r="C223" s="56"/>
      <c r="D223" s="57" t="s">
        <v>6</v>
      </c>
      <c r="E223" s="56" t="s">
        <v>125</v>
      </c>
      <c r="G223" t="s">
        <v>1524</v>
      </c>
      <c r="H223" s="56" t="s">
        <v>22</v>
      </c>
      <c r="I223" s="80" t="s">
        <v>1605</v>
      </c>
      <c r="J223" s="56" t="s">
        <v>1583</v>
      </c>
      <c r="K223" t="s">
        <v>1062</v>
      </c>
    </row>
    <row r="224" spans="1:11" x14ac:dyDescent="0.25">
      <c r="A224" s="56" t="s">
        <v>1572</v>
      </c>
      <c r="B224" s="56" t="s">
        <v>1574</v>
      </c>
      <c r="C224" s="56" t="s">
        <v>10</v>
      </c>
      <c r="D224" s="57" t="s">
        <v>7</v>
      </c>
      <c r="E224" s="56" t="s">
        <v>125</v>
      </c>
      <c r="G224" t="s">
        <v>1524</v>
      </c>
      <c r="H224" s="56" t="s">
        <v>22</v>
      </c>
      <c r="I224" s="80" t="s">
        <v>1605</v>
      </c>
      <c r="J224" s="56" t="s">
        <v>1583</v>
      </c>
      <c r="K224" t="s">
        <v>1063</v>
      </c>
    </row>
    <row r="225" spans="1:11" x14ac:dyDescent="0.25">
      <c r="A225" s="56" t="s">
        <v>1572</v>
      </c>
      <c r="B225" s="56" t="s">
        <v>1574</v>
      </c>
      <c r="C225" s="56" t="s">
        <v>11</v>
      </c>
      <c r="D225" s="57" t="s">
        <v>7</v>
      </c>
      <c r="E225" s="56" t="s">
        <v>125</v>
      </c>
      <c r="G225" t="s">
        <v>1524</v>
      </c>
      <c r="H225" s="56" t="s">
        <v>22</v>
      </c>
      <c r="I225" s="80" t="s">
        <v>1605</v>
      </c>
      <c r="J225" s="56" t="s">
        <v>1583</v>
      </c>
      <c r="K225" t="s">
        <v>1064</v>
      </c>
    </row>
    <row r="226" spans="1:11" x14ac:dyDescent="0.25">
      <c r="A226" s="56" t="s">
        <v>1572</v>
      </c>
      <c r="B226" s="56" t="s">
        <v>1574</v>
      </c>
      <c r="C226" s="56" t="s">
        <v>10</v>
      </c>
      <c r="D226" s="57" t="s">
        <v>8</v>
      </c>
      <c r="E226" s="56" t="s">
        <v>78</v>
      </c>
      <c r="G226" t="s">
        <v>1524</v>
      </c>
      <c r="H226" s="56" t="s">
        <v>22</v>
      </c>
      <c r="I226" s="80" t="s">
        <v>1606</v>
      </c>
      <c r="J226" s="56" t="s">
        <v>1583</v>
      </c>
      <c r="K226" t="s">
        <v>1065</v>
      </c>
    </row>
    <row r="227" spans="1:11" x14ac:dyDescent="0.25">
      <c r="A227" s="56" t="s">
        <v>1572</v>
      </c>
      <c r="B227" s="56" t="s">
        <v>1574</v>
      </c>
      <c r="C227" s="56" t="s">
        <v>11</v>
      </c>
      <c r="D227" s="57" t="s">
        <v>8</v>
      </c>
      <c r="E227" s="56" t="s">
        <v>78</v>
      </c>
      <c r="G227" t="s">
        <v>1524</v>
      </c>
      <c r="H227" s="56" t="s">
        <v>22</v>
      </c>
      <c r="I227" s="80" t="s">
        <v>1606</v>
      </c>
      <c r="J227" s="56" t="s">
        <v>1583</v>
      </c>
      <c r="K227" t="s">
        <v>1066</v>
      </c>
    </row>
    <row r="228" spans="1:11" x14ac:dyDescent="0.25">
      <c r="A228" s="56" t="s">
        <v>1572</v>
      </c>
      <c r="B228" s="56" t="s">
        <v>1574</v>
      </c>
      <c r="C228" s="56" t="s">
        <v>10</v>
      </c>
      <c r="D228" s="57" t="s">
        <v>15</v>
      </c>
      <c r="E228" s="56" t="s">
        <v>78</v>
      </c>
      <c r="G228" t="s">
        <v>1524</v>
      </c>
      <c r="H228" s="56" t="s">
        <v>22</v>
      </c>
      <c r="I228" s="80" t="s">
        <v>1606</v>
      </c>
      <c r="J228" s="56" t="s">
        <v>1583</v>
      </c>
      <c r="K228" t="s">
        <v>1067</v>
      </c>
    </row>
    <row r="229" spans="1:11" x14ac:dyDescent="0.25">
      <c r="A229" s="56" t="s">
        <v>1572</v>
      </c>
      <c r="B229" s="56" t="s">
        <v>1574</v>
      </c>
      <c r="C229" s="56" t="s">
        <v>11</v>
      </c>
      <c r="D229" s="57" t="s">
        <v>15</v>
      </c>
      <c r="E229" s="56" t="s">
        <v>78</v>
      </c>
      <c r="G229" t="s">
        <v>1524</v>
      </c>
      <c r="H229" s="56" t="s">
        <v>22</v>
      </c>
      <c r="I229" s="80" t="s">
        <v>1606</v>
      </c>
      <c r="J229" s="56" t="s">
        <v>1583</v>
      </c>
      <c r="K229" t="s">
        <v>1068</v>
      </c>
    </row>
    <row r="230" spans="1:11" x14ac:dyDescent="0.25">
      <c r="A230" s="56" t="s">
        <v>1572</v>
      </c>
      <c r="B230" s="56"/>
      <c r="C230" s="56"/>
      <c r="D230" s="57"/>
      <c r="E230" s="56"/>
      <c r="G230"/>
      <c r="H230" s="56"/>
      <c r="I230" s="56"/>
      <c r="J230" s="56" t="s">
        <v>1586</v>
      </c>
      <c r="K230" t="s">
        <v>1069</v>
      </c>
    </row>
    <row r="231" spans="1:11" x14ac:dyDescent="0.25">
      <c r="A231" s="56" t="s">
        <v>1572</v>
      </c>
      <c r="B231" s="56"/>
      <c r="C231" s="56"/>
      <c r="D231" s="57"/>
      <c r="E231" s="56"/>
      <c r="G231"/>
      <c r="H231" s="56"/>
      <c r="I231" s="56"/>
      <c r="J231" s="56" t="s">
        <v>1586</v>
      </c>
      <c r="K231" t="s">
        <v>1070</v>
      </c>
    </row>
    <row r="232" spans="1:11" x14ac:dyDescent="0.25">
      <c r="A232" s="56" t="s">
        <v>1572</v>
      </c>
      <c r="B232" s="56"/>
      <c r="C232" s="56"/>
      <c r="D232" s="57"/>
      <c r="E232" s="56"/>
      <c r="G232"/>
      <c r="H232" s="56"/>
      <c r="I232" s="56"/>
      <c r="J232" s="56" t="s">
        <v>1586</v>
      </c>
      <c r="K232" t="s">
        <v>1071</v>
      </c>
    </row>
    <row r="233" spans="1:11" x14ac:dyDescent="0.25">
      <c r="A233" s="56" t="s">
        <v>1572</v>
      </c>
      <c r="B233" s="56"/>
      <c r="C233" s="56"/>
      <c r="D233" s="57"/>
      <c r="E233" s="56"/>
      <c r="G233"/>
      <c r="H233" s="56"/>
      <c r="I233" s="56"/>
      <c r="J233" s="56" t="s">
        <v>1586</v>
      </c>
      <c r="K233" t="s">
        <v>1072</v>
      </c>
    </row>
    <row r="234" spans="1:11" x14ac:dyDescent="0.25">
      <c r="A234" s="56" t="s">
        <v>1572</v>
      </c>
      <c r="B234" s="56"/>
      <c r="C234" s="56"/>
      <c r="D234" s="57"/>
      <c r="E234" s="56"/>
      <c r="G234"/>
      <c r="H234" s="56"/>
      <c r="I234" s="56"/>
      <c r="J234" s="56" t="s">
        <v>1586</v>
      </c>
      <c r="K234" t="s">
        <v>1073</v>
      </c>
    </row>
    <row r="235" spans="1:11" x14ac:dyDescent="0.25">
      <c r="A235" s="56" t="s">
        <v>1572</v>
      </c>
      <c r="B235" s="56"/>
      <c r="C235" s="56"/>
      <c r="D235" s="57"/>
      <c r="E235" s="56"/>
      <c r="G235"/>
      <c r="H235" s="56"/>
      <c r="I235" s="56"/>
      <c r="J235" s="56" t="s">
        <v>1586</v>
      </c>
      <c r="K235" t="s">
        <v>1074</v>
      </c>
    </row>
    <row r="236" spans="1:11" x14ac:dyDescent="0.25">
      <c r="A236" s="56" t="s">
        <v>1572</v>
      </c>
      <c r="B236" s="56"/>
      <c r="C236" s="56"/>
      <c r="D236" s="57"/>
      <c r="E236" s="56"/>
      <c r="G236"/>
      <c r="H236" s="56"/>
      <c r="I236" s="56"/>
      <c r="J236" s="56" t="s">
        <v>1586</v>
      </c>
      <c r="K236" t="s">
        <v>1075</v>
      </c>
    </row>
    <row r="237" spans="1:11" x14ac:dyDescent="0.25">
      <c r="A237" s="56" t="s">
        <v>1572</v>
      </c>
      <c r="B237" s="56"/>
      <c r="C237" s="56"/>
      <c r="D237" s="57"/>
      <c r="E237" s="56"/>
      <c r="G237"/>
      <c r="H237" s="56"/>
      <c r="I237" s="56"/>
      <c r="J237" s="56" t="s">
        <v>1586</v>
      </c>
      <c r="K237" t="s">
        <v>1076</v>
      </c>
    </row>
    <row r="238" spans="1:11" x14ac:dyDescent="0.25">
      <c r="A238" s="56" t="s">
        <v>1572</v>
      </c>
      <c r="B238" s="56" t="s">
        <v>1574</v>
      </c>
      <c r="C238" s="56" t="s">
        <v>10</v>
      </c>
      <c r="D238" s="57" t="s">
        <v>16</v>
      </c>
      <c r="E238" s="56" t="s">
        <v>78</v>
      </c>
      <c r="G238" t="s">
        <v>1524</v>
      </c>
      <c r="H238" s="56" t="s">
        <v>22</v>
      </c>
      <c r="I238" s="80" t="s">
        <v>1606</v>
      </c>
      <c r="J238" s="56" t="s">
        <v>1583</v>
      </c>
      <c r="K238" t="s">
        <v>1077</v>
      </c>
    </row>
    <row r="239" spans="1:11" s="53" customFormat="1" x14ac:dyDescent="0.25">
      <c r="A239" s="56" t="s">
        <v>1572</v>
      </c>
      <c r="B239" s="56" t="s">
        <v>1574</v>
      </c>
      <c r="C239" s="56" t="s">
        <v>11</v>
      </c>
      <c r="D239" s="57" t="s">
        <v>16</v>
      </c>
      <c r="E239" s="56" t="s">
        <v>78</v>
      </c>
      <c r="G239" s="53" t="s">
        <v>1524</v>
      </c>
      <c r="H239" s="56" t="s">
        <v>22</v>
      </c>
      <c r="I239" s="80" t="s">
        <v>1606</v>
      </c>
      <c r="J239" s="56" t="s">
        <v>1583</v>
      </c>
      <c r="K239" s="53" t="s">
        <v>1078</v>
      </c>
    </row>
    <row r="240" spans="1:11" s="56" customFormat="1" x14ac:dyDescent="0.25">
      <c r="A240" s="56" t="s">
        <v>1572</v>
      </c>
      <c r="B240" s="56" t="s">
        <v>1574</v>
      </c>
      <c r="C240" s="56" t="s">
        <v>10</v>
      </c>
      <c r="D240" s="57" t="s">
        <v>8</v>
      </c>
      <c r="E240" s="56" t="s">
        <v>125</v>
      </c>
      <c r="G240" s="56" t="s">
        <v>1524</v>
      </c>
      <c r="H240" s="56" t="s">
        <v>22</v>
      </c>
      <c r="I240" s="80" t="s">
        <v>1607</v>
      </c>
      <c r="J240" s="56" t="s">
        <v>1583</v>
      </c>
      <c r="K240" s="56" t="s">
        <v>1079</v>
      </c>
    </row>
    <row r="241" spans="1:11" s="53" customFormat="1" x14ac:dyDescent="0.25">
      <c r="A241" s="56" t="s">
        <v>1572</v>
      </c>
      <c r="B241" s="56" t="s">
        <v>1574</v>
      </c>
      <c r="C241" s="56" t="s">
        <v>11</v>
      </c>
      <c r="D241" s="57" t="s">
        <v>8</v>
      </c>
      <c r="E241" s="56" t="s">
        <v>125</v>
      </c>
      <c r="G241" s="53" t="s">
        <v>1524</v>
      </c>
      <c r="H241" s="56" t="s">
        <v>22</v>
      </c>
      <c r="I241" s="80" t="s">
        <v>1607</v>
      </c>
      <c r="J241" s="56" t="s">
        <v>1583</v>
      </c>
      <c r="K241" s="53" t="s">
        <v>1080</v>
      </c>
    </row>
    <row r="242" spans="1:11" s="53" customFormat="1" x14ac:dyDescent="0.25">
      <c r="A242" s="56" t="s">
        <v>1572</v>
      </c>
      <c r="B242" s="56" t="s">
        <v>1574</v>
      </c>
      <c r="C242" s="56" t="s">
        <v>10</v>
      </c>
      <c r="D242" s="57" t="s">
        <v>15</v>
      </c>
      <c r="E242" s="56" t="s">
        <v>125</v>
      </c>
      <c r="G242" s="53" t="s">
        <v>1524</v>
      </c>
      <c r="H242" s="56" t="s">
        <v>22</v>
      </c>
      <c r="I242" s="80" t="s">
        <v>1607</v>
      </c>
      <c r="J242" s="56" t="s">
        <v>1583</v>
      </c>
      <c r="K242" s="53" t="s">
        <v>1081</v>
      </c>
    </row>
    <row r="243" spans="1:11" s="53" customFormat="1" x14ac:dyDescent="0.25">
      <c r="A243" s="56" t="s">
        <v>1572</v>
      </c>
      <c r="B243" s="56" t="s">
        <v>1574</v>
      </c>
      <c r="C243" s="56" t="s">
        <v>11</v>
      </c>
      <c r="D243" s="57" t="s">
        <v>15</v>
      </c>
      <c r="E243" s="56" t="s">
        <v>125</v>
      </c>
      <c r="G243" s="53" t="s">
        <v>1524</v>
      </c>
      <c r="H243" s="56" t="s">
        <v>22</v>
      </c>
      <c r="I243" s="80" t="s">
        <v>1607</v>
      </c>
      <c r="J243" s="56" t="s">
        <v>1583</v>
      </c>
      <c r="K243" s="53" t="s">
        <v>1082</v>
      </c>
    </row>
    <row r="244" spans="1:11" s="53" customFormat="1" x14ac:dyDescent="0.25">
      <c r="A244" s="56" t="s">
        <v>1572</v>
      </c>
      <c r="B244" s="56"/>
      <c r="C244" s="56"/>
      <c r="D244" s="57"/>
      <c r="E244" s="56"/>
      <c r="H244" s="56"/>
      <c r="I244" s="56"/>
      <c r="J244" s="56" t="s">
        <v>1586</v>
      </c>
      <c r="K244" s="53" t="s">
        <v>1083</v>
      </c>
    </row>
    <row r="245" spans="1:11" s="53" customFormat="1" x14ac:dyDescent="0.25">
      <c r="A245" s="56" t="s">
        <v>1572</v>
      </c>
      <c r="B245" s="56"/>
      <c r="C245" s="56"/>
      <c r="D245" s="57"/>
      <c r="E245" s="56"/>
      <c r="H245" s="56"/>
      <c r="I245" s="56"/>
      <c r="J245" s="56" t="s">
        <v>1586</v>
      </c>
      <c r="K245" s="53" t="s">
        <v>1084</v>
      </c>
    </row>
    <row r="246" spans="1:11" s="56" customFormat="1" x14ac:dyDescent="0.25">
      <c r="A246" s="56" t="s">
        <v>1572</v>
      </c>
      <c r="D246" s="57"/>
      <c r="J246" s="56" t="s">
        <v>1586</v>
      </c>
      <c r="K246" s="56" t="s">
        <v>1085</v>
      </c>
    </row>
    <row r="247" spans="1:11" s="53" customFormat="1" x14ac:dyDescent="0.25">
      <c r="A247" s="56" t="s">
        <v>1572</v>
      </c>
      <c r="B247" s="56"/>
      <c r="C247" s="56"/>
      <c r="D247" s="57"/>
      <c r="E247" s="56"/>
      <c r="H247" s="56"/>
      <c r="I247" s="56"/>
      <c r="J247" s="56" t="s">
        <v>1586</v>
      </c>
      <c r="K247" s="53" t="s">
        <v>1086</v>
      </c>
    </row>
    <row r="248" spans="1:11" s="53" customFormat="1" x14ac:dyDescent="0.25">
      <c r="A248" s="56" t="s">
        <v>1572</v>
      </c>
      <c r="B248" s="56"/>
      <c r="C248" s="56"/>
      <c r="D248" s="57"/>
      <c r="E248" s="56"/>
      <c r="H248" s="56"/>
      <c r="I248" s="56"/>
      <c r="J248" s="56" t="s">
        <v>1586</v>
      </c>
      <c r="K248" s="53" t="s">
        <v>1087</v>
      </c>
    </row>
    <row r="249" spans="1:11" s="53" customFormat="1" x14ac:dyDescent="0.25">
      <c r="A249" s="56" t="s">
        <v>1572</v>
      </c>
      <c r="B249" s="56"/>
      <c r="C249" s="56"/>
      <c r="D249" s="57"/>
      <c r="E249" s="56"/>
      <c r="H249" s="56"/>
      <c r="I249" s="56"/>
      <c r="J249" s="56" t="s">
        <v>1586</v>
      </c>
      <c r="K249" s="53" t="s">
        <v>1088</v>
      </c>
    </row>
    <row r="250" spans="1:11" s="53" customFormat="1" x14ac:dyDescent="0.25">
      <c r="A250" s="56" t="s">
        <v>1572</v>
      </c>
      <c r="B250" s="56"/>
      <c r="C250" s="56"/>
      <c r="D250" s="57"/>
      <c r="E250" s="56"/>
      <c r="H250" s="56"/>
      <c r="I250" s="56"/>
      <c r="J250" s="56" t="s">
        <v>1586</v>
      </c>
      <c r="K250" s="53" t="s">
        <v>1089</v>
      </c>
    </row>
    <row r="251" spans="1:11" s="53" customFormat="1" x14ac:dyDescent="0.25">
      <c r="A251" s="56" t="s">
        <v>1572</v>
      </c>
      <c r="B251" s="56"/>
      <c r="C251" s="56"/>
      <c r="D251" s="57"/>
      <c r="E251" s="56"/>
      <c r="H251" s="56"/>
      <c r="I251" s="56"/>
      <c r="J251" s="56" t="s">
        <v>1586</v>
      </c>
      <c r="K251" s="53" t="s">
        <v>1090</v>
      </c>
    </row>
    <row r="252" spans="1:11" s="56" customFormat="1" x14ac:dyDescent="0.25">
      <c r="A252" s="56" t="s">
        <v>1572</v>
      </c>
      <c r="B252" s="56" t="s">
        <v>1574</v>
      </c>
      <c r="C252" s="56" t="s">
        <v>10</v>
      </c>
      <c r="D252" s="57" t="s">
        <v>16</v>
      </c>
      <c r="E252" s="56" t="s">
        <v>125</v>
      </c>
      <c r="G252" s="56" t="s">
        <v>1524</v>
      </c>
      <c r="H252" s="56" t="s">
        <v>22</v>
      </c>
      <c r="I252" s="80" t="s">
        <v>1607</v>
      </c>
      <c r="J252" s="56" t="s">
        <v>1583</v>
      </c>
      <c r="K252" s="56" t="s">
        <v>1091</v>
      </c>
    </row>
    <row r="253" spans="1:11" s="53" customFormat="1" x14ac:dyDescent="0.25">
      <c r="A253" s="56" t="s">
        <v>1572</v>
      </c>
      <c r="B253" s="56" t="s">
        <v>1574</v>
      </c>
      <c r="C253" s="56" t="s">
        <v>11</v>
      </c>
      <c r="D253" s="57" t="s">
        <v>16</v>
      </c>
      <c r="E253" s="56" t="s">
        <v>125</v>
      </c>
      <c r="G253" s="53" t="s">
        <v>1524</v>
      </c>
      <c r="H253" s="56" t="s">
        <v>22</v>
      </c>
      <c r="I253" s="80" t="s">
        <v>1607</v>
      </c>
      <c r="J253" s="56" t="s">
        <v>1583</v>
      </c>
      <c r="K253" s="53" t="s">
        <v>1092</v>
      </c>
    </row>
    <row r="254" spans="1:11" s="53" customFormat="1" x14ac:dyDescent="0.25">
      <c r="A254" s="56" t="s">
        <v>1572</v>
      </c>
      <c r="B254" s="56"/>
      <c r="C254" s="56"/>
      <c r="D254" s="57"/>
      <c r="E254" s="56"/>
      <c r="H254" s="56"/>
      <c r="I254" s="80"/>
      <c r="J254" s="56"/>
      <c r="K254" s="53" t="s">
        <v>1132</v>
      </c>
    </row>
    <row r="255" spans="1:11" s="53" customFormat="1" x14ac:dyDescent="0.25">
      <c r="A255" s="56" t="s">
        <v>1572</v>
      </c>
      <c r="B255" s="56"/>
      <c r="C255" s="56"/>
      <c r="D255" s="57"/>
      <c r="E255" s="56"/>
      <c r="H255" s="56"/>
      <c r="I255" s="80"/>
      <c r="J255" s="56"/>
      <c r="K255" s="53" t="s">
        <v>1133</v>
      </c>
    </row>
    <row r="256" spans="1:11" s="53" customFormat="1" x14ac:dyDescent="0.25">
      <c r="A256" s="56" t="s">
        <v>1572</v>
      </c>
      <c r="B256" s="56"/>
      <c r="C256" s="56"/>
      <c r="D256" s="57"/>
      <c r="E256" s="56"/>
      <c r="H256" s="56"/>
      <c r="I256" s="80"/>
      <c r="J256" s="56"/>
      <c r="K256" s="53" t="s">
        <v>1134</v>
      </c>
    </row>
    <row r="257" spans="1:11" x14ac:dyDescent="0.25">
      <c r="A257" s="56" t="s">
        <v>1572</v>
      </c>
      <c r="B257" s="56"/>
      <c r="C257" s="56"/>
      <c r="D257" s="57"/>
      <c r="E257" s="56"/>
      <c r="G257"/>
      <c r="H257" s="56"/>
      <c r="I257" s="80"/>
      <c r="K257" t="s">
        <v>1135</v>
      </c>
    </row>
    <row r="258" spans="1:11" s="56" customFormat="1" x14ac:dyDescent="0.25">
      <c r="A258" s="56" t="s">
        <v>1572</v>
      </c>
      <c r="D258" s="57"/>
      <c r="I258" s="80"/>
      <c r="K258" s="56" t="s">
        <v>1136</v>
      </c>
    </row>
    <row r="259" spans="1:11" s="56" customFormat="1" x14ac:dyDescent="0.25">
      <c r="A259" s="56" t="s">
        <v>1572</v>
      </c>
      <c r="D259" s="57"/>
      <c r="I259" s="80"/>
      <c r="K259" s="56" t="s">
        <v>1137</v>
      </c>
    </row>
    <row r="260" spans="1:11" s="56" customFormat="1" x14ac:dyDescent="0.25">
      <c r="A260" s="56" t="s">
        <v>1572</v>
      </c>
      <c r="D260" s="57"/>
      <c r="I260" s="80"/>
      <c r="K260" s="56" t="s">
        <v>1138</v>
      </c>
    </row>
    <row r="261" spans="1:11" s="56" customFormat="1" x14ac:dyDescent="0.25">
      <c r="A261" s="56" t="s">
        <v>1572</v>
      </c>
      <c r="D261" s="57"/>
      <c r="I261" s="80"/>
      <c r="K261" s="56" t="s">
        <v>1139</v>
      </c>
    </row>
    <row r="262" spans="1:11" s="56" customFormat="1" x14ac:dyDescent="0.25">
      <c r="A262" s="56" t="s">
        <v>1572</v>
      </c>
      <c r="D262" s="57"/>
      <c r="I262" s="80"/>
      <c r="K262" s="56" t="s">
        <v>1140</v>
      </c>
    </row>
    <row r="263" spans="1:11" x14ac:dyDescent="0.25">
      <c r="A263" s="56" t="s">
        <v>1572</v>
      </c>
      <c r="B263" s="56"/>
      <c r="C263" s="56"/>
      <c r="D263" s="57"/>
      <c r="E263" s="56"/>
      <c r="G263"/>
      <c r="H263" s="56"/>
      <c r="I263" s="80"/>
      <c r="K263" t="s">
        <v>1141</v>
      </c>
    </row>
    <row r="264" spans="1:11" s="56" customFormat="1" x14ac:dyDescent="0.25">
      <c r="A264" s="56" t="s">
        <v>1572</v>
      </c>
      <c r="D264" s="57"/>
      <c r="I264" s="80"/>
      <c r="K264" s="56" t="s">
        <v>1142</v>
      </c>
    </row>
    <row r="265" spans="1:11" s="56" customFormat="1" x14ac:dyDescent="0.25">
      <c r="A265" s="56" t="s">
        <v>1572</v>
      </c>
      <c r="D265" s="57"/>
      <c r="I265" s="80"/>
      <c r="K265" s="56" t="s">
        <v>1143</v>
      </c>
    </row>
    <row r="266" spans="1:11" s="56" customFormat="1" x14ac:dyDescent="0.25">
      <c r="A266" s="56" t="s">
        <v>1572</v>
      </c>
      <c r="D266" s="57"/>
      <c r="K266" s="56" t="s">
        <v>1144</v>
      </c>
    </row>
    <row r="267" spans="1:11" s="56" customFormat="1" x14ac:dyDescent="0.25">
      <c r="A267" s="56" t="s">
        <v>1572</v>
      </c>
      <c r="D267" s="57"/>
      <c r="K267" s="56" t="s">
        <v>1145</v>
      </c>
    </row>
    <row r="268" spans="1:11" s="56" customFormat="1" x14ac:dyDescent="0.25">
      <c r="A268" s="56" t="s">
        <v>1572</v>
      </c>
      <c r="D268" s="57"/>
      <c r="K268" s="56" t="s">
        <v>1146</v>
      </c>
    </row>
    <row r="269" spans="1:11" s="56" customFormat="1" x14ac:dyDescent="0.25">
      <c r="A269" s="56" t="s">
        <v>1572</v>
      </c>
      <c r="D269" s="57"/>
      <c r="K269" s="56" t="s">
        <v>1147</v>
      </c>
    </row>
    <row r="270" spans="1:11" s="56" customFormat="1" x14ac:dyDescent="0.25">
      <c r="A270" s="56" t="s">
        <v>1572</v>
      </c>
      <c r="D270" s="57"/>
      <c r="K270" s="56" t="s">
        <v>1148</v>
      </c>
    </row>
    <row r="271" spans="1:11" x14ac:dyDescent="0.25">
      <c r="A271" s="56" t="s">
        <v>1572</v>
      </c>
      <c r="B271" s="56"/>
      <c r="C271" s="56"/>
      <c r="D271" s="57"/>
      <c r="E271" s="56"/>
      <c r="G271"/>
      <c r="H271" s="56"/>
      <c r="I271" s="56"/>
      <c r="K271" t="s">
        <v>1149</v>
      </c>
    </row>
    <row r="272" spans="1:11" x14ac:dyDescent="0.25">
      <c r="A272" s="56" t="s">
        <v>1572</v>
      </c>
      <c r="B272" s="56"/>
      <c r="C272" s="56"/>
      <c r="D272" s="57"/>
      <c r="E272" s="56"/>
      <c r="G272"/>
      <c r="H272" s="56"/>
      <c r="I272" s="56"/>
      <c r="K272" t="s">
        <v>1150</v>
      </c>
    </row>
    <row r="273" spans="1:11" s="56" customFormat="1" x14ac:dyDescent="0.25">
      <c r="A273" s="56" t="s">
        <v>1572</v>
      </c>
      <c r="D273" s="57"/>
      <c r="K273" s="56" t="s">
        <v>1151</v>
      </c>
    </row>
    <row r="274" spans="1:11" s="56" customFormat="1" x14ac:dyDescent="0.25">
      <c r="A274" s="56" t="s">
        <v>1572</v>
      </c>
      <c r="D274" s="57"/>
      <c r="I274" s="80"/>
      <c r="K274" s="56" t="s">
        <v>1152</v>
      </c>
    </row>
    <row r="275" spans="1:11" s="56" customFormat="1" x14ac:dyDescent="0.25">
      <c r="A275" s="56" t="s">
        <v>1572</v>
      </c>
      <c r="D275" s="57"/>
      <c r="I275" s="80"/>
      <c r="K275" s="56" t="s">
        <v>1153</v>
      </c>
    </row>
    <row r="276" spans="1:11" s="56" customFormat="1" x14ac:dyDescent="0.25">
      <c r="A276" s="56" t="s">
        <v>1572</v>
      </c>
      <c r="D276" s="57"/>
      <c r="I276" s="80"/>
      <c r="K276" s="56" t="s">
        <v>1154</v>
      </c>
    </row>
    <row r="277" spans="1:11" s="56" customFormat="1" x14ac:dyDescent="0.25">
      <c r="A277" s="56" t="s">
        <v>1572</v>
      </c>
      <c r="D277" s="57"/>
      <c r="I277" s="80"/>
      <c r="K277" s="56" t="s">
        <v>1155</v>
      </c>
    </row>
    <row r="278" spans="1:11" s="56" customFormat="1" x14ac:dyDescent="0.25">
      <c r="A278" s="56" t="s">
        <v>1572</v>
      </c>
      <c r="D278" s="57"/>
      <c r="I278" s="80"/>
      <c r="K278" s="56" t="s">
        <v>1156</v>
      </c>
    </row>
    <row r="279" spans="1:11" s="56" customFormat="1" x14ac:dyDescent="0.25">
      <c r="A279" s="56" t="s">
        <v>1572</v>
      </c>
      <c r="D279" s="57"/>
      <c r="I279" s="80"/>
      <c r="K279" s="56" t="s">
        <v>1157</v>
      </c>
    </row>
    <row r="280" spans="1:11" s="56" customFormat="1" x14ac:dyDescent="0.25">
      <c r="A280" s="56" t="s">
        <v>1572</v>
      </c>
      <c r="D280" s="57"/>
      <c r="K280" s="56" t="s">
        <v>1158</v>
      </c>
    </row>
    <row r="281" spans="1:11" s="56" customFormat="1" x14ac:dyDescent="0.25">
      <c r="A281" s="56" t="s">
        <v>1572</v>
      </c>
      <c r="D281" s="57"/>
      <c r="K281" s="56" t="s">
        <v>1159</v>
      </c>
    </row>
    <row r="282" spans="1:11" s="56" customFormat="1" x14ac:dyDescent="0.25">
      <c r="A282" s="56" t="s">
        <v>1572</v>
      </c>
      <c r="D282" s="57"/>
      <c r="K282" s="56" t="s">
        <v>1160</v>
      </c>
    </row>
    <row r="283" spans="1:11" s="56" customFormat="1" x14ac:dyDescent="0.25">
      <c r="A283" s="56" t="s">
        <v>1572</v>
      </c>
      <c r="D283" s="57"/>
      <c r="K283" s="56" t="s">
        <v>1161</v>
      </c>
    </row>
    <row r="284" spans="1:11" s="56" customFormat="1" x14ac:dyDescent="0.25">
      <c r="A284" s="56" t="s">
        <v>1572</v>
      </c>
      <c r="D284" s="57"/>
      <c r="K284" s="56" t="s">
        <v>1162</v>
      </c>
    </row>
    <row r="285" spans="1:11" s="56" customFormat="1" x14ac:dyDescent="0.25">
      <c r="A285" s="56" t="s">
        <v>1572</v>
      </c>
      <c r="D285" s="57"/>
      <c r="K285" s="56" t="s">
        <v>1163</v>
      </c>
    </row>
    <row r="286" spans="1:11" s="56" customFormat="1" x14ac:dyDescent="0.25">
      <c r="A286" s="56" t="s">
        <v>1572</v>
      </c>
      <c r="D286" s="57"/>
      <c r="K286" s="56" t="s">
        <v>1164</v>
      </c>
    </row>
    <row r="287" spans="1:11" x14ac:dyDescent="0.25">
      <c r="A287" s="56" t="s">
        <v>1572</v>
      </c>
      <c r="B287" s="56"/>
      <c r="C287" s="56"/>
      <c r="D287" s="57"/>
      <c r="E287" s="56"/>
      <c r="G287"/>
      <c r="H287" s="56"/>
      <c r="I287" s="56"/>
      <c r="K287" t="s">
        <v>1165</v>
      </c>
    </row>
    <row r="288" spans="1:11" x14ac:dyDescent="0.25">
      <c r="A288" s="56" t="s">
        <v>1572</v>
      </c>
      <c r="B288" s="56"/>
      <c r="C288" s="56"/>
      <c r="D288" s="57"/>
      <c r="E288" s="56"/>
      <c r="G288"/>
      <c r="H288" s="56"/>
      <c r="I288" s="80"/>
      <c r="K288" t="s">
        <v>1166</v>
      </c>
    </row>
    <row r="289" spans="1:11" x14ac:dyDescent="0.25">
      <c r="A289" s="56" t="s">
        <v>1572</v>
      </c>
      <c r="B289" s="56"/>
      <c r="C289" s="56"/>
      <c r="D289" s="57"/>
      <c r="E289" s="56"/>
      <c r="G289"/>
      <c r="H289" s="56"/>
      <c r="I289" s="80"/>
      <c r="K289" t="s">
        <v>1167</v>
      </c>
    </row>
    <row r="290" spans="1:11" x14ac:dyDescent="0.25">
      <c r="A290" s="56" t="s">
        <v>1572</v>
      </c>
      <c r="B290" s="56" t="s">
        <v>1573</v>
      </c>
      <c r="C290" s="56"/>
      <c r="D290" s="57" t="s">
        <v>5</v>
      </c>
      <c r="E290" s="56" t="s">
        <v>78</v>
      </c>
      <c r="G290" t="s">
        <v>1525</v>
      </c>
      <c r="H290" s="56" t="s">
        <v>22</v>
      </c>
      <c r="I290" s="80" t="s">
        <v>1608</v>
      </c>
      <c r="J290" s="56" t="s">
        <v>1583</v>
      </c>
      <c r="K290" t="s">
        <v>1207</v>
      </c>
    </row>
    <row r="291" spans="1:11" x14ac:dyDescent="0.25">
      <c r="A291" s="56" t="s">
        <v>1572</v>
      </c>
      <c r="B291" s="56" t="s">
        <v>1573</v>
      </c>
      <c r="C291" s="56"/>
      <c r="D291" s="57" t="s">
        <v>6</v>
      </c>
      <c r="E291" s="56" t="s">
        <v>78</v>
      </c>
      <c r="G291" t="s">
        <v>1525</v>
      </c>
      <c r="H291" s="56" t="s">
        <v>22</v>
      </c>
      <c r="I291" s="80" t="s">
        <v>1608</v>
      </c>
      <c r="J291" s="56" t="s">
        <v>1583</v>
      </c>
      <c r="K291" t="s">
        <v>1208</v>
      </c>
    </row>
    <row r="292" spans="1:11" x14ac:dyDescent="0.25">
      <c r="A292" s="56" t="s">
        <v>1572</v>
      </c>
      <c r="B292" s="56" t="s">
        <v>1574</v>
      </c>
      <c r="C292" s="56" t="s">
        <v>10</v>
      </c>
      <c r="D292" s="57" t="s">
        <v>7</v>
      </c>
      <c r="E292" s="56" t="s">
        <v>78</v>
      </c>
      <c r="G292" t="s">
        <v>1525</v>
      </c>
      <c r="H292" s="56" t="s">
        <v>22</v>
      </c>
      <c r="I292" s="80" t="s">
        <v>1608</v>
      </c>
      <c r="J292" s="56" t="s">
        <v>1583</v>
      </c>
      <c r="K292" t="s">
        <v>1209</v>
      </c>
    </row>
    <row r="293" spans="1:11" x14ac:dyDescent="0.25">
      <c r="A293" s="56" t="s">
        <v>1572</v>
      </c>
      <c r="B293" s="56" t="s">
        <v>1574</v>
      </c>
      <c r="C293" s="56" t="s">
        <v>11</v>
      </c>
      <c r="D293" s="57" t="s">
        <v>7</v>
      </c>
      <c r="E293" s="56" t="s">
        <v>78</v>
      </c>
      <c r="G293" t="s">
        <v>1525</v>
      </c>
      <c r="H293" s="56" t="s">
        <v>22</v>
      </c>
      <c r="I293" s="80" t="s">
        <v>1608</v>
      </c>
      <c r="J293" s="56" t="s">
        <v>1583</v>
      </c>
      <c r="K293" t="s">
        <v>1210</v>
      </c>
    </row>
    <row r="294" spans="1:11" x14ac:dyDescent="0.25">
      <c r="A294" s="56" t="s">
        <v>1572</v>
      </c>
      <c r="B294" s="56" t="s">
        <v>1573</v>
      </c>
      <c r="C294" s="56"/>
      <c r="D294" s="57" t="s">
        <v>5</v>
      </c>
      <c r="E294" s="56" t="s">
        <v>125</v>
      </c>
      <c r="G294" t="s">
        <v>1525</v>
      </c>
      <c r="H294" s="56" t="s">
        <v>22</v>
      </c>
      <c r="I294" s="80" t="s">
        <v>1609</v>
      </c>
      <c r="J294" s="56" t="s">
        <v>1583</v>
      </c>
      <c r="K294" t="s">
        <v>1211</v>
      </c>
    </row>
    <row r="295" spans="1:11" x14ac:dyDescent="0.25">
      <c r="A295" s="56" t="s">
        <v>1572</v>
      </c>
      <c r="B295" s="56" t="s">
        <v>1573</v>
      </c>
      <c r="C295" s="56"/>
      <c r="D295" s="57" t="s">
        <v>6</v>
      </c>
      <c r="E295" s="56" t="s">
        <v>125</v>
      </c>
      <c r="G295" t="s">
        <v>1525</v>
      </c>
      <c r="H295" s="56" t="s">
        <v>22</v>
      </c>
      <c r="I295" s="80" t="s">
        <v>1609</v>
      </c>
      <c r="J295" s="56" t="s">
        <v>1583</v>
      </c>
      <c r="K295" t="s">
        <v>1212</v>
      </c>
    </row>
    <row r="296" spans="1:11" x14ac:dyDescent="0.25">
      <c r="A296" s="56" t="s">
        <v>1572</v>
      </c>
      <c r="B296" s="56" t="s">
        <v>1574</v>
      </c>
      <c r="C296" s="56" t="s">
        <v>10</v>
      </c>
      <c r="D296" s="57" t="s">
        <v>7</v>
      </c>
      <c r="E296" s="56" t="s">
        <v>125</v>
      </c>
      <c r="G296" t="s">
        <v>1525</v>
      </c>
      <c r="H296" s="56" t="s">
        <v>22</v>
      </c>
      <c r="I296" s="80" t="s">
        <v>1609</v>
      </c>
      <c r="J296" s="56" t="s">
        <v>1583</v>
      </c>
      <c r="K296" t="s">
        <v>1213</v>
      </c>
    </row>
    <row r="297" spans="1:11" x14ac:dyDescent="0.25">
      <c r="A297" s="56" t="s">
        <v>1572</v>
      </c>
      <c r="B297" s="56" t="s">
        <v>1574</v>
      </c>
      <c r="C297" s="56" t="s">
        <v>11</v>
      </c>
      <c r="D297" s="57" t="s">
        <v>7</v>
      </c>
      <c r="E297" s="56" t="s">
        <v>125</v>
      </c>
      <c r="G297" t="s">
        <v>1525</v>
      </c>
      <c r="H297" s="56" t="s">
        <v>22</v>
      </c>
      <c r="I297" s="80" t="s">
        <v>1609</v>
      </c>
      <c r="J297" s="56" t="s">
        <v>1583</v>
      </c>
      <c r="K297" t="s">
        <v>1214</v>
      </c>
    </row>
    <row r="298" spans="1:11" x14ac:dyDescent="0.25">
      <c r="A298" s="56" t="s">
        <v>1572</v>
      </c>
      <c r="B298" s="56" t="s">
        <v>1574</v>
      </c>
      <c r="C298" s="56" t="s">
        <v>10</v>
      </c>
      <c r="D298" s="57" t="s">
        <v>8</v>
      </c>
      <c r="E298" s="56" t="s">
        <v>78</v>
      </c>
      <c r="G298" t="s">
        <v>1525</v>
      </c>
      <c r="H298" s="56" t="s">
        <v>22</v>
      </c>
      <c r="I298" s="80" t="s">
        <v>1610</v>
      </c>
      <c r="J298" s="56" t="s">
        <v>1583</v>
      </c>
      <c r="K298" t="s">
        <v>1215</v>
      </c>
    </row>
    <row r="299" spans="1:11" x14ac:dyDescent="0.25">
      <c r="A299" s="56" t="s">
        <v>1572</v>
      </c>
      <c r="B299" s="56" t="s">
        <v>1574</v>
      </c>
      <c r="C299" s="56" t="s">
        <v>11</v>
      </c>
      <c r="D299" s="57" t="s">
        <v>8</v>
      </c>
      <c r="E299" s="56" t="s">
        <v>78</v>
      </c>
      <c r="G299" t="s">
        <v>1525</v>
      </c>
      <c r="H299" s="56" t="s">
        <v>22</v>
      </c>
      <c r="I299" s="80" t="s">
        <v>1610</v>
      </c>
      <c r="J299" s="56" t="s">
        <v>1583</v>
      </c>
      <c r="K299" t="s">
        <v>1216</v>
      </c>
    </row>
    <row r="300" spans="1:11" x14ac:dyDescent="0.25">
      <c r="A300" s="56" t="s">
        <v>1572</v>
      </c>
      <c r="B300" s="56" t="s">
        <v>1574</v>
      </c>
      <c r="C300" s="56" t="s">
        <v>10</v>
      </c>
      <c r="D300" s="57" t="s">
        <v>15</v>
      </c>
      <c r="E300" s="56" t="s">
        <v>78</v>
      </c>
      <c r="G300" t="s">
        <v>1525</v>
      </c>
      <c r="H300" s="56" t="s">
        <v>22</v>
      </c>
      <c r="I300" s="80" t="s">
        <v>1610</v>
      </c>
      <c r="J300" s="56" t="s">
        <v>1583</v>
      </c>
      <c r="K300" t="s">
        <v>1217</v>
      </c>
    </row>
    <row r="301" spans="1:11" x14ac:dyDescent="0.25">
      <c r="A301" s="56" t="s">
        <v>1572</v>
      </c>
      <c r="B301" s="56" t="s">
        <v>1574</v>
      </c>
      <c r="C301" s="56" t="s">
        <v>11</v>
      </c>
      <c r="D301" s="57" t="s">
        <v>15</v>
      </c>
      <c r="E301" s="56" t="s">
        <v>78</v>
      </c>
      <c r="G301" t="s">
        <v>1525</v>
      </c>
      <c r="H301" s="56" t="s">
        <v>22</v>
      </c>
      <c r="I301" s="80" t="s">
        <v>1610</v>
      </c>
      <c r="J301" s="56" t="s">
        <v>1583</v>
      </c>
      <c r="K301" t="s">
        <v>1218</v>
      </c>
    </row>
    <row r="302" spans="1:11" x14ac:dyDescent="0.25">
      <c r="A302" s="56" t="s">
        <v>1572</v>
      </c>
      <c r="B302" s="56"/>
      <c r="C302" s="56"/>
      <c r="D302" s="57"/>
      <c r="E302" s="56"/>
      <c r="G302"/>
      <c r="H302" s="56"/>
      <c r="I302" s="56"/>
      <c r="J302" s="56" t="s">
        <v>1586</v>
      </c>
      <c r="K302" t="s">
        <v>1219</v>
      </c>
    </row>
    <row r="303" spans="1:11" x14ac:dyDescent="0.25">
      <c r="A303" s="56" t="s">
        <v>1572</v>
      </c>
      <c r="B303" s="56"/>
      <c r="C303" s="56"/>
      <c r="D303" s="57"/>
      <c r="E303" s="56"/>
      <c r="G303"/>
      <c r="H303" s="56"/>
      <c r="I303" s="56"/>
      <c r="J303" s="56" t="s">
        <v>1586</v>
      </c>
      <c r="K303" t="s">
        <v>1220</v>
      </c>
    </row>
    <row r="304" spans="1:11" x14ac:dyDescent="0.25">
      <c r="A304" s="56" t="s">
        <v>1572</v>
      </c>
      <c r="B304" s="56"/>
      <c r="C304" s="56"/>
      <c r="D304" s="57"/>
      <c r="E304" s="56"/>
      <c r="G304"/>
      <c r="H304" s="56"/>
      <c r="I304" s="56"/>
      <c r="J304" s="56" t="s">
        <v>1586</v>
      </c>
      <c r="K304" t="s">
        <v>1221</v>
      </c>
    </row>
    <row r="305" spans="1:11" x14ac:dyDescent="0.25">
      <c r="A305" s="56" t="s">
        <v>1572</v>
      </c>
      <c r="B305" s="56"/>
      <c r="C305" s="56"/>
      <c r="D305" s="57"/>
      <c r="E305" s="56"/>
      <c r="G305"/>
      <c r="H305" s="56"/>
      <c r="I305" s="56"/>
      <c r="J305" s="56" t="s">
        <v>1586</v>
      </c>
      <c r="K305" t="s">
        <v>1222</v>
      </c>
    </row>
    <row r="306" spans="1:11" x14ac:dyDescent="0.25">
      <c r="A306" s="56" t="s">
        <v>1572</v>
      </c>
      <c r="B306" s="56"/>
      <c r="C306" s="56"/>
      <c r="D306" s="57"/>
      <c r="E306" s="56"/>
      <c r="G306"/>
      <c r="H306" s="56"/>
      <c r="I306" s="56"/>
      <c r="J306" s="56" t="s">
        <v>1586</v>
      </c>
      <c r="K306" t="s">
        <v>1223</v>
      </c>
    </row>
    <row r="307" spans="1:11" x14ac:dyDescent="0.25">
      <c r="A307" s="56" t="s">
        <v>1572</v>
      </c>
      <c r="B307" s="56"/>
      <c r="C307" s="56"/>
      <c r="D307" s="57"/>
      <c r="E307" s="56"/>
      <c r="G307"/>
      <c r="H307" s="56"/>
      <c r="I307" s="56"/>
      <c r="J307" s="56" t="s">
        <v>1586</v>
      </c>
      <c r="K307" t="s">
        <v>1224</v>
      </c>
    </row>
    <row r="308" spans="1:11" x14ac:dyDescent="0.25">
      <c r="A308" s="56" t="s">
        <v>1572</v>
      </c>
      <c r="B308" s="56"/>
      <c r="C308" s="56"/>
      <c r="D308" s="57"/>
      <c r="E308" s="56"/>
      <c r="G308"/>
      <c r="H308" s="56"/>
      <c r="I308" s="56"/>
      <c r="J308" s="56" t="s">
        <v>1586</v>
      </c>
      <c r="K308" t="s">
        <v>1225</v>
      </c>
    </row>
    <row r="309" spans="1:11" x14ac:dyDescent="0.25">
      <c r="A309" s="56" t="s">
        <v>1572</v>
      </c>
      <c r="B309" s="56"/>
      <c r="C309" s="56"/>
      <c r="D309" s="57"/>
      <c r="E309" s="56"/>
      <c r="G309"/>
      <c r="H309" s="56"/>
      <c r="I309" s="56"/>
      <c r="J309" s="56" t="s">
        <v>1586</v>
      </c>
      <c r="K309" t="s">
        <v>1226</v>
      </c>
    </row>
    <row r="310" spans="1:11" x14ac:dyDescent="0.25">
      <c r="A310" s="56" t="s">
        <v>1572</v>
      </c>
      <c r="B310" s="56" t="s">
        <v>1574</v>
      </c>
      <c r="C310" s="56" t="s">
        <v>10</v>
      </c>
      <c r="D310" s="57" t="s">
        <v>16</v>
      </c>
      <c r="E310" s="56" t="s">
        <v>78</v>
      </c>
      <c r="G310" t="s">
        <v>1525</v>
      </c>
      <c r="H310" s="56" t="s">
        <v>22</v>
      </c>
      <c r="I310" s="80" t="s">
        <v>1610</v>
      </c>
      <c r="J310" s="56" t="s">
        <v>1583</v>
      </c>
      <c r="K310" t="s">
        <v>1227</v>
      </c>
    </row>
    <row r="311" spans="1:11" x14ac:dyDescent="0.25">
      <c r="A311" s="56" t="s">
        <v>1572</v>
      </c>
      <c r="B311" s="56" t="s">
        <v>1574</v>
      </c>
      <c r="C311" s="56" t="s">
        <v>11</v>
      </c>
      <c r="D311" s="57" t="s">
        <v>16</v>
      </c>
      <c r="E311" s="56" t="s">
        <v>78</v>
      </c>
      <c r="G311" t="s">
        <v>1525</v>
      </c>
      <c r="H311" s="56" t="s">
        <v>22</v>
      </c>
      <c r="I311" s="80" t="s">
        <v>1610</v>
      </c>
      <c r="J311" s="56" t="s">
        <v>1583</v>
      </c>
      <c r="K311" t="s">
        <v>1228</v>
      </c>
    </row>
    <row r="312" spans="1:11" x14ac:dyDescent="0.25">
      <c r="A312" s="56" t="s">
        <v>1572</v>
      </c>
      <c r="B312" s="56" t="s">
        <v>1574</v>
      </c>
      <c r="C312" s="56" t="s">
        <v>10</v>
      </c>
      <c r="D312" s="57" t="s">
        <v>8</v>
      </c>
      <c r="E312" s="56" t="s">
        <v>125</v>
      </c>
      <c r="G312" t="s">
        <v>1525</v>
      </c>
      <c r="H312" s="56" t="s">
        <v>22</v>
      </c>
      <c r="I312" s="80" t="s">
        <v>1611</v>
      </c>
      <c r="J312" s="56" t="s">
        <v>1583</v>
      </c>
      <c r="K312" t="s">
        <v>1229</v>
      </c>
    </row>
    <row r="313" spans="1:11" x14ac:dyDescent="0.25">
      <c r="A313" s="56" t="s">
        <v>1572</v>
      </c>
      <c r="B313" s="56" t="s">
        <v>1574</v>
      </c>
      <c r="C313" s="56" t="s">
        <v>11</v>
      </c>
      <c r="D313" s="57" t="s">
        <v>8</v>
      </c>
      <c r="E313" s="56" t="s">
        <v>125</v>
      </c>
      <c r="G313" t="s">
        <v>1525</v>
      </c>
      <c r="H313" s="56" t="s">
        <v>22</v>
      </c>
      <c r="I313" s="80" t="s">
        <v>1611</v>
      </c>
      <c r="J313" s="56" t="s">
        <v>1583</v>
      </c>
      <c r="K313" t="s">
        <v>1230</v>
      </c>
    </row>
    <row r="314" spans="1:11" x14ac:dyDescent="0.25">
      <c r="A314" s="56" t="s">
        <v>1572</v>
      </c>
      <c r="B314" s="56" t="s">
        <v>1574</v>
      </c>
      <c r="C314" s="56" t="s">
        <v>10</v>
      </c>
      <c r="D314" s="57" t="s">
        <v>15</v>
      </c>
      <c r="E314" s="56" t="s">
        <v>125</v>
      </c>
      <c r="G314" t="s">
        <v>1525</v>
      </c>
      <c r="H314" s="56" t="s">
        <v>22</v>
      </c>
      <c r="I314" s="80" t="s">
        <v>1611</v>
      </c>
      <c r="J314" s="56" t="s">
        <v>1583</v>
      </c>
      <c r="K314" t="s">
        <v>1231</v>
      </c>
    </row>
    <row r="315" spans="1:11" x14ac:dyDescent="0.25">
      <c r="A315" s="56" t="s">
        <v>1572</v>
      </c>
      <c r="B315" s="56" t="s">
        <v>1574</v>
      </c>
      <c r="C315" s="56" t="s">
        <v>11</v>
      </c>
      <c r="D315" s="57" t="s">
        <v>15</v>
      </c>
      <c r="E315" s="56" t="s">
        <v>125</v>
      </c>
      <c r="G315" t="s">
        <v>1525</v>
      </c>
      <c r="H315" s="56" t="s">
        <v>22</v>
      </c>
      <c r="I315" s="80" t="s">
        <v>1611</v>
      </c>
      <c r="J315" s="56" t="s">
        <v>1583</v>
      </c>
      <c r="K315" t="s">
        <v>1232</v>
      </c>
    </row>
    <row r="316" spans="1:11" x14ac:dyDescent="0.25">
      <c r="A316" s="56" t="s">
        <v>1572</v>
      </c>
      <c r="B316" s="56"/>
      <c r="C316" s="56"/>
      <c r="D316" s="57"/>
      <c r="E316" s="56"/>
      <c r="G316"/>
      <c r="H316" s="56"/>
      <c r="I316" s="56"/>
      <c r="J316" s="56" t="s">
        <v>1586</v>
      </c>
      <c r="K316" t="s">
        <v>1233</v>
      </c>
    </row>
    <row r="317" spans="1:11" x14ac:dyDescent="0.25">
      <c r="A317" s="56" t="s">
        <v>1572</v>
      </c>
      <c r="B317" s="56"/>
      <c r="C317" s="56"/>
      <c r="D317" s="57"/>
      <c r="E317" s="56"/>
      <c r="G317"/>
      <c r="H317" s="56"/>
      <c r="I317" s="56"/>
      <c r="J317" s="56" t="s">
        <v>1586</v>
      </c>
      <c r="K317" t="s">
        <v>1234</v>
      </c>
    </row>
    <row r="318" spans="1:11" x14ac:dyDescent="0.25">
      <c r="A318" s="56" t="s">
        <v>1572</v>
      </c>
      <c r="B318" s="56"/>
      <c r="C318" s="56"/>
      <c r="D318" s="57"/>
      <c r="E318" s="56"/>
      <c r="G318"/>
      <c r="H318" s="56"/>
      <c r="I318" s="56"/>
      <c r="J318" s="56" t="s">
        <v>1586</v>
      </c>
      <c r="K318" t="s">
        <v>1235</v>
      </c>
    </row>
    <row r="319" spans="1:11" x14ac:dyDescent="0.25">
      <c r="A319" s="56" t="s">
        <v>1572</v>
      </c>
      <c r="B319" s="56"/>
      <c r="C319" s="56"/>
      <c r="D319" s="57"/>
      <c r="E319" s="56"/>
      <c r="G319"/>
      <c r="H319" s="56"/>
      <c r="I319" s="56"/>
      <c r="J319" s="56" t="s">
        <v>1586</v>
      </c>
      <c r="K319" t="s">
        <v>1236</v>
      </c>
    </row>
    <row r="320" spans="1:11" x14ac:dyDescent="0.25">
      <c r="A320" s="56" t="s">
        <v>1572</v>
      </c>
      <c r="B320" s="56"/>
      <c r="C320" s="56"/>
      <c r="D320" s="57"/>
      <c r="E320" s="56"/>
      <c r="G320"/>
      <c r="H320" s="56"/>
      <c r="I320" s="56"/>
      <c r="J320" s="56" t="s">
        <v>1586</v>
      </c>
      <c r="K320" t="s">
        <v>1237</v>
      </c>
    </row>
    <row r="321" spans="1:11" x14ac:dyDescent="0.25">
      <c r="A321" s="56" t="s">
        <v>1572</v>
      </c>
      <c r="B321" s="56"/>
      <c r="C321" s="56"/>
      <c r="D321" s="57"/>
      <c r="E321" s="56"/>
      <c r="G321"/>
      <c r="H321" s="56"/>
      <c r="I321" s="56"/>
      <c r="J321" s="56" t="s">
        <v>1586</v>
      </c>
      <c r="K321" t="s">
        <v>1238</v>
      </c>
    </row>
    <row r="322" spans="1:11" x14ac:dyDescent="0.25">
      <c r="A322" s="56" t="s">
        <v>1572</v>
      </c>
      <c r="B322" s="56"/>
      <c r="C322" s="56"/>
      <c r="D322" s="57"/>
      <c r="E322" s="56"/>
      <c r="G322"/>
      <c r="H322" s="56"/>
      <c r="I322" s="56"/>
      <c r="J322" s="56" t="s">
        <v>1586</v>
      </c>
      <c r="K322" t="s">
        <v>1239</v>
      </c>
    </row>
    <row r="323" spans="1:11" x14ac:dyDescent="0.25">
      <c r="A323" s="56" t="s">
        <v>1572</v>
      </c>
      <c r="B323" s="56"/>
      <c r="C323" s="56"/>
      <c r="D323" s="57"/>
      <c r="E323" s="56"/>
      <c r="G323"/>
      <c r="H323" s="56"/>
      <c r="I323" s="56"/>
      <c r="J323" s="56" t="s">
        <v>1586</v>
      </c>
      <c r="K323" t="s">
        <v>1240</v>
      </c>
    </row>
    <row r="324" spans="1:11" x14ac:dyDescent="0.25">
      <c r="A324" s="56" t="s">
        <v>1572</v>
      </c>
      <c r="B324" s="56" t="s">
        <v>1574</v>
      </c>
      <c r="C324" s="56" t="s">
        <v>10</v>
      </c>
      <c r="D324" s="57" t="s">
        <v>16</v>
      </c>
      <c r="E324" s="56" t="s">
        <v>125</v>
      </c>
      <c r="G324" t="s">
        <v>1525</v>
      </c>
      <c r="H324" s="56" t="s">
        <v>22</v>
      </c>
      <c r="I324" s="80" t="s">
        <v>1611</v>
      </c>
      <c r="J324" s="56" t="s">
        <v>1583</v>
      </c>
      <c r="K324" t="s">
        <v>1241</v>
      </c>
    </row>
    <row r="325" spans="1:11" x14ac:dyDescent="0.25">
      <c r="A325" s="56" t="s">
        <v>1572</v>
      </c>
      <c r="B325" s="56" t="s">
        <v>1574</v>
      </c>
      <c r="C325" s="56" t="s">
        <v>11</v>
      </c>
      <c r="D325" s="57" t="s">
        <v>16</v>
      </c>
      <c r="E325" s="56" t="s">
        <v>125</v>
      </c>
      <c r="G325" t="s">
        <v>1525</v>
      </c>
      <c r="H325" s="56" t="s">
        <v>22</v>
      </c>
      <c r="I325" s="80" t="s">
        <v>1611</v>
      </c>
      <c r="J325" s="56" t="s">
        <v>1583</v>
      </c>
      <c r="K325" t="s">
        <v>1242</v>
      </c>
    </row>
    <row r="326" spans="1:11" x14ac:dyDescent="0.25">
      <c r="A326" s="56" t="s">
        <v>1572</v>
      </c>
      <c r="B326" s="56" t="s">
        <v>1573</v>
      </c>
      <c r="C326" s="56"/>
      <c r="D326" s="57" t="s">
        <v>5</v>
      </c>
      <c r="E326" s="56" t="s">
        <v>78</v>
      </c>
      <c r="G326" t="s">
        <v>1528</v>
      </c>
      <c r="H326" s="56" t="s">
        <v>22</v>
      </c>
      <c r="I326" s="80" t="s">
        <v>1612</v>
      </c>
      <c r="J326" s="56" t="s">
        <v>1583</v>
      </c>
      <c r="K326" t="s">
        <v>1388</v>
      </c>
    </row>
    <row r="327" spans="1:11" x14ac:dyDescent="0.25">
      <c r="A327" s="56" t="s">
        <v>1572</v>
      </c>
      <c r="B327" s="56" t="s">
        <v>1573</v>
      </c>
      <c r="C327" s="56"/>
      <c r="D327" s="57" t="s">
        <v>6</v>
      </c>
      <c r="E327" s="56" t="s">
        <v>78</v>
      </c>
      <c r="G327" t="s">
        <v>1528</v>
      </c>
      <c r="H327" s="56" t="s">
        <v>22</v>
      </c>
      <c r="I327" s="80" t="s">
        <v>1612</v>
      </c>
      <c r="J327" s="56" t="s">
        <v>1583</v>
      </c>
      <c r="K327" t="s">
        <v>1389</v>
      </c>
    </row>
    <row r="328" spans="1:11" x14ac:dyDescent="0.25">
      <c r="A328" s="56" t="s">
        <v>1572</v>
      </c>
      <c r="B328" s="56" t="s">
        <v>1574</v>
      </c>
      <c r="C328" s="56" t="s">
        <v>10</v>
      </c>
      <c r="D328" s="57" t="s">
        <v>7</v>
      </c>
      <c r="E328" s="56" t="s">
        <v>78</v>
      </c>
      <c r="G328" t="s">
        <v>1528</v>
      </c>
      <c r="H328" s="56" t="s">
        <v>22</v>
      </c>
      <c r="I328" s="80" t="s">
        <v>1612</v>
      </c>
      <c r="J328" s="56" t="s">
        <v>1583</v>
      </c>
      <c r="K328" t="s">
        <v>1390</v>
      </c>
    </row>
    <row r="329" spans="1:11" x14ac:dyDescent="0.25">
      <c r="A329" s="56" t="s">
        <v>1572</v>
      </c>
      <c r="B329" s="56" t="s">
        <v>1574</v>
      </c>
      <c r="C329" s="56" t="s">
        <v>11</v>
      </c>
      <c r="D329" s="57" t="s">
        <v>7</v>
      </c>
      <c r="E329" s="56" t="s">
        <v>78</v>
      </c>
      <c r="G329" t="s">
        <v>1528</v>
      </c>
      <c r="H329" s="56" t="s">
        <v>22</v>
      </c>
      <c r="I329" s="80" t="s">
        <v>1612</v>
      </c>
      <c r="J329" s="56" t="s">
        <v>1583</v>
      </c>
      <c r="K329" t="s">
        <v>1391</v>
      </c>
    </row>
    <row r="330" spans="1:11" x14ac:dyDescent="0.25">
      <c r="A330" s="56" t="s">
        <v>1572</v>
      </c>
      <c r="B330" s="56" t="s">
        <v>1573</v>
      </c>
      <c r="C330" s="56"/>
      <c r="D330" s="57" t="s">
        <v>5</v>
      </c>
      <c r="E330" s="56" t="s">
        <v>125</v>
      </c>
      <c r="G330" t="s">
        <v>1528</v>
      </c>
      <c r="H330" s="56" t="s">
        <v>22</v>
      </c>
      <c r="I330" s="80" t="s">
        <v>1613</v>
      </c>
      <c r="J330" s="56" t="s">
        <v>1583</v>
      </c>
      <c r="K330" t="s">
        <v>1392</v>
      </c>
    </row>
    <row r="331" spans="1:11" x14ac:dyDescent="0.25">
      <c r="A331" s="56" t="s">
        <v>1572</v>
      </c>
      <c r="B331" s="56" t="s">
        <v>1573</v>
      </c>
      <c r="C331" s="56"/>
      <c r="D331" s="57" t="s">
        <v>6</v>
      </c>
      <c r="E331" s="56" t="s">
        <v>125</v>
      </c>
      <c r="G331" t="s">
        <v>1528</v>
      </c>
      <c r="H331" s="56" t="s">
        <v>22</v>
      </c>
      <c r="I331" s="80" t="s">
        <v>1613</v>
      </c>
      <c r="J331" s="56" t="s">
        <v>1583</v>
      </c>
      <c r="K331" t="s">
        <v>1393</v>
      </c>
    </row>
    <row r="332" spans="1:11" x14ac:dyDescent="0.25">
      <c r="A332" s="56" t="s">
        <v>1572</v>
      </c>
      <c r="B332" s="56" t="s">
        <v>1574</v>
      </c>
      <c r="C332" s="56" t="s">
        <v>10</v>
      </c>
      <c r="D332" s="57" t="s">
        <v>7</v>
      </c>
      <c r="E332" s="56" t="s">
        <v>125</v>
      </c>
      <c r="G332" t="s">
        <v>1528</v>
      </c>
      <c r="H332" s="56" t="s">
        <v>22</v>
      </c>
      <c r="I332" s="80" t="s">
        <v>1613</v>
      </c>
      <c r="J332" s="56" t="s">
        <v>1583</v>
      </c>
      <c r="K332" t="s">
        <v>1394</v>
      </c>
    </row>
    <row r="333" spans="1:11" x14ac:dyDescent="0.25">
      <c r="A333" s="56" t="s">
        <v>1572</v>
      </c>
      <c r="B333" s="56" t="s">
        <v>1574</v>
      </c>
      <c r="C333" s="56" t="s">
        <v>11</v>
      </c>
      <c r="D333" s="57" t="s">
        <v>7</v>
      </c>
      <c r="E333" s="56" t="s">
        <v>125</v>
      </c>
      <c r="G333" t="s">
        <v>1528</v>
      </c>
      <c r="H333" s="56" t="s">
        <v>22</v>
      </c>
      <c r="I333" s="80" t="s">
        <v>1613</v>
      </c>
      <c r="J333" s="56" t="s">
        <v>1583</v>
      </c>
      <c r="K333" t="s">
        <v>1395</v>
      </c>
    </row>
    <row r="334" spans="1:11" x14ac:dyDescent="0.25">
      <c r="A334" s="56" t="s">
        <v>1572</v>
      </c>
      <c r="B334" s="56" t="s">
        <v>1574</v>
      </c>
      <c r="C334" s="56" t="s">
        <v>10</v>
      </c>
      <c r="D334" s="57" t="s">
        <v>8</v>
      </c>
      <c r="E334" s="56" t="s">
        <v>78</v>
      </c>
      <c r="G334" t="s">
        <v>1528</v>
      </c>
      <c r="H334" s="56" t="s">
        <v>22</v>
      </c>
      <c r="I334" s="80" t="s">
        <v>1614</v>
      </c>
      <c r="J334" s="56" t="s">
        <v>1583</v>
      </c>
      <c r="K334" t="s">
        <v>1396</v>
      </c>
    </row>
    <row r="335" spans="1:11" x14ac:dyDescent="0.25">
      <c r="A335" s="56" t="s">
        <v>1572</v>
      </c>
      <c r="B335" s="56" t="s">
        <v>1574</v>
      </c>
      <c r="C335" s="56" t="s">
        <v>11</v>
      </c>
      <c r="D335" s="57" t="s">
        <v>8</v>
      </c>
      <c r="E335" s="56" t="s">
        <v>78</v>
      </c>
      <c r="G335" t="s">
        <v>1528</v>
      </c>
      <c r="H335" s="56" t="s">
        <v>22</v>
      </c>
      <c r="I335" s="80" t="s">
        <v>1614</v>
      </c>
      <c r="J335" s="56" t="s">
        <v>1583</v>
      </c>
      <c r="K335" t="s">
        <v>1397</v>
      </c>
    </row>
    <row r="336" spans="1:11" x14ac:dyDescent="0.25">
      <c r="A336" s="56" t="s">
        <v>1572</v>
      </c>
      <c r="B336" s="56" t="s">
        <v>1574</v>
      </c>
      <c r="C336" s="56" t="s">
        <v>10</v>
      </c>
      <c r="D336" s="57" t="s">
        <v>15</v>
      </c>
      <c r="E336" s="56" t="s">
        <v>78</v>
      </c>
      <c r="G336" t="s">
        <v>1528</v>
      </c>
      <c r="H336" s="56" t="s">
        <v>22</v>
      </c>
      <c r="I336" s="80" t="s">
        <v>1614</v>
      </c>
      <c r="J336" s="56" t="s">
        <v>1583</v>
      </c>
      <c r="K336" t="s">
        <v>1398</v>
      </c>
    </row>
    <row r="337" spans="1:11" x14ac:dyDescent="0.25">
      <c r="A337" s="56" t="s">
        <v>1572</v>
      </c>
      <c r="B337" s="56" t="s">
        <v>1574</v>
      </c>
      <c r="C337" s="56" t="s">
        <v>11</v>
      </c>
      <c r="D337" s="57" t="s">
        <v>15</v>
      </c>
      <c r="E337" s="56" t="s">
        <v>78</v>
      </c>
      <c r="G337" t="s">
        <v>1528</v>
      </c>
      <c r="H337" s="56" t="s">
        <v>22</v>
      </c>
      <c r="I337" s="80" t="s">
        <v>1614</v>
      </c>
      <c r="J337" s="56" t="s">
        <v>1583</v>
      </c>
      <c r="K337" t="s">
        <v>1399</v>
      </c>
    </row>
    <row r="338" spans="1:11" x14ac:dyDescent="0.25">
      <c r="A338" s="56" t="s">
        <v>1572</v>
      </c>
      <c r="B338" s="56"/>
      <c r="C338" s="56"/>
      <c r="D338" s="57"/>
      <c r="E338" s="56"/>
      <c r="G338"/>
      <c r="H338" s="56"/>
      <c r="I338" s="56"/>
      <c r="J338" s="56" t="s">
        <v>1586</v>
      </c>
      <c r="K338" t="s">
        <v>1400</v>
      </c>
    </row>
    <row r="339" spans="1:11" x14ac:dyDescent="0.25">
      <c r="A339" s="56" t="s">
        <v>1572</v>
      </c>
      <c r="B339" s="56"/>
      <c r="C339" s="56"/>
      <c r="D339" s="57"/>
      <c r="E339" s="56"/>
      <c r="G339"/>
      <c r="H339" s="56"/>
      <c r="I339" s="56"/>
      <c r="J339" s="56" t="s">
        <v>1586</v>
      </c>
      <c r="K339" t="s">
        <v>1401</v>
      </c>
    </row>
    <row r="340" spans="1:11" x14ac:dyDescent="0.25">
      <c r="A340" s="56" t="s">
        <v>1572</v>
      </c>
      <c r="B340" s="56"/>
      <c r="C340" s="56"/>
      <c r="D340" s="57"/>
      <c r="E340" s="56"/>
      <c r="G340"/>
      <c r="H340" s="56"/>
      <c r="I340" s="56"/>
      <c r="J340" s="56" t="s">
        <v>1586</v>
      </c>
      <c r="K340" t="s">
        <v>1402</v>
      </c>
    </row>
    <row r="341" spans="1:11" x14ac:dyDescent="0.25">
      <c r="A341" s="56" t="s">
        <v>1572</v>
      </c>
      <c r="B341" s="56"/>
      <c r="C341" s="56"/>
      <c r="D341" s="57"/>
      <c r="E341" s="56"/>
      <c r="G341"/>
      <c r="H341" s="56"/>
      <c r="I341" s="56"/>
      <c r="J341" s="56" t="s">
        <v>1586</v>
      </c>
      <c r="K341" t="s">
        <v>1403</v>
      </c>
    </row>
    <row r="342" spans="1:11" x14ac:dyDescent="0.25">
      <c r="A342" s="56" t="s">
        <v>1572</v>
      </c>
      <c r="B342" s="56"/>
      <c r="C342" s="56"/>
      <c r="D342" s="57"/>
      <c r="E342" s="56"/>
      <c r="G342"/>
      <c r="H342" s="56"/>
      <c r="I342" s="56"/>
      <c r="J342" s="56" t="s">
        <v>1586</v>
      </c>
      <c r="K342" t="s">
        <v>1404</v>
      </c>
    </row>
    <row r="343" spans="1:11" x14ac:dyDescent="0.25">
      <c r="A343" s="56" t="s">
        <v>1572</v>
      </c>
      <c r="B343" s="56"/>
      <c r="C343" s="56"/>
      <c r="D343" s="57"/>
      <c r="E343" s="56"/>
      <c r="G343"/>
      <c r="H343" s="56"/>
      <c r="I343" s="56"/>
      <c r="J343" s="56" t="s">
        <v>1586</v>
      </c>
      <c r="K343" t="s">
        <v>1405</v>
      </c>
    </row>
    <row r="344" spans="1:11" x14ac:dyDescent="0.25">
      <c r="A344" s="56" t="s">
        <v>1572</v>
      </c>
      <c r="B344" s="56"/>
      <c r="C344" s="56"/>
      <c r="D344" s="57"/>
      <c r="E344" s="56"/>
      <c r="G344"/>
      <c r="H344" s="56"/>
      <c r="I344" s="56"/>
      <c r="J344" s="56" t="s">
        <v>1586</v>
      </c>
      <c r="K344" t="s">
        <v>1406</v>
      </c>
    </row>
    <row r="345" spans="1:11" x14ac:dyDescent="0.25">
      <c r="A345" s="56" t="s">
        <v>1572</v>
      </c>
      <c r="B345" s="56"/>
      <c r="C345" s="56"/>
      <c r="D345" s="57"/>
      <c r="E345" s="56"/>
      <c r="G345"/>
      <c r="H345" s="56"/>
      <c r="I345" s="56"/>
      <c r="J345" s="56" t="s">
        <v>1586</v>
      </c>
      <c r="K345" t="s">
        <v>1407</v>
      </c>
    </row>
    <row r="346" spans="1:11" x14ac:dyDescent="0.25">
      <c r="A346" s="56" t="s">
        <v>1572</v>
      </c>
      <c r="B346" s="56" t="s">
        <v>1574</v>
      </c>
      <c r="C346" s="56" t="s">
        <v>10</v>
      </c>
      <c r="D346" s="57" t="s">
        <v>16</v>
      </c>
      <c r="E346" s="56" t="s">
        <v>78</v>
      </c>
      <c r="G346" t="s">
        <v>1528</v>
      </c>
      <c r="H346" s="56" t="s">
        <v>22</v>
      </c>
      <c r="I346" s="80" t="s">
        <v>1614</v>
      </c>
      <c r="J346" s="56" t="s">
        <v>1583</v>
      </c>
      <c r="K346" t="s">
        <v>1408</v>
      </c>
    </row>
    <row r="347" spans="1:11" x14ac:dyDescent="0.25">
      <c r="A347" s="56" t="s">
        <v>1572</v>
      </c>
      <c r="B347" s="56" t="s">
        <v>1574</v>
      </c>
      <c r="C347" s="56" t="s">
        <v>11</v>
      </c>
      <c r="D347" s="57" t="s">
        <v>16</v>
      </c>
      <c r="E347" s="56" t="s">
        <v>78</v>
      </c>
      <c r="G347" t="s">
        <v>1528</v>
      </c>
      <c r="H347" s="56" t="s">
        <v>22</v>
      </c>
      <c r="I347" s="80" t="s">
        <v>1614</v>
      </c>
      <c r="J347" s="56" t="s">
        <v>1583</v>
      </c>
      <c r="K347" t="s">
        <v>1409</v>
      </c>
    </row>
    <row r="348" spans="1:11" x14ac:dyDescent="0.25">
      <c r="A348" s="56" t="s">
        <v>1572</v>
      </c>
      <c r="B348" s="56" t="s">
        <v>1574</v>
      </c>
      <c r="C348" s="56" t="s">
        <v>10</v>
      </c>
      <c r="D348" s="57" t="s">
        <v>8</v>
      </c>
      <c r="E348" s="56" t="s">
        <v>125</v>
      </c>
      <c r="G348" t="s">
        <v>1528</v>
      </c>
      <c r="H348" s="56" t="s">
        <v>22</v>
      </c>
      <c r="I348" s="80" t="s">
        <v>1615</v>
      </c>
      <c r="J348" s="56" t="s">
        <v>1583</v>
      </c>
      <c r="K348" t="s">
        <v>1410</v>
      </c>
    </row>
    <row r="349" spans="1:11" x14ac:dyDescent="0.25">
      <c r="A349" s="56" t="s">
        <v>1572</v>
      </c>
      <c r="B349" s="56" t="s">
        <v>1574</v>
      </c>
      <c r="C349" s="56" t="s">
        <v>11</v>
      </c>
      <c r="D349" s="57" t="s">
        <v>8</v>
      </c>
      <c r="E349" s="56" t="s">
        <v>125</v>
      </c>
      <c r="G349" t="s">
        <v>1528</v>
      </c>
      <c r="H349" s="56" t="s">
        <v>22</v>
      </c>
      <c r="I349" s="80" t="s">
        <v>1615</v>
      </c>
      <c r="J349" s="56" t="s">
        <v>1583</v>
      </c>
      <c r="K349" t="s">
        <v>1411</v>
      </c>
    </row>
    <row r="350" spans="1:11" x14ac:dyDescent="0.25">
      <c r="A350" s="56" t="s">
        <v>1572</v>
      </c>
      <c r="B350" s="56" t="s">
        <v>1574</v>
      </c>
      <c r="C350" s="56" t="s">
        <v>10</v>
      </c>
      <c r="D350" s="57" t="s">
        <v>15</v>
      </c>
      <c r="E350" s="56" t="s">
        <v>125</v>
      </c>
      <c r="G350" t="s">
        <v>1528</v>
      </c>
      <c r="H350" s="56" t="s">
        <v>22</v>
      </c>
      <c r="I350" s="80" t="s">
        <v>1615</v>
      </c>
      <c r="J350" s="56" t="s">
        <v>1583</v>
      </c>
      <c r="K350" t="s">
        <v>1412</v>
      </c>
    </row>
    <row r="351" spans="1:11" x14ac:dyDescent="0.25">
      <c r="A351" s="56" t="s">
        <v>1572</v>
      </c>
      <c r="B351" s="56" t="s">
        <v>1574</v>
      </c>
      <c r="C351" s="56" t="s">
        <v>11</v>
      </c>
      <c r="D351" s="57" t="s">
        <v>15</v>
      </c>
      <c r="E351" s="56" t="s">
        <v>125</v>
      </c>
      <c r="G351" t="s">
        <v>1528</v>
      </c>
      <c r="H351" s="56" t="s">
        <v>22</v>
      </c>
      <c r="I351" s="80" t="s">
        <v>1615</v>
      </c>
      <c r="J351" s="56" t="s">
        <v>1583</v>
      </c>
      <c r="K351" t="s">
        <v>1413</v>
      </c>
    </row>
    <row r="352" spans="1:11" x14ac:dyDescent="0.25">
      <c r="A352" s="56" t="s">
        <v>1572</v>
      </c>
      <c r="B352" s="56"/>
      <c r="C352" s="56"/>
      <c r="D352" s="57"/>
      <c r="E352" s="56"/>
      <c r="G352"/>
      <c r="H352" s="56"/>
      <c r="I352" s="56"/>
      <c r="J352" s="56" t="s">
        <v>1586</v>
      </c>
      <c r="K352" t="s">
        <v>1414</v>
      </c>
    </row>
    <row r="353" spans="1:11" x14ac:dyDescent="0.25">
      <c r="A353" s="56" t="s">
        <v>1572</v>
      </c>
      <c r="B353" s="56"/>
      <c r="C353" s="56"/>
      <c r="D353" s="57"/>
      <c r="E353" s="56"/>
      <c r="G353"/>
      <c r="H353" s="56"/>
      <c r="I353" s="56"/>
      <c r="J353" s="56" t="s">
        <v>1586</v>
      </c>
      <c r="K353" t="s">
        <v>1415</v>
      </c>
    </row>
    <row r="354" spans="1:11" x14ac:dyDescent="0.25">
      <c r="A354" s="56" t="s">
        <v>1572</v>
      </c>
      <c r="B354" s="56"/>
      <c r="C354" s="56"/>
      <c r="D354" s="57"/>
      <c r="E354" s="56"/>
      <c r="G354"/>
      <c r="H354" s="56"/>
      <c r="I354" s="56"/>
      <c r="J354" s="56" t="s">
        <v>1586</v>
      </c>
      <c r="K354" t="s">
        <v>1416</v>
      </c>
    </row>
    <row r="355" spans="1:11" x14ac:dyDescent="0.25">
      <c r="A355" s="56" t="s">
        <v>1572</v>
      </c>
      <c r="B355" s="56"/>
      <c r="C355" s="56"/>
      <c r="D355" s="57"/>
      <c r="E355" s="56"/>
      <c r="G355"/>
      <c r="H355" s="56"/>
      <c r="I355" s="56"/>
      <c r="J355" s="56" t="s">
        <v>1586</v>
      </c>
      <c r="K355" t="s">
        <v>1417</v>
      </c>
    </row>
    <row r="356" spans="1:11" x14ac:dyDescent="0.25">
      <c r="A356" s="56" t="s">
        <v>1572</v>
      </c>
      <c r="B356" s="56"/>
      <c r="C356" s="56"/>
      <c r="D356" s="57"/>
      <c r="E356" s="56"/>
      <c r="G356"/>
      <c r="H356" s="56"/>
      <c r="I356" s="56"/>
      <c r="J356" s="56" t="s">
        <v>1586</v>
      </c>
      <c r="K356" t="s">
        <v>1418</v>
      </c>
    </row>
    <row r="357" spans="1:11" x14ac:dyDescent="0.25">
      <c r="A357" s="56" t="s">
        <v>1572</v>
      </c>
      <c r="B357" s="56"/>
      <c r="C357" s="56"/>
      <c r="D357" s="57"/>
      <c r="E357" s="56"/>
      <c r="G357"/>
      <c r="H357" s="56"/>
      <c r="I357" s="56"/>
      <c r="J357" s="56" t="s">
        <v>1586</v>
      </c>
      <c r="K357" t="s">
        <v>1419</v>
      </c>
    </row>
    <row r="358" spans="1:11" x14ac:dyDescent="0.25">
      <c r="A358" s="56" t="s">
        <v>1572</v>
      </c>
      <c r="B358" s="56"/>
      <c r="C358" s="56"/>
      <c r="D358" s="57"/>
      <c r="E358" s="56"/>
      <c r="G358"/>
      <c r="H358" s="56"/>
      <c r="I358" s="56"/>
      <c r="J358" s="56" t="s">
        <v>1586</v>
      </c>
      <c r="K358" t="s">
        <v>1420</v>
      </c>
    </row>
    <row r="359" spans="1:11" x14ac:dyDescent="0.25">
      <c r="A359" s="56" t="s">
        <v>1572</v>
      </c>
      <c r="B359" s="56"/>
      <c r="C359" s="56"/>
      <c r="D359" s="57"/>
      <c r="E359" s="56"/>
      <c r="G359"/>
      <c r="H359" s="56"/>
      <c r="I359" s="56"/>
      <c r="J359" s="56" t="s">
        <v>1586</v>
      </c>
      <c r="K359" t="s">
        <v>1421</v>
      </c>
    </row>
    <row r="360" spans="1:11" x14ac:dyDescent="0.25">
      <c r="A360" s="56" t="s">
        <v>1572</v>
      </c>
      <c r="B360" s="56" t="s">
        <v>1574</v>
      </c>
      <c r="C360" s="56" t="s">
        <v>10</v>
      </c>
      <c r="D360" s="57" t="s">
        <v>16</v>
      </c>
      <c r="E360" s="56" t="s">
        <v>125</v>
      </c>
      <c r="G360" t="s">
        <v>1528</v>
      </c>
      <c r="H360" s="56" t="s">
        <v>22</v>
      </c>
      <c r="I360" s="80" t="s">
        <v>1615</v>
      </c>
      <c r="J360" s="56" t="s">
        <v>1583</v>
      </c>
      <c r="K360" t="s">
        <v>1422</v>
      </c>
    </row>
    <row r="361" spans="1:11" x14ac:dyDescent="0.25">
      <c r="A361" s="56" t="s">
        <v>1572</v>
      </c>
      <c r="B361" s="56" t="s">
        <v>1574</v>
      </c>
      <c r="C361" s="56" t="s">
        <v>11</v>
      </c>
      <c r="D361" s="57" t="s">
        <v>16</v>
      </c>
      <c r="E361" s="56" t="s">
        <v>125</v>
      </c>
      <c r="G361" t="s">
        <v>1528</v>
      </c>
      <c r="H361" s="56" t="s">
        <v>22</v>
      </c>
      <c r="I361" s="80" t="s">
        <v>1615</v>
      </c>
      <c r="J361" s="56" t="s">
        <v>1583</v>
      </c>
      <c r="K361" t="s">
        <v>1423</v>
      </c>
    </row>
    <row r="362" spans="1:11" x14ac:dyDescent="0.25">
      <c r="A362" s="56" t="s">
        <v>1572</v>
      </c>
      <c r="B362" s="56" t="s">
        <v>1573</v>
      </c>
      <c r="C362" s="56"/>
      <c r="D362" s="57" t="s">
        <v>5</v>
      </c>
      <c r="E362" s="56" t="s">
        <v>78</v>
      </c>
      <c r="G362" t="s">
        <v>1527</v>
      </c>
      <c r="H362" s="56" t="s">
        <v>22</v>
      </c>
      <c r="I362" s="80" t="s">
        <v>1616</v>
      </c>
      <c r="J362" s="56" t="s">
        <v>1583</v>
      </c>
      <c r="K362" t="s">
        <v>1315</v>
      </c>
    </row>
    <row r="363" spans="1:11" x14ac:dyDescent="0.25">
      <c r="A363" s="56" t="s">
        <v>1572</v>
      </c>
      <c r="B363" s="56" t="s">
        <v>1573</v>
      </c>
      <c r="C363" s="56"/>
      <c r="D363" s="57" t="s">
        <v>6</v>
      </c>
      <c r="E363" s="56" t="s">
        <v>78</v>
      </c>
      <c r="G363" t="s">
        <v>1527</v>
      </c>
      <c r="H363" s="56" t="s">
        <v>22</v>
      </c>
      <c r="I363" s="80" t="s">
        <v>1616</v>
      </c>
      <c r="J363" s="56" t="s">
        <v>1583</v>
      </c>
      <c r="K363" t="s">
        <v>1316</v>
      </c>
    </row>
    <row r="364" spans="1:11" x14ac:dyDescent="0.25">
      <c r="A364" s="56" t="s">
        <v>1572</v>
      </c>
      <c r="B364" s="56" t="s">
        <v>1574</v>
      </c>
      <c r="C364" s="56" t="s">
        <v>10</v>
      </c>
      <c r="D364" s="57" t="s">
        <v>7</v>
      </c>
      <c r="E364" s="56" t="s">
        <v>78</v>
      </c>
      <c r="G364" t="s">
        <v>1527</v>
      </c>
      <c r="H364" s="56" t="s">
        <v>22</v>
      </c>
      <c r="I364" s="80" t="s">
        <v>1616</v>
      </c>
      <c r="J364" s="56" t="s">
        <v>1583</v>
      </c>
      <c r="K364" t="s">
        <v>1317</v>
      </c>
    </row>
    <row r="365" spans="1:11" x14ac:dyDescent="0.25">
      <c r="A365" s="56" t="s">
        <v>1572</v>
      </c>
      <c r="B365" s="56" t="s">
        <v>1574</v>
      </c>
      <c r="C365" s="56" t="s">
        <v>11</v>
      </c>
      <c r="D365" s="57" t="s">
        <v>7</v>
      </c>
      <c r="E365" s="56" t="s">
        <v>78</v>
      </c>
      <c r="G365" t="s">
        <v>1527</v>
      </c>
      <c r="H365" s="56" t="s">
        <v>22</v>
      </c>
      <c r="I365" s="80" t="s">
        <v>1616</v>
      </c>
      <c r="J365" s="56" t="s">
        <v>1583</v>
      </c>
      <c r="K365" t="s">
        <v>1318</v>
      </c>
    </row>
    <row r="366" spans="1:11" x14ac:dyDescent="0.25">
      <c r="A366" s="56" t="s">
        <v>1572</v>
      </c>
      <c r="B366" s="56" t="s">
        <v>1573</v>
      </c>
      <c r="C366" s="56"/>
      <c r="D366" s="57" t="s">
        <v>5</v>
      </c>
      <c r="E366" s="56" t="s">
        <v>125</v>
      </c>
      <c r="G366" t="s">
        <v>1527</v>
      </c>
      <c r="H366" s="56" t="s">
        <v>22</v>
      </c>
      <c r="I366" s="80" t="s">
        <v>1617</v>
      </c>
      <c r="J366" s="56" t="s">
        <v>1583</v>
      </c>
      <c r="K366" t="s">
        <v>1319</v>
      </c>
    </row>
    <row r="367" spans="1:11" x14ac:dyDescent="0.25">
      <c r="A367" s="56" t="s">
        <v>1572</v>
      </c>
      <c r="B367" s="56" t="s">
        <v>1573</v>
      </c>
      <c r="C367" s="56"/>
      <c r="D367" s="57" t="s">
        <v>6</v>
      </c>
      <c r="E367" s="56" t="s">
        <v>125</v>
      </c>
      <c r="G367" t="s">
        <v>1527</v>
      </c>
      <c r="H367" s="56" t="s">
        <v>22</v>
      </c>
      <c r="I367" s="80" t="s">
        <v>1617</v>
      </c>
      <c r="J367" s="56" t="s">
        <v>1583</v>
      </c>
      <c r="K367" t="s">
        <v>1320</v>
      </c>
    </row>
    <row r="368" spans="1:11" x14ac:dyDescent="0.25">
      <c r="A368" s="56" t="s">
        <v>1572</v>
      </c>
      <c r="B368" s="56" t="s">
        <v>1574</v>
      </c>
      <c r="C368" s="56" t="s">
        <v>10</v>
      </c>
      <c r="D368" s="57" t="s">
        <v>7</v>
      </c>
      <c r="E368" s="56" t="s">
        <v>125</v>
      </c>
      <c r="G368" t="s">
        <v>1527</v>
      </c>
      <c r="H368" s="56" t="s">
        <v>22</v>
      </c>
      <c r="I368" s="80" t="s">
        <v>1617</v>
      </c>
      <c r="J368" s="56" t="s">
        <v>1583</v>
      </c>
      <c r="K368" t="s">
        <v>1321</v>
      </c>
    </row>
    <row r="369" spans="1:11" s="56" customFormat="1" x14ac:dyDescent="0.25">
      <c r="A369" s="56" t="s">
        <v>1572</v>
      </c>
      <c r="B369" s="56" t="s">
        <v>1574</v>
      </c>
      <c r="C369" s="56" t="s">
        <v>11</v>
      </c>
      <c r="D369" s="57" t="s">
        <v>7</v>
      </c>
      <c r="E369" s="56" t="s">
        <v>125</v>
      </c>
      <c r="G369" s="56" t="s">
        <v>1527</v>
      </c>
      <c r="H369" s="56" t="s">
        <v>22</v>
      </c>
      <c r="I369" s="80" t="s">
        <v>1617</v>
      </c>
      <c r="J369" s="56" t="s">
        <v>1583</v>
      </c>
      <c r="K369" s="56" t="s">
        <v>1322</v>
      </c>
    </row>
    <row r="370" spans="1:11" s="56" customFormat="1" x14ac:dyDescent="0.25">
      <c r="A370" s="56" t="s">
        <v>1572</v>
      </c>
      <c r="B370" s="56" t="s">
        <v>1574</v>
      </c>
      <c r="C370" s="56" t="s">
        <v>10</v>
      </c>
      <c r="D370" s="57" t="s">
        <v>8</v>
      </c>
      <c r="E370" s="56" t="s">
        <v>78</v>
      </c>
      <c r="G370" s="56" t="s">
        <v>1527</v>
      </c>
      <c r="H370" s="56" t="s">
        <v>22</v>
      </c>
      <c r="I370" s="80" t="s">
        <v>1618</v>
      </c>
      <c r="J370" s="56" t="s">
        <v>1583</v>
      </c>
      <c r="K370" s="56" t="s">
        <v>1323</v>
      </c>
    </row>
    <row r="371" spans="1:11" s="56" customFormat="1" x14ac:dyDescent="0.25">
      <c r="A371" s="56" t="s">
        <v>1572</v>
      </c>
      <c r="B371" s="56" t="s">
        <v>1574</v>
      </c>
      <c r="C371" s="56" t="s">
        <v>11</v>
      </c>
      <c r="D371" s="57" t="s">
        <v>8</v>
      </c>
      <c r="E371" s="56" t="s">
        <v>78</v>
      </c>
      <c r="G371" s="56" t="s">
        <v>1527</v>
      </c>
      <c r="H371" s="56" t="s">
        <v>22</v>
      </c>
      <c r="I371" s="80" t="s">
        <v>1618</v>
      </c>
      <c r="J371" s="56" t="s">
        <v>1583</v>
      </c>
      <c r="K371" s="56" t="s">
        <v>1324</v>
      </c>
    </row>
    <row r="372" spans="1:11" s="56" customFormat="1" x14ac:dyDescent="0.25">
      <c r="A372" s="56" t="s">
        <v>1572</v>
      </c>
      <c r="B372" s="56" t="s">
        <v>1574</v>
      </c>
      <c r="C372" s="56" t="s">
        <v>10</v>
      </c>
      <c r="D372" s="57" t="s">
        <v>15</v>
      </c>
      <c r="E372" s="56" t="s">
        <v>78</v>
      </c>
      <c r="G372" s="56" t="s">
        <v>1527</v>
      </c>
      <c r="H372" s="56" t="s">
        <v>22</v>
      </c>
      <c r="I372" s="80" t="s">
        <v>1618</v>
      </c>
      <c r="J372" s="56" t="s">
        <v>1583</v>
      </c>
      <c r="K372" s="56" t="s">
        <v>1325</v>
      </c>
    </row>
    <row r="373" spans="1:11" s="56" customFormat="1" x14ac:dyDescent="0.25">
      <c r="A373" s="56" t="s">
        <v>1572</v>
      </c>
      <c r="B373" s="56" t="s">
        <v>1574</v>
      </c>
      <c r="C373" s="56" t="s">
        <v>11</v>
      </c>
      <c r="D373" s="57" t="s">
        <v>15</v>
      </c>
      <c r="E373" s="56" t="s">
        <v>78</v>
      </c>
      <c r="G373" s="56" t="s">
        <v>1527</v>
      </c>
      <c r="H373" s="56" t="s">
        <v>22</v>
      </c>
      <c r="I373" s="80" t="s">
        <v>1618</v>
      </c>
      <c r="J373" s="56" t="s">
        <v>1583</v>
      </c>
      <c r="K373" s="56" t="s">
        <v>1326</v>
      </c>
    </row>
    <row r="374" spans="1:11" s="56" customFormat="1" x14ac:dyDescent="0.25">
      <c r="A374" s="56" t="s">
        <v>1572</v>
      </c>
      <c r="D374" s="57"/>
      <c r="J374" s="56" t="s">
        <v>1586</v>
      </c>
      <c r="K374" s="56" t="s">
        <v>1327</v>
      </c>
    </row>
    <row r="375" spans="1:11" s="56" customFormat="1" x14ac:dyDescent="0.25">
      <c r="A375" s="56" t="s">
        <v>1572</v>
      </c>
      <c r="D375" s="57"/>
      <c r="J375" s="56" t="s">
        <v>1586</v>
      </c>
      <c r="K375" s="56" t="s">
        <v>1328</v>
      </c>
    </row>
    <row r="376" spans="1:11" s="56" customFormat="1" x14ac:dyDescent="0.25">
      <c r="A376" s="56" t="s">
        <v>1572</v>
      </c>
      <c r="D376" s="57"/>
      <c r="J376" s="56" t="s">
        <v>1586</v>
      </c>
      <c r="K376" s="56" t="s">
        <v>1329</v>
      </c>
    </row>
    <row r="377" spans="1:11" s="56" customFormat="1" x14ac:dyDescent="0.25">
      <c r="A377" s="56" t="s">
        <v>1572</v>
      </c>
      <c r="D377" s="57"/>
      <c r="J377" s="56" t="s">
        <v>1586</v>
      </c>
      <c r="K377" s="56" t="s">
        <v>1330</v>
      </c>
    </row>
    <row r="378" spans="1:11" s="56" customFormat="1" x14ac:dyDescent="0.25">
      <c r="A378" s="56" t="s">
        <v>1572</v>
      </c>
      <c r="D378" s="57"/>
      <c r="J378" s="56" t="s">
        <v>1586</v>
      </c>
      <c r="K378" s="56" t="s">
        <v>1331</v>
      </c>
    </row>
    <row r="379" spans="1:11" x14ac:dyDescent="0.25">
      <c r="A379" s="56" t="s">
        <v>1572</v>
      </c>
      <c r="B379" s="56"/>
      <c r="C379" s="56"/>
      <c r="D379" s="57"/>
      <c r="E379" s="56"/>
      <c r="G379"/>
      <c r="H379" s="56"/>
      <c r="I379" s="56"/>
      <c r="J379" s="56" t="s">
        <v>1586</v>
      </c>
      <c r="K379" t="s">
        <v>1332</v>
      </c>
    </row>
    <row r="380" spans="1:11" x14ac:dyDescent="0.25">
      <c r="A380" s="56" t="s">
        <v>1572</v>
      </c>
      <c r="B380" s="56"/>
      <c r="C380" s="56"/>
      <c r="D380" s="57"/>
      <c r="E380" s="56"/>
      <c r="G380"/>
      <c r="H380" s="56"/>
      <c r="I380" s="56"/>
      <c r="J380" s="56" t="s">
        <v>1586</v>
      </c>
      <c r="K380" t="s">
        <v>1333</v>
      </c>
    </row>
    <row r="381" spans="1:11" x14ac:dyDescent="0.25">
      <c r="A381" s="56" t="s">
        <v>1572</v>
      </c>
      <c r="B381" s="56"/>
      <c r="C381" s="56"/>
      <c r="D381" s="57"/>
      <c r="E381" s="56"/>
      <c r="G381"/>
      <c r="H381" s="56"/>
      <c r="I381" s="56"/>
      <c r="J381" s="56" t="s">
        <v>1586</v>
      </c>
      <c r="K381" t="s">
        <v>1334</v>
      </c>
    </row>
    <row r="382" spans="1:11" x14ac:dyDescent="0.25">
      <c r="A382" s="56" t="s">
        <v>1572</v>
      </c>
      <c r="B382" s="56" t="s">
        <v>1574</v>
      </c>
      <c r="C382" s="56" t="s">
        <v>10</v>
      </c>
      <c r="D382" s="57" t="s">
        <v>16</v>
      </c>
      <c r="E382" s="56" t="s">
        <v>78</v>
      </c>
      <c r="G382" t="s">
        <v>1527</v>
      </c>
      <c r="H382" s="56" t="s">
        <v>22</v>
      </c>
      <c r="I382" s="80" t="s">
        <v>1618</v>
      </c>
      <c r="J382" s="56" t="s">
        <v>1583</v>
      </c>
      <c r="K382" t="s">
        <v>1335</v>
      </c>
    </row>
    <row r="383" spans="1:11" s="56" customFormat="1" x14ac:dyDescent="0.25">
      <c r="A383" s="56" t="s">
        <v>1572</v>
      </c>
      <c r="B383" s="56" t="s">
        <v>1574</v>
      </c>
      <c r="C383" s="56" t="s">
        <v>11</v>
      </c>
      <c r="D383" s="57" t="s">
        <v>16</v>
      </c>
      <c r="E383" s="56" t="s">
        <v>78</v>
      </c>
      <c r="G383" s="56" t="s">
        <v>1527</v>
      </c>
      <c r="H383" s="56" t="s">
        <v>22</v>
      </c>
      <c r="I383" s="80" t="s">
        <v>1618</v>
      </c>
      <c r="J383" s="56" t="s">
        <v>1583</v>
      </c>
      <c r="K383" s="56" t="s">
        <v>1336</v>
      </c>
    </row>
    <row r="384" spans="1:11" s="56" customFormat="1" x14ac:dyDescent="0.25">
      <c r="A384" s="56" t="s">
        <v>1572</v>
      </c>
      <c r="B384" s="56" t="s">
        <v>1574</v>
      </c>
      <c r="C384" s="56" t="s">
        <v>10</v>
      </c>
      <c r="D384" s="57" t="s">
        <v>8</v>
      </c>
      <c r="E384" s="56" t="s">
        <v>125</v>
      </c>
      <c r="G384" s="56" t="s">
        <v>1527</v>
      </c>
      <c r="H384" s="56" t="s">
        <v>22</v>
      </c>
      <c r="I384" s="80" t="s">
        <v>1619</v>
      </c>
      <c r="J384" s="56" t="s">
        <v>1583</v>
      </c>
      <c r="K384" s="56" t="s">
        <v>1337</v>
      </c>
    </row>
    <row r="385" spans="1:11" s="56" customFormat="1" x14ac:dyDescent="0.25">
      <c r="A385" s="56" t="s">
        <v>1572</v>
      </c>
      <c r="B385" s="56" t="s">
        <v>1574</v>
      </c>
      <c r="C385" s="56" t="s">
        <v>11</v>
      </c>
      <c r="D385" s="57" t="s">
        <v>8</v>
      </c>
      <c r="E385" s="56" t="s">
        <v>125</v>
      </c>
      <c r="G385" s="56" t="s">
        <v>1527</v>
      </c>
      <c r="H385" s="56" t="s">
        <v>22</v>
      </c>
      <c r="I385" s="80" t="s">
        <v>1619</v>
      </c>
      <c r="J385" s="56" t="s">
        <v>1583</v>
      </c>
      <c r="K385" s="56" t="s">
        <v>1338</v>
      </c>
    </row>
    <row r="386" spans="1:11" s="56" customFormat="1" x14ac:dyDescent="0.25">
      <c r="A386" s="56" t="s">
        <v>1572</v>
      </c>
      <c r="B386" s="56" t="s">
        <v>1574</v>
      </c>
      <c r="C386" s="56" t="s">
        <v>10</v>
      </c>
      <c r="D386" s="57" t="s">
        <v>15</v>
      </c>
      <c r="E386" s="56" t="s">
        <v>125</v>
      </c>
      <c r="G386" s="56" t="s">
        <v>1527</v>
      </c>
      <c r="H386" s="56" t="s">
        <v>22</v>
      </c>
      <c r="I386" s="80" t="s">
        <v>1619</v>
      </c>
      <c r="J386" s="56" t="s">
        <v>1583</v>
      </c>
      <c r="K386" s="56" t="s">
        <v>1339</v>
      </c>
    </row>
    <row r="387" spans="1:11" s="56" customFormat="1" x14ac:dyDescent="0.25">
      <c r="A387" s="56" t="s">
        <v>1572</v>
      </c>
      <c r="B387" s="56" t="s">
        <v>1574</v>
      </c>
      <c r="C387" s="56" t="s">
        <v>11</v>
      </c>
      <c r="D387" s="57" t="s">
        <v>15</v>
      </c>
      <c r="E387" s="56" t="s">
        <v>125</v>
      </c>
      <c r="G387" s="56" t="s">
        <v>1527</v>
      </c>
      <c r="H387" s="56" t="s">
        <v>22</v>
      </c>
      <c r="I387" s="80" t="s">
        <v>1619</v>
      </c>
      <c r="J387" s="56" t="s">
        <v>1583</v>
      </c>
      <c r="K387" s="56" t="s">
        <v>1340</v>
      </c>
    </row>
    <row r="388" spans="1:11" s="56" customFormat="1" x14ac:dyDescent="0.25">
      <c r="A388" s="56" t="s">
        <v>1572</v>
      </c>
      <c r="D388" s="57"/>
      <c r="J388" s="56" t="s">
        <v>1586</v>
      </c>
      <c r="K388" s="56" t="s">
        <v>1341</v>
      </c>
    </row>
    <row r="389" spans="1:11" s="56" customFormat="1" x14ac:dyDescent="0.25">
      <c r="A389" s="56" t="s">
        <v>1572</v>
      </c>
      <c r="D389" s="57"/>
      <c r="J389" s="56" t="s">
        <v>1586</v>
      </c>
      <c r="K389" s="56" t="s">
        <v>1342</v>
      </c>
    </row>
    <row r="390" spans="1:11" s="56" customFormat="1" x14ac:dyDescent="0.25">
      <c r="A390" s="56" t="s">
        <v>1572</v>
      </c>
      <c r="D390" s="57"/>
      <c r="J390" s="56" t="s">
        <v>1586</v>
      </c>
      <c r="K390" s="56" t="s">
        <v>1343</v>
      </c>
    </row>
    <row r="391" spans="1:11" x14ac:dyDescent="0.25">
      <c r="A391" s="56" t="s">
        <v>1572</v>
      </c>
      <c r="B391" s="56"/>
      <c r="C391" s="56"/>
      <c r="D391" s="57"/>
      <c r="E391" s="56"/>
      <c r="G391"/>
      <c r="H391" s="56"/>
      <c r="I391" s="56"/>
      <c r="J391" s="56" t="s">
        <v>1586</v>
      </c>
      <c r="K391" t="s">
        <v>1344</v>
      </c>
    </row>
    <row r="392" spans="1:11" x14ac:dyDescent="0.25">
      <c r="A392" s="56" t="s">
        <v>1572</v>
      </c>
      <c r="B392" s="56"/>
      <c r="C392" s="56"/>
      <c r="D392" s="57"/>
      <c r="E392" s="56"/>
      <c r="G392"/>
      <c r="H392" s="56"/>
      <c r="I392" s="56"/>
      <c r="J392" s="56" t="s">
        <v>1586</v>
      </c>
      <c r="K392" t="s">
        <v>1345</v>
      </c>
    </row>
    <row r="393" spans="1:11" x14ac:dyDescent="0.25">
      <c r="A393" s="56" t="s">
        <v>1572</v>
      </c>
      <c r="B393" s="56"/>
      <c r="C393" s="56"/>
      <c r="D393" s="57"/>
      <c r="E393" s="56"/>
      <c r="G393"/>
      <c r="H393" s="56"/>
      <c r="I393" s="56"/>
      <c r="J393" s="56" t="s">
        <v>1586</v>
      </c>
      <c r="K393" t="s">
        <v>1346</v>
      </c>
    </row>
    <row r="394" spans="1:11" x14ac:dyDescent="0.25">
      <c r="A394" s="56" t="s">
        <v>1572</v>
      </c>
      <c r="B394" s="56"/>
      <c r="C394" s="56"/>
      <c r="D394" s="57"/>
      <c r="E394" s="56"/>
      <c r="G394"/>
      <c r="H394" s="56"/>
      <c r="I394" s="56"/>
      <c r="J394" s="56" t="s">
        <v>1586</v>
      </c>
      <c r="K394" t="s">
        <v>1347</v>
      </c>
    </row>
    <row r="395" spans="1:11" x14ac:dyDescent="0.25">
      <c r="A395" s="56" t="s">
        <v>1572</v>
      </c>
      <c r="B395" s="56"/>
      <c r="C395" s="56"/>
      <c r="D395" s="57"/>
      <c r="E395" s="56"/>
      <c r="G395"/>
      <c r="H395" s="56"/>
      <c r="I395" s="56"/>
      <c r="J395" s="56" t="s">
        <v>1586</v>
      </c>
      <c r="K395" t="s">
        <v>1348</v>
      </c>
    </row>
    <row r="396" spans="1:11" x14ac:dyDescent="0.25">
      <c r="A396" s="56" t="s">
        <v>1572</v>
      </c>
      <c r="B396" s="56" t="s">
        <v>1574</v>
      </c>
      <c r="C396" s="56" t="s">
        <v>10</v>
      </c>
      <c r="D396" s="57" t="s">
        <v>16</v>
      </c>
      <c r="E396" s="56" t="s">
        <v>125</v>
      </c>
      <c r="G396" t="s">
        <v>1527</v>
      </c>
      <c r="H396" s="56" t="s">
        <v>22</v>
      </c>
      <c r="I396" s="80" t="s">
        <v>1619</v>
      </c>
      <c r="J396" s="56" t="s">
        <v>1583</v>
      </c>
      <c r="K396" t="s">
        <v>1349</v>
      </c>
    </row>
    <row r="397" spans="1:11" x14ac:dyDescent="0.25">
      <c r="A397" s="56" t="s">
        <v>1572</v>
      </c>
      <c r="B397" s="56" t="s">
        <v>1574</v>
      </c>
      <c r="C397" s="56" t="s">
        <v>11</v>
      </c>
      <c r="D397" s="57" t="s">
        <v>16</v>
      </c>
      <c r="E397" s="56" t="s">
        <v>125</v>
      </c>
      <c r="G397" t="s">
        <v>1527</v>
      </c>
      <c r="H397" s="56" t="s">
        <v>22</v>
      </c>
      <c r="I397" s="80" t="s">
        <v>1619</v>
      </c>
      <c r="J397" s="56" t="s">
        <v>1583</v>
      </c>
      <c r="K397" t="s">
        <v>1350</v>
      </c>
    </row>
    <row r="398" spans="1:11" x14ac:dyDescent="0.25">
      <c r="A398" s="56" t="s">
        <v>1572</v>
      </c>
      <c r="B398" s="95" t="s">
        <v>1643</v>
      </c>
      <c r="C398" s="56"/>
      <c r="D398" s="57" t="s">
        <v>5</v>
      </c>
      <c r="E398" s="56" t="s">
        <v>78</v>
      </c>
      <c r="G398" t="s">
        <v>1526</v>
      </c>
      <c r="H398" t="s">
        <v>22</v>
      </c>
      <c r="I398" s="80" t="s">
        <v>1620</v>
      </c>
      <c r="J398" s="56" t="s">
        <v>1583</v>
      </c>
      <c r="K398" t="s">
        <v>1469</v>
      </c>
    </row>
    <row r="399" spans="1:11" x14ac:dyDescent="0.25">
      <c r="A399" s="56" t="s">
        <v>1572</v>
      </c>
      <c r="B399" s="95" t="s">
        <v>1643</v>
      </c>
      <c r="C399" s="56"/>
      <c r="D399" s="57" t="s">
        <v>6</v>
      </c>
      <c r="E399" s="56" t="s">
        <v>78</v>
      </c>
      <c r="G399" t="s">
        <v>1526</v>
      </c>
      <c r="H399" s="56" t="s">
        <v>22</v>
      </c>
      <c r="I399" s="80" t="s">
        <v>1620</v>
      </c>
      <c r="J399" s="56" t="s">
        <v>1583</v>
      </c>
      <c r="K399" t="s">
        <v>1470</v>
      </c>
    </row>
    <row r="400" spans="1:11" x14ac:dyDescent="0.25">
      <c r="A400" s="56" t="s">
        <v>1572</v>
      </c>
      <c r="B400" s="95" t="s">
        <v>1643</v>
      </c>
      <c r="C400" s="56"/>
      <c r="D400" s="57" t="s">
        <v>7</v>
      </c>
      <c r="E400" s="56" t="s">
        <v>78</v>
      </c>
      <c r="G400" t="s">
        <v>1526</v>
      </c>
      <c r="H400" s="56" t="s">
        <v>22</v>
      </c>
      <c r="I400" s="80" t="s">
        <v>1620</v>
      </c>
      <c r="J400" s="56" t="s">
        <v>1583</v>
      </c>
      <c r="K400" t="s">
        <v>1281</v>
      </c>
    </row>
    <row r="401" spans="1:11" x14ac:dyDescent="0.25">
      <c r="A401" s="56" t="s">
        <v>1572</v>
      </c>
      <c r="B401" s="95" t="s">
        <v>1643</v>
      </c>
      <c r="C401" s="56"/>
      <c r="D401" s="57" t="s">
        <v>5</v>
      </c>
      <c r="E401" s="56" t="s">
        <v>125</v>
      </c>
      <c r="G401" t="s">
        <v>1526</v>
      </c>
      <c r="H401" s="56" t="s">
        <v>22</v>
      </c>
      <c r="I401" s="80" t="s">
        <v>1621</v>
      </c>
      <c r="J401" s="56" t="s">
        <v>1583</v>
      </c>
      <c r="K401" t="s">
        <v>1471</v>
      </c>
    </row>
    <row r="402" spans="1:11" x14ac:dyDescent="0.25">
      <c r="A402" s="56" t="s">
        <v>1572</v>
      </c>
      <c r="B402" s="95" t="s">
        <v>1643</v>
      </c>
      <c r="C402" s="56"/>
      <c r="D402" s="57" t="s">
        <v>6</v>
      </c>
      <c r="E402" s="56" t="s">
        <v>125</v>
      </c>
      <c r="G402" t="s">
        <v>1526</v>
      </c>
      <c r="H402" s="56" t="s">
        <v>22</v>
      </c>
      <c r="I402" s="80" t="s">
        <v>1621</v>
      </c>
      <c r="J402" s="56" t="s">
        <v>1583</v>
      </c>
      <c r="K402" t="s">
        <v>1472</v>
      </c>
    </row>
    <row r="403" spans="1:11" x14ac:dyDescent="0.25">
      <c r="A403" s="56" t="s">
        <v>1572</v>
      </c>
      <c r="B403" s="95" t="s">
        <v>1643</v>
      </c>
      <c r="C403" s="56"/>
      <c r="D403" s="57" t="s">
        <v>7</v>
      </c>
      <c r="E403" s="56" t="s">
        <v>125</v>
      </c>
      <c r="G403" t="s">
        <v>1526</v>
      </c>
      <c r="H403" s="56" t="s">
        <v>22</v>
      </c>
      <c r="I403" s="80" t="s">
        <v>1621</v>
      </c>
      <c r="J403" s="56" t="s">
        <v>1583</v>
      </c>
      <c r="K403" t="s">
        <v>1282</v>
      </c>
    </row>
    <row r="404" spans="1:11" x14ac:dyDescent="0.25">
      <c r="A404" s="56" t="s">
        <v>1572</v>
      </c>
      <c r="B404" s="95" t="s">
        <v>1643</v>
      </c>
      <c r="C404" s="56"/>
      <c r="D404" s="57" t="s">
        <v>8</v>
      </c>
      <c r="E404" s="56" t="s">
        <v>78</v>
      </c>
      <c r="G404" t="s">
        <v>1526</v>
      </c>
      <c r="H404" s="56" t="s">
        <v>22</v>
      </c>
      <c r="I404" s="80" t="s">
        <v>1622</v>
      </c>
      <c r="J404" s="56" t="s">
        <v>1583</v>
      </c>
      <c r="K404" t="s">
        <v>1283</v>
      </c>
    </row>
    <row r="405" spans="1:11" x14ac:dyDescent="0.25">
      <c r="A405" s="56" t="s">
        <v>1572</v>
      </c>
      <c r="B405" s="95" t="s">
        <v>1643</v>
      </c>
      <c r="C405" s="56"/>
      <c r="D405" s="57" t="s">
        <v>15</v>
      </c>
      <c r="E405" s="56" t="s">
        <v>78</v>
      </c>
      <c r="G405" t="s">
        <v>1526</v>
      </c>
      <c r="H405" s="56" t="s">
        <v>22</v>
      </c>
      <c r="I405" s="80" t="s">
        <v>1622</v>
      </c>
      <c r="J405" s="56" t="s">
        <v>1583</v>
      </c>
      <c r="K405" t="s">
        <v>1284</v>
      </c>
    </row>
    <row r="406" spans="1:11" x14ac:dyDescent="0.25">
      <c r="A406" s="56" t="s">
        <v>1572</v>
      </c>
      <c r="B406" s="56"/>
      <c r="C406" s="56"/>
      <c r="D406" s="57"/>
      <c r="E406" s="56"/>
      <c r="G406"/>
      <c r="J406" s="56" t="s">
        <v>1586</v>
      </c>
      <c r="K406" t="s">
        <v>1285</v>
      </c>
    </row>
    <row r="407" spans="1:11" x14ac:dyDescent="0.25">
      <c r="A407" s="56" t="s">
        <v>1572</v>
      </c>
      <c r="B407" s="56"/>
      <c r="C407" s="56"/>
      <c r="D407" s="57"/>
      <c r="E407" s="56"/>
      <c r="G407"/>
      <c r="J407" s="56" t="s">
        <v>1586</v>
      </c>
      <c r="K407" t="s">
        <v>1286</v>
      </c>
    </row>
    <row r="408" spans="1:11" x14ac:dyDescent="0.25">
      <c r="A408" s="56" t="s">
        <v>1572</v>
      </c>
      <c r="B408" s="56"/>
      <c r="C408" s="56"/>
      <c r="D408" s="57"/>
      <c r="E408" s="56"/>
      <c r="G408"/>
      <c r="J408" s="56" t="s">
        <v>1586</v>
      </c>
      <c r="K408" t="s">
        <v>1287</v>
      </c>
    </row>
    <row r="409" spans="1:11" x14ac:dyDescent="0.25">
      <c r="A409" s="56" t="s">
        <v>1572</v>
      </c>
      <c r="B409" s="56"/>
      <c r="C409" s="56"/>
      <c r="D409" s="57"/>
      <c r="E409" s="56"/>
      <c r="G409"/>
      <c r="J409" s="56" t="s">
        <v>1586</v>
      </c>
      <c r="K409" t="s">
        <v>1288</v>
      </c>
    </row>
    <row r="410" spans="1:11" x14ac:dyDescent="0.25">
      <c r="A410" s="56" t="s">
        <v>1572</v>
      </c>
      <c r="B410" s="95" t="s">
        <v>1643</v>
      </c>
      <c r="C410" s="56"/>
      <c r="D410" s="57" t="s">
        <v>16</v>
      </c>
      <c r="E410" s="56" t="s">
        <v>78</v>
      </c>
      <c r="G410" t="s">
        <v>1526</v>
      </c>
      <c r="H410" s="56" t="s">
        <v>22</v>
      </c>
      <c r="I410" s="80" t="s">
        <v>1622</v>
      </c>
      <c r="J410" s="56" t="s">
        <v>1583</v>
      </c>
      <c r="K410" t="s">
        <v>1289</v>
      </c>
    </row>
    <row r="411" spans="1:11" x14ac:dyDescent="0.25">
      <c r="A411" s="56" t="s">
        <v>1572</v>
      </c>
      <c r="B411" s="95" t="s">
        <v>1643</v>
      </c>
      <c r="C411" s="56"/>
      <c r="D411" s="57" t="s">
        <v>8</v>
      </c>
      <c r="E411" s="56" t="s">
        <v>125</v>
      </c>
      <c r="G411" t="s">
        <v>1526</v>
      </c>
      <c r="H411" s="56" t="s">
        <v>22</v>
      </c>
      <c r="I411" s="80" t="s">
        <v>1623</v>
      </c>
      <c r="J411" s="56" t="s">
        <v>1583</v>
      </c>
      <c r="K411" t="s">
        <v>1290</v>
      </c>
    </row>
    <row r="412" spans="1:11" x14ac:dyDescent="0.25">
      <c r="A412" s="56" t="s">
        <v>1572</v>
      </c>
      <c r="B412" s="95" t="s">
        <v>1643</v>
      </c>
      <c r="C412" s="56"/>
      <c r="D412" s="57" t="s">
        <v>15</v>
      </c>
      <c r="E412" s="56" t="s">
        <v>125</v>
      </c>
      <c r="G412" t="s">
        <v>1526</v>
      </c>
      <c r="H412" s="56" t="s">
        <v>22</v>
      </c>
      <c r="I412" s="80" t="s">
        <v>1623</v>
      </c>
      <c r="J412" s="56" t="s">
        <v>1583</v>
      </c>
      <c r="K412" t="s">
        <v>1291</v>
      </c>
    </row>
    <row r="413" spans="1:11" x14ac:dyDescent="0.25">
      <c r="A413" s="56" t="s">
        <v>1572</v>
      </c>
      <c r="B413" s="56"/>
      <c r="C413" s="56"/>
      <c r="D413" s="57"/>
      <c r="E413" s="56"/>
      <c r="G413"/>
      <c r="J413" s="56" t="s">
        <v>1586</v>
      </c>
      <c r="K413" t="s">
        <v>1292</v>
      </c>
    </row>
    <row r="414" spans="1:11" x14ac:dyDescent="0.25">
      <c r="A414" s="56" t="s">
        <v>1572</v>
      </c>
      <c r="B414" s="56"/>
      <c r="C414" s="56"/>
      <c r="D414" s="57"/>
      <c r="E414" s="56"/>
      <c r="G414"/>
      <c r="J414" s="56" t="s">
        <v>1586</v>
      </c>
      <c r="K414" t="s">
        <v>1293</v>
      </c>
    </row>
    <row r="415" spans="1:11" x14ac:dyDescent="0.25">
      <c r="A415" s="56" t="s">
        <v>1572</v>
      </c>
      <c r="B415" s="56"/>
      <c r="C415" s="56"/>
      <c r="D415" s="57"/>
      <c r="E415" s="56"/>
      <c r="G415"/>
      <c r="J415" s="56" t="s">
        <v>1586</v>
      </c>
      <c r="K415" t="s">
        <v>1294</v>
      </c>
    </row>
    <row r="416" spans="1:11" x14ac:dyDescent="0.25">
      <c r="A416" s="56" t="s">
        <v>1572</v>
      </c>
      <c r="B416" s="56"/>
      <c r="C416" s="56"/>
      <c r="D416" s="57"/>
      <c r="E416" s="56"/>
      <c r="J416" s="56" t="s">
        <v>1586</v>
      </c>
      <c r="K416" t="s">
        <v>1295</v>
      </c>
    </row>
    <row r="417" spans="1:11" x14ac:dyDescent="0.25">
      <c r="A417" s="56" t="s">
        <v>1572</v>
      </c>
      <c r="B417" s="95" t="s">
        <v>1643</v>
      </c>
      <c r="C417" s="56"/>
      <c r="D417" s="57" t="s">
        <v>16</v>
      </c>
      <c r="E417" s="56" t="s">
        <v>125</v>
      </c>
      <c r="G417" s="56" t="s">
        <v>1526</v>
      </c>
      <c r="H417" s="56" t="s">
        <v>22</v>
      </c>
      <c r="I417" s="80" t="s">
        <v>1623</v>
      </c>
      <c r="J417" s="56" t="s">
        <v>1583</v>
      </c>
      <c r="K417" t="s">
        <v>1296</v>
      </c>
    </row>
    <row r="418" spans="1:11" x14ac:dyDescent="0.25">
      <c r="A418" s="56" t="s">
        <v>1572</v>
      </c>
      <c r="B418" s="95" t="s">
        <v>1642</v>
      </c>
      <c r="C418" s="56"/>
      <c r="D418" s="57" t="s">
        <v>5</v>
      </c>
      <c r="E418" s="56" t="s">
        <v>78</v>
      </c>
      <c r="G418" s="56" t="s">
        <v>1575</v>
      </c>
      <c r="H418" s="56" t="s">
        <v>22</v>
      </c>
      <c r="I418" s="80" t="s">
        <v>1624</v>
      </c>
      <c r="J418" s="56" t="s">
        <v>1583</v>
      </c>
      <c r="K418" t="s">
        <v>1530</v>
      </c>
    </row>
    <row r="419" spans="1:11" x14ac:dyDescent="0.25">
      <c r="A419" s="56" t="s">
        <v>1572</v>
      </c>
      <c r="B419" s="95" t="s">
        <v>1642</v>
      </c>
      <c r="C419" s="56"/>
      <c r="D419" s="57" t="s">
        <v>6</v>
      </c>
      <c r="E419" s="56" t="s">
        <v>78</v>
      </c>
      <c r="G419" s="56" t="s">
        <v>1575</v>
      </c>
      <c r="H419" s="56" t="s">
        <v>22</v>
      </c>
      <c r="I419" s="80" t="s">
        <v>1624</v>
      </c>
      <c r="J419" s="56" t="s">
        <v>1583</v>
      </c>
      <c r="K419" t="s">
        <v>1531</v>
      </c>
    </row>
    <row r="420" spans="1:11" x14ac:dyDescent="0.25">
      <c r="A420" s="56" t="s">
        <v>1572</v>
      </c>
      <c r="B420" s="95" t="s">
        <v>1642</v>
      </c>
      <c r="C420" s="56"/>
      <c r="D420" s="57" t="s">
        <v>7</v>
      </c>
      <c r="E420" s="56" t="s">
        <v>78</v>
      </c>
      <c r="G420" s="56" t="s">
        <v>1575</v>
      </c>
      <c r="H420" s="56" t="s">
        <v>22</v>
      </c>
      <c r="I420" s="80" t="s">
        <v>1624</v>
      </c>
      <c r="J420" s="56" t="s">
        <v>1583</v>
      </c>
      <c r="K420" t="s">
        <v>1532</v>
      </c>
    </row>
    <row r="421" spans="1:11" x14ac:dyDescent="0.25">
      <c r="A421" s="56" t="s">
        <v>1572</v>
      </c>
      <c r="B421" s="95" t="s">
        <v>1642</v>
      </c>
      <c r="C421" s="56"/>
      <c r="D421" s="57" t="s">
        <v>5</v>
      </c>
      <c r="E421" s="56" t="s">
        <v>125</v>
      </c>
      <c r="G421" s="56" t="s">
        <v>1575</v>
      </c>
      <c r="H421" s="56" t="s">
        <v>22</v>
      </c>
      <c r="I421" s="80" t="s">
        <v>1625</v>
      </c>
      <c r="J421" s="56" t="s">
        <v>1583</v>
      </c>
      <c r="K421" t="s">
        <v>1540</v>
      </c>
    </row>
    <row r="422" spans="1:11" x14ac:dyDescent="0.25">
      <c r="A422" s="56" t="s">
        <v>1572</v>
      </c>
      <c r="B422" s="95" t="s">
        <v>1642</v>
      </c>
      <c r="C422" s="56"/>
      <c r="D422" s="57" t="s">
        <v>6</v>
      </c>
      <c r="E422" s="56" t="s">
        <v>125</v>
      </c>
      <c r="G422" s="56" t="s">
        <v>1575</v>
      </c>
      <c r="H422" s="56" t="s">
        <v>22</v>
      </c>
      <c r="I422" s="80" t="s">
        <v>1625</v>
      </c>
      <c r="J422" s="56" t="s">
        <v>1583</v>
      </c>
      <c r="K422" t="s">
        <v>1541</v>
      </c>
    </row>
    <row r="423" spans="1:11" x14ac:dyDescent="0.25">
      <c r="A423" s="56" t="s">
        <v>1572</v>
      </c>
      <c r="B423" s="95" t="s">
        <v>1642</v>
      </c>
      <c r="C423" s="56"/>
      <c r="D423" s="57" t="s">
        <v>7</v>
      </c>
      <c r="E423" s="56" t="s">
        <v>125</v>
      </c>
      <c r="G423" s="56" t="s">
        <v>1575</v>
      </c>
      <c r="H423" s="56" t="s">
        <v>22</v>
      </c>
      <c r="I423" s="80" t="s">
        <v>1625</v>
      </c>
      <c r="J423" s="56" t="s">
        <v>1583</v>
      </c>
      <c r="K423" t="s">
        <v>1542</v>
      </c>
    </row>
    <row r="424" spans="1:11" x14ac:dyDescent="0.25">
      <c r="A424" s="56" t="s">
        <v>1572</v>
      </c>
      <c r="B424" s="95" t="s">
        <v>1642</v>
      </c>
      <c r="C424" s="56"/>
      <c r="D424" s="57" t="s">
        <v>8</v>
      </c>
      <c r="E424" s="56" t="s">
        <v>78</v>
      </c>
      <c r="G424" s="56" t="s">
        <v>1575</v>
      </c>
      <c r="H424" s="56" t="s">
        <v>22</v>
      </c>
      <c r="I424" s="80" t="s">
        <v>1626</v>
      </c>
      <c r="J424" s="56" t="s">
        <v>1583</v>
      </c>
      <c r="K424" t="s">
        <v>1533</v>
      </c>
    </row>
    <row r="425" spans="1:11" x14ac:dyDescent="0.25">
      <c r="A425" s="56" t="s">
        <v>1572</v>
      </c>
      <c r="B425" s="95" t="s">
        <v>1642</v>
      </c>
      <c r="C425" s="56"/>
      <c r="D425" s="57" t="s">
        <v>15</v>
      </c>
      <c r="E425" s="56" t="s">
        <v>78</v>
      </c>
      <c r="G425" s="56" t="s">
        <v>1575</v>
      </c>
      <c r="H425" s="56" t="s">
        <v>22</v>
      </c>
      <c r="I425" s="80" t="s">
        <v>1626</v>
      </c>
      <c r="J425" s="56" t="s">
        <v>1583</v>
      </c>
      <c r="K425" t="s">
        <v>1534</v>
      </c>
    </row>
    <row r="426" spans="1:11" x14ac:dyDescent="0.25">
      <c r="A426" s="56" t="s">
        <v>1572</v>
      </c>
      <c r="B426" s="56"/>
      <c r="C426" s="56"/>
      <c r="D426" s="57"/>
      <c r="E426" s="56"/>
      <c r="H426" s="56"/>
      <c r="I426" s="56"/>
      <c r="J426" s="56" t="s">
        <v>1586</v>
      </c>
      <c r="K426" t="s">
        <v>1535</v>
      </c>
    </row>
    <row r="427" spans="1:11" x14ac:dyDescent="0.25">
      <c r="A427" s="56" t="s">
        <v>1572</v>
      </c>
      <c r="B427" s="56"/>
      <c r="C427" s="56"/>
      <c r="D427" s="57"/>
      <c r="E427" s="56"/>
      <c r="H427" s="56"/>
      <c r="I427" s="56"/>
      <c r="J427" s="56" t="s">
        <v>1586</v>
      </c>
      <c r="K427" t="s">
        <v>1570</v>
      </c>
    </row>
    <row r="428" spans="1:11" x14ac:dyDescent="0.25">
      <c r="A428" s="56" t="s">
        <v>1572</v>
      </c>
      <c r="B428" s="56"/>
      <c r="C428" s="56"/>
      <c r="D428" s="57"/>
      <c r="E428" s="56"/>
      <c r="H428" s="56"/>
      <c r="I428" s="56"/>
      <c r="J428" s="56" t="s">
        <v>1586</v>
      </c>
      <c r="K428" t="s">
        <v>1571</v>
      </c>
    </row>
    <row r="429" spans="1:11" x14ac:dyDescent="0.25">
      <c r="A429" s="56" t="s">
        <v>1572</v>
      </c>
      <c r="B429" s="56"/>
      <c r="C429" s="56"/>
      <c r="D429" s="57"/>
      <c r="E429" s="56"/>
      <c r="H429" s="56"/>
      <c r="I429" s="56"/>
      <c r="J429" s="56" t="s">
        <v>1586</v>
      </c>
      <c r="K429" t="s">
        <v>1538</v>
      </c>
    </row>
    <row r="430" spans="1:11" x14ac:dyDescent="0.25">
      <c r="A430" s="56" t="s">
        <v>1572</v>
      </c>
      <c r="B430" s="95" t="s">
        <v>1642</v>
      </c>
      <c r="C430" s="56"/>
      <c r="D430" s="57" t="s">
        <v>16</v>
      </c>
      <c r="E430" s="56" t="s">
        <v>78</v>
      </c>
      <c r="G430" s="56" t="s">
        <v>1575</v>
      </c>
      <c r="H430" s="56" t="s">
        <v>22</v>
      </c>
      <c r="I430" s="80" t="s">
        <v>1626</v>
      </c>
      <c r="J430" s="56" t="s">
        <v>1583</v>
      </c>
      <c r="K430" t="s">
        <v>1539</v>
      </c>
    </row>
    <row r="431" spans="1:11" x14ac:dyDescent="0.25">
      <c r="A431" s="56" t="s">
        <v>1572</v>
      </c>
      <c r="B431" s="95" t="s">
        <v>1642</v>
      </c>
      <c r="C431" s="56"/>
      <c r="D431" s="57" t="s">
        <v>8</v>
      </c>
      <c r="E431" s="56" t="s">
        <v>125</v>
      </c>
      <c r="G431" s="56" t="s">
        <v>1575</v>
      </c>
      <c r="H431" s="56" t="s">
        <v>22</v>
      </c>
      <c r="I431" s="80" t="s">
        <v>1627</v>
      </c>
      <c r="J431" s="56" t="s">
        <v>1583</v>
      </c>
      <c r="K431" t="s">
        <v>1543</v>
      </c>
    </row>
    <row r="432" spans="1:11" x14ac:dyDescent="0.25">
      <c r="A432" s="56" t="s">
        <v>1572</v>
      </c>
      <c r="B432" s="95" t="s">
        <v>1642</v>
      </c>
      <c r="C432" s="56"/>
      <c r="D432" s="57" t="s">
        <v>15</v>
      </c>
      <c r="E432" s="56" t="s">
        <v>125</v>
      </c>
      <c r="G432" s="56" t="s">
        <v>1575</v>
      </c>
      <c r="H432" s="56" t="s">
        <v>22</v>
      </c>
      <c r="I432" s="80" t="s">
        <v>1627</v>
      </c>
      <c r="J432" s="56" t="s">
        <v>1583</v>
      </c>
      <c r="K432" t="s">
        <v>1544</v>
      </c>
    </row>
    <row r="433" spans="1:11" x14ac:dyDescent="0.25">
      <c r="A433" s="56" t="s">
        <v>1572</v>
      </c>
      <c r="B433" s="56"/>
      <c r="C433" s="56"/>
      <c r="D433" s="57"/>
      <c r="E433" s="56"/>
      <c r="H433" s="56"/>
      <c r="I433" s="56"/>
      <c r="J433" s="56" t="s">
        <v>1586</v>
      </c>
      <c r="K433" t="s">
        <v>1545</v>
      </c>
    </row>
    <row r="434" spans="1:11" x14ac:dyDescent="0.25">
      <c r="A434" s="56" t="s">
        <v>1572</v>
      </c>
      <c r="B434" s="56"/>
      <c r="C434" s="56"/>
      <c r="D434" s="57"/>
      <c r="E434" s="56"/>
      <c r="H434" s="56"/>
      <c r="I434" s="56"/>
      <c r="J434" s="56" t="s">
        <v>1586</v>
      </c>
      <c r="K434" t="s">
        <v>1546</v>
      </c>
    </row>
    <row r="435" spans="1:11" x14ac:dyDescent="0.25">
      <c r="A435" s="56" t="s">
        <v>1572</v>
      </c>
      <c r="B435" s="56"/>
      <c r="C435" s="56"/>
      <c r="D435" s="57"/>
      <c r="E435" s="56"/>
      <c r="H435" s="56"/>
      <c r="I435" s="56"/>
      <c r="J435" s="56" t="s">
        <v>1586</v>
      </c>
      <c r="K435" t="s">
        <v>1547</v>
      </c>
    </row>
    <row r="436" spans="1:11" x14ac:dyDescent="0.25">
      <c r="A436" s="56" t="s">
        <v>1572</v>
      </c>
      <c r="B436" s="56"/>
      <c r="C436" s="56"/>
      <c r="D436" s="57"/>
      <c r="E436" s="56"/>
      <c r="H436" s="56"/>
      <c r="I436" s="56"/>
      <c r="J436" s="56" t="s">
        <v>1586</v>
      </c>
      <c r="K436" t="s">
        <v>1548</v>
      </c>
    </row>
    <row r="437" spans="1:11" x14ac:dyDescent="0.25">
      <c r="A437" s="56" t="s">
        <v>1572</v>
      </c>
      <c r="B437" s="95" t="s">
        <v>1642</v>
      </c>
      <c r="C437" s="56"/>
      <c r="D437" s="57" t="s">
        <v>16</v>
      </c>
      <c r="E437" s="56" t="s">
        <v>125</v>
      </c>
      <c r="G437" s="56" t="s">
        <v>1575</v>
      </c>
      <c r="H437" s="56" t="s">
        <v>22</v>
      </c>
      <c r="I437" s="80" t="s">
        <v>1627</v>
      </c>
      <c r="J437" s="56" t="s">
        <v>1583</v>
      </c>
      <c r="K437" t="s">
        <v>1549</v>
      </c>
    </row>
    <row r="438" spans="1:11" x14ac:dyDescent="0.25">
      <c r="A438" s="56" t="s">
        <v>1572</v>
      </c>
      <c r="B438" t="s">
        <v>1490</v>
      </c>
      <c r="D438" s="57"/>
      <c r="E438" s="56" t="s">
        <v>78</v>
      </c>
      <c r="F438" t="s">
        <v>1576</v>
      </c>
      <c r="G438" s="56" t="s">
        <v>1628</v>
      </c>
      <c r="H438" s="56" t="s">
        <v>22</v>
      </c>
      <c r="I438" s="80" t="s">
        <v>1581</v>
      </c>
      <c r="J438" s="56" t="s">
        <v>1583</v>
      </c>
      <c r="K438" t="s">
        <v>1506</v>
      </c>
    </row>
    <row r="439" spans="1:11" x14ac:dyDescent="0.25">
      <c r="A439" s="56" t="s">
        <v>1572</v>
      </c>
      <c r="B439" s="56" t="s">
        <v>1490</v>
      </c>
      <c r="D439" s="57"/>
      <c r="E439" s="56" t="s">
        <v>78</v>
      </c>
      <c r="F439" t="s">
        <v>1578</v>
      </c>
      <c r="G439" s="56" t="s">
        <v>1628</v>
      </c>
      <c r="H439" s="56" t="s">
        <v>22</v>
      </c>
      <c r="I439" s="80" t="s">
        <v>1581</v>
      </c>
      <c r="J439" s="56" t="s">
        <v>1583</v>
      </c>
      <c r="K439" t="s">
        <v>1507</v>
      </c>
    </row>
    <row r="440" spans="1:11" x14ac:dyDescent="0.25">
      <c r="A440" s="56" t="s">
        <v>1572</v>
      </c>
      <c r="B440" s="56" t="s">
        <v>1490</v>
      </c>
      <c r="D440" s="57"/>
      <c r="E440" s="56" t="s">
        <v>78</v>
      </c>
      <c r="F440" t="s">
        <v>1577</v>
      </c>
      <c r="G440" s="56" t="s">
        <v>1628</v>
      </c>
      <c r="H440" s="56" t="s">
        <v>22</v>
      </c>
      <c r="I440" s="80" t="s">
        <v>1581</v>
      </c>
      <c r="J440" s="56" t="s">
        <v>1583</v>
      </c>
      <c r="K440" t="s">
        <v>1508</v>
      </c>
    </row>
    <row r="441" spans="1:11" x14ac:dyDescent="0.25">
      <c r="A441" s="56" t="s">
        <v>1572</v>
      </c>
      <c r="B441" s="56" t="s">
        <v>1490</v>
      </c>
      <c r="D441" s="57"/>
      <c r="E441" s="56" t="s">
        <v>78</v>
      </c>
      <c r="F441" t="s">
        <v>1579</v>
      </c>
      <c r="G441" s="56" t="s">
        <v>1628</v>
      </c>
      <c r="H441" s="56" t="s">
        <v>22</v>
      </c>
      <c r="I441" s="80" t="s">
        <v>1581</v>
      </c>
      <c r="J441" s="56" t="s">
        <v>1583</v>
      </c>
      <c r="K441" t="s">
        <v>1509</v>
      </c>
    </row>
    <row r="442" spans="1:11" x14ac:dyDescent="0.25">
      <c r="A442" s="56" t="s">
        <v>1572</v>
      </c>
      <c r="B442" s="56" t="s">
        <v>1490</v>
      </c>
      <c r="D442" s="57"/>
      <c r="E442" s="56" t="s">
        <v>78</v>
      </c>
      <c r="F442" t="s">
        <v>1580</v>
      </c>
      <c r="G442" s="56" t="s">
        <v>1628</v>
      </c>
      <c r="H442" s="56" t="s">
        <v>22</v>
      </c>
      <c r="I442" s="80" t="s">
        <v>1581</v>
      </c>
      <c r="J442" s="56" t="s">
        <v>1583</v>
      </c>
      <c r="K442" t="s">
        <v>1510</v>
      </c>
    </row>
    <row r="443" spans="1:11" x14ac:dyDescent="0.25">
      <c r="A443" s="56" t="s">
        <v>1572</v>
      </c>
      <c r="B443" s="56" t="s">
        <v>1490</v>
      </c>
      <c r="D443" s="57"/>
      <c r="E443" s="56" t="s">
        <v>125</v>
      </c>
      <c r="F443" s="56" t="s">
        <v>1576</v>
      </c>
      <c r="G443" s="56" t="s">
        <v>1628</v>
      </c>
      <c r="H443" s="56" t="s">
        <v>22</v>
      </c>
      <c r="I443" s="80" t="s">
        <v>1581</v>
      </c>
      <c r="J443" s="56" t="s">
        <v>1583</v>
      </c>
      <c r="K443" t="s">
        <v>1511</v>
      </c>
    </row>
    <row r="444" spans="1:11" x14ac:dyDescent="0.25">
      <c r="A444" s="56" t="s">
        <v>1572</v>
      </c>
      <c r="B444" s="56" t="s">
        <v>1490</v>
      </c>
      <c r="D444" s="57"/>
      <c r="E444" s="56" t="s">
        <v>125</v>
      </c>
      <c r="F444" s="56" t="s">
        <v>1578</v>
      </c>
      <c r="G444" s="56" t="s">
        <v>1628</v>
      </c>
      <c r="H444" s="56" t="s">
        <v>22</v>
      </c>
      <c r="I444" s="80" t="s">
        <v>1581</v>
      </c>
      <c r="J444" s="56" t="s">
        <v>1583</v>
      </c>
      <c r="K444" t="s">
        <v>1512</v>
      </c>
    </row>
    <row r="445" spans="1:11" x14ac:dyDescent="0.25">
      <c r="A445" s="56" t="s">
        <v>1572</v>
      </c>
      <c r="B445" s="56" t="s">
        <v>1490</v>
      </c>
      <c r="D445" s="57"/>
      <c r="E445" s="56" t="s">
        <v>125</v>
      </c>
      <c r="F445" s="56" t="s">
        <v>1577</v>
      </c>
      <c r="G445" s="56" t="s">
        <v>1628</v>
      </c>
      <c r="H445" s="56" t="s">
        <v>22</v>
      </c>
      <c r="I445" s="80" t="s">
        <v>1581</v>
      </c>
      <c r="J445" s="56" t="s">
        <v>1583</v>
      </c>
      <c r="K445" t="s">
        <v>1513</v>
      </c>
    </row>
    <row r="446" spans="1:11" x14ac:dyDescent="0.25">
      <c r="A446" s="56" t="s">
        <v>1572</v>
      </c>
      <c r="B446" s="56" t="s">
        <v>1490</v>
      </c>
      <c r="D446" s="57"/>
      <c r="E446" s="56" t="s">
        <v>125</v>
      </c>
      <c r="F446" s="56" t="s">
        <v>1579</v>
      </c>
      <c r="G446" s="56" t="s">
        <v>1628</v>
      </c>
      <c r="H446" s="56" t="s">
        <v>22</v>
      </c>
      <c r="I446" s="80" t="s">
        <v>1581</v>
      </c>
      <c r="J446" s="56" t="s">
        <v>1583</v>
      </c>
      <c r="K446" t="s">
        <v>1514</v>
      </c>
    </row>
    <row r="447" spans="1:11" x14ac:dyDescent="0.25">
      <c r="A447" s="56" t="s">
        <v>1572</v>
      </c>
      <c r="B447" s="56" t="s">
        <v>1490</v>
      </c>
      <c r="C447" s="56"/>
      <c r="D447" s="57"/>
      <c r="E447" s="56" t="s">
        <v>125</v>
      </c>
      <c r="F447" s="56" t="s">
        <v>1580</v>
      </c>
      <c r="G447" s="56" t="s">
        <v>1628</v>
      </c>
      <c r="H447" s="56" t="s">
        <v>22</v>
      </c>
      <c r="I447" s="80" t="s">
        <v>1581</v>
      </c>
      <c r="J447" s="56" t="s">
        <v>1583</v>
      </c>
      <c r="K447" t="s">
        <v>1515</v>
      </c>
    </row>
  </sheetData>
  <conditionalFormatting sqref="K1">
    <cfRule type="duplicateValues" dxfId="1493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tabColor theme="9"/>
  </sheetPr>
  <dimension ref="B1:F37"/>
  <sheetViews>
    <sheetView showGridLines="0" workbookViewId="0">
      <selection activeCell="F3" sqref="F3"/>
    </sheetView>
  </sheetViews>
  <sheetFormatPr defaultRowHeight="15" x14ac:dyDescent="0.25"/>
  <cols>
    <col min="1" max="1" width="4.85546875" customWidth="1"/>
    <col min="2" max="2" width="31.5703125" bestFit="1" customWidth="1"/>
    <col min="3" max="3" width="3.7109375" customWidth="1"/>
    <col min="4" max="4" width="13.85546875" customWidth="1"/>
    <col min="5" max="5" width="3.7109375" customWidth="1"/>
    <col min="6" max="6" width="30.140625" customWidth="1"/>
    <col min="10" max="10" width="24.5703125" customWidth="1"/>
    <col min="11" max="11" width="16.140625" bestFit="1" customWidth="1"/>
  </cols>
  <sheetData>
    <row r="1" spans="2:6" x14ac:dyDescent="0.25">
      <c r="B1" s="26" t="s">
        <v>31</v>
      </c>
      <c r="D1" s="27" t="s">
        <v>32</v>
      </c>
      <c r="F1" s="26" t="s">
        <v>33</v>
      </c>
    </row>
    <row r="2" spans="2:6" x14ac:dyDescent="0.25">
      <c r="B2" s="28" t="s">
        <v>34</v>
      </c>
      <c r="D2" s="29" t="str">
        <f ca="1">YEAR(NOW())&amp;"."&amp;MONTH(NOW())&amp;"."&amp;DAY(NOW())</f>
        <v>2018.3.6</v>
      </c>
      <c r="F2" s="28" t="s">
        <v>48</v>
      </c>
    </row>
    <row r="3" spans="2:6" x14ac:dyDescent="0.25">
      <c r="B3" s="28" t="s">
        <v>35</v>
      </c>
      <c r="D3" s="30"/>
      <c r="F3" s="28"/>
    </row>
    <row r="4" spans="2:6" x14ac:dyDescent="0.25">
      <c r="B4" s="28" t="s">
        <v>37</v>
      </c>
      <c r="D4" s="26" t="s">
        <v>33</v>
      </c>
      <c r="F4" s="28"/>
    </row>
    <row r="5" spans="2:6" x14ac:dyDescent="0.25">
      <c r="B5" s="28" t="s">
        <v>40</v>
      </c>
      <c r="D5" s="31">
        <f>COUNTA(F2:F37)</f>
        <v>1</v>
      </c>
      <c r="F5" s="28"/>
    </row>
    <row r="6" spans="2:6" x14ac:dyDescent="0.25">
      <c r="B6" s="28" t="s">
        <v>41</v>
      </c>
      <c r="F6" s="28"/>
    </row>
    <row r="7" spans="2:6" x14ac:dyDescent="0.25">
      <c r="B7" s="28" t="s">
        <v>43</v>
      </c>
      <c r="D7" s="26" t="s">
        <v>36</v>
      </c>
      <c r="F7" s="28"/>
    </row>
    <row r="8" spans="2:6" x14ac:dyDescent="0.25">
      <c r="B8" s="28" t="s">
        <v>45</v>
      </c>
      <c r="D8" s="32">
        <v>43146</v>
      </c>
      <c r="F8" s="28"/>
    </row>
    <row r="9" spans="2:6" x14ac:dyDescent="0.25">
      <c r="B9" s="28" t="s">
        <v>46</v>
      </c>
      <c r="D9" s="17" t="str">
        <f>"Updated: "&amp;TEXT(D8,"mmmm d")</f>
        <v>Updated: February 15</v>
      </c>
      <c r="F9" s="28"/>
    </row>
    <row r="10" spans="2:6" x14ac:dyDescent="0.25">
      <c r="B10" s="28" t="s">
        <v>47</v>
      </c>
      <c r="D10" s="33" t="s">
        <v>38</v>
      </c>
      <c r="F10" s="28"/>
    </row>
    <row r="11" spans="2:6" x14ac:dyDescent="0.25">
      <c r="B11" s="28" t="s">
        <v>48</v>
      </c>
      <c r="D11" s="31" t="s">
        <v>62</v>
      </c>
      <c r="F11" s="28"/>
    </row>
    <row r="12" spans="2:6" x14ac:dyDescent="0.25">
      <c r="B12" s="28" t="s">
        <v>49</v>
      </c>
      <c r="F12" s="28"/>
    </row>
    <row r="13" spans="2:6" x14ac:dyDescent="0.25">
      <c r="B13" s="28" t="s">
        <v>50</v>
      </c>
      <c r="D13" s="26" t="s">
        <v>42</v>
      </c>
      <c r="F13" s="28"/>
    </row>
    <row r="14" spans="2:6" x14ac:dyDescent="0.25">
      <c r="B14" s="28" t="s">
        <v>51</v>
      </c>
      <c r="D14" s="31" t="s">
        <v>39</v>
      </c>
      <c r="F14" s="28"/>
    </row>
    <row r="15" spans="2:6" x14ac:dyDescent="0.25">
      <c r="B15" s="28" t="s">
        <v>52</v>
      </c>
      <c r="D15" s="34"/>
      <c r="F15" s="28"/>
    </row>
    <row r="16" spans="2:6" x14ac:dyDescent="0.25">
      <c r="B16" s="28" t="s">
        <v>53</v>
      </c>
      <c r="D16" s="33" t="s">
        <v>44</v>
      </c>
      <c r="F16" s="28"/>
    </row>
    <row r="17" spans="2:6" x14ac:dyDescent="0.25">
      <c r="B17" s="28" t="s">
        <v>54</v>
      </c>
      <c r="D17" s="35" t="s">
        <v>124</v>
      </c>
      <c r="F17" s="28"/>
    </row>
    <row r="18" spans="2:6" x14ac:dyDescent="0.25">
      <c r="B18" s="28" t="s">
        <v>55</v>
      </c>
      <c r="D18" s="34"/>
      <c r="F18" s="28"/>
    </row>
    <row r="19" spans="2:6" x14ac:dyDescent="0.25">
      <c r="B19" s="28" t="s">
        <v>56</v>
      </c>
      <c r="D19" s="36"/>
      <c r="F19" s="28"/>
    </row>
    <row r="20" spans="2:6" x14ac:dyDescent="0.25">
      <c r="B20" s="28" t="s">
        <v>57</v>
      </c>
      <c r="D20" s="37"/>
      <c r="F20" s="28"/>
    </row>
    <row r="21" spans="2:6" x14ac:dyDescent="0.25">
      <c r="B21" s="28" t="s">
        <v>58</v>
      </c>
      <c r="F21" s="28"/>
    </row>
    <row r="22" spans="2:6" x14ac:dyDescent="0.25">
      <c r="B22" s="28" t="s">
        <v>59</v>
      </c>
      <c r="F22" s="28"/>
    </row>
    <row r="23" spans="2:6" x14ac:dyDescent="0.25">
      <c r="B23" s="28" t="s">
        <v>60</v>
      </c>
      <c r="F23" s="28"/>
    </row>
    <row r="24" spans="2:6" x14ac:dyDescent="0.25">
      <c r="B24" s="28" t="s">
        <v>61</v>
      </c>
      <c r="F24" s="28"/>
    </row>
    <row r="25" spans="2:6" x14ac:dyDescent="0.25">
      <c r="B25" s="28"/>
      <c r="F25" s="28"/>
    </row>
    <row r="26" spans="2:6" x14ac:dyDescent="0.25">
      <c r="B26" s="28"/>
      <c r="F26" s="28"/>
    </row>
    <row r="27" spans="2:6" x14ac:dyDescent="0.25">
      <c r="B27" s="28"/>
      <c r="F27" s="28"/>
    </row>
    <row r="28" spans="2:6" x14ac:dyDescent="0.25">
      <c r="B28" s="28"/>
      <c r="F28" s="28"/>
    </row>
    <row r="29" spans="2:6" x14ac:dyDescent="0.25">
      <c r="B29" s="28"/>
      <c r="F29" s="28"/>
    </row>
    <row r="30" spans="2:6" x14ac:dyDescent="0.25">
      <c r="B30" s="28"/>
      <c r="F30" s="28"/>
    </row>
    <row r="31" spans="2:6" x14ac:dyDescent="0.25">
      <c r="B31" s="28"/>
      <c r="F31" s="28"/>
    </row>
    <row r="32" spans="2:6" x14ac:dyDescent="0.25">
      <c r="B32" s="28"/>
      <c r="F32" s="28"/>
    </row>
    <row r="33" spans="2:6" x14ac:dyDescent="0.25">
      <c r="B33" s="28"/>
      <c r="F33" s="28"/>
    </row>
    <row r="34" spans="2:6" x14ac:dyDescent="0.25">
      <c r="B34" s="28"/>
      <c r="F34" s="28"/>
    </row>
    <row r="35" spans="2:6" x14ac:dyDescent="0.25">
      <c r="B35" s="28"/>
      <c r="F35" s="28"/>
    </row>
    <row r="36" spans="2:6" x14ac:dyDescent="0.25">
      <c r="B36" s="28"/>
      <c r="F36" s="28"/>
    </row>
    <row r="37" spans="2:6" x14ac:dyDescent="0.25">
      <c r="B37" s="38"/>
      <c r="F37" s="38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>
    <tabColor theme="9"/>
  </sheetPr>
  <dimension ref="A1:CI1154"/>
  <sheetViews>
    <sheetView showGridLines="0" zoomScale="85" zoomScaleNormal="85" workbookViewId="0">
      <selection activeCell="C7" sqref="C7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45" width="11.5703125" style="1" customWidth="1"/>
    <col min="46" max="51" width="13" style="1" customWidth="1"/>
    <col min="52" max="53" width="11.5703125" customWidth="1"/>
    <col min="54" max="54" width="12.42578125" customWidth="1"/>
    <col min="55" max="55" width="12.5703125" customWidth="1"/>
    <col min="56" max="56" width="12.140625" customWidth="1"/>
    <col min="57" max="71" width="13" customWidth="1"/>
    <col min="72" max="76" width="11.5703125" customWidth="1"/>
    <col min="77" max="87" width="13" customWidth="1"/>
  </cols>
  <sheetData>
    <row r="1" spans="1:87" s="1" customFormat="1" ht="23.25" x14ac:dyDescent="0.35">
      <c r="A1" s="96"/>
      <c r="C1" s="70" t="s">
        <v>565</v>
      </c>
      <c r="D1" s="2"/>
      <c r="J1" s="62" t="s">
        <v>445</v>
      </c>
      <c r="K1" s="62"/>
      <c r="L1" s="62"/>
      <c r="M1" s="62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74" t="s">
        <v>447</v>
      </c>
      <c r="AU1" s="75"/>
      <c r="AV1" s="75"/>
      <c r="AW1" s="75"/>
      <c r="AX1" s="75"/>
      <c r="AY1" s="75"/>
      <c r="AZ1" s="45" t="s">
        <v>446</v>
      </c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61"/>
      <c r="BT1" s="61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</row>
    <row r="2" spans="1:87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</row>
    <row r="3" spans="1:87" s="4" customFormat="1" x14ac:dyDescent="0.25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48" t="s">
        <v>106</v>
      </c>
      <c r="AU3" s="50"/>
      <c r="AV3" s="50"/>
      <c r="AW3" s="50"/>
      <c r="AX3" s="50"/>
      <c r="AY3" s="51"/>
      <c r="AZ3" s="64" t="s">
        <v>505</v>
      </c>
      <c r="BA3" s="65"/>
      <c r="BB3" s="65"/>
      <c r="BC3" s="66"/>
      <c r="BD3" s="64" t="s">
        <v>506</v>
      </c>
      <c r="BE3" s="65"/>
      <c r="BF3" s="65"/>
      <c r="BG3" s="66"/>
      <c r="BH3" s="64" t="s">
        <v>507</v>
      </c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6"/>
      <c r="BV3" s="64" t="s">
        <v>508</v>
      </c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5"/>
      <c r="CI3" s="66"/>
    </row>
    <row r="4" spans="1:87" s="1" customFormat="1" ht="135.75" customHeight="1" x14ac:dyDescent="0.25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10" t="s">
        <v>497</v>
      </c>
      <c r="AU4" s="11" t="s">
        <v>499</v>
      </c>
      <c r="AV4" s="11" t="s">
        <v>501</v>
      </c>
      <c r="AW4" s="11" t="s">
        <v>498</v>
      </c>
      <c r="AX4" s="11" t="s">
        <v>500</v>
      </c>
      <c r="AY4" s="12" t="s">
        <v>502</v>
      </c>
      <c r="AZ4" s="67" t="s">
        <v>80</v>
      </c>
      <c r="BA4" s="68" t="s">
        <v>85</v>
      </c>
      <c r="BB4" s="68" t="s">
        <v>81</v>
      </c>
      <c r="BC4" s="69" t="s">
        <v>82</v>
      </c>
      <c r="BD4" s="67" t="s">
        <v>509</v>
      </c>
      <c r="BE4" s="68" t="s">
        <v>510</v>
      </c>
      <c r="BF4" s="68" t="s">
        <v>511</v>
      </c>
      <c r="BG4" s="69" t="s">
        <v>512</v>
      </c>
      <c r="BH4" s="67" t="s">
        <v>83</v>
      </c>
      <c r="BI4" s="68" t="s">
        <v>84</v>
      </c>
      <c r="BJ4" s="68" t="s">
        <v>86</v>
      </c>
      <c r="BK4" s="68" t="s">
        <v>87</v>
      </c>
      <c r="BL4" s="68" t="s">
        <v>88</v>
      </c>
      <c r="BM4" s="68" t="s">
        <v>89</v>
      </c>
      <c r="BN4" s="68" t="s">
        <v>90</v>
      </c>
      <c r="BO4" s="68" t="s">
        <v>91</v>
      </c>
      <c r="BP4" s="68" t="s">
        <v>92</v>
      </c>
      <c r="BQ4" s="68" t="s">
        <v>93</v>
      </c>
      <c r="BR4" s="68" t="s">
        <v>94</v>
      </c>
      <c r="BS4" s="68" t="s">
        <v>95</v>
      </c>
      <c r="BT4" s="68" t="s">
        <v>96</v>
      </c>
      <c r="BU4" s="69" t="s">
        <v>97</v>
      </c>
      <c r="BV4" s="67" t="s">
        <v>513</v>
      </c>
      <c r="BW4" s="68" t="s">
        <v>514</v>
      </c>
      <c r="BX4" s="68" t="s">
        <v>515</v>
      </c>
      <c r="BY4" s="68" t="s">
        <v>516</v>
      </c>
      <c r="BZ4" s="68" t="s">
        <v>517</v>
      </c>
      <c r="CA4" s="68" t="s">
        <v>518</v>
      </c>
      <c r="CB4" s="68" t="s">
        <v>519</v>
      </c>
      <c r="CC4" s="68" t="s">
        <v>520</v>
      </c>
      <c r="CD4" s="68" t="s">
        <v>521</v>
      </c>
      <c r="CE4" s="68" t="s">
        <v>522</v>
      </c>
      <c r="CF4" s="68" t="s">
        <v>523</v>
      </c>
      <c r="CG4" s="68" t="s">
        <v>524</v>
      </c>
      <c r="CH4" s="68" t="s">
        <v>525</v>
      </c>
      <c r="CI4" s="69" t="s">
        <v>526</v>
      </c>
    </row>
    <row r="5" spans="1:87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Z5" s="47">
        <f>SUBTOTAL(109,temp_T[u1_unk_pos])</f>
        <v>0</v>
      </c>
      <c r="BA5" s="47">
        <f>SUBTOTAL(109,temp_T[0109_unk_pos])</f>
        <v>0</v>
      </c>
      <c r="BB5" s="47">
        <f>SUBTOTAL(109,temp_T[1014_f_pos])</f>
        <v>0</v>
      </c>
      <c r="BC5" s="47">
        <f>SUBTOTAL(109,temp_T[1014_m_pos])</f>
        <v>0</v>
      </c>
      <c r="BD5" s="47">
        <f>SUBTOTAL(109,temp_T[u1_unk_neg])</f>
        <v>0</v>
      </c>
      <c r="BE5" s="47">
        <f>SUBTOTAL(109,temp_T[0109_unk_neg])</f>
        <v>0</v>
      </c>
      <c r="BF5" s="47">
        <f>SUBTOTAL(109,temp_T[1014_f_neg])</f>
        <v>0</v>
      </c>
      <c r="BG5" s="47">
        <f>SUBTOTAL(109,temp_T[1014_m_neg])</f>
        <v>0</v>
      </c>
      <c r="BH5" s="47">
        <f>SUBTOTAL(109,temp_T[1519_f_pos])</f>
        <v>0</v>
      </c>
      <c r="BI5" s="47">
        <f>SUBTOTAL(109,temp_T[1519_m_pos])</f>
        <v>0</v>
      </c>
      <c r="BJ5" s="47">
        <f>SUBTOTAL(109,temp_T[2024_f_pos])</f>
        <v>0</v>
      </c>
      <c r="BK5" s="47">
        <f>SUBTOTAL(109,temp_T[2024_m_pos])</f>
        <v>0</v>
      </c>
      <c r="BL5" s="47">
        <f>SUBTOTAL(109,temp_T[2529_f_pos])</f>
        <v>0</v>
      </c>
      <c r="BM5" s="47">
        <f>SUBTOTAL(109,temp_T[2529_m_pos])</f>
        <v>0</v>
      </c>
      <c r="BN5" s="47">
        <f>SUBTOTAL(109,temp_T[3034_f_pos])</f>
        <v>0</v>
      </c>
      <c r="BO5" s="47">
        <f>SUBTOTAL(109,temp_T[3034_m_pos])</f>
        <v>0</v>
      </c>
      <c r="BP5" s="47">
        <f>SUBTOTAL(109,temp_T[3539_f_pos])</f>
        <v>0</v>
      </c>
      <c r="BQ5" s="47">
        <f>SUBTOTAL(109,temp_T[3539_m_pos])</f>
        <v>0</v>
      </c>
      <c r="BR5" s="47">
        <f>SUBTOTAL(109,temp_T[4049_f_pos])</f>
        <v>0</v>
      </c>
      <c r="BS5" s="47">
        <f>SUBTOTAL(109,temp_T[4049_m_pos])</f>
        <v>0</v>
      </c>
      <c r="BT5" s="47">
        <f>SUBTOTAL(109,temp_T[o50_f_pos])</f>
        <v>0</v>
      </c>
      <c r="BU5" s="47">
        <f>SUBTOTAL(109,temp_T[o50_m_pos])</f>
        <v>0</v>
      </c>
      <c r="BV5" s="47">
        <f>SUBTOTAL(109,temp_T[1519_f_neg])</f>
        <v>0</v>
      </c>
      <c r="BW5" s="47">
        <f>SUBTOTAL(109,temp_T[1519_m_neg])</f>
        <v>0</v>
      </c>
      <c r="BX5" s="47">
        <f>SUBTOTAL(109,temp_T[2024_f_neg])</f>
        <v>0</v>
      </c>
      <c r="BY5" s="47">
        <f>SUBTOTAL(109,temp_T[2024_m_neg])</f>
        <v>0</v>
      </c>
      <c r="BZ5" s="47">
        <f>SUBTOTAL(109,temp_T[2529_f_neg])</f>
        <v>0</v>
      </c>
      <c r="CA5" s="47">
        <f>SUBTOTAL(109,temp_T[2529_m_neg])</f>
        <v>0</v>
      </c>
      <c r="CB5" s="47">
        <f>SUBTOTAL(109,temp_T[3034_f_neg])</f>
        <v>0</v>
      </c>
      <c r="CC5" s="47">
        <f>SUBTOTAL(109,temp_T[3034_m_neg])</f>
        <v>0</v>
      </c>
      <c r="CD5" s="47">
        <f>SUBTOTAL(109,temp_T[3539_f_neg])</f>
        <v>0</v>
      </c>
      <c r="CE5" s="47">
        <f>SUBTOTAL(109,temp_T[3539_m_neg])</f>
        <v>0</v>
      </c>
      <c r="CF5" s="47">
        <f>SUBTOTAL(109,temp_T[4049_f_neg])</f>
        <v>0</v>
      </c>
      <c r="CG5" s="47">
        <f>SUBTOTAL(109,temp_T[4049_m_neg])</f>
        <v>0</v>
      </c>
      <c r="CH5" s="47">
        <f>SUBTOTAL(109,temp_T[o50_f_neg])</f>
        <v>0</v>
      </c>
      <c r="CI5" s="47">
        <f>SUBTOTAL(109,temp_T[o50_m_neg])</f>
        <v>0</v>
      </c>
    </row>
    <row r="6" spans="1:87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566</v>
      </c>
      <c r="K6" s="25" t="s">
        <v>567</v>
      </c>
      <c r="L6" s="25" t="s">
        <v>568</v>
      </c>
      <c r="M6" s="25" t="s">
        <v>569</v>
      </c>
      <c r="N6" s="25" t="s">
        <v>570</v>
      </c>
      <c r="O6" s="25" t="s">
        <v>571</v>
      </c>
      <c r="P6" s="25" t="s">
        <v>572</v>
      </c>
      <c r="Q6" s="25" t="s">
        <v>573</v>
      </c>
      <c r="R6" s="25" t="s">
        <v>574</v>
      </c>
      <c r="S6" s="25" t="s">
        <v>575</v>
      </c>
      <c r="T6" s="25" t="s">
        <v>576</v>
      </c>
      <c r="U6" s="25" t="s">
        <v>577</v>
      </c>
      <c r="V6" s="25" t="s">
        <v>578</v>
      </c>
      <c r="W6" s="25" t="s">
        <v>579</v>
      </c>
      <c r="X6" s="25" t="s">
        <v>580</v>
      </c>
      <c r="Y6" s="25" t="s">
        <v>581</v>
      </c>
      <c r="Z6" s="25" t="s">
        <v>582</v>
      </c>
      <c r="AA6" s="25" t="s">
        <v>583</v>
      </c>
      <c r="AB6" s="25" t="s">
        <v>584</v>
      </c>
      <c r="AC6" s="25" t="s">
        <v>585</v>
      </c>
      <c r="AD6" s="25" t="s">
        <v>586</v>
      </c>
      <c r="AE6" s="25" t="s">
        <v>587</v>
      </c>
      <c r="AF6" s="25" t="s">
        <v>588</v>
      </c>
      <c r="AG6" s="25" t="s">
        <v>589</v>
      </c>
      <c r="AH6" s="25" t="s">
        <v>590</v>
      </c>
      <c r="AI6" s="25" t="s">
        <v>591</v>
      </c>
      <c r="AJ6" s="25" t="s">
        <v>592</v>
      </c>
      <c r="AK6" s="25" t="s">
        <v>593</v>
      </c>
      <c r="AL6" s="25" t="s">
        <v>594</v>
      </c>
      <c r="AM6" s="25" t="s">
        <v>595</v>
      </c>
      <c r="AN6" s="25" t="s">
        <v>596</v>
      </c>
      <c r="AO6" s="25" t="s">
        <v>597</v>
      </c>
      <c r="AP6" s="25" t="s">
        <v>598</v>
      </c>
      <c r="AQ6" s="25" t="s">
        <v>599</v>
      </c>
      <c r="AR6" s="25" t="s">
        <v>600</v>
      </c>
      <c r="AS6" s="25" t="s">
        <v>601</v>
      </c>
      <c r="AT6" s="25" t="s">
        <v>602</v>
      </c>
      <c r="AU6" s="25" t="s">
        <v>603</v>
      </c>
      <c r="AV6" s="25" t="s">
        <v>604</v>
      </c>
      <c r="AW6" s="25" t="s">
        <v>605</v>
      </c>
      <c r="AX6" s="25" t="s">
        <v>606</v>
      </c>
      <c r="AY6" s="25" t="s">
        <v>607</v>
      </c>
      <c r="AZ6" s="25" t="s">
        <v>527</v>
      </c>
      <c r="BA6" s="25" t="s">
        <v>528</v>
      </c>
      <c r="BB6" s="25" t="s">
        <v>529</v>
      </c>
      <c r="BC6" s="25" t="s">
        <v>530</v>
      </c>
      <c r="BD6" s="25" t="s">
        <v>531</v>
      </c>
      <c r="BE6" s="25" t="s">
        <v>532</v>
      </c>
      <c r="BF6" s="25" t="s">
        <v>533</v>
      </c>
      <c r="BG6" s="25" t="s">
        <v>534</v>
      </c>
      <c r="BH6" s="25" t="s">
        <v>535</v>
      </c>
      <c r="BI6" s="25" t="s">
        <v>536</v>
      </c>
      <c r="BJ6" s="25" t="s">
        <v>537</v>
      </c>
      <c r="BK6" s="25" t="s">
        <v>538</v>
      </c>
      <c r="BL6" s="25" t="s">
        <v>539</v>
      </c>
      <c r="BM6" s="25" t="s">
        <v>540</v>
      </c>
      <c r="BN6" s="25" t="s">
        <v>541</v>
      </c>
      <c r="BO6" s="25" t="s">
        <v>542</v>
      </c>
      <c r="BP6" s="25" t="s">
        <v>543</v>
      </c>
      <c r="BQ6" s="25" t="s">
        <v>544</v>
      </c>
      <c r="BR6" s="25" t="s">
        <v>545</v>
      </c>
      <c r="BS6" s="25" t="s">
        <v>546</v>
      </c>
      <c r="BT6" s="25" t="s">
        <v>547</v>
      </c>
      <c r="BU6" s="25" t="s">
        <v>548</v>
      </c>
      <c r="BV6" s="25" t="s">
        <v>549</v>
      </c>
      <c r="BW6" s="25" t="s">
        <v>550</v>
      </c>
      <c r="BX6" s="25" t="s">
        <v>551</v>
      </c>
      <c r="BY6" s="25" t="s">
        <v>552</v>
      </c>
      <c r="BZ6" s="25" t="s">
        <v>553</v>
      </c>
      <c r="CA6" s="25" t="s">
        <v>554</v>
      </c>
      <c r="CB6" s="25" t="s">
        <v>555</v>
      </c>
      <c r="CC6" s="25" t="s">
        <v>556</v>
      </c>
      <c r="CD6" s="25" t="s">
        <v>557</v>
      </c>
      <c r="CE6" s="25" t="s">
        <v>558</v>
      </c>
      <c r="CF6" s="25" t="s">
        <v>559</v>
      </c>
      <c r="CG6" s="25" t="s">
        <v>560</v>
      </c>
      <c r="CH6" s="25" t="s">
        <v>561</v>
      </c>
      <c r="CI6" s="25" t="s">
        <v>562</v>
      </c>
    </row>
    <row r="7" spans="1:87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1"/>
      <c r="AU7" s="41"/>
      <c r="AV7" s="41"/>
      <c r="AW7" s="41"/>
      <c r="AX7" s="41"/>
      <c r="AY7" s="41"/>
      <c r="AZ7" s="41">
        <f>temp_T[[D_hts_tst_o15_fy19]:[D_hts_tst_o15_fy19]]*temp_T[A_u1_unk_pos]</f>
        <v>0</v>
      </c>
      <c r="BA7" s="41">
        <f>temp_T[[D_hts_tst_o15_fy19]:[D_hts_tst_o15_fy19]]*temp_T[A_0109_unk_pos]</f>
        <v>0</v>
      </c>
      <c r="BB7" s="41">
        <f>temp_T[[D_hts_tst_o15_fy19]:[D_hts_tst_o15_fy19]]*temp_T[A_1014_f_pos]</f>
        <v>0</v>
      </c>
      <c r="BC7" s="41">
        <f>temp_T[[D_hts_tst_o15_fy19]:[D_hts_tst_o15_fy19]]*temp_T[A_1014_m_pos]</f>
        <v>0</v>
      </c>
      <c r="BD7" s="41">
        <f>temp_T[[D_hts_tst_pos_u15_fy19]:[D_hts_tst_pos_u15_fy19]]*temp_T[A_u1_unk_neg]</f>
        <v>0</v>
      </c>
      <c r="BE7" s="41">
        <f>temp_T[[D_hts_tst_pos_u15_fy19]:[D_hts_tst_pos_u15_fy19]]*temp_T[A_0109_unk_neg]</f>
        <v>0</v>
      </c>
      <c r="BF7" s="41">
        <f>temp_T[[D_hts_tst_pos_u15_fy19]:[D_hts_tst_pos_u15_fy19]]*temp_T[A_1014_f_neg]</f>
        <v>0</v>
      </c>
      <c r="BG7" s="41">
        <f>temp_T[[D_hts_tst_pos_u15_fy19]:[D_hts_tst_pos_u15_fy19]]*temp_T[A_1014_m_neg]</f>
        <v>0</v>
      </c>
      <c r="BH7" s="41">
        <f>temp_T[[D_hts_tst_neg_u15_fy19]:[D_hts_tst_neg_u15_fy19]]*temp_T[A_1519_f_pos]</f>
        <v>0</v>
      </c>
      <c r="BI7" s="41">
        <f>temp_T[[D_hts_tst_neg_u15_fy19]:[D_hts_tst_neg_u15_fy19]]*temp_T[A_1519_m_pos]</f>
        <v>0</v>
      </c>
      <c r="BJ7" s="41">
        <f>temp_T[[D_hts_tst_neg_u15_fy19]:[D_hts_tst_neg_u15_fy19]]*temp_T[A_2024_f_pos]</f>
        <v>0</v>
      </c>
      <c r="BK7" s="41">
        <f>temp_T[[D_hts_tst_neg_u15_fy19]:[D_hts_tst_neg_u15_fy19]]*temp_T[A_2024_m_pos]</f>
        <v>0</v>
      </c>
      <c r="BL7" s="41">
        <f>temp_T[[D_hts_tst_neg_u15_fy19]:[D_hts_tst_neg_u15_fy19]]*temp_T[A_2529_f_pos]</f>
        <v>0</v>
      </c>
      <c r="BM7" s="41">
        <f>temp_T[[D_hts_tst_neg_u15_fy19]:[D_hts_tst_neg_u15_fy19]]*temp_T[A_2529_m_pos]</f>
        <v>0</v>
      </c>
      <c r="BN7" s="41">
        <f>temp_T[[D_hts_tst_neg_u15_fy19]:[D_hts_tst_neg_u15_fy19]]*temp_T[A_3034_f_pos]</f>
        <v>0</v>
      </c>
      <c r="BO7" s="41">
        <f>temp_T[[D_hts_tst_neg_u15_fy19]:[D_hts_tst_neg_u15_fy19]]*temp_T[A_3034_m__pos]</f>
        <v>0</v>
      </c>
      <c r="BP7" s="41">
        <f>temp_T[[D_hts_tst_neg_u15_fy19]:[D_hts_tst_neg_u15_fy19]]*temp_T[A_3539_f_pos]</f>
        <v>0</v>
      </c>
      <c r="BQ7" s="41">
        <f>temp_T[[D_hts_tst_neg_u15_fy19]:[D_hts_tst_neg_u15_fy19]]*temp_T[A_3539_m__pos]</f>
        <v>0</v>
      </c>
      <c r="BR7" s="41">
        <f>temp_T[[D_hts_tst_neg_u15_fy19]:[D_hts_tst_neg_u15_fy19]]*temp_T[A_4049_f_pos]</f>
        <v>0</v>
      </c>
      <c r="BS7" s="41">
        <f>temp_T[[D_hts_tst_neg_u15_fy19]:[D_hts_tst_neg_u15_fy19]]*temp_T[A_4049_m_pos]</f>
        <v>0</v>
      </c>
      <c r="BT7" s="41">
        <f>temp_T[[D_hts_tst_neg_u15_fy19]:[D_hts_tst_neg_u15_fy19]]*temp_T[A_o50_f_pos]</f>
        <v>0</v>
      </c>
      <c r="BU7" s="41">
        <f>temp_T[[D_hts_tst_neg_u15_fy19]:[D_hts_tst_neg_u15_fy19]]*temp_T[A_o50_m_pos]</f>
        <v>0</v>
      </c>
      <c r="BV7" s="41">
        <f>temp_T[[D_hts_tst_neg_o15_fy19]:[D_hts_tst_neg_o15_fy19]]*temp_T[A_1519_f_neg]</f>
        <v>0</v>
      </c>
      <c r="BW7" s="41">
        <f>temp_T[[D_hts_tst_neg_o15_fy19]:[D_hts_tst_neg_o15_fy19]]*temp_T[A_1519_m_neg]</f>
        <v>0</v>
      </c>
      <c r="BX7" s="41">
        <f>temp_T[[D_hts_tst_neg_o15_fy19]:[D_hts_tst_neg_o15_fy19]]*temp_T[A_2024_f_neg]</f>
        <v>0</v>
      </c>
      <c r="BY7" s="41">
        <f>temp_T[[D_hts_tst_neg_o15_fy19]:[D_hts_tst_neg_o15_fy19]]*temp_T[A_2024_m_neg]</f>
        <v>0</v>
      </c>
      <c r="BZ7" s="41">
        <f>temp_T[[D_hts_tst_neg_o15_fy19]:[D_hts_tst_neg_o15_fy19]]*temp_T[A_2529_f_neg]</f>
        <v>0</v>
      </c>
      <c r="CA7" s="41">
        <f>temp_T[[D_hts_tst_neg_o15_fy19]:[D_hts_tst_neg_o15_fy19]]*temp_T[A_2529_m_neg]</f>
        <v>0</v>
      </c>
      <c r="CB7" s="41">
        <f>temp_T[[D_hts_tst_neg_o15_fy19]:[D_hts_tst_neg_o15_fy19]]*temp_T[A_3034_f_neg]</f>
        <v>0</v>
      </c>
      <c r="CC7" s="41">
        <f>temp_T[[D_hts_tst_neg_o15_fy19]:[D_hts_tst_neg_o15_fy19]]*temp_T[A_3034_m_neg]</f>
        <v>0</v>
      </c>
      <c r="CD7" s="41">
        <f>temp_T[[D_hts_tst_neg_o15_fy19]:[D_hts_tst_neg_o15_fy19]]*temp_T[A_3539_f_neg]</f>
        <v>0</v>
      </c>
      <c r="CE7" s="41">
        <f>temp_T[[D_hts_tst_neg_o15_fy19]:[D_hts_tst_neg_o15_fy19]]*temp_T[A_3539_m_neg]</f>
        <v>0</v>
      </c>
      <c r="CF7" s="41">
        <f>temp_T[[D_hts_tst_neg_o15_fy19]:[D_hts_tst_neg_o15_fy19]]*temp_T[A_4049_f_neg]</f>
        <v>0</v>
      </c>
      <c r="CG7" s="41">
        <f>temp_T[[D_hts_tst_neg_o15_fy19]:[D_hts_tst_neg_o15_fy19]]*temp_T[A_4049_m_neg]</f>
        <v>0</v>
      </c>
      <c r="CH7" s="41">
        <f>temp_T[[D_hts_tst_neg_o15_fy19]:[D_hts_tst_neg_o15_fy19]]*temp_T[A_o50_f_neg]</f>
        <v>0</v>
      </c>
      <c r="CI7" s="41">
        <f>temp_T[[D_hts_tst_neg_o15_fy19]:[D_hts_tst_neg_o15_fy19]]*temp_T[A_o50_m_neg]</f>
        <v>0</v>
      </c>
    </row>
    <row r="8" spans="1:87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</row>
    <row r="9" spans="1:87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</row>
    <row r="10" spans="1:87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</row>
    <row r="11" spans="1:87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</row>
    <row r="12" spans="1:87" x14ac:dyDescent="0.25">
      <c r="A12" s="16"/>
      <c r="C12"/>
      <c r="D12" s="56"/>
      <c r="E12"/>
      <c r="F12"/>
      <c r="G12"/>
      <c r="H12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/>
      <c r="AU12" s="56"/>
      <c r="AV12" s="56"/>
      <c r="AW12" s="56"/>
      <c r="AX12" s="56"/>
      <c r="AY12" s="56"/>
    </row>
    <row r="13" spans="1:87" x14ac:dyDescent="0.25">
      <c r="A13" s="16"/>
      <c r="C13"/>
      <c r="D13" s="56"/>
      <c r="E13"/>
      <c r="F13"/>
      <c r="G13"/>
      <c r="H13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/>
      <c r="AU13" s="56"/>
      <c r="AV13" s="56"/>
      <c r="AW13" s="56"/>
      <c r="AX13" s="56"/>
      <c r="AY13" s="56"/>
    </row>
    <row r="14" spans="1:87" x14ac:dyDescent="0.25">
      <c r="A14" s="16"/>
      <c r="C14"/>
      <c r="D14" s="56"/>
      <c r="E14"/>
      <c r="F14"/>
      <c r="G14"/>
      <c r="H14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/>
      <c r="AU14" s="56"/>
      <c r="AV14" s="56"/>
      <c r="AW14" s="56"/>
      <c r="AX14" s="56"/>
      <c r="AY14" s="56"/>
    </row>
    <row r="15" spans="1:87" x14ac:dyDescent="0.25">
      <c r="A15" s="16"/>
      <c r="C15"/>
      <c r="D15" s="56"/>
      <c r="E15"/>
      <c r="F15"/>
      <c r="G15"/>
      <c r="H15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/>
      <c r="AU15" s="56"/>
      <c r="AV15" s="56"/>
      <c r="AW15" s="56"/>
      <c r="AX15" s="56"/>
      <c r="AY15" s="56"/>
    </row>
    <row r="16" spans="1:87" x14ac:dyDescent="0.25">
      <c r="A16" s="16"/>
      <c r="C16"/>
      <c r="D16" s="56"/>
      <c r="E16"/>
      <c r="F16"/>
      <c r="G16"/>
      <c r="H1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/>
      <c r="AU16" s="56"/>
      <c r="AV16" s="56"/>
      <c r="AW16" s="56"/>
      <c r="AX16" s="56"/>
      <c r="AY16" s="56"/>
    </row>
    <row r="17" spans="1:51" x14ac:dyDescent="0.25">
      <c r="A17" s="16"/>
      <c r="C17"/>
      <c r="D17" s="56"/>
      <c r="E17"/>
      <c r="F17"/>
      <c r="G17"/>
      <c r="H17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/>
      <c r="AU17" s="56"/>
      <c r="AV17" s="56"/>
      <c r="AW17" s="56"/>
      <c r="AX17" s="56"/>
      <c r="AY17" s="56"/>
    </row>
    <row r="18" spans="1:51" x14ac:dyDescent="0.25">
      <c r="A18" s="16"/>
      <c r="C18"/>
      <c r="D18" s="56"/>
      <c r="E18"/>
      <c r="F18"/>
      <c r="G18"/>
      <c r="H18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/>
      <c r="AU18" s="56"/>
      <c r="AV18" s="56"/>
      <c r="AW18" s="56"/>
      <c r="AX18" s="56"/>
      <c r="AY18" s="56"/>
    </row>
    <row r="19" spans="1:51" x14ac:dyDescent="0.25">
      <c r="A19" s="16"/>
      <c r="C19"/>
      <c r="D19" s="56"/>
      <c r="E19"/>
      <c r="F19"/>
      <c r="G19"/>
      <c r="H19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/>
      <c r="AU19" s="56"/>
      <c r="AV19" s="56"/>
      <c r="AW19" s="56"/>
      <c r="AX19" s="56"/>
      <c r="AY19" s="56"/>
    </row>
    <row r="20" spans="1:51" x14ac:dyDescent="0.25">
      <c r="A20" s="16"/>
      <c r="C20"/>
      <c r="D20" s="56"/>
      <c r="E20"/>
      <c r="F20"/>
      <c r="G20"/>
      <c r="H20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/>
      <c r="AU20" s="56"/>
      <c r="AV20" s="56"/>
      <c r="AW20" s="56"/>
      <c r="AX20" s="56"/>
      <c r="AY20" s="56"/>
    </row>
    <row r="21" spans="1:51" x14ac:dyDescent="0.25">
      <c r="A21" s="16"/>
      <c r="C21"/>
      <c r="D21" s="56"/>
      <c r="E21"/>
      <c r="F21"/>
      <c r="G21"/>
      <c r="H21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/>
      <c r="AU21" s="56"/>
      <c r="AV21" s="56"/>
      <c r="AW21" s="56"/>
      <c r="AX21" s="56"/>
      <c r="AY21" s="56"/>
    </row>
    <row r="22" spans="1:51" x14ac:dyDescent="0.25">
      <c r="A22" s="16"/>
      <c r="C22"/>
      <c r="D22" s="56"/>
      <c r="E22"/>
      <c r="F22"/>
      <c r="G22"/>
      <c r="H22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/>
      <c r="AU22" s="56"/>
      <c r="AV22" s="56"/>
      <c r="AW22" s="56"/>
      <c r="AX22" s="56"/>
      <c r="AY22" s="56"/>
    </row>
    <row r="23" spans="1:51" x14ac:dyDescent="0.25">
      <c r="A23" s="16"/>
      <c r="C23"/>
      <c r="D23" s="56"/>
      <c r="E23"/>
      <c r="F23"/>
      <c r="G23"/>
      <c r="H23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/>
      <c r="AU23" s="56"/>
      <c r="AV23" s="56"/>
      <c r="AW23" s="56"/>
      <c r="AX23" s="56"/>
      <c r="AY23" s="56"/>
    </row>
    <row r="24" spans="1:51" x14ac:dyDescent="0.25">
      <c r="A24" s="16"/>
      <c r="C24"/>
      <c r="D24" s="56"/>
      <c r="E24"/>
      <c r="F24"/>
      <c r="G24"/>
      <c r="H24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/>
      <c r="AU24" s="56"/>
      <c r="AV24" s="56"/>
      <c r="AW24" s="56"/>
      <c r="AX24" s="56"/>
      <c r="AY24" s="56"/>
    </row>
    <row r="25" spans="1:51" x14ac:dyDescent="0.25">
      <c r="A25" s="16"/>
      <c r="C25"/>
      <c r="D25" s="56"/>
      <c r="E25"/>
      <c r="F25"/>
      <c r="G25"/>
      <c r="H25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/>
      <c r="AU25" s="56"/>
      <c r="AV25" s="56"/>
      <c r="AW25" s="56"/>
      <c r="AX25" s="56"/>
      <c r="AY25" s="56"/>
    </row>
    <row r="26" spans="1:51" x14ac:dyDescent="0.25">
      <c r="A26" s="16"/>
      <c r="C26"/>
      <c r="D26" s="56"/>
      <c r="E26"/>
      <c r="F26"/>
      <c r="G26"/>
      <c r="H2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/>
      <c r="AU26" s="56"/>
      <c r="AV26" s="56"/>
      <c r="AW26" s="56"/>
      <c r="AX26" s="56"/>
      <c r="AY26" s="56"/>
    </row>
    <row r="27" spans="1:51" x14ac:dyDescent="0.25">
      <c r="A27" s="16"/>
      <c r="C27"/>
      <c r="D27" s="56"/>
      <c r="E27"/>
      <c r="F27"/>
      <c r="G27"/>
      <c r="H27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/>
      <c r="AU27" s="56"/>
      <c r="AV27" s="56"/>
      <c r="AW27" s="56"/>
      <c r="AX27" s="56"/>
      <c r="AY27" s="56"/>
    </row>
    <row r="28" spans="1:51" x14ac:dyDescent="0.25">
      <c r="A28" s="16"/>
      <c r="C28"/>
      <c r="D28" s="56"/>
      <c r="E28"/>
      <c r="F28"/>
      <c r="G28"/>
      <c r="H28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/>
      <c r="AU28" s="56"/>
      <c r="AV28" s="56"/>
      <c r="AW28" s="56"/>
      <c r="AX28" s="56"/>
      <c r="AY28" s="56"/>
    </row>
    <row r="29" spans="1:51" x14ac:dyDescent="0.25">
      <c r="A29" s="16"/>
      <c r="C29"/>
      <c r="D29" s="56"/>
      <c r="E29"/>
      <c r="F29"/>
      <c r="G29"/>
      <c r="H29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/>
      <c r="AU29" s="56"/>
      <c r="AV29" s="56"/>
      <c r="AW29" s="56"/>
      <c r="AX29" s="56"/>
      <c r="AY29" s="56"/>
    </row>
    <row r="30" spans="1:51" x14ac:dyDescent="0.25">
      <c r="A30" s="16"/>
      <c r="C30"/>
      <c r="D30" s="56"/>
      <c r="E30"/>
      <c r="F30"/>
      <c r="G30"/>
      <c r="H30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/>
      <c r="AU30" s="56"/>
      <c r="AV30" s="56"/>
      <c r="AW30" s="56"/>
      <c r="AX30" s="56"/>
      <c r="AY30" s="56"/>
    </row>
    <row r="31" spans="1:51" x14ac:dyDescent="0.25">
      <c r="A31" s="16"/>
      <c r="C31"/>
      <c r="D31" s="56"/>
      <c r="E31"/>
      <c r="F31"/>
      <c r="G31"/>
      <c r="H31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/>
      <c r="AU31" s="56"/>
      <c r="AV31" s="56"/>
      <c r="AW31" s="56"/>
      <c r="AX31" s="56"/>
      <c r="AY31" s="56"/>
    </row>
    <row r="32" spans="1:51" x14ac:dyDescent="0.25">
      <c r="A32" s="16"/>
      <c r="C32"/>
      <c r="D32" s="56"/>
      <c r="E32"/>
      <c r="F32"/>
      <c r="G32"/>
      <c r="H32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/>
      <c r="AU32" s="56"/>
      <c r="AV32" s="56"/>
      <c r="AW32" s="56"/>
      <c r="AX32" s="56"/>
      <c r="AY32" s="56"/>
    </row>
    <row r="33" spans="1:51" x14ac:dyDescent="0.25">
      <c r="A33" s="16"/>
      <c r="C33"/>
      <c r="D33" s="56"/>
      <c r="E33"/>
      <c r="F33"/>
      <c r="G33"/>
      <c r="H33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/>
      <c r="AU33" s="56"/>
      <c r="AV33" s="56"/>
      <c r="AW33" s="56"/>
      <c r="AX33" s="56"/>
      <c r="AY33" s="56"/>
    </row>
    <row r="34" spans="1:51" x14ac:dyDescent="0.25">
      <c r="A34" s="16"/>
      <c r="C34"/>
      <c r="D34" s="56"/>
      <c r="E34"/>
      <c r="F34"/>
      <c r="G34"/>
      <c r="H34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/>
      <c r="AU34" s="56"/>
      <c r="AV34" s="56"/>
      <c r="AW34" s="56"/>
      <c r="AX34" s="56"/>
      <c r="AY34" s="56"/>
    </row>
    <row r="35" spans="1:51" x14ac:dyDescent="0.25">
      <c r="A35" s="16"/>
      <c r="C35"/>
      <c r="D35" s="56"/>
      <c r="E35"/>
      <c r="F35"/>
      <c r="G35"/>
      <c r="H35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/>
      <c r="AU35" s="56"/>
      <c r="AV35" s="56"/>
      <c r="AW35" s="56"/>
      <c r="AX35" s="56"/>
      <c r="AY35" s="56"/>
    </row>
    <row r="36" spans="1:51" x14ac:dyDescent="0.25">
      <c r="A36" s="16"/>
      <c r="C36"/>
      <c r="D36" s="56"/>
      <c r="E36"/>
      <c r="F36"/>
      <c r="G36"/>
      <c r="H3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/>
      <c r="AU36" s="56"/>
      <c r="AV36" s="56"/>
      <c r="AW36" s="56"/>
      <c r="AX36" s="56"/>
      <c r="AY36" s="56"/>
    </row>
    <row r="37" spans="1:51" x14ac:dyDescent="0.25">
      <c r="A37" s="16"/>
      <c r="C37"/>
      <c r="D37" s="56"/>
      <c r="E37"/>
      <c r="F37"/>
      <c r="G37"/>
      <c r="H37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/>
      <c r="AU37" s="56"/>
      <c r="AV37" s="56"/>
      <c r="AW37" s="56"/>
      <c r="AX37" s="56"/>
      <c r="AY37" s="56"/>
    </row>
    <row r="38" spans="1:51" x14ac:dyDescent="0.25">
      <c r="A38" s="16"/>
      <c r="C38"/>
      <c r="D38" s="56"/>
      <c r="E38"/>
      <c r="F38"/>
      <c r="G38"/>
      <c r="H38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/>
      <c r="AU38" s="56"/>
      <c r="AV38" s="56"/>
      <c r="AW38" s="56"/>
      <c r="AX38" s="56"/>
      <c r="AY38" s="56"/>
    </row>
    <row r="39" spans="1:51" x14ac:dyDescent="0.25">
      <c r="A39" s="16"/>
      <c r="C39"/>
      <c r="D39" s="56"/>
      <c r="E39"/>
      <c r="F39"/>
      <c r="G39"/>
      <c r="H39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/>
      <c r="AU39" s="56"/>
      <c r="AV39" s="56"/>
      <c r="AW39" s="56"/>
      <c r="AX39" s="56"/>
      <c r="AY39" s="56"/>
    </row>
    <row r="40" spans="1:51" x14ac:dyDescent="0.25">
      <c r="A40" s="16"/>
      <c r="C40"/>
      <c r="D40" s="56"/>
      <c r="E40"/>
      <c r="F40"/>
      <c r="G40"/>
      <c r="H40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/>
      <c r="AU40" s="56"/>
      <c r="AV40" s="56"/>
      <c r="AW40" s="56"/>
      <c r="AX40" s="56"/>
      <c r="AY40" s="56"/>
    </row>
    <row r="41" spans="1:51" x14ac:dyDescent="0.25">
      <c r="A41" s="16"/>
      <c r="C41"/>
      <c r="D41" s="56"/>
      <c r="E41"/>
      <c r="F41"/>
      <c r="G41"/>
      <c r="H41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/>
      <c r="AU41" s="56"/>
      <c r="AV41" s="56"/>
      <c r="AW41" s="56"/>
      <c r="AX41" s="56"/>
      <c r="AY41" s="56"/>
    </row>
    <row r="42" spans="1:51" x14ac:dyDescent="0.25">
      <c r="A42" s="16"/>
      <c r="C42"/>
      <c r="D42" s="56"/>
      <c r="E42"/>
      <c r="F42"/>
      <c r="G42"/>
      <c r="H42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/>
      <c r="AU42" s="56"/>
      <c r="AV42" s="56"/>
      <c r="AW42" s="56"/>
      <c r="AX42" s="56"/>
      <c r="AY42" s="56"/>
    </row>
    <row r="43" spans="1:51" x14ac:dyDescent="0.25">
      <c r="A43" s="16"/>
      <c r="C43"/>
      <c r="D43" s="56"/>
      <c r="E43"/>
      <c r="F43"/>
      <c r="G43"/>
      <c r="H43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/>
      <c r="AU43" s="56"/>
      <c r="AV43" s="56"/>
      <c r="AW43" s="56"/>
      <c r="AX43" s="56"/>
      <c r="AY43" s="56"/>
    </row>
    <row r="44" spans="1:51" x14ac:dyDescent="0.25">
      <c r="A44" s="16"/>
      <c r="C44"/>
      <c r="D44" s="56"/>
      <c r="E44"/>
      <c r="F44"/>
      <c r="G44"/>
      <c r="H44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/>
      <c r="AU44" s="56"/>
      <c r="AV44" s="56"/>
      <c r="AW44" s="56"/>
      <c r="AX44" s="56"/>
      <c r="AY44" s="56"/>
    </row>
    <row r="45" spans="1:51" x14ac:dyDescent="0.25">
      <c r="A45" s="16"/>
      <c r="C45"/>
      <c r="D45" s="56"/>
      <c r="E45"/>
      <c r="F45"/>
      <c r="G45"/>
      <c r="H45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/>
      <c r="AU45" s="56"/>
      <c r="AV45" s="56"/>
      <c r="AW45" s="56"/>
      <c r="AX45" s="56"/>
      <c r="AY45" s="56"/>
    </row>
    <row r="46" spans="1:51" x14ac:dyDescent="0.25">
      <c r="A46" s="16"/>
      <c r="C46"/>
      <c r="D46" s="56"/>
      <c r="E46"/>
      <c r="F46"/>
      <c r="G46"/>
      <c r="H4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/>
      <c r="AU46" s="56"/>
      <c r="AV46" s="56"/>
      <c r="AW46" s="56"/>
      <c r="AX46" s="56"/>
      <c r="AY46" s="56"/>
    </row>
    <row r="47" spans="1:51" x14ac:dyDescent="0.25">
      <c r="A47" s="16"/>
      <c r="C47"/>
      <c r="D47" s="56"/>
      <c r="E47"/>
      <c r="F47"/>
      <c r="G47"/>
      <c r="H47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/>
      <c r="AU47" s="56"/>
      <c r="AV47" s="56"/>
      <c r="AW47" s="56"/>
      <c r="AX47" s="56"/>
      <c r="AY47" s="56"/>
    </row>
    <row r="48" spans="1:51" x14ac:dyDescent="0.25">
      <c r="A48" s="16"/>
      <c r="C48"/>
      <c r="D48" s="56"/>
      <c r="E48"/>
      <c r="F48"/>
      <c r="G48"/>
      <c r="H48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/>
      <c r="AU48" s="56"/>
      <c r="AV48" s="56"/>
      <c r="AW48" s="56"/>
      <c r="AX48" s="56"/>
      <c r="AY48" s="56"/>
    </row>
    <row r="49" spans="1:51" x14ac:dyDescent="0.25">
      <c r="A49" s="16"/>
      <c r="C49"/>
      <c r="D49" s="56"/>
      <c r="E49"/>
      <c r="F49"/>
      <c r="G49"/>
      <c r="H49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/>
      <c r="AU49" s="56"/>
      <c r="AV49" s="56"/>
      <c r="AW49" s="56"/>
      <c r="AX49" s="56"/>
      <c r="AY49" s="56"/>
    </row>
    <row r="50" spans="1:51" x14ac:dyDescent="0.25">
      <c r="A50" s="16"/>
      <c r="C50"/>
      <c r="D50" s="56"/>
      <c r="E50"/>
      <c r="F50"/>
      <c r="G50"/>
      <c r="H50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/>
      <c r="AU50" s="56"/>
      <c r="AV50" s="56"/>
      <c r="AW50" s="56"/>
      <c r="AX50" s="56"/>
      <c r="AY50" s="56"/>
    </row>
    <row r="51" spans="1:51" x14ac:dyDescent="0.25">
      <c r="A51" s="16"/>
      <c r="C51"/>
      <c r="D51" s="56"/>
      <c r="E51"/>
      <c r="F51"/>
      <c r="G51"/>
      <c r="H51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/>
      <c r="AU51" s="56"/>
      <c r="AV51" s="56"/>
      <c r="AW51" s="56"/>
      <c r="AX51" s="56"/>
      <c r="AY51" s="56"/>
    </row>
    <row r="52" spans="1:51" x14ac:dyDescent="0.25">
      <c r="A52" s="16"/>
      <c r="C52"/>
      <c r="D52" s="56"/>
      <c r="E52"/>
      <c r="F52"/>
      <c r="G52"/>
      <c r="H52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/>
      <c r="AU52" s="56"/>
      <c r="AV52" s="56"/>
      <c r="AW52" s="56"/>
      <c r="AX52" s="56"/>
      <c r="AY52" s="56"/>
    </row>
    <row r="53" spans="1:51" x14ac:dyDescent="0.25">
      <c r="A53" s="16"/>
      <c r="C53"/>
      <c r="D53" s="56"/>
      <c r="E53"/>
      <c r="F53"/>
      <c r="G53"/>
      <c r="H53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/>
      <c r="AU53" s="56"/>
      <c r="AV53" s="56"/>
      <c r="AW53" s="56"/>
      <c r="AX53" s="56"/>
      <c r="AY53" s="56"/>
    </row>
    <row r="54" spans="1:51" x14ac:dyDescent="0.25">
      <c r="A54" s="16"/>
      <c r="C54"/>
      <c r="D54" s="56"/>
      <c r="E54"/>
      <c r="F54"/>
      <c r="G54"/>
      <c r="H54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/>
      <c r="AU54" s="56"/>
      <c r="AV54" s="56"/>
      <c r="AW54" s="56"/>
      <c r="AX54" s="56"/>
      <c r="AY54" s="56"/>
    </row>
    <row r="55" spans="1:51" x14ac:dyDescent="0.25">
      <c r="A55" s="16"/>
      <c r="C55"/>
      <c r="D55" s="56"/>
      <c r="E55"/>
      <c r="F55"/>
      <c r="G55"/>
      <c r="H55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/>
      <c r="AU55" s="56"/>
      <c r="AV55" s="56"/>
      <c r="AW55" s="56"/>
      <c r="AX55" s="56"/>
      <c r="AY55" s="56"/>
    </row>
    <row r="56" spans="1:51" x14ac:dyDescent="0.25">
      <c r="A56" s="16"/>
      <c r="C56"/>
      <c r="D56" s="56"/>
      <c r="E56"/>
      <c r="F56"/>
      <c r="G56"/>
      <c r="H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/>
      <c r="AU56" s="56"/>
      <c r="AV56" s="56"/>
      <c r="AW56" s="56"/>
      <c r="AX56" s="56"/>
      <c r="AY56" s="56"/>
    </row>
    <row r="57" spans="1:51" x14ac:dyDescent="0.25">
      <c r="A57" s="16"/>
      <c r="C57"/>
      <c r="D57" s="56"/>
      <c r="E57"/>
      <c r="F57"/>
      <c r="G57"/>
      <c r="H57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/>
      <c r="AU57" s="56"/>
      <c r="AV57" s="56"/>
      <c r="AW57" s="56"/>
      <c r="AX57" s="56"/>
      <c r="AY57" s="56"/>
    </row>
    <row r="58" spans="1:51" x14ac:dyDescent="0.25">
      <c r="A58" s="16"/>
      <c r="C58"/>
      <c r="D58" s="56"/>
      <c r="E58"/>
      <c r="F58"/>
      <c r="G58"/>
      <c r="H58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/>
      <c r="AU58" s="56"/>
      <c r="AV58" s="56"/>
      <c r="AW58" s="56"/>
      <c r="AX58" s="56"/>
      <c r="AY58" s="56"/>
    </row>
    <row r="59" spans="1:51" x14ac:dyDescent="0.25">
      <c r="A59" s="16"/>
      <c r="C59"/>
      <c r="D59" s="56"/>
      <c r="E59"/>
      <c r="F59"/>
      <c r="G59"/>
      <c r="H59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/>
      <c r="AU59" s="56"/>
      <c r="AV59" s="56"/>
      <c r="AW59" s="56"/>
      <c r="AX59" s="56"/>
      <c r="AY59" s="56"/>
    </row>
    <row r="60" spans="1:51" x14ac:dyDescent="0.25">
      <c r="A60" s="16"/>
      <c r="C60"/>
      <c r="D60" s="56"/>
      <c r="E60"/>
      <c r="F60"/>
      <c r="G60"/>
      <c r="H60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/>
      <c r="AU60" s="56"/>
      <c r="AV60" s="56"/>
      <c r="AW60" s="56"/>
      <c r="AX60" s="56"/>
      <c r="AY60" s="56"/>
    </row>
    <row r="61" spans="1:51" x14ac:dyDescent="0.25">
      <c r="A61" s="16"/>
      <c r="C61"/>
      <c r="D61" s="56"/>
      <c r="E61"/>
      <c r="F61"/>
      <c r="G61"/>
      <c r="H61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/>
      <c r="AU61" s="56"/>
      <c r="AV61" s="56"/>
      <c r="AW61" s="56"/>
      <c r="AX61" s="56"/>
      <c r="AY61" s="56"/>
    </row>
    <row r="62" spans="1:51" x14ac:dyDescent="0.25">
      <c r="A62" s="16"/>
      <c r="C62"/>
      <c r="D62" s="56"/>
      <c r="E62"/>
      <c r="F62"/>
      <c r="G62"/>
      <c r="H62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/>
      <c r="AU62" s="56"/>
      <c r="AV62" s="56"/>
      <c r="AW62" s="56"/>
      <c r="AX62" s="56"/>
      <c r="AY62" s="56"/>
    </row>
    <row r="63" spans="1:51" x14ac:dyDescent="0.25">
      <c r="A63" s="16"/>
      <c r="C63"/>
      <c r="D63" s="56"/>
      <c r="E63"/>
      <c r="F63"/>
      <c r="G63"/>
      <c r="H63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/>
      <c r="AU63" s="56"/>
      <c r="AV63" s="56"/>
      <c r="AW63" s="56"/>
      <c r="AX63" s="56"/>
      <c r="AY63" s="56"/>
    </row>
    <row r="64" spans="1:51" x14ac:dyDescent="0.25">
      <c r="A64" s="16"/>
      <c r="C64"/>
      <c r="D64" s="56"/>
      <c r="E64"/>
      <c r="F64"/>
      <c r="G64"/>
      <c r="H64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/>
      <c r="AU64" s="56"/>
      <c r="AV64" s="56"/>
      <c r="AW64" s="56"/>
      <c r="AX64" s="56"/>
      <c r="AY64" s="56"/>
    </row>
    <row r="65" spans="1:51" x14ac:dyDescent="0.25">
      <c r="A65" s="16"/>
      <c r="C65"/>
      <c r="D65" s="56"/>
      <c r="E65"/>
      <c r="F65"/>
      <c r="G65"/>
      <c r="H65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/>
      <c r="AU65" s="56"/>
      <c r="AV65" s="56"/>
      <c r="AW65" s="56"/>
      <c r="AX65" s="56"/>
      <c r="AY65" s="56"/>
    </row>
    <row r="66" spans="1:51" x14ac:dyDescent="0.25">
      <c r="A66" s="16"/>
      <c r="C66"/>
      <c r="D66" s="56"/>
      <c r="E66"/>
      <c r="F66"/>
      <c r="G66"/>
      <c r="H6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/>
      <c r="AU66" s="56"/>
      <c r="AV66" s="56"/>
      <c r="AW66" s="56"/>
      <c r="AX66" s="56"/>
      <c r="AY66" s="56"/>
    </row>
    <row r="67" spans="1:51" x14ac:dyDescent="0.25">
      <c r="A67" s="16"/>
      <c r="C67"/>
      <c r="D67" s="56"/>
      <c r="E67"/>
      <c r="F67"/>
      <c r="G67"/>
      <c r="H67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/>
      <c r="AU67" s="56"/>
      <c r="AV67" s="56"/>
      <c r="AW67" s="56"/>
      <c r="AX67" s="56"/>
      <c r="AY67" s="56"/>
    </row>
    <row r="68" spans="1:51" x14ac:dyDescent="0.25">
      <c r="A68" s="16"/>
      <c r="C68"/>
      <c r="D68" s="56"/>
      <c r="E68"/>
      <c r="F68"/>
      <c r="G68"/>
      <c r="H68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/>
      <c r="AU68" s="56"/>
      <c r="AV68" s="56"/>
      <c r="AW68" s="56"/>
      <c r="AX68" s="56"/>
      <c r="AY68" s="56"/>
    </row>
    <row r="69" spans="1:51" x14ac:dyDescent="0.25">
      <c r="A69" s="16"/>
      <c r="C69"/>
      <c r="D69" s="56"/>
      <c r="E69"/>
      <c r="F69"/>
      <c r="G69"/>
      <c r="H69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/>
      <c r="AU69" s="56"/>
      <c r="AV69" s="56"/>
      <c r="AW69" s="56"/>
      <c r="AX69" s="56"/>
      <c r="AY69" s="56"/>
    </row>
    <row r="70" spans="1:51" x14ac:dyDescent="0.25">
      <c r="A70" s="16"/>
      <c r="C70"/>
      <c r="D70" s="56"/>
      <c r="E70"/>
      <c r="F70"/>
      <c r="G70"/>
      <c r="H70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/>
      <c r="AU70" s="56"/>
      <c r="AV70" s="56"/>
      <c r="AW70" s="56"/>
      <c r="AX70" s="56"/>
      <c r="AY70" s="56"/>
    </row>
    <row r="71" spans="1:51" x14ac:dyDescent="0.25">
      <c r="A71" s="16"/>
      <c r="C71"/>
      <c r="D71" s="56"/>
      <c r="E71"/>
      <c r="F71"/>
      <c r="G71"/>
      <c r="H71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/>
      <c r="AU71" s="56"/>
      <c r="AV71" s="56"/>
      <c r="AW71" s="56"/>
      <c r="AX71" s="56"/>
      <c r="AY71" s="56"/>
    </row>
    <row r="72" spans="1:51" x14ac:dyDescent="0.25">
      <c r="A72" s="16"/>
      <c r="C72"/>
      <c r="D72" s="56"/>
      <c r="E72"/>
      <c r="F72"/>
      <c r="G72"/>
      <c r="H72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/>
      <c r="AU72" s="56"/>
      <c r="AV72" s="56"/>
      <c r="AW72" s="56"/>
      <c r="AX72" s="56"/>
      <c r="AY72" s="56"/>
    </row>
    <row r="73" spans="1:51" x14ac:dyDescent="0.25">
      <c r="A73" s="16"/>
      <c r="C73"/>
      <c r="D73" s="56"/>
      <c r="E73"/>
      <c r="F73"/>
      <c r="G73"/>
      <c r="H73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/>
      <c r="AU73" s="56"/>
      <c r="AV73" s="56"/>
      <c r="AW73" s="56"/>
      <c r="AX73" s="56"/>
      <c r="AY73" s="56"/>
    </row>
    <row r="74" spans="1:51" x14ac:dyDescent="0.25">
      <c r="A74" s="16"/>
      <c r="C74"/>
      <c r="D74" s="56"/>
      <c r="E74"/>
      <c r="F74"/>
      <c r="G74"/>
      <c r="H74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/>
      <c r="AU74" s="56"/>
      <c r="AV74" s="56"/>
      <c r="AW74" s="56"/>
      <c r="AX74" s="56"/>
      <c r="AY74" s="56"/>
    </row>
    <row r="75" spans="1:51" x14ac:dyDescent="0.25">
      <c r="A75" s="16"/>
      <c r="C75"/>
      <c r="D75" s="56"/>
      <c r="E75"/>
      <c r="F75"/>
      <c r="G75"/>
      <c r="H75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/>
      <c r="AU75" s="56"/>
      <c r="AV75" s="56"/>
      <c r="AW75" s="56"/>
      <c r="AX75" s="56"/>
      <c r="AY75" s="56"/>
    </row>
    <row r="76" spans="1:51" x14ac:dyDescent="0.25">
      <c r="A76" s="16"/>
      <c r="C76"/>
      <c r="D76" s="56"/>
      <c r="E76"/>
      <c r="F76"/>
      <c r="G76"/>
      <c r="H7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/>
      <c r="AU76" s="56"/>
      <c r="AV76" s="56"/>
      <c r="AW76" s="56"/>
      <c r="AX76" s="56"/>
      <c r="AY76" s="56"/>
    </row>
    <row r="77" spans="1:51" x14ac:dyDescent="0.25">
      <c r="A77" s="16"/>
      <c r="C77"/>
      <c r="D77" s="56"/>
      <c r="E77"/>
      <c r="F77"/>
      <c r="G77"/>
      <c r="H77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/>
      <c r="AU77" s="56"/>
      <c r="AV77" s="56"/>
      <c r="AW77" s="56"/>
      <c r="AX77" s="56"/>
      <c r="AY77" s="56"/>
    </row>
    <row r="78" spans="1:51" x14ac:dyDescent="0.25">
      <c r="A78" s="16"/>
      <c r="C78"/>
      <c r="D78" s="56"/>
      <c r="E78"/>
      <c r="F78"/>
      <c r="G78"/>
      <c r="H78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/>
      <c r="AU78" s="56"/>
      <c r="AV78" s="56"/>
      <c r="AW78" s="56"/>
      <c r="AX78" s="56"/>
      <c r="AY78" s="56"/>
    </row>
    <row r="79" spans="1:51" x14ac:dyDescent="0.25">
      <c r="A79" s="16"/>
      <c r="C79"/>
      <c r="D79" s="56"/>
      <c r="E79"/>
      <c r="F79"/>
      <c r="G79"/>
      <c r="H79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/>
      <c r="AU79" s="56"/>
      <c r="AV79" s="56"/>
      <c r="AW79" s="56"/>
      <c r="AX79" s="56"/>
      <c r="AY79" s="56"/>
    </row>
    <row r="80" spans="1:51" x14ac:dyDescent="0.25">
      <c r="A80" s="16"/>
      <c r="C80"/>
      <c r="D80" s="56"/>
      <c r="E80"/>
      <c r="F80"/>
      <c r="G80"/>
      <c r="H80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/>
      <c r="AU80" s="56"/>
      <c r="AV80" s="56"/>
      <c r="AW80" s="56"/>
      <c r="AX80" s="56"/>
      <c r="AY80" s="56"/>
    </row>
    <row r="81" spans="1:51" x14ac:dyDescent="0.25">
      <c r="A81" s="16"/>
      <c r="C81"/>
      <c r="D81" s="56"/>
      <c r="E81"/>
      <c r="F81"/>
      <c r="G81"/>
      <c r="H81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/>
      <c r="AU81" s="56"/>
      <c r="AV81" s="56"/>
      <c r="AW81" s="56"/>
      <c r="AX81" s="56"/>
      <c r="AY81" s="56"/>
    </row>
    <row r="82" spans="1:51" x14ac:dyDescent="0.25">
      <c r="A82" s="16"/>
      <c r="C82"/>
      <c r="D82" s="56"/>
      <c r="E82"/>
      <c r="F82"/>
      <c r="G82"/>
      <c r="H82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/>
      <c r="AU82" s="56"/>
      <c r="AV82" s="56"/>
      <c r="AW82" s="56"/>
      <c r="AX82" s="56"/>
      <c r="AY82" s="56"/>
    </row>
    <row r="83" spans="1:51" x14ac:dyDescent="0.25">
      <c r="A83" s="16"/>
      <c r="C83"/>
      <c r="D83" s="56"/>
      <c r="E83"/>
      <c r="F83"/>
      <c r="G83"/>
      <c r="H83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/>
      <c r="AU83" s="56"/>
      <c r="AV83" s="56"/>
      <c r="AW83" s="56"/>
      <c r="AX83" s="56"/>
      <c r="AY83" s="56"/>
    </row>
    <row r="84" spans="1:51" x14ac:dyDescent="0.25">
      <c r="A84" s="16"/>
      <c r="C84"/>
      <c r="D84" s="56"/>
      <c r="E84"/>
      <c r="F84"/>
      <c r="G84"/>
      <c r="H84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/>
      <c r="AU84" s="56"/>
      <c r="AV84" s="56"/>
      <c r="AW84" s="56"/>
      <c r="AX84" s="56"/>
      <c r="AY84" s="56"/>
    </row>
    <row r="85" spans="1:51" x14ac:dyDescent="0.25">
      <c r="A85" s="16"/>
      <c r="C85"/>
      <c r="D85" s="56"/>
      <c r="E85"/>
      <c r="F85"/>
      <c r="G85"/>
      <c r="H85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/>
      <c r="AU85" s="56"/>
      <c r="AV85" s="56"/>
      <c r="AW85" s="56"/>
      <c r="AX85" s="56"/>
      <c r="AY85" s="56"/>
    </row>
    <row r="86" spans="1:51" x14ac:dyDescent="0.25">
      <c r="A86" s="16"/>
      <c r="C86"/>
      <c r="D86" s="56"/>
      <c r="E86"/>
      <c r="F86"/>
      <c r="G86"/>
      <c r="H8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/>
      <c r="AU86" s="56"/>
      <c r="AV86" s="56"/>
      <c r="AW86" s="56"/>
      <c r="AX86" s="56"/>
      <c r="AY86" s="56"/>
    </row>
    <row r="87" spans="1:51" x14ac:dyDescent="0.25">
      <c r="A87" s="16"/>
      <c r="C87"/>
      <c r="D87" s="56"/>
      <c r="E87"/>
      <c r="F87"/>
      <c r="G87"/>
      <c r="H87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/>
      <c r="AU87" s="56"/>
      <c r="AV87" s="56"/>
      <c r="AW87" s="56"/>
      <c r="AX87" s="56"/>
      <c r="AY87" s="56"/>
    </row>
    <row r="88" spans="1:51" x14ac:dyDescent="0.25">
      <c r="A88" s="16"/>
      <c r="C88"/>
      <c r="D88" s="56"/>
      <c r="E88"/>
      <c r="F88"/>
      <c r="G88"/>
      <c r="H88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/>
      <c r="AU88" s="56"/>
      <c r="AV88" s="56"/>
      <c r="AW88" s="56"/>
      <c r="AX88" s="56"/>
      <c r="AY88" s="56"/>
    </row>
    <row r="89" spans="1:51" x14ac:dyDescent="0.25">
      <c r="A89" s="16"/>
      <c r="C89"/>
      <c r="D89" s="56"/>
      <c r="E89"/>
      <c r="F89"/>
      <c r="G89"/>
      <c r="H89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/>
      <c r="AU89" s="56"/>
      <c r="AV89" s="56"/>
      <c r="AW89" s="56"/>
      <c r="AX89" s="56"/>
      <c r="AY89" s="56"/>
    </row>
    <row r="90" spans="1:51" x14ac:dyDescent="0.25">
      <c r="A90" s="16"/>
      <c r="C90"/>
      <c r="D90" s="56"/>
      <c r="E90"/>
      <c r="F90"/>
      <c r="G90"/>
      <c r="H90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/>
      <c r="AU90" s="56"/>
      <c r="AV90" s="56"/>
      <c r="AW90" s="56"/>
      <c r="AX90" s="56"/>
      <c r="AY90" s="56"/>
    </row>
    <row r="91" spans="1:51" x14ac:dyDescent="0.25">
      <c r="A91" s="16"/>
      <c r="C91"/>
      <c r="D91" s="56"/>
      <c r="E91"/>
      <c r="F91"/>
      <c r="G91"/>
      <c r="H91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/>
      <c r="AU91" s="56"/>
      <c r="AV91" s="56"/>
      <c r="AW91" s="56"/>
      <c r="AX91" s="56"/>
      <c r="AY91" s="56"/>
    </row>
    <row r="92" spans="1:51" x14ac:dyDescent="0.25">
      <c r="A92" s="16"/>
      <c r="C92"/>
      <c r="D92" s="56"/>
      <c r="E92"/>
      <c r="F92"/>
      <c r="G92"/>
      <c r="H92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/>
      <c r="AU92" s="56"/>
      <c r="AV92" s="56"/>
      <c r="AW92" s="56"/>
      <c r="AX92" s="56"/>
      <c r="AY92" s="56"/>
    </row>
    <row r="93" spans="1:51" x14ac:dyDescent="0.25">
      <c r="A93" s="16"/>
      <c r="C93"/>
      <c r="D93" s="56"/>
      <c r="E93"/>
      <c r="F93"/>
      <c r="G93"/>
      <c r="H93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/>
      <c r="AU93" s="56"/>
      <c r="AV93" s="56"/>
      <c r="AW93" s="56"/>
      <c r="AX93" s="56"/>
      <c r="AY93" s="56"/>
    </row>
    <row r="94" spans="1:51" x14ac:dyDescent="0.25">
      <c r="A94" s="16"/>
      <c r="C94"/>
      <c r="D94" s="56"/>
      <c r="E94"/>
      <c r="F94"/>
      <c r="G94"/>
      <c r="H94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/>
      <c r="AU94" s="56"/>
      <c r="AV94" s="56"/>
      <c r="AW94" s="56"/>
      <c r="AX94" s="56"/>
      <c r="AY94" s="56"/>
    </row>
    <row r="95" spans="1:51" x14ac:dyDescent="0.25">
      <c r="A95" s="16"/>
      <c r="C95"/>
      <c r="D95" s="56"/>
      <c r="E95"/>
      <c r="F95"/>
      <c r="G95"/>
      <c r="H95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/>
      <c r="AU95" s="56"/>
      <c r="AV95" s="56"/>
      <c r="AW95" s="56"/>
      <c r="AX95" s="56"/>
      <c r="AY95" s="56"/>
    </row>
    <row r="96" spans="1:51" x14ac:dyDescent="0.25">
      <c r="A96" s="16"/>
      <c r="C96"/>
      <c r="D96" s="56"/>
      <c r="E96"/>
      <c r="F96"/>
      <c r="G96"/>
      <c r="H9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/>
      <c r="AU96" s="56"/>
      <c r="AV96" s="56"/>
      <c r="AW96" s="56"/>
      <c r="AX96" s="56"/>
      <c r="AY96" s="56"/>
    </row>
    <row r="97" spans="1:51" x14ac:dyDescent="0.25">
      <c r="A97" s="16"/>
      <c r="C97"/>
      <c r="D97" s="56"/>
      <c r="E97"/>
      <c r="F97"/>
      <c r="G97"/>
      <c r="H97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/>
      <c r="AU97" s="56"/>
      <c r="AV97" s="56"/>
      <c r="AW97" s="56"/>
      <c r="AX97" s="56"/>
      <c r="AY97" s="56"/>
    </row>
    <row r="98" spans="1:51" x14ac:dyDescent="0.25">
      <c r="A98" s="16"/>
      <c r="C98"/>
      <c r="D98" s="56"/>
      <c r="E98"/>
      <c r="F98"/>
      <c r="G98"/>
      <c r="H98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/>
      <c r="AU98" s="56"/>
      <c r="AV98" s="56"/>
      <c r="AW98" s="56"/>
      <c r="AX98" s="56"/>
      <c r="AY98" s="56"/>
    </row>
    <row r="99" spans="1:51" x14ac:dyDescent="0.25">
      <c r="A99" s="16"/>
      <c r="C99"/>
      <c r="D99" s="56"/>
      <c r="E99"/>
      <c r="F99"/>
      <c r="G99"/>
      <c r="H99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/>
      <c r="AU99" s="56"/>
      <c r="AV99" s="56"/>
      <c r="AW99" s="56"/>
      <c r="AX99" s="56"/>
      <c r="AY99" s="56"/>
    </row>
    <row r="100" spans="1:51" x14ac:dyDescent="0.25">
      <c r="A100" s="16"/>
      <c r="C100"/>
      <c r="D100" s="56"/>
      <c r="E100"/>
      <c r="F100"/>
      <c r="G100"/>
      <c r="H100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/>
      <c r="AU100" s="56"/>
      <c r="AV100" s="56"/>
      <c r="AW100" s="56"/>
      <c r="AX100" s="56"/>
      <c r="AY100" s="56"/>
    </row>
    <row r="101" spans="1:51" x14ac:dyDescent="0.25">
      <c r="A101" s="16"/>
      <c r="C101"/>
      <c r="D101" s="56"/>
      <c r="E101"/>
      <c r="F101"/>
      <c r="G101"/>
      <c r="H101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/>
      <c r="AU101" s="56"/>
      <c r="AV101" s="56"/>
      <c r="AW101" s="56"/>
      <c r="AX101" s="56"/>
      <c r="AY101" s="56"/>
    </row>
    <row r="102" spans="1:51" x14ac:dyDescent="0.25">
      <c r="A102" s="16"/>
      <c r="C102"/>
      <c r="D102" s="56"/>
      <c r="E102"/>
      <c r="F102"/>
      <c r="G102"/>
      <c r="H102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/>
      <c r="AU102" s="56"/>
      <c r="AV102" s="56"/>
      <c r="AW102" s="56"/>
      <c r="AX102" s="56"/>
      <c r="AY102" s="56"/>
    </row>
    <row r="103" spans="1:51" x14ac:dyDescent="0.25">
      <c r="A103" s="16"/>
      <c r="C103"/>
      <c r="D103" s="56"/>
      <c r="E103"/>
      <c r="F103"/>
      <c r="G103"/>
      <c r="H103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/>
      <c r="AU103" s="56"/>
      <c r="AV103" s="56"/>
      <c r="AW103" s="56"/>
      <c r="AX103" s="56"/>
      <c r="AY103" s="56"/>
    </row>
    <row r="104" spans="1:51" x14ac:dyDescent="0.25">
      <c r="A104" s="16"/>
      <c r="C104"/>
      <c r="D104" s="56"/>
      <c r="E104"/>
      <c r="F104"/>
      <c r="G104"/>
      <c r="H104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/>
      <c r="AU104" s="56"/>
      <c r="AV104" s="56"/>
      <c r="AW104" s="56"/>
      <c r="AX104" s="56"/>
      <c r="AY104" s="56"/>
    </row>
    <row r="105" spans="1:51" x14ac:dyDescent="0.25">
      <c r="A105" s="16"/>
      <c r="C105"/>
      <c r="D105" s="56"/>
      <c r="E105"/>
      <c r="F105"/>
      <c r="G105"/>
      <c r="H105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/>
      <c r="AU105" s="56"/>
      <c r="AV105" s="56"/>
      <c r="AW105" s="56"/>
      <c r="AX105" s="56"/>
      <c r="AY105" s="56"/>
    </row>
    <row r="106" spans="1:51" x14ac:dyDescent="0.25">
      <c r="A106" s="16"/>
      <c r="C106"/>
      <c r="D106" s="56"/>
      <c r="E106"/>
      <c r="F106"/>
      <c r="G106"/>
      <c r="H10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/>
      <c r="AU106" s="56"/>
      <c r="AV106" s="56"/>
      <c r="AW106" s="56"/>
      <c r="AX106" s="56"/>
      <c r="AY106" s="56"/>
    </row>
    <row r="107" spans="1:51" x14ac:dyDescent="0.25">
      <c r="A107" s="16"/>
      <c r="C107"/>
      <c r="D107" s="56"/>
      <c r="E107"/>
      <c r="F107"/>
      <c r="G107"/>
      <c r="H107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/>
      <c r="AU107" s="56"/>
      <c r="AV107" s="56"/>
      <c r="AW107" s="56"/>
      <c r="AX107" s="56"/>
      <c r="AY107" s="56"/>
    </row>
    <row r="108" spans="1:51" x14ac:dyDescent="0.25">
      <c r="A108" s="16"/>
      <c r="C108"/>
      <c r="D108" s="56"/>
      <c r="E108"/>
      <c r="F108"/>
      <c r="G108"/>
      <c r="H108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/>
      <c r="AU108" s="56"/>
      <c r="AV108" s="56"/>
      <c r="AW108" s="56"/>
      <c r="AX108" s="56"/>
      <c r="AY108" s="56"/>
    </row>
    <row r="109" spans="1:51" x14ac:dyDescent="0.25">
      <c r="A109" s="16"/>
      <c r="C109"/>
      <c r="D109" s="56"/>
      <c r="E109"/>
      <c r="F109"/>
      <c r="G109"/>
      <c r="H109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/>
      <c r="AU109" s="56"/>
      <c r="AV109" s="56"/>
      <c r="AW109" s="56"/>
      <c r="AX109" s="56"/>
      <c r="AY109" s="56"/>
    </row>
    <row r="110" spans="1:51" x14ac:dyDescent="0.25">
      <c r="A110" s="16"/>
      <c r="C110"/>
      <c r="D110" s="56"/>
      <c r="E110"/>
      <c r="F110"/>
      <c r="G110"/>
      <c r="H110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/>
      <c r="AU110" s="56"/>
      <c r="AV110" s="56"/>
      <c r="AW110" s="56"/>
      <c r="AX110" s="56"/>
      <c r="AY110" s="56"/>
    </row>
    <row r="111" spans="1:51" x14ac:dyDescent="0.25">
      <c r="A111" s="16"/>
      <c r="C111"/>
      <c r="D111" s="56"/>
      <c r="E111"/>
      <c r="F111"/>
      <c r="G111"/>
      <c r="H111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/>
      <c r="AU111" s="56"/>
      <c r="AV111" s="56"/>
      <c r="AW111" s="56"/>
      <c r="AX111" s="56"/>
      <c r="AY111" s="56"/>
    </row>
    <row r="112" spans="1:51" x14ac:dyDescent="0.25">
      <c r="A112" s="16"/>
      <c r="C112"/>
      <c r="D112" s="56"/>
      <c r="E112"/>
      <c r="F112"/>
      <c r="G112"/>
      <c r="H112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/>
      <c r="AU112" s="56"/>
      <c r="AV112" s="56"/>
      <c r="AW112" s="56"/>
      <c r="AX112" s="56"/>
      <c r="AY112" s="56"/>
    </row>
    <row r="113" spans="1:51" x14ac:dyDescent="0.25">
      <c r="A113" s="16"/>
      <c r="C113"/>
      <c r="D113" s="56"/>
      <c r="E113"/>
      <c r="F113"/>
      <c r="G113"/>
      <c r="H113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/>
      <c r="AU113" s="56"/>
      <c r="AV113" s="56"/>
      <c r="AW113" s="56"/>
      <c r="AX113" s="56"/>
      <c r="AY113" s="56"/>
    </row>
    <row r="114" spans="1:51" x14ac:dyDescent="0.25">
      <c r="A114" s="16"/>
      <c r="C114"/>
      <c r="D114" s="56"/>
      <c r="E114"/>
      <c r="F114"/>
      <c r="G114"/>
      <c r="H114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/>
      <c r="AU114" s="56"/>
      <c r="AV114" s="56"/>
      <c r="AW114" s="56"/>
      <c r="AX114" s="56"/>
      <c r="AY114" s="56"/>
    </row>
    <row r="115" spans="1:51" x14ac:dyDescent="0.25">
      <c r="A115" s="16"/>
      <c r="C115"/>
      <c r="D115" s="56"/>
      <c r="E115"/>
      <c r="F115"/>
      <c r="G115"/>
      <c r="H115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/>
      <c r="AU115" s="56"/>
      <c r="AV115" s="56"/>
      <c r="AW115" s="56"/>
      <c r="AX115" s="56"/>
      <c r="AY115" s="56"/>
    </row>
    <row r="116" spans="1:51" x14ac:dyDescent="0.25">
      <c r="A116" s="16"/>
      <c r="C116"/>
      <c r="D116" s="56"/>
      <c r="E116"/>
      <c r="F116"/>
      <c r="G116"/>
      <c r="H11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/>
      <c r="AU116" s="56"/>
      <c r="AV116" s="56"/>
      <c r="AW116" s="56"/>
      <c r="AX116" s="56"/>
      <c r="AY116" s="56"/>
    </row>
    <row r="117" spans="1:51" x14ac:dyDescent="0.25">
      <c r="A117" s="16"/>
      <c r="C117"/>
      <c r="D117" s="56"/>
      <c r="E117"/>
      <c r="F117"/>
      <c r="G117"/>
      <c r="H117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/>
      <c r="AU117" s="56"/>
      <c r="AV117" s="56"/>
      <c r="AW117" s="56"/>
      <c r="AX117" s="56"/>
      <c r="AY117" s="56"/>
    </row>
    <row r="118" spans="1:51" x14ac:dyDescent="0.25">
      <c r="A118" s="16"/>
      <c r="C118"/>
      <c r="D118" s="56"/>
      <c r="E118"/>
      <c r="F118"/>
      <c r="G118"/>
      <c r="H118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/>
      <c r="AU118" s="56"/>
      <c r="AV118" s="56"/>
      <c r="AW118" s="56"/>
      <c r="AX118" s="56"/>
      <c r="AY118" s="56"/>
    </row>
    <row r="119" spans="1:51" x14ac:dyDescent="0.25">
      <c r="A119" s="16"/>
      <c r="C119"/>
      <c r="D119" s="56"/>
      <c r="E119"/>
      <c r="F119"/>
      <c r="G119"/>
      <c r="H119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/>
      <c r="AU119" s="56"/>
      <c r="AV119" s="56"/>
      <c r="AW119" s="56"/>
      <c r="AX119" s="56"/>
      <c r="AY119" s="56"/>
    </row>
    <row r="120" spans="1:51" x14ac:dyDescent="0.25">
      <c r="A120" s="16"/>
      <c r="C120"/>
      <c r="D120" s="56"/>
      <c r="E120"/>
      <c r="F120"/>
      <c r="G120"/>
      <c r="H120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/>
      <c r="AU120" s="56"/>
      <c r="AV120" s="56"/>
      <c r="AW120" s="56"/>
      <c r="AX120" s="56"/>
      <c r="AY120" s="56"/>
    </row>
    <row r="121" spans="1:51" x14ac:dyDescent="0.25">
      <c r="A121" s="16"/>
      <c r="C121"/>
      <c r="D121" s="56"/>
      <c r="E121"/>
      <c r="F121"/>
      <c r="G121"/>
      <c r="H121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/>
      <c r="AU121" s="56"/>
      <c r="AV121" s="56"/>
      <c r="AW121" s="56"/>
      <c r="AX121" s="56"/>
      <c r="AY121" s="56"/>
    </row>
    <row r="122" spans="1:51" x14ac:dyDescent="0.25">
      <c r="A122" s="16"/>
      <c r="C122"/>
      <c r="D122" s="56"/>
      <c r="E122"/>
      <c r="F122"/>
      <c r="G122"/>
      <c r="H122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/>
      <c r="AU122" s="56"/>
      <c r="AV122" s="56"/>
      <c r="AW122" s="56"/>
      <c r="AX122" s="56"/>
      <c r="AY122" s="56"/>
    </row>
    <row r="123" spans="1:51" x14ac:dyDescent="0.25">
      <c r="A123" s="16"/>
      <c r="C123"/>
      <c r="D123" s="56"/>
      <c r="E123"/>
      <c r="F123"/>
      <c r="G123"/>
      <c r="H123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/>
      <c r="AU123" s="56"/>
      <c r="AV123" s="56"/>
      <c r="AW123" s="56"/>
      <c r="AX123" s="56"/>
      <c r="AY123" s="56"/>
    </row>
    <row r="124" spans="1:51" x14ac:dyDescent="0.25">
      <c r="A124" s="16"/>
      <c r="C124"/>
      <c r="D124" s="56"/>
      <c r="E124"/>
      <c r="F124"/>
      <c r="G124"/>
      <c r="H124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/>
      <c r="AU124" s="56"/>
      <c r="AV124" s="56"/>
      <c r="AW124" s="56"/>
      <c r="AX124" s="56"/>
      <c r="AY124" s="56"/>
    </row>
    <row r="125" spans="1:51" x14ac:dyDescent="0.25">
      <c r="A125" s="16"/>
      <c r="C125"/>
      <c r="D125" s="56"/>
      <c r="E125"/>
      <c r="F125"/>
      <c r="G125"/>
      <c r="H125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/>
      <c r="AU125" s="56"/>
      <c r="AV125" s="56"/>
      <c r="AW125" s="56"/>
      <c r="AX125" s="56"/>
      <c r="AY125" s="56"/>
    </row>
    <row r="126" spans="1:51" x14ac:dyDescent="0.25">
      <c r="A126" s="16"/>
      <c r="C126"/>
      <c r="D126" s="56"/>
      <c r="E126"/>
      <c r="F126"/>
      <c r="G126"/>
      <c r="H12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/>
      <c r="AU126" s="56"/>
      <c r="AV126" s="56"/>
      <c r="AW126" s="56"/>
      <c r="AX126" s="56"/>
      <c r="AY126" s="56"/>
    </row>
    <row r="127" spans="1:51" x14ac:dyDescent="0.25">
      <c r="A127" s="16"/>
      <c r="C127"/>
      <c r="D127" s="56"/>
      <c r="E127"/>
      <c r="F127"/>
      <c r="G127"/>
      <c r="H127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/>
      <c r="AU127" s="56"/>
      <c r="AV127" s="56"/>
      <c r="AW127" s="56"/>
      <c r="AX127" s="56"/>
      <c r="AY127" s="56"/>
    </row>
    <row r="128" spans="1:51" x14ac:dyDescent="0.25">
      <c r="A128" s="16"/>
      <c r="C128"/>
      <c r="D128" s="56"/>
      <c r="E128"/>
      <c r="F128"/>
      <c r="G128"/>
      <c r="H128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/>
      <c r="AU128" s="56"/>
      <c r="AV128" s="56"/>
      <c r="AW128" s="56"/>
      <c r="AX128" s="56"/>
      <c r="AY128" s="56"/>
    </row>
    <row r="129" spans="1:51" x14ac:dyDescent="0.25">
      <c r="A129" s="16"/>
      <c r="C129"/>
      <c r="D129" s="56"/>
      <c r="E129"/>
      <c r="F129"/>
      <c r="G129"/>
      <c r="H129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/>
      <c r="AU129" s="56"/>
      <c r="AV129" s="56"/>
      <c r="AW129" s="56"/>
      <c r="AX129" s="56"/>
      <c r="AY129" s="56"/>
    </row>
    <row r="130" spans="1:51" x14ac:dyDescent="0.25">
      <c r="A130" s="16"/>
      <c r="C130"/>
      <c r="D130" s="56"/>
      <c r="E130"/>
      <c r="F130"/>
      <c r="G130"/>
      <c r="H130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/>
      <c r="AU130" s="56"/>
      <c r="AV130" s="56"/>
      <c r="AW130" s="56"/>
      <c r="AX130" s="56"/>
      <c r="AY130" s="56"/>
    </row>
    <row r="131" spans="1:51" x14ac:dyDescent="0.25">
      <c r="A131" s="16"/>
      <c r="C131"/>
      <c r="D131" s="56"/>
      <c r="E131"/>
      <c r="F131"/>
      <c r="G131"/>
      <c r="H131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/>
      <c r="AU131" s="56"/>
      <c r="AV131" s="56"/>
      <c r="AW131" s="56"/>
      <c r="AX131" s="56"/>
      <c r="AY131" s="56"/>
    </row>
    <row r="132" spans="1:51" x14ac:dyDescent="0.25">
      <c r="A132" s="16"/>
      <c r="C132"/>
      <c r="D132" s="56"/>
      <c r="E132"/>
      <c r="F132"/>
      <c r="G132"/>
      <c r="H132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/>
      <c r="AU132" s="56"/>
      <c r="AV132" s="56"/>
      <c r="AW132" s="56"/>
      <c r="AX132" s="56"/>
      <c r="AY132" s="56"/>
    </row>
    <row r="133" spans="1:51" x14ac:dyDescent="0.25">
      <c r="A133" s="16"/>
      <c r="C133"/>
      <c r="D133" s="56"/>
      <c r="E133"/>
      <c r="F133"/>
      <c r="G133"/>
      <c r="H133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/>
      <c r="AU133" s="56"/>
      <c r="AV133" s="56"/>
      <c r="AW133" s="56"/>
      <c r="AX133" s="56"/>
      <c r="AY133" s="56"/>
    </row>
    <row r="134" spans="1:51" x14ac:dyDescent="0.25">
      <c r="A134" s="16"/>
      <c r="C134"/>
      <c r="D134" s="56"/>
      <c r="E134"/>
      <c r="F134"/>
      <c r="G134"/>
      <c r="H134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/>
      <c r="AU134" s="56"/>
      <c r="AV134" s="56"/>
      <c r="AW134" s="56"/>
      <c r="AX134" s="56"/>
      <c r="AY134" s="56"/>
    </row>
    <row r="135" spans="1:51" x14ac:dyDescent="0.25">
      <c r="A135" s="16"/>
      <c r="C135"/>
      <c r="D135" s="56"/>
      <c r="E135"/>
      <c r="F135"/>
      <c r="G135"/>
      <c r="H135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/>
      <c r="AU135" s="56"/>
      <c r="AV135" s="56"/>
      <c r="AW135" s="56"/>
      <c r="AX135" s="56"/>
      <c r="AY135" s="56"/>
    </row>
    <row r="136" spans="1:51" x14ac:dyDescent="0.25">
      <c r="A136" s="16"/>
      <c r="C136"/>
      <c r="D136" s="56"/>
      <c r="E136"/>
      <c r="F136"/>
      <c r="G136"/>
      <c r="H13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/>
      <c r="AU136" s="56"/>
      <c r="AV136" s="56"/>
      <c r="AW136" s="56"/>
      <c r="AX136" s="56"/>
      <c r="AY136" s="56"/>
    </row>
    <row r="137" spans="1:51" x14ac:dyDescent="0.25">
      <c r="A137" s="16"/>
      <c r="C137"/>
      <c r="D137" s="56"/>
      <c r="E137"/>
      <c r="F137"/>
      <c r="G137"/>
      <c r="H137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/>
      <c r="AU137" s="56"/>
      <c r="AV137" s="56"/>
      <c r="AW137" s="56"/>
      <c r="AX137" s="56"/>
      <c r="AY137" s="56"/>
    </row>
    <row r="138" spans="1:51" x14ac:dyDescent="0.25">
      <c r="A138" s="16"/>
      <c r="C138"/>
      <c r="D138" s="56"/>
      <c r="E138"/>
      <c r="F138"/>
      <c r="G138"/>
      <c r="H138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/>
      <c r="AU138" s="56"/>
      <c r="AV138" s="56"/>
      <c r="AW138" s="56"/>
      <c r="AX138" s="56"/>
      <c r="AY138" s="56"/>
    </row>
    <row r="139" spans="1:51" x14ac:dyDescent="0.25">
      <c r="A139" s="16"/>
      <c r="C139"/>
      <c r="D139" s="56"/>
      <c r="E139"/>
      <c r="F139"/>
      <c r="G139"/>
      <c r="H139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/>
      <c r="AU139" s="56"/>
      <c r="AV139" s="56"/>
      <c r="AW139" s="56"/>
      <c r="AX139" s="56"/>
      <c r="AY139" s="56"/>
    </row>
    <row r="140" spans="1:51" x14ac:dyDescent="0.25">
      <c r="A140" s="16"/>
      <c r="C140"/>
      <c r="D140" s="56"/>
      <c r="E140"/>
      <c r="F140"/>
      <c r="G140"/>
      <c r="H140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/>
      <c r="AU140" s="56"/>
      <c r="AV140" s="56"/>
      <c r="AW140" s="56"/>
      <c r="AX140" s="56"/>
      <c r="AY140" s="56"/>
    </row>
    <row r="141" spans="1:51" x14ac:dyDescent="0.25">
      <c r="A141" s="16"/>
      <c r="C141"/>
      <c r="D141" s="56"/>
      <c r="E141"/>
      <c r="F141"/>
      <c r="G141"/>
      <c r="H141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/>
      <c r="AU141" s="56"/>
      <c r="AV141" s="56"/>
      <c r="AW141" s="56"/>
      <c r="AX141" s="56"/>
      <c r="AY141" s="56"/>
    </row>
    <row r="142" spans="1:51" x14ac:dyDescent="0.25">
      <c r="A142" s="16"/>
      <c r="C142"/>
      <c r="D142" s="56"/>
      <c r="E142"/>
      <c r="F142"/>
      <c r="G142"/>
      <c r="H142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/>
      <c r="AU142" s="56"/>
      <c r="AV142" s="56"/>
      <c r="AW142" s="56"/>
      <c r="AX142" s="56"/>
      <c r="AY142" s="56"/>
    </row>
    <row r="143" spans="1:51" x14ac:dyDescent="0.25">
      <c r="A143" s="16"/>
      <c r="C143"/>
      <c r="D143" s="56"/>
      <c r="E143"/>
      <c r="F143"/>
      <c r="G143"/>
      <c r="H143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/>
      <c r="AU143" s="56"/>
      <c r="AV143" s="56"/>
      <c r="AW143" s="56"/>
      <c r="AX143" s="56"/>
      <c r="AY143" s="56"/>
    </row>
    <row r="144" spans="1:51" x14ac:dyDescent="0.25">
      <c r="A144" s="16"/>
      <c r="C144"/>
      <c r="D144" s="56"/>
      <c r="E144"/>
      <c r="F144"/>
      <c r="G144"/>
      <c r="H144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/>
      <c r="AU144" s="56"/>
      <c r="AV144" s="56"/>
      <c r="AW144" s="56"/>
      <c r="AX144" s="56"/>
      <c r="AY144" s="56"/>
    </row>
    <row r="145" spans="1:51" x14ac:dyDescent="0.25">
      <c r="A145" s="16"/>
      <c r="C145"/>
      <c r="D145" s="56"/>
      <c r="E145"/>
      <c r="F145"/>
      <c r="G145"/>
      <c r="H145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/>
      <c r="AU145" s="56"/>
      <c r="AV145" s="56"/>
      <c r="AW145" s="56"/>
      <c r="AX145" s="56"/>
      <c r="AY145" s="56"/>
    </row>
    <row r="146" spans="1:51" x14ac:dyDescent="0.25">
      <c r="A146" s="16"/>
      <c r="C146"/>
      <c r="D146" s="56"/>
      <c r="E146"/>
      <c r="F146"/>
      <c r="G146"/>
      <c r="H14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/>
      <c r="AU146" s="56"/>
      <c r="AV146" s="56"/>
      <c r="AW146" s="56"/>
      <c r="AX146" s="56"/>
      <c r="AY146" s="56"/>
    </row>
    <row r="147" spans="1:51" x14ac:dyDescent="0.25">
      <c r="A147" s="16"/>
      <c r="C147"/>
      <c r="D147" s="56"/>
      <c r="E147"/>
      <c r="F147"/>
      <c r="G147"/>
      <c r="H147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/>
      <c r="AU147" s="56"/>
      <c r="AV147" s="56"/>
      <c r="AW147" s="56"/>
      <c r="AX147" s="56"/>
      <c r="AY147" s="56"/>
    </row>
    <row r="148" spans="1:51" x14ac:dyDescent="0.25">
      <c r="A148" s="16"/>
      <c r="C148"/>
      <c r="D148" s="56"/>
      <c r="E148"/>
      <c r="F148"/>
      <c r="G148"/>
      <c r="H148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/>
      <c r="AU148" s="56"/>
      <c r="AV148" s="56"/>
      <c r="AW148" s="56"/>
      <c r="AX148" s="56"/>
      <c r="AY148" s="56"/>
    </row>
    <row r="149" spans="1:51" x14ac:dyDescent="0.25">
      <c r="A149" s="16"/>
      <c r="C149"/>
      <c r="D149" s="56"/>
      <c r="E149"/>
      <c r="F149"/>
      <c r="G149"/>
      <c r="H149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/>
      <c r="AU149" s="56"/>
      <c r="AV149" s="56"/>
      <c r="AW149" s="56"/>
      <c r="AX149" s="56"/>
      <c r="AY149" s="56"/>
    </row>
    <row r="150" spans="1:51" x14ac:dyDescent="0.25">
      <c r="A150" s="16"/>
      <c r="C150"/>
      <c r="D150" s="56"/>
      <c r="E150"/>
      <c r="F150"/>
      <c r="G150"/>
      <c r="H150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/>
      <c r="AU150" s="56"/>
      <c r="AV150" s="56"/>
      <c r="AW150" s="56"/>
      <c r="AX150" s="56"/>
      <c r="AY150" s="56"/>
    </row>
    <row r="151" spans="1:51" x14ac:dyDescent="0.25">
      <c r="A151" s="16"/>
      <c r="C151"/>
      <c r="D151" s="56"/>
      <c r="E151"/>
      <c r="F151"/>
      <c r="G151"/>
      <c r="H151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/>
      <c r="AU151" s="56"/>
      <c r="AV151" s="56"/>
      <c r="AW151" s="56"/>
      <c r="AX151" s="56"/>
      <c r="AY151" s="56"/>
    </row>
    <row r="152" spans="1:51" x14ac:dyDescent="0.25">
      <c r="A152" s="16"/>
      <c r="C152"/>
      <c r="D152" s="56"/>
      <c r="E152"/>
      <c r="F152"/>
      <c r="G152"/>
      <c r="H152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/>
      <c r="AU152" s="56"/>
      <c r="AV152" s="56"/>
      <c r="AW152" s="56"/>
      <c r="AX152" s="56"/>
      <c r="AY152" s="56"/>
    </row>
    <row r="153" spans="1:51" x14ac:dyDescent="0.25">
      <c r="A153" s="16"/>
      <c r="C153"/>
      <c r="D153" s="56"/>
      <c r="E153"/>
      <c r="F153"/>
      <c r="G153"/>
      <c r="H153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/>
      <c r="AU153" s="56"/>
      <c r="AV153" s="56"/>
      <c r="AW153" s="56"/>
      <c r="AX153" s="56"/>
      <c r="AY153" s="56"/>
    </row>
    <row r="154" spans="1:51" x14ac:dyDescent="0.25">
      <c r="A154" s="16"/>
      <c r="C154"/>
      <c r="D154" s="56"/>
      <c r="E154"/>
      <c r="F154"/>
      <c r="G154"/>
      <c r="H154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/>
      <c r="AU154" s="56"/>
      <c r="AV154" s="56"/>
      <c r="AW154" s="56"/>
      <c r="AX154" s="56"/>
      <c r="AY154" s="56"/>
    </row>
    <row r="155" spans="1:51" x14ac:dyDescent="0.25">
      <c r="A155" s="16"/>
      <c r="C155"/>
      <c r="D155" s="56"/>
      <c r="E155"/>
      <c r="F155"/>
      <c r="G155"/>
      <c r="H155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/>
      <c r="AU155" s="56"/>
      <c r="AV155" s="56"/>
      <c r="AW155" s="56"/>
      <c r="AX155" s="56"/>
      <c r="AY155" s="56"/>
    </row>
    <row r="156" spans="1:51" x14ac:dyDescent="0.25">
      <c r="A156" s="16"/>
      <c r="C156"/>
      <c r="D156" s="56"/>
      <c r="E156"/>
      <c r="F156"/>
      <c r="G156"/>
      <c r="H1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/>
      <c r="AU156" s="56"/>
      <c r="AV156" s="56"/>
      <c r="AW156" s="56"/>
      <c r="AX156" s="56"/>
      <c r="AY156" s="56"/>
    </row>
    <row r="157" spans="1:51" x14ac:dyDescent="0.25">
      <c r="A157" s="16"/>
      <c r="C157"/>
      <c r="D157" s="56"/>
      <c r="E157"/>
      <c r="F157"/>
      <c r="G157"/>
      <c r="H157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/>
      <c r="AU157" s="56"/>
      <c r="AV157" s="56"/>
      <c r="AW157" s="56"/>
      <c r="AX157" s="56"/>
      <c r="AY157" s="56"/>
    </row>
    <row r="158" spans="1:51" x14ac:dyDescent="0.25">
      <c r="A158" s="16"/>
      <c r="C158"/>
      <c r="D158" s="56"/>
      <c r="E158"/>
      <c r="F158"/>
      <c r="G158"/>
      <c r="H158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/>
      <c r="AU158" s="56"/>
      <c r="AV158" s="56"/>
      <c r="AW158" s="56"/>
      <c r="AX158" s="56"/>
      <c r="AY158" s="56"/>
    </row>
    <row r="159" spans="1:51" x14ac:dyDescent="0.25">
      <c r="A159" s="16"/>
      <c r="C159"/>
      <c r="D159" s="56"/>
      <c r="E159"/>
      <c r="F159"/>
      <c r="G159"/>
      <c r="H159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/>
      <c r="AU159" s="56"/>
      <c r="AV159" s="56"/>
      <c r="AW159" s="56"/>
      <c r="AX159" s="56"/>
      <c r="AY159" s="56"/>
    </row>
    <row r="160" spans="1:51" x14ac:dyDescent="0.25">
      <c r="A160" s="16"/>
      <c r="C160"/>
      <c r="D160" s="56"/>
      <c r="E160"/>
      <c r="F160"/>
      <c r="G160"/>
      <c r="H160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/>
      <c r="AU160" s="56"/>
      <c r="AV160" s="56"/>
      <c r="AW160" s="56"/>
      <c r="AX160" s="56"/>
      <c r="AY160" s="56"/>
    </row>
    <row r="161" spans="1:51" x14ac:dyDescent="0.25">
      <c r="A161" s="16"/>
      <c r="C161"/>
      <c r="D161" s="56"/>
      <c r="E161"/>
      <c r="F161"/>
      <c r="G161"/>
      <c r="H161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/>
      <c r="AU161" s="56"/>
      <c r="AV161" s="56"/>
      <c r="AW161" s="56"/>
      <c r="AX161" s="56"/>
      <c r="AY161" s="56"/>
    </row>
    <row r="162" spans="1:51" x14ac:dyDescent="0.25">
      <c r="A162" s="16"/>
      <c r="C162"/>
      <c r="D162" s="56"/>
      <c r="E162"/>
      <c r="F162"/>
      <c r="G162"/>
      <c r="H162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/>
      <c r="AU162" s="56"/>
      <c r="AV162" s="56"/>
      <c r="AW162" s="56"/>
      <c r="AX162" s="56"/>
      <c r="AY162" s="56"/>
    </row>
    <row r="163" spans="1:51" x14ac:dyDescent="0.25">
      <c r="A163" s="16"/>
      <c r="C163"/>
      <c r="D163" s="56"/>
      <c r="E163"/>
      <c r="F163"/>
      <c r="G163"/>
      <c r="H163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/>
      <c r="AU163" s="56"/>
      <c r="AV163" s="56"/>
      <c r="AW163" s="56"/>
      <c r="AX163" s="56"/>
      <c r="AY163" s="56"/>
    </row>
    <row r="164" spans="1:51" x14ac:dyDescent="0.25">
      <c r="A164" s="16"/>
      <c r="C164"/>
      <c r="D164" s="56"/>
      <c r="E164"/>
      <c r="F164"/>
      <c r="G164"/>
      <c r="H164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/>
      <c r="AU164" s="56"/>
      <c r="AV164" s="56"/>
      <c r="AW164" s="56"/>
      <c r="AX164" s="56"/>
      <c r="AY164" s="56"/>
    </row>
    <row r="165" spans="1:51" x14ac:dyDescent="0.25">
      <c r="A165" s="16"/>
      <c r="C165"/>
      <c r="D165" s="56"/>
      <c r="E165"/>
      <c r="F165"/>
      <c r="G165"/>
      <c r="H165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/>
      <c r="AU165" s="56"/>
      <c r="AV165" s="56"/>
      <c r="AW165" s="56"/>
      <c r="AX165" s="56"/>
      <c r="AY165" s="56"/>
    </row>
    <row r="166" spans="1:51" x14ac:dyDescent="0.25">
      <c r="A166" s="16"/>
      <c r="C166"/>
      <c r="D166" s="56"/>
      <c r="E166"/>
      <c r="F166"/>
      <c r="G166"/>
      <c r="H16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/>
      <c r="AU166" s="56"/>
      <c r="AV166" s="56"/>
      <c r="AW166" s="56"/>
      <c r="AX166" s="56"/>
      <c r="AY166" s="56"/>
    </row>
    <row r="167" spans="1:51" x14ac:dyDescent="0.25">
      <c r="A167" s="16"/>
      <c r="C167"/>
      <c r="D167" s="56"/>
      <c r="E167"/>
      <c r="F167"/>
      <c r="G167"/>
      <c r="H167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/>
      <c r="AU167" s="56"/>
      <c r="AV167" s="56"/>
      <c r="AW167" s="56"/>
      <c r="AX167" s="56"/>
      <c r="AY167" s="56"/>
    </row>
    <row r="168" spans="1:51" x14ac:dyDescent="0.25">
      <c r="A168" s="16"/>
      <c r="C168"/>
      <c r="D168" s="56"/>
      <c r="E168"/>
      <c r="F168"/>
      <c r="G168"/>
      <c r="H168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/>
      <c r="AU168" s="56"/>
      <c r="AV168" s="56"/>
      <c r="AW168" s="56"/>
      <c r="AX168" s="56"/>
      <c r="AY168" s="56"/>
    </row>
    <row r="169" spans="1:51" x14ac:dyDescent="0.25">
      <c r="A169" s="16"/>
      <c r="C169"/>
      <c r="D169" s="56"/>
      <c r="E169"/>
      <c r="F169"/>
      <c r="G169"/>
      <c r="H169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/>
      <c r="AU169" s="56"/>
      <c r="AV169" s="56"/>
      <c r="AW169" s="56"/>
      <c r="AX169" s="56"/>
      <c r="AY169" s="56"/>
    </row>
    <row r="170" spans="1:51" x14ac:dyDescent="0.25">
      <c r="A170" s="16"/>
      <c r="C170"/>
      <c r="D170" s="56"/>
      <c r="E170"/>
      <c r="F170"/>
      <c r="G170"/>
      <c r="H170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/>
      <c r="AU170" s="56"/>
      <c r="AV170" s="56"/>
      <c r="AW170" s="56"/>
      <c r="AX170" s="56"/>
      <c r="AY170" s="56"/>
    </row>
    <row r="171" spans="1:51" x14ac:dyDescent="0.25">
      <c r="A171" s="16"/>
      <c r="C171"/>
      <c r="D171" s="56"/>
      <c r="E171"/>
      <c r="F171"/>
      <c r="G171"/>
      <c r="H171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/>
      <c r="AU171" s="56"/>
      <c r="AV171" s="56"/>
      <c r="AW171" s="56"/>
      <c r="AX171" s="56"/>
      <c r="AY171" s="56"/>
    </row>
    <row r="172" spans="1:51" x14ac:dyDescent="0.25">
      <c r="A172" s="16"/>
      <c r="C172"/>
      <c r="D172" s="56"/>
      <c r="E172"/>
      <c r="F172"/>
      <c r="G172"/>
      <c r="H172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/>
      <c r="AU172" s="56"/>
      <c r="AV172" s="56"/>
      <c r="AW172" s="56"/>
      <c r="AX172" s="56"/>
      <c r="AY172" s="56"/>
    </row>
    <row r="173" spans="1:51" x14ac:dyDescent="0.25">
      <c r="A173" s="16"/>
      <c r="C173"/>
      <c r="D173" s="56"/>
      <c r="E173"/>
      <c r="F173"/>
      <c r="G173"/>
      <c r="H173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/>
      <c r="AU173" s="56"/>
      <c r="AV173" s="56"/>
      <c r="AW173" s="56"/>
      <c r="AX173" s="56"/>
      <c r="AY173" s="56"/>
    </row>
    <row r="174" spans="1:51" x14ac:dyDescent="0.25">
      <c r="A174" s="16"/>
      <c r="C174"/>
      <c r="D174" s="56"/>
      <c r="E174"/>
      <c r="F174"/>
      <c r="G174"/>
      <c r="H174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/>
      <c r="AU174" s="56"/>
      <c r="AV174" s="56"/>
      <c r="AW174" s="56"/>
      <c r="AX174" s="56"/>
      <c r="AY174" s="56"/>
    </row>
    <row r="175" spans="1:51" x14ac:dyDescent="0.25">
      <c r="A175" s="16"/>
      <c r="C175"/>
      <c r="D175" s="56"/>
      <c r="E175"/>
      <c r="F175"/>
      <c r="G175"/>
      <c r="H175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/>
      <c r="AU175" s="56"/>
      <c r="AV175" s="56"/>
      <c r="AW175" s="56"/>
      <c r="AX175" s="56"/>
      <c r="AY175" s="56"/>
    </row>
    <row r="176" spans="1:51" x14ac:dyDescent="0.25">
      <c r="A176" s="16"/>
      <c r="C176"/>
      <c r="D176" s="56"/>
      <c r="E176"/>
      <c r="F176"/>
      <c r="G176"/>
      <c r="H17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/>
      <c r="AU176" s="56"/>
      <c r="AV176" s="56"/>
      <c r="AW176" s="56"/>
      <c r="AX176" s="56"/>
      <c r="AY176" s="56"/>
    </row>
    <row r="177" spans="1:51" x14ac:dyDescent="0.25">
      <c r="A177" s="16"/>
      <c r="C177"/>
      <c r="D177" s="56"/>
      <c r="E177"/>
      <c r="F177"/>
      <c r="G177"/>
      <c r="H177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/>
      <c r="AU177" s="56"/>
      <c r="AV177" s="56"/>
      <c r="AW177" s="56"/>
      <c r="AX177" s="56"/>
      <c r="AY177" s="56"/>
    </row>
    <row r="178" spans="1:51" x14ac:dyDescent="0.25">
      <c r="A178" s="16"/>
      <c r="C178"/>
      <c r="D178" s="56"/>
      <c r="E178"/>
      <c r="F178"/>
      <c r="G178"/>
      <c r="H178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/>
      <c r="AU178" s="56"/>
      <c r="AV178" s="56"/>
      <c r="AW178" s="56"/>
      <c r="AX178" s="56"/>
      <c r="AY178" s="56"/>
    </row>
    <row r="179" spans="1:51" x14ac:dyDescent="0.25">
      <c r="A179" s="16"/>
      <c r="C179"/>
      <c r="D179" s="56"/>
      <c r="E179"/>
      <c r="F179"/>
      <c r="G179"/>
      <c r="H179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/>
      <c r="AU179" s="56"/>
      <c r="AV179" s="56"/>
      <c r="AW179" s="56"/>
      <c r="AX179" s="56"/>
      <c r="AY179" s="56"/>
    </row>
    <row r="180" spans="1:51" x14ac:dyDescent="0.25">
      <c r="A180" s="16"/>
      <c r="C180"/>
      <c r="D180" s="56"/>
      <c r="E180"/>
      <c r="F180"/>
      <c r="G180"/>
      <c r="H180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/>
      <c r="AU180" s="56"/>
      <c r="AV180" s="56"/>
      <c r="AW180" s="56"/>
      <c r="AX180" s="56"/>
      <c r="AY180" s="56"/>
    </row>
    <row r="181" spans="1:51" x14ac:dyDescent="0.25">
      <c r="A181" s="16"/>
      <c r="C181"/>
      <c r="D181" s="56"/>
      <c r="E181"/>
      <c r="F181"/>
      <c r="G181"/>
      <c r="H181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/>
      <c r="AU181" s="56"/>
      <c r="AV181" s="56"/>
      <c r="AW181" s="56"/>
      <c r="AX181" s="56"/>
      <c r="AY181" s="56"/>
    </row>
    <row r="182" spans="1:51" x14ac:dyDescent="0.25">
      <c r="A182" s="16"/>
      <c r="C182"/>
      <c r="D182" s="56"/>
      <c r="E182"/>
      <c r="F182"/>
      <c r="G182"/>
      <c r="H182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/>
      <c r="AU182" s="56"/>
      <c r="AV182" s="56"/>
      <c r="AW182" s="56"/>
      <c r="AX182" s="56"/>
      <c r="AY182" s="56"/>
    </row>
    <row r="183" spans="1:51" x14ac:dyDescent="0.25">
      <c r="A183" s="16"/>
      <c r="C183"/>
      <c r="D183" s="56"/>
      <c r="E183"/>
      <c r="F183"/>
      <c r="G183"/>
      <c r="H183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/>
      <c r="AU183" s="56"/>
      <c r="AV183" s="56"/>
      <c r="AW183" s="56"/>
      <c r="AX183" s="56"/>
      <c r="AY183" s="56"/>
    </row>
    <row r="184" spans="1:51" x14ac:dyDescent="0.25">
      <c r="A184" s="16"/>
      <c r="C184"/>
      <c r="D184" s="56"/>
      <c r="E184"/>
      <c r="F184"/>
      <c r="G184"/>
      <c r="H184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/>
      <c r="AU184" s="56"/>
      <c r="AV184" s="56"/>
      <c r="AW184" s="56"/>
      <c r="AX184" s="56"/>
      <c r="AY184" s="56"/>
    </row>
    <row r="185" spans="1:51" x14ac:dyDescent="0.25">
      <c r="A185" s="16"/>
      <c r="C185"/>
      <c r="D185" s="56"/>
      <c r="E185"/>
      <c r="F185"/>
      <c r="G185"/>
      <c r="H185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/>
      <c r="AU185" s="56"/>
      <c r="AV185" s="56"/>
      <c r="AW185" s="56"/>
      <c r="AX185" s="56"/>
      <c r="AY185" s="56"/>
    </row>
    <row r="186" spans="1:51" x14ac:dyDescent="0.25">
      <c r="A186" s="16"/>
      <c r="C186"/>
      <c r="D186" s="56"/>
      <c r="E186"/>
      <c r="F186"/>
      <c r="G186"/>
      <c r="H18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/>
      <c r="AU186" s="56"/>
      <c r="AV186" s="56"/>
      <c r="AW186" s="56"/>
      <c r="AX186" s="56"/>
      <c r="AY186" s="56"/>
    </row>
    <row r="187" spans="1:51" x14ac:dyDescent="0.25">
      <c r="A187" s="16"/>
      <c r="C187"/>
      <c r="D187" s="56"/>
      <c r="E187"/>
      <c r="F187"/>
      <c r="G187"/>
      <c r="H187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/>
      <c r="AU187" s="56"/>
      <c r="AV187" s="56"/>
      <c r="AW187" s="56"/>
      <c r="AX187" s="56"/>
      <c r="AY187" s="56"/>
    </row>
    <row r="188" spans="1:51" x14ac:dyDescent="0.25">
      <c r="A188" s="16"/>
      <c r="C188"/>
      <c r="D188" s="56"/>
      <c r="E188"/>
      <c r="F188"/>
      <c r="G188"/>
      <c r="H188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/>
      <c r="AU188" s="56"/>
      <c r="AV188" s="56"/>
      <c r="AW188" s="56"/>
      <c r="AX188" s="56"/>
      <c r="AY188" s="56"/>
    </row>
    <row r="189" spans="1:51" x14ac:dyDescent="0.25">
      <c r="A189" s="16"/>
      <c r="C189"/>
      <c r="D189" s="56"/>
      <c r="E189"/>
      <c r="F189"/>
      <c r="G189"/>
      <c r="H189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/>
      <c r="AU189" s="56"/>
      <c r="AV189" s="56"/>
      <c r="AW189" s="56"/>
      <c r="AX189" s="56"/>
      <c r="AY189" s="56"/>
    </row>
    <row r="190" spans="1:51" x14ac:dyDescent="0.25">
      <c r="A190" s="16"/>
      <c r="C190"/>
      <c r="D190" s="56"/>
      <c r="E190"/>
      <c r="F190"/>
      <c r="G190"/>
      <c r="H190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/>
      <c r="AU190" s="56"/>
      <c r="AV190" s="56"/>
      <c r="AW190" s="56"/>
      <c r="AX190" s="56"/>
      <c r="AY190" s="56"/>
    </row>
    <row r="191" spans="1:51" x14ac:dyDescent="0.25">
      <c r="A191" s="16"/>
      <c r="C191"/>
      <c r="D191" s="56"/>
      <c r="E191"/>
      <c r="F191"/>
      <c r="G191"/>
      <c r="H191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/>
      <c r="AU191" s="56"/>
      <c r="AV191" s="56"/>
      <c r="AW191" s="56"/>
      <c r="AX191" s="56"/>
      <c r="AY191" s="56"/>
    </row>
    <row r="192" spans="1:51" x14ac:dyDescent="0.25">
      <c r="A192" s="16"/>
      <c r="C192"/>
      <c r="D192" s="56"/>
      <c r="E192"/>
      <c r="F192"/>
      <c r="G192"/>
      <c r="H192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/>
      <c r="AU192" s="56"/>
      <c r="AV192" s="56"/>
      <c r="AW192" s="56"/>
      <c r="AX192" s="56"/>
      <c r="AY192" s="56"/>
    </row>
    <row r="193" spans="1:51" x14ac:dyDescent="0.25">
      <c r="A193" s="16"/>
      <c r="C193"/>
      <c r="D193" s="56"/>
      <c r="E193"/>
      <c r="F193"/>
      <c r="G193"/>
      <c r="H193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/>
      <c r="AU193" s="56"/>
      <c r="AV193" s="56"/>
      <c r="AW193" s="56"/>
      <c r="AX193" s="56"/>
      <c r="AY193" s="56"/>
    </row>
    <row r="194" spans="1:51" x14ac:dyDescent="0.25">
      <c r="A194" s="16"/>
      <c r="C194"/>
      <c r="D194" s="56"/>
      <c r="E194"/>
      <c r="F194"/>
      <c r="G194"/>
      <c r="H194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/>
      <c r="AU194" s="56"/>
      <c r="AV194" s="56"/>
      <c r="AW194" s="56"/>
      <c r="AX194" s="56"/>
      <c r="AY194" s="56"/>
    </row>
    <row r="195" spans="1:51" x14ac:dyDescent="0.25">
      <c r="A195" s="16"/>
      <c r="C195"/>
      <c r="D195" s="56"/>
      <c r="E195"/>
      <c r="F195"/>
      <c r="G195"/>
      <c r="H195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/>
      <c r="AU195" s="56"/>
      <c r="AV195" s="56"/>
      <c r="AW195" s="56"/>
      <c r="AX195" s="56"/>
      <c r="AY195" s="56"/>
    </row>
    <row r="196" spans="1:51" x14ac:dyDescent="0.25">
      <c r="A196" s="16"/>
      <c r="C196"/>
      <c r="D196" s="56"/>
      <c r="E196"/>
      <c r="F196"/>
      <c r="G196"/>
      <c r="H19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/>
      <c r="AU196" s="56"/>
      <c r="AV196" s="56"/>
      <c r="AW196" s="56"/>
      <c r="AX196" s="56"/>
      <c r="AY196" s="56"/>
    </row>
    <row r="197" spans="1:51" x14ac:dyDescent="0.25">
      <c r="A197" s="16"/>
      <c r="C197"/>
      <c r="D197" s="56"/>
      <c r="E197"/>
      <c r="F197"/>
      <c r="G197"/>
      <c r="H197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/>
      <c r="AU197" s="56"/>
      <c r="AV197" s="56"/>
      <c r="AW197" s="56"/>
      <c r="AX197" s="56"/>
      <c r="AY197" s="56"/>
    </row>
    <row r="198" spans="1:51" x14ac:dyDescent="0.25">
      <c r="A198" s="16"/>
      <c r="C198"/>
      <c r="D198" s="56"/>
      <c r="E198"/>
      <c r="F198"/>
      <c r="G198"/>
      <c r="H198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/>
      <c r="AU198" s="56"/>
      <c r="AV198" s="56"/>
      <c r="AW198" s="56"/>
      <c r="AX198" s="56"/>
      <c r="AY198" s="56"/>
    </row>
    <row r="199" spans="1:51" x14ac:dyDescent="0.25">
      <c r="A199" s="16"/>
      <c r="C199"/>
      <c r="D199" s="56"/>
      <c r="E199"/>
      <c r="F199"/>
      <c r="G199"/>
      <c r="H199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/>
      <c r="AU199" s="56"/>
      <c r="AV199" s="56"/>
      <c r="AW199" s="56"/>
      <c r="AX199" s="56"/>
      <c r="AY199" s="56"/>
    </row>
    <row r="200" spans="1:51" x14ac:dyDescent="0.25">
      <c r="A200" s="16"/>
      <c r="C200"/>
      <c r="D200" s="56"/>
      <c r="E200"/>
      <c r="F200"/>
      <c r="G200"/>
      <c r="H200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/>
      <c r="AU200" s="56"/>
      <c r="AV200" s="56"/>
      <c r="AW200" s="56"/>
      <c r="AX200" s="56"/>
      <c r="AY200" s="56"/>
    </row>
    <row r="201" spans="1:51" x14ac:dyDescent="0.25">
      <c r="A201" s="16"/>
      <c r="C201"/>
      <c r="D201" s="56"/>
      <c r="E201"/>
      <c r="F201"/>
      <c r="G201"/>
      <c r="H201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/>
      <c r="AU201" s="56"/>
      <c r="AV201" s="56"/>
      <c r="AW201" s="56"/>
      <c r="AX201" s="56"/>
      <c r="AY201" s="56"/>
    </row>
    <row r="202" spans="1:51" x14ac:dyDescent="0.25">
      <c r="A202" s="16"/>
      <c r="C202"/>
      <c r="D202" s="56"/>
      <c r="E202"/>
      <c r="F202"/>
      <c r="G202"/>
      <c r="H202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/>
      <c r="AU202" s="56"/>
      <c r="AV202" s="56"/>
      <c r="AW202" s="56"/>
      <c r="AX202" s="56"/>
      <c r="AY202" s="56"/>
    </row>
    <row r="203" spans="1:51" x14ac:dyDescent="0.25">
      <c r="A203" s="16"/>
      <c r="C203"/>
      <c r="D203" s="56"/>
      <c r="E203"/>
      <c r="F203"/>
      <c r="G203"/>
      <c r="H203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/>
      <c r="AU203" s="56"/>
      <c r="AV203" s="56"/>
      <c r="AW203" s="56"/>
      <c r="AX203" s="56"/>
      <c r="AY203" s="56"/>
    </row>
    <row r="204" spans="1:51" x14ac:dyDescent="0.25">
      <c r="A204" s="16"/>
      <c r="C204"/>
      <c r="D204" s="56"/>
      <c r="E204"/>
      <c r="F204"/>
      <c r="G204"/>
      <c r="H204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/>
      <c r="AU204" s="56"/>
      <c r="AV204" s="56"/>
      <c r="AW204" s="56"/>
      <c r="AX204" s="56"/>
      <c r="AY204" s="56"/>
    </row>
    <row r="205" spans="1:51" x14ac:dyDescent="0.25">
      <c r="A205" s="16"/>
      <c r="C205"/>
      <c r="D205" s="56"/>
      <c r="E205"/>
      <c r="F205"/>
      <c r="G205"/>
      <c r="H205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/>
      <c r="AU205" s="56"/>
      <c r="AV205" s="56"/>
      <c r="AW205" s="56"/>
      <c r="AX205" s="56"/>
      <c r="AY205" s="56"/>
    </row>
    <row r="206" spans="1:51" x14ac:dyDescent="0.25">
      <c r="A206" s="16"/>
      <c r="C206"/>
      <c r="D206" s="56"/>
      <c r="E206"/>
      <c r="F206"/>
      <c r="G206"/>
      <c r="H20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/>
      <c r="AU206" s="56"/>
      <c r="AV206" s="56"/>
      <c r="AW206" s="56"/>
      <c r="AX206" s="56"/>
      <c r="AY206" s="56"/>
    </row>
    <row r="207" spans="1:51" x14ac:dyDescent="0.25">
      <c r="A207" s="16"/>
      <c r="C207"/>
      <c r="D207" s="56"/>
      <c r="E207"/>
      <c r="F207"/>
      <c r="G207"/>
      <c r="H207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/>
      <c r="AU207" s="56"/>
      <c r="AV207" s="56"/>
      <c r="AW207" s="56"/>
      <c r="AX207" s="56"/>
      <c r="AY207" s="56"/>
    </row>
    <row r="208" spans="1:51" x14ac:dyDescent="0.25">
      <c r="A208" s="16"/>
      <c r="C208"/>
      <c r="D208" s="56"/>
      <c r="E208"/>
      <c r="F208"/>
      <c r="G208"/>
      <c r="H208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/>
      <c r="AU208" s="56"/>
      <c r="AV208" s="56"/>
      <c r="AW208" s="56"/>
      <c r="AX208" s="56"/>
      <c r="AY208" s="56"/>
    </row>
    <row r="209" spans="1:51" x14ac:dyDescent="0.25">
      <c r="A209" s="16"/>
      <c r="C209"/>
      <c r="D209" s="56"/>
      <c r="E209"/>
      <c r="F209"/>
      <c r="G209"/>
      <c r="H209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/>
      <c r="AU209" s="56"/>
      <c r="AV209" s="56"/>
      <c r="AW209" s="56"/>
      <c r="AX209" s="56"/>
      <c r="AY209" s="56"/>
    </row>
    <row r="210" spans="1:51" x14ac:dyDescent="0.25">
      <c r="A210" s="16"/>
      <c r="C210"/>
      <c r="D210" s="56"/>
      <c r="E210"/>
      <c r="F210"/>
      <c r="G210"/>
      <c r="H210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/>
      <c r="AU210" s="56"/>
      <c r="AV210" s="56"/>
      <c r="AW210" s="56"/>
      <c r="AX210" s="56"/>
      <c r="AY210" s="56"/>
    </row>
    <row r="211" spans="1:51" x14ac:dyDescent="0.25">
      <c r="A211" s="16"/>
      <c r="C211"/>
      <c r="D211" s="56"/>
      <c r="E211"/>
      <c r="F211"/>
      <c r="G211"/>
      <c r="H211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/>
      <c r="AU211" s="56"/>
      <c r="AV211" s="56"/>
      <c r="AW211" s="56"/>
      <c r="AX211" s="56"/>
      <c r="AY211" s="56"/>
    </row>
    <row r="212" spans="1:51" x14ac:dyDescent="0.25">
      <c r="A212" s="16"/>
      <c r="C212"/>
      <c r="D212" s="56"/>
      <c r="E212"/>
      <c r="F212"/>
      <c r="G212"/>
      <c r="H212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/>
      <c r="AU212" s="56"/>
      <c r="AV212" s="56"/>
      <c r="AW212" s="56"/>
      <c r="AX212" s="56"/>
      <c r="AY212" s="56"/>
    </row>
    <row r="213" spans="1:51" x14ac:dyDescent="0.25">
      <c r="A213" s="16"/>
      <c r="C213"/>
      <c r="D213" s="56"/>
      <c r="E213"/>
      <c r="F213"/>
      <c r="G213"/>
      <c r="H213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/>
      <c r="AU213" s="56"/>
      <c r="AV213" s="56"/>
      <c r="AW213" s="56"/>
      <c r="AX213" s="56"/>
      <c r="AY213" s="56"/>
    </row>
    <row r="214" spans="1:51" x14ac:dyDescent="0.25">
      <c r="A214" s="16"/>
      <c r="C214"/>
      <c r="D214" s="56"/>
      <c r="E214"/>
      <c r="F214"/>
      <c r="G214"/>
      <c r="H214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/>
      <c r="AU214" s="56"/>
      <c r="AV214" s="56"/>
      <c r="AW214" s="56"/>
      <c r="AX214" s="56"/>
      <c r="AY214" s="56"/>
    </row>
    <row r="215" spans="1:51" x14ac:dyDescent="0.25">
      <c r="A215" s="16"/>
      <c r="C215"/>
      <c r="D215" s="56"/>
      <c r="E215"/>
      <c r="F215"/>
      <c r="G215"/>
      <c r="H215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/>
      <c r="AU215" s="56"/>
      <c r="AV215" s="56"/>
      <c r="AW215" s="56"/>
      <c r="AX215" s="56"/>
      <c r="AY215" s="56"/>
    </row>
    <row r="216" spans="1:51" x14ac:dyDescent="0.25">
      <c r="A216" s="16"/>
      <c r="C216"/>
      <c r="D216" s="56"/>
      <c r="E216"/>
      <c r="F216"/>
      <c r="G216"/>
      <c r="H21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/>
      <c r="AU216" s="56"/>
      <c r="AV216" s="56"/>
      <c r="AW216" s="56"/>
      <c r="AX216" s="56"/>
      <c r="AY216" s="56"/>
    </row>
    <row r="217" spans="1:51" x14ac:dyDescent="0.25">
      <c r="A217" s="16"/>
      <c r="C217"/>
      <c r="D217" s="56"/>
      <c r="E217"/>
      <c r="F217"/>
      <c r="G217"/>
      <c r="H217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/>
      <c r="AU217" s="56"/>
      <c r="AV217" s="56"/>
      <c r="AW217" s="56"/>
      <c r="AX217" s="56"/>
      <c r="AY217" s="56"/>
    </row>
    <row r="218" spans="1:51" x14ac:dyDescent="0.25">
      <c r="A218" s="16"/>
      <c r="C218"/>
      <c r="D218" s="56"/>
      <c r="E218"/>
      <c r="F218"/>
      <c r="G218"/>
      <c r="H218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/>
      <c r="AU218" s="56"/>
      <c r="AV218" s="56"/>
      <c r="AW218" s="56"/>
      <c r="AX218" s="56"/>
      <c r="AY218" s="56"/>
    </row>
    <row r="219" spans="1:51" x14ac:dyDescent="0.25">
      <c r="A219" s="16"/>
      <c r="C219"/>
      <c r="D219" s="56"/>
      <c r="E219"/>
      <c r="F219"/>
      <c r="G219"/>
      <c r="H219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/>
      <c r="AU219" s="56"/>
      <c r="AV219" s="56"/>
      <c r="AW219" s="56"/>
      <c r="AX219" s="56"/>
      <c r="AY219" s="56"/>
    </row>
    <row r="220" spans="1:51" x14ac:dyDescent="0.25">
      <c r="A220" s="16"/>
      <c r="C220"/>
      <c r="D220" s="56"/>
      <c r="E220"/>
      <c r="F220"/>
      <c r="G220"/>
      <c r="H220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/>
      <c r="AU220" s="56"/>
      <c r="AV220" s="56"/>
      <c r="AW220" s="56"/>
      <c r="AX220" s="56"/>
      <c r="AY220" s="56"/>
    </row>
    <row r="221" spans="1:51" x14ac:dyDescent="0.25">
      <c r="A221" s="16"/>
      <c r="C221"/>
      <c r="D221" s="56"/>
      <c r="E221"/>
      <c r="F221"/>
      <c r="G221"/>
      <c r="H221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/>
      <c r="AU221" s="56"/>
      <c r="AV221" s="56"/>
      <c r="AW221" s="56"/>
      <c r="AX221" s="56"/>
      <c r="AY221" s="56"/>
    </row>
    <row r="222" spans="1:51" x14ac:dyDescent="0.25">
      <c r="A222" s="16"/>
      <c r="C222"/>
      <c r="D222" s="56"/>
      <c r="E222"/>
      <c r="F222"/>
      <c r="G222"/>
      <c r="H222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/>
      <c r="AU222" s="56"/>
      <c r="AV222" s="56"/>
      <c r="AW222" s="56"/>
      <c r="AX222" s="56"/>
      <c r="AY222" s="56"/>
    </row>
    <row r="223" spans="1:51" x14ac:dyDescent="0.25">
      <c r="A223" s="16"/>
      <c r="C223"/>
      <c r="D223" s="56"/>
      <c r="E223"/>
      <c r="F223"/>
      <c r="G223"/>
      <c r="H223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/>
      <c r="AU223" s="56"/>
      <c r="AV223" s="56"/>
      <c r="AW223" s="56"/>
      <c r="AX223" s="56"/>
      <c r="AY223" s="56"/>
    </row>
    <row r="224" spans="1:51" x14ac:dyDescent="0.25">
      <c r="A224" s="16"/>
      <c r="C224"/>
      <c r="D224" s="56"/>
      <c r="E224"/>
      <c r="F224"/>
      <c r="G224"/>
      <c r="H224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/>
      <c r="AU224" s="56"/>
      <c r="AV224" s="56"/>
      <c r="AW224" s="56"/>
      <c r="AX224" s="56"/>
      <c r="AY224" s="56"/>
    </row>
    <row r="225" spans="1:51" x14ac:dyDescent="0.25">
      <c r="A225" s="16"/>
      <c r="C225"/>
      <c r="D225" s="56"/>
      <c r="E225"/>
      <c r="F225"/>
      <c r="G225"/>
      <c r="H225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/>
      <c r="AU225" s="56"/>
      <c r="AV225" s="56"/>
      <c r="AW225" s="56"/>
      <c r="AX225" s="56"/>
      <c r="AY225" s="56"/>
    </row>
    <row r="226" spans="1:51" x14ac:dyDescent="0.25">
      <c r="A226" s="16"/>
      <c r="C226"/>
      <c r="D226" s="56"/>
      <c r="E226"/>
      <c r="F226"/>
      <c r="G226"/>
      <c r="H22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/>
      <c r="AU226" s="56"/>
      <c r="AV226" s="56"/>
      <c r="AW226" s="56"/>
      <c r="AX226" s="56"/>
      <c r="AY226" s="56"/>
    </row>
    <row r="227" spans="1:51" x14ac:dyDescent="0.25">
      <c r="A227" s="16"/>
      <c r="C227"/>
      <c r="D227" s="56"/>
      <c r="E227"/>
      <c r="F227"/>
      <c r="G227"/>
      <c r="H227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/>
      <c r="AU227" s="56"/>
      <c r="AV227" s="56"/>
      <c r="AW227" s="56"/>
      <c r="AX227" s="56"/>
      <c r="AY227" s="56"/>
    </row>
    <row r="228" spans="1:51" x14ac:dyDescent="0.25">
      <c r="A228" s="16"/>
      <c r="C228"/>
      <c r="D228" s="56"/>
      <c r="E228"/>
      <c r="F228"/>
      <c r="G228"/>
      <c r="H228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/>
      <c r="AU228" s="56"/>
      <c r="AV228" s="56"/>
      <c r="AW228" s="56"/>
      <c r="AX228" s="56"/>
      <c r="AY228" s="56"/>
    </row>
    <row r="229" spans="1:51" x14ac:dyDescent="0.25">
      <c r="A229" s="16"/>
      <c r="C229"/>
      <c r="D229" s="56"/>
      <c r="E229"/>
      <c r="F229"/>
      <c r="G229"/>
      <c r="H229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/>
      <c r="AU229" s="56"/>
      <c r="AV229" s="56"/>
      <c r="AW229" s="56"/>
      <c r="AX229" s="56"/>
      <c r="AY229" s="56"/>
    </row>
    <row r="230" spans="1:51" x14ac:dyDescent="0.25">
      <c r="A230" s="16"/>
      <c r="C230"/>
      <c r="D230" s="56"/>
      <c r="E230"/>
      <c r="F230"/>
      <c r="G230"/>
      <c r="H230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/>
      <c r="AU230" s="56"/>
      <c r="AV230" s="56"/>
      <c r="AW230" s="56"/>
      <c r="AX230" s="56"/>
      <c r="AY230" s="56"/>
    </row>
    <row r="231" spans="1:51" x14ac:dyDescent="0.25">
      <c r="A231" s="16"/>
      <c r="C231"/>
      <c r="D231" s="56"/>
      <c r="E231"/>
      <c r="F231"/>
      <c r="G231"/>
      <c r="H231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/>
      <c r="AU231" s="56"/>
      <c r="AV231" s="56"/>
      <c r="AW231" s="56"/>
      <c r="AX231" s="56"/>
      <c r="AY231" s="56"/>
    </row>
    <row r="232" spans="1:51" x14ac:dyDescent="0.25">
      <c r="A232" s="16"/>
      <c r="C232"/>
      <c r="D232" s="56"/>
      <c r="E232"/>
      <c r="F232"/>
      <c r="G232"/>
      <c r="H232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/>
      <c r="AU232" s="56"/>
      <c r="AV232" s="56"/>
      <c r="AW232" s="56"/>
      <c r="AX232" s="56"/>
      <c r="AY232" s="56"/>
    </row>
    <row r="233" spans="1:51" x14ac:dyDescent="0.25">
      <c r="A233" s="16"/>
      <c r="C233"/>
      <c r="D233" s="56"/>
      <c r="E233"/>
      <c r="F233"/>
      <c r="G233"/>
      <c r="H233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/>
      <c r="AU233" s="56"/>
      <c r="AV233" s="56"/>
      <c r="AW233" s="56"/>
      <c r="AX233" s="56"/>
      <c r="AY233" s="56"/>
    </row>
    <row r="234" spans="1:51" x14ac:dyDescent="0.25">
      <c r="A234" s="16"/>
      <c r="C234"/>
      <c r="D234" s="56"/>
      <c r="E234"/>
      <c r="F234"/>
      <c r="G234"/>
      <c r="H234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/>
      <c r="AU234" s="56"/>
      <c r="AV234" s="56"/>
      <c r="AW234" s="56"/>
      <c r="AX234" s="56"/>
      <c r="AY234" s="56"/>
    </row>
    <row r="235" spans="1:51" x14ac:dyDescent="0.25">
      <c r="A235" s="16"/>
      <c r="C235"/>
      <c r="D235" s="56"/>
      <c r="E235"/>
      <c r="F235"/>
      <c r="G235"/>
      <c r="H235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/>
      <c r="AU235" s="56"/>
      <c r="AV235" s="56"/>
      <c r="AW235" s="56"/>
      <c r="AX235" s="56"/>
      <c r="AY235" s="56"/>
    </row>
    <row r="236" spans="1:51" x14ac:dyDescent="0.25">
      <c r="A236" s="16"/>
      <c r="C236"/>
      <c r="D236" s="56"/>
      <c r="E236"/>
      <c r="F236"/>
      <c r="G236"/>
      <c r="H23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/>
      <c r="AU236" s="56"/>
      <c r="AV236" s="56"/>
      <c r="AW236" s="56"/>
      <c r="AX236" s="56"/>
      <c r="AY236" s="56"/>
    </row>
    <row r="237" spans="1:51" x14ac:dyDescent="0.25">
      <c r="A237" s="16"/>
      <c r="C237"/>
      <c r="D237" s="56"/>
      <c r="E237"/>
      <c r="F237"/>
      <c r="G237"/>
      <c r="H237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/>
      <c r="AU237" s="56"/>
      <c r="AV237" s="56"/>
      <c r="AW237" s="56"/>
      <c r="AX237" s="56"/>
      <c r="AY237" s="56"/>
    </row>
    <row r="238" spans="1:51" x14ac:dyDescent="0.25">
      <c r="A238" s="16"/>
      <c r="C238"/>
      <c r="D238" s="56"/>
      <c r="E238"/>
      <c r="F238"/>
      <c r="G238"/>
      <c r="H238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/>
      <c r="AU238" s="56"/>
      <c r="AV238" s="56"/>
      <c r="AW238" s="56"/>
      <c r="AX238" s="56"/>
      <c r="AY238" s="56"/>
    </row>
    <row r="239" spans="1:51" x14ac:dyDescent="0.25">
      <c r="A239" s="16"/>
      <c r="C239"/>
      <c r="D239" s="56"/>
      <c r="E239"/>
      <c r="F239"/>
      <c r="G239"/>
      <c r="H239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/>
      <c r="AU239" s="56"/>
      <c r="AV239" s="56"/>
      <c r="AW239" s="56"/>
      <c r="AX239" s="56"/>
      <c r="AY239" s="56"/>
    </row>
    <row r="240" spans="1:51" x14ac:dyDescent="0.25">
      <c r="A240" s="16"/>
      <c r="C240"/>
      <c r="D240" s="56"/>
      <c r="E240"/>
      <c r="F240"/>
      <c r="G240"/>
      <c r="H240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/>
      <c r="AU240" s="56"/>
      <c r="AV240" s="56"/>
      <c r="AW240" s="56"/>
      <c r="AX240" s="56"/>
      <c r="AY240" s="56"/>
    </row>
    <row r="241" spans="1:51" x14ac:dyDescent="0.25">
      <c r="A241" s="16"/>
      <c r="C241"/>
      <c r="D241" s="56"/>
      <c r="E241"/>
      <c r="F241"/>
      <c r="G241"/>
      <c r="H241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/>
      <c r="AU241" s="56"/>
      <c r="AV241" s="56"/>
      <c r="AW241" s="56"/>
      <c r="AX241" s="56"/>
      <c r="AY241" s="56"/>
    </row>
    <row r="242" spans="1:51" x14ac:dyDescent="0.25">
      <c r="A242" s="16"/>
      <c r="C242"/>
      <c r="D242" s="56"/>
      <c r="E242"/>
      <c r="F242"/>
      <c r="G242"/>
      <c r="H242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/>
      <c r="AU242" s="56"/>
      <c r="AV242" s="56"/>
      <c r="AW242" s="56"/>
      <c r="AX242" s="56"/>
      <c r="AY242" s="56"/>
    </row>
    <row r="243" spans="1:51" x14ac:dyDescent="0.25">
      <c r="A243" s="16"/>
      <c r="C243"/>
      <c r="D243" s="56"/>
      <c r="E243"/>
      <c r="F243"/>
      <c r="G243"/>
      <c r="H243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/>
      <c r="AU243" s="56"/>
      <c r="AV243" s="56"/>
      <c r="AW243" s="56"/>
      <c r="AX243" s="56"/>
      <c r="AY243" s="56"/>
    </row>
    <row r="244" spans="1:51" x14ac:dyDescent="0.25">
      <c r="A244" s="16"/>
      <c r="C244"/>
      <c r="D244" s="56"/>
      <c r="E244"/>
      <c r="F244"/>
      <c r="G244"/>
      <c r="H244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/>
      <c r="AU244" s="56"/>
      <c r="AV244" s="56"/>
      <c r="AW244" s="56"/>
      <c r="AX244" s="56"/>
      <c r="AY244" s="56"/>
    </row>
    <row r="245" spans="1:51" x14ac:dyDescent="0.25">
      <c r="A245" s="16"/>
      <c r="C245"/>
      <c r="D245" s="56"/>
      <c r="E245"/>
      <c r="F245"/>
      <c r="G245"/>
      <c r="H245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/>
      <c r="AU245" s="56"/>
      <c r="AV245" s="56"/>
      <c r="AW245" s="56"/>
      <c r="AX245" s="56"/>
      <c r="AY245" s="56"/>
    </row>
    <row r="246" spans="1:51" x14ac:dyDescent="0.25">
      <c r="A246" s="16"/>
      <c r="C246"/>
      <c r="D246" s="56"/>
      <c r="E246"/>
      <c r="F246"/>
      <c r="G246"/>
      <c r="H24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/>
      <c r="AU246" s="56"/>
      <c r="AV246" s="56"/>
      <c r="AW246" s="56"/>
      <c r="AX246" s="56"/>
      <c r="AY246" s="56"/>
    </row>
    <row r="247" spans="1:51" x14ac:dyDescent="0.25">
      <c r="A247" s="16"/>
      <c r="C247"/>
      <c r="D247" s="56"/>
      <c r="E247"/>
      <c r="F247"/>
      <c r="G247"/>
      <c r="H247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/>
      <c r="AU247" s="56"/>
      <c r="AV247" s="56"/>
      <c r="AW247" s="56"/>
      <c r="AX247" s="56"/>
      <c r="AY247" s="56"/>
    </row>
    <row r="248" spans="1:51" x14ac:dyDescent="0.25">
      <c r="A248" s="16"/>
      <c r="C248"/>
      <c r="D248" s="56"/>
      <c r="E248"/>
      <c r="F248"/>
      <c r="G248"/>
      <c r="H248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/>
      <c r="AU248" s="56"/>
      <c r="AV248" s="56"/>
      <c r="AW248" s="56"/>
      <c r="AX248" s="56"/>
      <c r="AY248" s="56"/>
    </row>
    <row r="249" spans="1:51" x14ac:dyDescent="0.25">
      <c r="A249" s="16"/>
      <c r="C249"/>
      <c r="D249" s="56"/>
      <c r="E249"/>
      <c r="F249"/>
      <c r="G249"/>
      <c r="H249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/>
      <c r="AU249" s="56"/>
      <c r="AV249" s="56"/>
      <c r="AW249" s="56"/>
      <c r="AX249" s="56"/>
      <c r="AY249" s="56"/>
    </row>
    <row r="250" spans="1:51" x14ac:dyDescent="0.25">
      <c r="A250" s="16"/>
      <c r="C250"/>
      <c r="D250" s="56"/>
      <c r="E250"/>
      <c r="F250"/>
      <c r="G250"/>
      <c r="H250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/>
      <c r="AU250" s="56"/>
      <c r="AV250" s="56"/>
      <c r="AW250" s="56"/>
      <c r="AX250" s="56"/>
      <c r="AY250" s="56"/>
    </row>
    <row r="251" spans="1:51" x14ac:dyDescent="0.25">
      <c r="A251" s="16"/>
      <c r="C251"/>
      <c r="D251" s="56"/>
      <c r="E251"/>
      <c r="F251"/>
      <c r="G251"/>
      <c r="H251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/>
      <c r="AU251" s="56"/>
      <c r="AV251" s="56"/>
      <c r="AW251" s="56"/>
      <c r="AX251" s="56"/>
      <c r="AY251" s="56"/>
    </row>
    <row r="252" spans="1:51" x14ac:dyDescent="0.25">
      <c r="A252" s="16"/>
      <c r="C252"/>
      <c r="D252" s="56"/>
      <c r="E252"/>
      <c r="F252"/>
      <c r="G252"/>
      <c r="H252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/>
      <c r="AU252" s="56"/>
      <c r="AV252" s="56"/>
      <c r="AW252" s="56"/>
      <c r="AX252" s="56"/>
      <c r="AY252" s="56"/>
    </row>
    <row r="253" spans="1:51" x14ac:dyDescent="0.25">
      <c r="A253" s="16"/>
      <c r="C253"/>
      <c r="D253" s="56"/>
      <c r="E253"/>
      <c r="F253"/>
      <c r="G253"/>
      <c r="H253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/>
      <c r="AU253" s="56"/>
      <c r="AV253" s="56"/>
      <c r="AW253" s="56"/>
      <c r="AX253" s="56"/>
      <c r="AY253" s="56"/>
    </row>
    <row r="254" spans="1:51" x14ac:dyDescent="0.25">
      <c r="A254" s="16"/>
      <c r="C254"/>
      <c r="D254" s="56"/>
      <c r="E254"/>
      <c r="F254"/>
      <c r="G254"/>
      <c r="H254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/>
      <c r="AU254" s="56"/>
      <c r="AV254" s="56"/>
      <c r="AW254" s="56"/>
      <c r="AX254" s="56"/>
      <c r="AY254" s="56"/>
    </row>
    <row r="255" spans="1:51" x14ac:dyDescent="0.25">
      <c r="A255" s="16"/>
      <c r="C255"/>
      <c r="D255" s="56"/>
      <c r="E255"/>
      <c r="F255"/>
      <c r="G255"/>
      <c r="H255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/>
      <c r="AU255" s="56"/>
      <c r="AV255" s="56"/>
      <c r="AW255" s="56"/>
      <c r="AX255" s="56"/>
      <c r="AY255" s="56"/>
    </row>
    <row r="256" spans="1:51" x14ac:dyDescent="0.25">
      <c r="A256" s="16"/>
      <c r="C256"/>
      <c r="D256" s="56"/>
      <c r="E256"/>
      <c r="F256"/>
      <c r="G256"/>
      <c r="H2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/>
      <c r="AU256" s="56"/>
      <c r="AV256" s="56"/>
      <c r="AW256" s="56"/>
      <c r="AX256" s="56"/>
      <c r="AY256" s="56"/>
    </row>
    <row r="257" spans="1:51" x14ac:dyDescent="0.25">
      <c r="A257" s="16"/>
      <c r="C257"/>
      <c r="D257" s="56"/>
      <c r="E257"/>
      <c r="F257"/>
      <c r="G257"/>
      <c r="H257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/>
      <c r="AU257" s="56"/>
      <c r="AV257" s="56"/>
      <c r="AW257" s="56"/>
      <c r="AX257" s="56"/>
      <c r="AY257" s="56"/>
    </row>
    <row r="258" spans="1:51" x14ac:dyDescent="0.25">
      <c r="A258" s="16"/>
      <c r="C258"/>
      <c r="D258" s="56"/>
      <c r="E258"/>
      <c r="F258"/>
      <c r="G258"/>
      <c r="H258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/>
      <c r="AU258" s="56"/>
      <c r="AV258" s="56"/>
      <c r="AW258" s="56"/>
      <c r="AX258" s="56"/>
      <c r="AY258" s="56"/>
    </row>
    <row r="259" spans="1:51" x14ac:dyDescent="0.25">
      <c r="A259" s="16"/>
      <c r="C259"/>
      <c r="D259" s="56"/>
      <c r="E259"/>
      <c r="F259"/>
      <c r="G259"/>
      <c r="H259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/>
      <c r="AU259" s="56"/>
      <c r="AV259" s="56"/>
      <c r="AW259" s="56"/>
      <c r="AX259" s="56"/>
      <c r="AY259" s="56"/>
    </row>
    <row r="260" spans="1:51" x14ac:dyDescent="0.25">
      <c r="A260" s="16"/>
      <c r="C260"/>
      <c r="D260" s="56"/>
      <c r="E260"/>
      <c r="F260"/>
      <c r="G260"/>
      <c r="H260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/>
      <c r="AU260" s="56"/>
      <c r="AV260" s="56"/>
      <c r="AW260" s="56"/>
      <c r="AX260" s="56"/>
      <c r="AY260" s="56"/>
    </row>
    <row r="261" spans="1:51" x14ac:dyDescent="0.25">
      <c r="A261" s="16"/>
      <c r="C261"/>
      <c r="D261" s="56"/>
      <c r="E261"/>
      <c r="F261"/>
      <c r="G261"/>
      <c r="H261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/>
      <c r="AU261" s="56"/>
      <c r="AV261" s="56"/>
      <c r="AW261" s="56"/>
      <c r="AX261" s="56"/>
      <c r="AY261" s="56"/>
    </row>
    <row r="262" spans="1:51" x14ac:dyDescent="0.25">
      <c r="A262" s="16"/>
      <c r="C262"/>
      <c r="D262" s="56"/>
      <c r="E262"/>
      <c r="F262"/>
      <c r="G262"/>
      <c r="H262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/>
      <c r="AU262" s="56"/>
      <c r="AV262" s="56"/>
      <c r="AW262" s="56"/>
      <c r="AX262" s="56"/>
      <c r="AY262" s="56"/>
    </row>
    <row r="263" spans="1:51" x14ac:dyDescent="0.25">
      <c r="A263" s="16"/>
      <c r="C263"/>
      <c r="D263" s="56"/>
      <c r="E263"/>
      <c r="F263"/>
      <c r="G263"/>
      <c r="H263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/>
      <c r="AU263" s="56"/>
      <c r="AV263" s="56"/>
      <c r="AW263" s="56"/>
      <c r="AX263" s="56"/>
      <c r="AY263" s="56"/>
    </row>
    <row r="264" spans="1:51" x14ac:dyDescent="0.25">
      <c r="A264" s="16"/>
      <c r="C264"/>
      <c r="D264" s="56"/>
      <c r="E264"/>
      <c r="F264"/>
      <c r="G264"/>
      <c r="H264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/>
      <c r="AU264" s="56"/>
      <c r="AV264" s="56"/>
      <c r="AW264" s="56"/>
      <c r="AX264" s="56"/>
      <c r="AY264" s="56"/>
    </row>
    <row r="265" spans="1:51" x14ac:dyDescent="0.25">
      <c r="A265" s="16"/>
      <c r="C265"/>
      <c r="D265" s="56"/>
      <c r="E265"/>
      <c r="F265"/>
      <c r="G265"/>
      <c r="H265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/>
      <c r="AU265" s="56"/>
      <c r="AV265" s="56"/>
      <c r="AW265" s="56"/>
      <c r="AX265" s="56"/>
      <c r="AY265" s="56"/>
    </row>
    <row r="266" spans="1:51" x14ac:dyDescent="0.25">
      <c r="A266" s="16"/>
      <c r="C266"/>
      <c r="D266" s="56"/>
      <c r="E266"/>
      <c r="F266"/>
      <c r="G266"/>
      <c r="H26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/>
      <c r="AU266" s="56"/>
      <c r="AV266" s="56"/>
      <c r="AW266" s="56"/>
      <c r="AX266" s="56"/>
      <c r="AY266" s="56"/>
    </row>
    <row r="267" spans="1:51" x14ac:dyDescent="0.25">
      <c r="A267" s="16"/>
      <c r="C267"/>
      <c r="D267" s="56"/>
      <c r="E267"/>
      <c r="F267"/>
      <c r="G267"/>
      <c r="H267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/>
      <c r="AU267" s="56"/>
      <c r="AV267" s="56"/>
      <c r="AW267" s="56"/>
      <c r="AX267" s="56"/>
      <c r="AY267" s="56"/>
    </row>
    <row r="268" spans="1:51" x14ac:dyDescent="0.25">
      <c r="A268" s="16"/>
      <c r="C268"/>
      <c r="D268" s="56"/>
      <c r="E268"/>
      <c r="F268"/>
      <c r="G268"/>
      <c r="H268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/>
      <c r="AU268" s="56"/>
      <c r="AV268" s="56"/>
      <c r="AW268" s="56"/>
      <c r="AX268" s="56"/>
      <c r="AY268" s="56"/>
    </row>
    <row r="269" spans="1:51" x14ac:dyDescent="0.25">
      <c r="A269" s="16"/>
      <c r="C269"/>
      <c r="D269" s="56"/>
      <c r="E269"/>
      <c r="F269"/>
      <c r="G269"/>
      <c r="H269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/>
      <c r="AU269" s="56"/>
      <c r="AV269" s="56"/>
      <c r="AW269" s="56"/>
      <c r="AX269" s="56"/>
      <c r="AY269" s="56"/>
    </row>
    <row r="270" spans="1:51" x14ac:dyDescent="0.25">
      <c r="A270" s="16"/>
      <c r="C270"/>
      <c r="D270" s="56"/>
      <c r="E270"/>
      <c r="F270"/>
      <c r="G270"/>
      <c r="H270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/>
      <c r="AU270" s="56"/>
      <c r="AV270" s="56"/>
      <c r="AW270" s="56"/>
      <c r="AX270" s="56"/>
      <c r="AY270" s="56"/>
    </row>
    <row r="271" spans="1:51" x14ac:dyDescent="0.25">
      <c r="A271" s="16"/>
      <c r="C271"/>
      <c r="D271" s="56"/>
      <c r="E271"/>
      <c r="F271"/>
      <c r="G271"/>
      <c r="H271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/>
      <c r="AU271" s="56"/>
      <c r="AV271" s="56"/>
      <c r="AW271" s="56"/>
      <c r="AX271" s="56"/>
      <c r="AY271" s="56"/>
    </row>
    <row r="272" spans="1:51" x14ac:dyDescent="0.25">
      <c r="A272" s="16"/>
      <c r="C272"/>
      <c r="D272" s="56"/>
      <c r="E272"/>
      <c r="F272"/>
      <c r="G272"/>
      <c r="H272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/>
      <c r="AU272" s="56"/>
      <c r="AV272" s="56"/>
      <c r="AW272" s="56"/>
      <c r="AX272" s="56"/>
      <c r="AY272" s="56"/>
    </row>
    <row r="273" spans="1:51" x14ac:dyDescent="0.25">
      <c r="A273" s="16"/>
      <c r="C273"/>
      <c r="D273" s="56"/>
      <c r="E273"/>
      <c r="F273"/>
      <c r="G273"/>
      <c r="H273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/>
      <c r="AU273" s="56"/>
      <c r="AV273" s="56"/>
      <c r="AW273" s="56"/>
      <c r="AX273" s="56"/>
      <c r="AY273" s="56"/>
    </row>
    <row r="274" spans="1:51" x14ac:dyDescent="0.25">
      <c r="A274" s="16"/>
      <c r="C274"/>
      <c r="D274" s="56"/>
      <c r="E274"/>
      <c r="F274"/>
      <c r="G274"/>
      <c r="H274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/>
      <c r="AU274" s="56"/>
      <c r="AV274" s="56"/>
      <c r="AW274" s="56"/>
      <c r="AX274" s="56"/>
      <c r="AY274" s="56"/>
    </row>
    <row r="275" spans="1:51" x14ac:dyDescent="0.25">
      <c r="A275" s="16"/>
      <c r="C275"/>
      <c r="D275" s="56"/>
      <c r="E275"/>
      <c r="F275"/>
      <c r="G275"/>
      <c r="H275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/>
      <c r="AU275" s="56"/>
      <c r="AV275" s="56"/>
      <c r="AW275" s="56"/>
      <c r="AX275" s="56"/>
      <c r="AY275" s="56"/>
    </row>
    <row r="276" spans="1:51" x14ac:dyDescent="0.25">
      <c r="A276" s="16"/>
      <c r="C276"/>
      <c r="D276" s="56"/>
      <c r="E276"/>
      <c r="F276"/>
      <c r="G276"/>
      <c r="H27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/>
      <c r="AU276" s="56"/>
      <c r="AV276" s="56"/>
      <c r="AW276" s="56"/>
      <c r="AX276" s="56"/>
      <c r="AY276" s="56"/>
    </row>
    <row r="277" spans="1:51" x14ac:dyDescent="0.25">
      <c r="A277" s="16"/>
      <c r="C277"/>
      <c r="D277" s="56"/>
      <c r="E277"/>
      <c r="F277"/>
      <c r="G277"/>
      <c r="H277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/>
      <c r="AU277" s="56"/>
      <c r="AV277" s="56"/>
      <c r="AW277" s="56"/>
      <c r="AX277" s="56"/>
      <c r="AY277" s="56"/>
    </row>
    <row r="278" spans="1:51" x14ac:dyDescent="0.25">
      <c r="A278" s="16"/>
      <c r="C278"/>
      <c r="D278" s="56"/>
      <c r="E278"/>
      <c r="F278"/>
      <c r="G278"/>
      <c r="H278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/>
      <c r="AU278" s="56"/>
      <c r="AV278" s="56"/>
      <c r="AW278" s="56"/>
      <c r="AX278" s="56"/>
      <c r="AY278" s="56"/>
    </row>
    <row r="279" spans="1:51" x14ac:dyDescent="0.25">
      <c r="A279" s="16"/>
      <c r="C279"/>
      <c r="D279" s="56"/>
      <c r="E279"/>
      <c r="F279"/>
      <c r="G279"/>
      <c r="H279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/>
      <c r="AU279" s="56"/>
      <c r="AV279" s="56"/>
      <c r="AW279" s="56"/>
      <c r="AX279" s="56"/>
      <c r="AY279" s="56"/>
    </row>
    <row r="280" spans="1:51" x14ac:dyDescent="0.25">
      <c r="A280" s="16"/>
      <c r="C280"/>
      <c r="D280" s="56"/>
      <c r="E280"/>
      <c r="F280"/>
      <c r="G280"/>
      <c r="H280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/>
      <c r="AU280" s="56"/>
      <c r="AV280" s="56"/>
      <c r="AW280" s="56"/>
      <c r="AX280" s="56"/>
      <c r="AY280" s="56"/>
    </row>
    <row r="281" spans="1:51" x14ac:dyDescent="0.25">
      <c r="A281" s="16"/>
      <c r="C281"/>
      <c r="D281" s="56"/>
      <c r="E281"/>
      <c r="F281"/>
      <c r="G281"/>
      <c r="H281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/>
      <c r="AU281" s="56"/>
      <c r="AV281" s="56"/>
      <c r="AW281" s="56"/>
      <c r="AX281" s="56"/>
      <c r="AY281" s="56"/>
    </row>
    <row r="282" spans="1:51" x14ac:dyDescent="0.25">
      <c r="A282" s="16"/>
      <c r="C282"/>
      <c r="D282" s="56"/>
      <c r="E282"/>
      <c r="F282"/>
      <c r="G282"/>
      <c r="H282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/>
      <c r="AU282" s="56"/>
      <c r="AV282" s="56"/>
      <c r="AW282" s="56"/>
      <c r="AX282" s="56"/>
      <c r="AY282" s="56"/>
    </row>
    <row r="283" spans="1:51" x14ac:dyDescent="0.25">
      <c r="A283" s="16"/>
      <c r="C283"/>
      <c r="D283" s="56"/>
      <c r="E283"/>
      <c r="F283"/>
      <c r="G283"/>
      <c r="H283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/>
      <c r="AU283" s="56"/>
      <c r="AV283" s="56"/>
      <c r="AW283" s="56"/>
      <c r="AX283" s="56"/>
      <c r="AY283" s="56"/>
    </row>
    <row r="284" spans="1:51" x14ac:dyDescent="0.25">
      <c r="A284" s="16"/>
      <c r="C284"/>
      <c r="D284" s="56"/>
      <c r="E284"/>
      <c r="F284"/>
      <c r="G284"/>
      <c r="H284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/>
      <c r="AU284" s="56"/>
      <c r="AV284" s="56"/>
      <c r="AW284" s="56"/>
      <c r="AX284" s="56"/>
      <c r="AY284" s="56"/>
    </row>
    <row r="285" spans="1:51" x14ac:dyDescent="0.25">
      <c r="A285" s="16"/>
      <c r="C285"/>
      <c r="D285" s="56"/>
      <c r="E285"/>
      <c r="F285"/>
      <c r="G285"/>
      <c r="H285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/>
      <c r="AU285" s="56"/>
      <c r="AV285" s="56"/>
      <c r="AW285" s="56"/>
      <c r="AX285" s="56"/>
      <c r="AY285" s="56"/>
    </row>
    <row r="286" spans="1:51" x14ac:dyDescent="0.25">
      <c r="A286" s="16"/>
      <c r="C286"/>
      <c r="D286" s="56"/>
      <c r="E286"/>
      <c r="F286"/>
      <c r="G286"/>
      <c r="H28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/>
      <c r="AU286" s="56"/>
      <c r="AV286" s="56"/>
      <c r="AW286" s="56"/>
      <c r="AX286" s="56"/>
      <c r="AY286" s="56"/>
    </row>
    <row r="287" spans="1:51" x14ac:dyDescent="0.25">
      <c r="A287" s="16"/>
      <c r="C287"/>
      <c r="D287" s="56"/>
      <c r="E287"/>
      <c r="F287"/>
      <c r="G287"/>
      <c r="H287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/>
      <c r="AU287" s="56"/>
      <c r="AV287" s="56"/>
      <c r="AW287" s="56"/>
      <c r="AX287" s="56"/>
      <c r="AY287" s="56"/>
    </row>
    <row r="288" spans="1:51" x14ac:dyDescent="0.25">
      <c r="A288" s="16"/>
      <c r="C288"/>
      <c r="D288" s="56"/>
      <c r="E288"/>
      <c r="F288"/>
      <c r="G288"/>
      <c r="H288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/>
      <c r="AU288" s="56"/>
      <c r="AV288" s="56"/>
      <c r="AW288" s="56"/>
      <c r="AX288" s="56"/>
      <c r="AY288" s="56"/>
    </row>
    <row r="289" spans="1:51" x14ac:dyDescent="0.25">
      <c r="A289" s="16"/>
      <c r="C289"/>
      <c r="D289" s="56"/>
      <c r="E289"/>
      <c r="F289"/>
      <c r="G289"/>
      <c r="H289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/>
      <c r="AU289" s="56"/>
      <c r="AV289" s="56"/>
      <c r="AW289" s="56"/>
      <c r="AX289" s="56"/>
      <c r="AY289" s="56"/>
    </row>
    <row r="290" spans="1:51" x14ac:dyDescent="0.25">
      <c r="A290" s="16"/>
      <c r="C290"/>
      <c r="D290" s="56"/>
      <c r="E290"/>
      <c r="F290"/>
      <c r="G290"/>
      <c r="H290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/>
      <c r="AU290" s="56"/>
      <c r="AV290" s="56"/>
      <c r="AW290" s="56"/>
      <c r="AX290" s="56"/>
      <c r="AY290" s="56"/>
    </row>
    <row r="291" spans="1:51" x14ac:dyDescent="0.25">
      <c r="A291" s="16"/>
      <c r="C291"/>
      <c r="D291" s="56"/>
      <c r="E291"/>
      <c r="F291"/>
      <c r="G291"/>
      <c r="H291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/>
      <c r="AU291" s="56"/>
      <c r="AV291" s="56"/>
      <c r="AW291" s="56"/>
      <c r="AX291" s="56"/>
      <c r="AY291" s="56"/>
    </row>
    <row r="292" spans="1:51" x14ac:dyDescent="0.25">
      <c r="A292" s="16"/>
      <c r="C292"/>
      <c r="D292" s="56"/>
      <c r="E292"/>
      <c r="F292"/>
      <c r="G292"/>
      <c r="H292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/>
      <c r="AU292" s="56"/>
      <c r="AV292" s="56"/>
      <c r="AW292" s="56"/>
      <c r="AX292" s="56"/>
      <c r="AY292" s="56"/>
    </row>
    <row r="293" spans="1:51" x14ac:dyDescent="0.25">
      <c r="A293" s="16"/>
      <c r="C293"/>
      <c r="D293" s="56"/>
      <c r="E293"/>
      <c r="F293"/>
      <c r="G293"/>
      <c r="H293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/>
      <c r="AU293" s="56"/>
      <c r="AV293" s="56"/>
      <c r="AW293" s="56"/>
      <c r="AX293" s="56"/>
      <c r="AY293" s="56"/>
    </row>
    <row r="294" spans="1:51" x14ac:dyDescent="0.25">
      <c r="A294" s="16"/>
      <c r="C294"/>
      <c r="D294" s="56"/>
      <c r="E294"/>
      <c r="F294"/>
      <c r="G294"/>
      <c r="H294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/>
      <c r="AU294" s="56"/>
      <c r="AV294" s="56"/>
      <c r="AW294" s="56"/>
      <c r="AX294" s="56"/>
      <c r="AY294" s="56"/>
    </row>
    <row r="295" spans="1:51" x14ac:dyDescent="0.25">
      <c r="A295" s="16"/>
      <c r="C295"/>
      <c r="D295" s="56"/>
      <c r="E295"/>
      <c r="F295"/>
      <c r="G295"/>
      <c r="H295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/>
      <c r="AU295" s="56"/>
      <c r="AV295" s="56"/>
      <c r="AW295" s="56"/>
      <c r="AX295" s="56"/>
      <c r="AY295" s="56"/>
    </row>
    <row r="296" spans="1:51" x14ac:dyDescent="0.25">
      <c r="A296" s="16"/>
      <c r="C296"/>
      <c r="D296" s="56"/>
      <c r="E296"/>
      <c r="F296"/>
      <c r="G296"/>
      <c r="H29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/>
      <c r="AU296" s="56"/>
      <c r="AV296" s="56"/>
      <c r="AW296" s="56"/>
      <c r="AX296" s="56"/>
      <c r="AY296" s="56"/>
    </row>
    <row r="297" spans="1:51" x14ac:dyDescent="0.25">
      <c r="A297" s="16"/>
      <c r="C297"/>
      <c r="D297" s="56"/>
      <c r="E297"/>
      <c r="F297"/>
      <c r="G297"/>
      <c r="H297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/>
      <c r="AU297" s="56"/>
      <c r="AV297" s="56"/>
      <c r="AW297" s="56"/>
      <c r="AX297" s="56"/>
      <c r="AY297" s="56"/>
    </row>
    <row r="298" spans="1:51" x14ac:dyDescent="0.25">
      <c r="A298" s="16"/>
      <c r="C298"/>
      <c r="D298" s="56"/>
      <c r="E298"/>
      <c r="F298"/>
      <c r="G298"/>
      <c r="H298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/>
      <c r="AU298" s="56"/>
      <c r="AV298" s="56"/>
      <c r="AW298" s="56"/>
      <c r="AX298" s="56"/>
      <c r="AY298" s="56"/>
    </row>
    <row r="299" spans="1:51" x14ac:dyDescent="0.25">
      <c r="A299" s="16"/>
      <c r="C299"/>
      <c r="D299" s="56"/>
      <c r="E299"/>
      <c r="F299"/>
      <c r="G299"/>
      <c r="H299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/>
      <c r="AU299" s="56"/>
      <c r="AV299" s="56"/>
      <c r="AW299" s="56"/>
      <c r="AX299" s="56"/>
      <c r="AY299" s="56"/>
    </row>
    <row r="300" spans="1:51" x14ac:dyDescent="0.25">
      <c r="A300" s="16"/>
      <c r="C300"/>
      <c r="D300" s="56"/>
      <c r="E300"/>
      <c r="F300"/>
      <c r="G300"/>
      <c r="H300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/>
      <c r="AU300" s="56"/>
      <c r="AV300" s="56"/>
      <c r="AW300" s="56"/>
      <c r="AX300" s="56"/>
      <c r="AY300" s="56"/>
    </row>
    <row r="301" spans="1:51" x14ac:dyDescent="0.25">
      <c r="A301" s="16"/>
      <c r="C301"/>
      <c r="D301" s="56"/>
      <c r="E301"/>
      <c r="F301"/>
      <c r="G301"/>
      <c r="H301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/>
      <c r="AU301" s="56"/>
      <c r="AV301" s="56"/>
      <c r="AW301" s="56"/>
      <c r="AX301" s="56"/>
      <c r="AY301" s="56"/>
    </row>
    <row r="302" spans="1:51" x14ac:dyDescent="0.25">
      <c r="A302" s="16"/>
      <c r="C302"/>
      <c r="D302" s="56"/>
      <c r="E302"/>
      <c r="F302"/>
      <c r="G302"/>
      <c r="H302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/>
      <c r="AU302" s="56"/>
      <c r="AV302" s="56"/>
      <c r="AW302" s="56"/>
      <c r="AX302" s="56"/>
      <c r="AY302" s="56"/>
    </row>
    <row r="303" spans="1:51" x14ac:dyDescent="0.25">
      <c r="A303" s="16"/>
      <c r="C303"/>
      <c r="D303" s="56"/>
      <c r="E303"/>
      <c r="F303"/>
      <c r="G303"/>
      <c r="H303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/>
      <c r="AU303" s="56"/>
      <c r="AV303" s="56"/>
      <c r="AW303" s="56"/>
      <c r="AX303" s="56"/>
      <c r="AY303" s="56"/>
    </row>
    <row r="304" spans="1:51" x14ac:dyDescent="0.25">
      <c r="A304" s="16"/>
      <c r="C304"/>
      <c r="D304" s="56"/>
      <c r="E304"/>
      <c r="F304"/>
      <c r="G304"/>
      <c r="H304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/>
      <c r="AU304" s="56"/>
      <c r="AV304" s="56"/>
      <c r="AW304" s="56"/>
      <c r="AX304" s="56"/>
      <c r="AY304" s="56"/>
    </row>
    <row r="305" spans="1:51" x14ac:dyDescent="0.25">
      <c r="A305" s="16"/>
      <c r="C305"/>
      <c r="D305" s="56"/>
      <c r="E305"/>
      <c r="F305"/>
      <c r="G305"/>
      <c r="H305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/>
      <c r="AU305" s="56"/>
      <c r="AV305" s="56"/>
      <c r="AW305" s="56"/>
      <c r="AX305" s="56"/>
      <c r="AY305" s="56"/>
    </row>
    <row r="306" spans="1:51" x14ac:dyDescent="0.25">
      <c r="A306" s="16"/>
      <c r="C306"/>
      <c r="D306" s="56"/>
      <c r="E306"/>
      <c r="F306"/>
      <c r="G306"/>
      <c r="H30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/>
      <c r="AU306" s="56"/>
      <c r="AV306" s="56"/>
      <c r="AW306" s="56"/>
      <c r="AX306" s="56"/>
      <c r="AY306" s="56"/>
    </row>
    <row r="307" spans="1:51" x14ac:dyDescent="0.25">
      <c r="A307" s="16"/>
      <c r="C307"/>
      <c r="D307" s="56"/>
      <c r="E307"/>
      <c r="F307"/>
      <c r="G307"/>
      <c r="H307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/>
      <c r="AU307" s="56"/>
      <c r="AV307" s="56"/>
      <c r="AW307" s="56"/>
      <c r="AX307" s="56"/>
      <c r="AY307" s="56"/>
    </row>
    <row r="308" spans="1:51" x14ac:dyDescent="0.25">
      <c r="A308" s="16"/>
      <c r="C308"/>
      <c r="D308" s="56"/>
      <c r="E308"/>
      <c r="F308"/>
      <c r="G308"/>
      <c r="H308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/>
      <c r="AU308" s="56"/>
      <c r="AV308" s="56"/>
      <c r="AW308" s="56"/>
      <c r="AX308" s="56"/>
      <c r="AY308" s="56"/>
    </row>
    <row r="309" spans="1:51" x14ac:dyDescent="0.25">
      <c r="A309" s="16"/>
      <c r="C309"/>
      <c r="D309" s="56"/>
      <c r="E309"/>
      <c r="F309"/>
      <c r="G309"/>
      <c r="H309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/>
      <c r="AU309" s="56"/>
      <c r="AV309" s="56"/>
      <c r="AW309" s="56"/>
      <c r="AX309" s="56"/>
      <c r="AY309" s="56"/>
    </row>
    <row r="310" spans="1:51" x14ac:dyDescent="0.25">
      <c r="A310" s="16"/>
      <c r="C310"/>
      <c r="D310" s="56"/>
      <c r="E310"/>
      <c r="F310"/>
      <c r="G310"/>
      <c r="H310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/>
      <c r="AU310" s="56"/>
      <c r="AV310" s="56"/>
      <c r="AW310" s="56"/>
      <c r="AX310" s="56"/>
      <c r="AY310" s="56"/>
    </row>
    <row r="311" spans="1:51" x14ac:dyDescent="0.25">
      <c r="A311" s="16"/>
      <c r="C311"/>
      <c r="D311" s="56"/>
      <c r="E311"/>
      <c r="F311"/>
      <c r="G311"/>
      <c r="H311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/>
      <c r="AU311" s="56"/>
      <c r="AV311" s="56"/>
      <c r="AW311" s="56"/>
      <c r="AX311" s="56"/>
      <c r="AY311" s="56"/>
    </row>
    <row r="312" spans="1:51" x14ac:dyDescent="0.25">
      <c r="A312" s="16"/>
      <c r="C312"/>
      <c r="D312" s="56"/>
      <c r="E312"/>
      <c r="F312"/>
      <c r="G312"/>
      <c r="H312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/>
      <c r="AU312" s="56"/>
      <c r="AV312" s="56"/>
      <c r="AW312" s="56"/>
      <c r="AX312" s="56"/>
      <c r="AY312" s="56"/>
    </row>
    <row r="313" spans="1:51" x14ac:dyDescent="0.25">
      <c r="A313" s="16"/>
      <c r="C313"/>
      <c r="D313" s="56"/>
      <c r="E313"/>
      <c r="F313"/>
      <c r="G313"/>
      <c r="H313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/>
      <c r="AU313" s="56"/>
      <c r="AV313" s="56"/>
      <c r="AW313" s="56"/>
      <c r="AX313" s="56"/>
      <c r="AY313" s="56"/>
    </row>
    <row r="314" spans="1:51" x14ac:dyDescent="0.25">
      <c r="A314" s="16"/>
      <c r="C314"/>
      <c r="D314" s="56"/>
      <c r="E314"/>
      <c r="F314"/>
      <c r="G314"/>
      <c r="H314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/>
      <c r="AU314" s="56"/>
      <c r="AV314" s="56"/>
      <c r="AW314" s="56"/>
      <c r="AX314" s="56"/>
      <c r="AY314" s="56"/>
    </row>
    <row r="315" spans="1:51" x14ac:dyDescent="0.25">
      <c r="A315" s="16"/>
      <c r="C315"/>
      <c r="D315" s="56"/>
      <c r="E315"/>
      <c r="F315"/>
      <c r="G315"/>
      <c r="H315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/>
      <c r="AU315" s="56"/>
      <c r="AV315" s="56"/>
      <c r="AW315" s="56"/>
      <c r="AX315" s="56"/>
      <c r="AY315" s="56"/>
    </row>
    <row r="316" spans="1:51" x14ac:dyDescent="0.25">
      <c r="A316" s="16"/>
      <c r="C316"/>
      <c r="D316" s="56"/>
      <c r="E316"/>
      <c r="F316"/>
      <c r="G316"/>
      <c r="H31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/>
      <c r="AU316" s="56"/>
      <c r="AV316" s="56"/>
      <c r="AW316" s="56"/>
      <c r="AX316" s="56"/>
      <c r="AY316" s="56"/>
    </row>
    <row r="317" spans="1:51" x14ac:dyDescent="0.25">
      <c r="A317" s="16"/>
      <c r="C317"/>
      <c r="D317" s="56"/>
      <c r="E317"/>
      <c r="F317"/>
      <c r="G317"/>
      <c r="H317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/>
      <c r="AU317" s="56"/>
      <c r="AV317" s="56"/>
      <c r="AW317" s="56"/>
      <c r="AX317" s="56"/>
      <c r="AY317" s="56"/>
    </row>
    <row r="318" spans="1:51" x14ac:dyDescent="0.25">
      <c r="A318" s="16"/>
      <c r="C318"/>
      <c r="D318" s="56"/>
      <c r="E318"/>
      <c r="F318"/>
      <c r="G318"/>
      <c r="H318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/>
      <c r="AU318" s="56"/>
      <c r="AV318" s="56"/>
      <c r="AW318" s="56"/>
      <c r="AX318" s="56"/>
      <c r="AY318" s="56"/>
    </row>
    <row r="319" spans="1:51" x14ac:dyDescent="0.25">
      <c r="A319" s="16"/>
      <c r="C319"/>
      <c r="D319" s="56"/>
      <c r="E319"/>
      <c r="F319"/>
      <c r="G319"/>
      <c r="H319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/>
      <c r="AU319" s="56"/>
      <c r="AV319" s="56"/>
      <c r="AW319" s="56"/>
      <c r="AX319" s="56"/>
      <c r="AY319" s="56"/>
    </row>
    <row r="320" spans="1:51" x14ac:dyDescent="0.25">
      <c r="A320" s="16"/>
      <c r="C320"/>
      <c r="D320" s="56"/>
      <c r="E320"/>
      <c r="F320"/>
      <c r="G320"/>
      <c r="H320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/>
      <c r="AU320" s="56"/>
      <c r="AV320" s="56"/>
      <c r="AW320" s="56"/>
      <c r="AX320" s="56"/>
      <c r="AY320" s="56"/>
    </row>
    <row r="321" spans="1:51" x14ac:dyDescent="0.25">
      <c r="A321" s="16"/>
      <c r="C321"/>
      <c r="D321" s="56"/>
      <c r="E321"/>
      <c r="F321"/>
      <c r="G321"/>
      <c r="H321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/>
      <c r="AU321" s="56"/>
      <c r="AV321" s="56"/>
      <c r="AW321" s="56"/>
      <c r="AX321" s="56"/>
      <c r="AY321" s="56"/>
    </row>
    <row r="322" spans="1:51" x14ac:dyDescent="0.25">
      <c r="A322" s="16"/>
      <c r="C322"/>
      <c r="D322" s="56"/>
      <c r="E322"/>
      <c r="F322"/>
      <c r="G322"/>
      <c r="H322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/>
      <c r="AU322" s="56"/>
      <c r="AV322" s="56"/>
      <c r="AW322" s="56"/>
      <c r="AX322" s="56"/>
      <c r="AY322" s="56"/>
    </row>
    <row r="323" spans="1:51" x14ac:dyDescent="0.25">
      <c r="A323" s="16"/>
      <c r="C323"/>
      <c r="D323" s="56"/>
      <c r="E323"/>
      <c r="F323"/>
      <c r="G323"/>
      <c r="H323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/>
      <c r="AU323" s="56"/>
      <c r="AV323" s="56"/>
      <c r="AW323" s="56"/>
      <c r="AX323" s="56"/>
      <c r="AY323" s="56"/>
    </row>
    <row r="324" spans="1:51" x14ac:dyDescent="0.25">
      <c r="A324" s="16"/>
      <c r="C324"/>
      <c r="D324" s="56"/>
      <c r="E324"/>
      <c r="F324"/>
      <c r="G324"/>
      <c r="H324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/>
      <c r="AU324" s="56"/>
      <c r="AV324" s="56"/>
      <c r="AW324" s="56"/>
      <c r="AX324" s="56"/>
      <c r="AY324" s="56"/>
    </row>
    <row r="325" spans="1:51" x14ac:dyDescent="0.25">
      <c r="A325" s="16"/>
      <c r="C325"/>
      <c r="D325" s="56"/>
      <c r="E325"/>
      <c r="F325"/>
      <c r="G325"/>
      <c r="H325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/>
      <c r="AU325" s="56"/>
      <c r="AV325" s="56"/>
      <c r="AW325" s="56"/>
      <c r="AX325" s="56"/>
      <c r="AY325" s="56"/>
    </row>
    <row r="326" spans="1:51" x14ac:dyDescent="0.25">
      <c r="A326" s="16"/>
      <c r="C326"/>
      <c r="D326" s="56"/>
      <c r="E326"/>
      <c r="F326"/>
      <c r="G326"/>
      <c r="H32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/>
      <c r="AU326" s="56"/>
      <c r="AV326" s="56"/>
      <c r="AW326" s="56"/>
      <c r="AX326" s="56"/>
      <c r="AY326" s="56"/>
    </row>
    <row r="327" spans="1:51" x14ac:dyDescent="0.25">
      <c r="A327" s="16"/>
      <c r="C327"/>
      <c r="D327" s="56"/>
      <c r="E327"/>
      <c r="F327"/>
      <c r="G327"/>
      <c r="H327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/>
      <c r="AU327" s="56"/>
      <c r="AV327" s="56"/>
      <c r="AW327" s="56"/>
      <c r="AX327" s="56"/>
      <c r="AY327" s="56"/>
    </row>
    <row r="328" spans="1:51" x14ac:dyDescent="0.25">
      <c r="A328" s="16"/>
      <c r="C328"/>
      <c r="D328" s="56"/>
      <c r="E328"/>
      <c r="F328"/>
      <c r="G328"/>
      <c r="H328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/>
      <c r="AU328" s="56"/>
      <c r="AV328" s="56"/>
      <c r="AW328" s="56"/>
      <c r="AX328" s="56"/>
      <c r="AY328" s="56"/>
    </row>
    <row r="329" spans="1:51" x14ac:dyDescent="0.25">
      <c r="A329" s="16"/>
      <c r="C329"/>
      <c r="D329" s="56"/>
      <c r="E329"/>
      <c r="F329"/>
      <c r="G329"/>
      <c r="H329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/>
      <c r="AU329" s="56"/>
      <c r="AV329" s="56"/>
      <c r="AW329" s="56"/>
      <c r="AX329" s="56"/>
      <c r="AY329" s="56"/>
    </row>
    <row r="330" spans="1:51" x14ac:dyDescent="0.25">
      <c r="A330" s="16"/>
      <c r="C330"/>
      <c r="D330" s="56"/>
      <c r="E330"/>
      <c r="F330"/>
      <c r="G330"/>
      <c r="H330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/>
      <c r="AU330" s="56"/>
      <c r="AV330" s="56"/>
      <c r="AW330" s="56"/>
      <c r="AX330" s="56"/>
      <c r="AY330" s="56"/>
    </row>
    <row r="331" spans="1:51" x14ac:dyDescent="0.25">
      <c r="A331" s="16"/>
      <c r="C331"/>
      <c r="D331" s="56"/>
      <c r="E331"/>
      <c r="F331"/>
      <c r="G331"/>
      <c r="H331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/>
      <c r="AU331" s="56"/>
      <c r="AV331" s="56"/>
      <c r="AW331" s="56"/>
      <c r="AX331" s="56"/>
      <c r="AY331" s="56"/>
    </row>
    <row r="332" spans="1:51" x14ac:dyDescent="0.25">
      <c r="A332" s="16"/>
      <c r="C332"/>
      <c r="D332" s="56"/>
      <c r="E332"/>
      <c r="F332"/>
      <c r="G332"/>
      <c r="H332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/>
      <c r="AU332" s="56"/>
      <c r="AV332" s="56"/>
      <c r="AW332" s="56"/>
      <c r="AX332" s="56"/>
      <c r="AY332" s="56"/>
    </row>
    <row r="333" spans="1:51" x14ac:dyDescent="0.25">
      <c r="A333" s="16"/>
      <c r="C333"/>
      <c r="D333" s="56"/>
      <c r="E333"/>
      <c r="F333"/>
      <c r="G333"/>
      <c r="H333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/>
      <c r="AU333" s="56"/>
      <c r="AV333" s="56"/>
      <c r="AW333" s="56"/>
      <c r="AX333" s="56"/>
      <c r="AY333" s="56"/>
    </row>
    <row r="334" spans="1:51" x14ac:dyDescent="0.25">
      <c r="A334" s="16"/>
      <c r="C334"/>
      <c r="D334" s="56"/>
      <c r="E334"/>
      <c r="F334"/>
      <c r="G334"/>
      <c r="H334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/>
      <c r="AU334" s="56"/>
      <c r="AV334" s="56"/>
      <c r="AW334" s="56"/>
      <c r="AX334" s="56"/>
      <c r="AY334" s="56"/>
    </row>
    <row r="335" spans="1:51" x14ac:dyDescent="0.25">
      <c r="A335" s="16"/>
      <c r="C335"/>
      <c r="D335" s="56"/>
      <c r="E335"/>
      <c r="F335"/>
      <c r="G335"/>
      <c r="H335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/>
      <c r="AU335" s="56"/>
      <c r="AV335" s="56"/>
      <c r="AW335" s="56"/>
      <c r="AX335" s="56"/>
      <c r="AY335" s="56"/>
    </row>
    <row r="336" spans="1:51" x14ac:dyDescent="0.25">
      <c r="A336" s="16"/>
      <c r="C336"/>
      <c r="D336" s="56"/>
      <c r="E336"/>
      <c r="F336"/>
      <c r="G336"/>
      <c r="H33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/>
      <c r="AU336" s="56"/>
      <c r="AV336" s="56"/>
      <c r="AW336" s="56"/>
      <c r="AX336" s="56"/>
      <c r="AY336" s="56"/>
    </row>
    <row r="337" spans="1:51" x14ac:dyDescent="0.25">
      <c r="A337" s="16"/>
      <c r="C337"/>
      <c r="D337" s="56"/>
      <c r="E337"/>
      <c r="F337"/>
      <c r="G337"/>
      <c r="H337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/>
      <c r="AU337" s="56"/>
      <c r="AV337" s="56"/>
      <c r="AW337" s="56"/>
      <c r="AX337" s="56"/>
      <c r="AY337" s="56"/>
    </row>
    <row r="338" spans="1:51" x14ac:dyDescent="0.25">
      <c r="A338" s="16"/>
      <c r="C338"/>
      <c r="D338" s="56"/>
      <c r="E338"/>
      <c r="F338"/>
      <c r="G338"/>
      <c r="H338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/>
      <c r="AU338" s="56"/>
      <c r="AV338" s="56"/>
      <c r="AW338" s="56"/>
      <c r="AX338" s="56"/>
      <c r="AY338" s="56"/>
    </row>
    <row r="339" spans="1:51" x14ac:dyDescent="0.25">
      <c r="A339" s="16"/>
      <c r="C339"/>
      <c r="D339" s="56"/>
      <c r="E339"/>
      <c r="F339"/>
      <c r="G339"/>
      <c r="H339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/>
      <c r="AU339" s="56"/>
      <c r="AV339" s="56"/>
      <c r="AW339" s="56"/>
      <c r="AX339" s="56"/>
      <c r="AY339" s="56"/>
    </row>
    <row r="340" spans="1:51" x14ac:dyDescent="0.25">
      <c r="A340" s="16"/>
      <c r="C340"/>
      <c r="D340" s="56"/>
      <c r="E340"/>
      <c r="F340"/>
      <c r="G340"/>
      <c r="H340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/>
      <c r="AU340" s="56"/>
      <c r="AV340" s="56"/>
      <c r="AW340" s="56"/>
      <c r="AX340" s="56"/>
      <c r="AY340" s="56"/>
    </row>
    <row r="341" spans="1:51" x14ac:dyDescent="0.25">
      <c r="A341" s="16"/>
      <c r="C341"/>
      <c r="D341" s="56"/>
      <c r="E341"/>
      <c r="F341"/>
      <c r="G341"/>
      <c r="H341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/>
      <c r="AU341" s="56"/>
      <c r="AV341" s="56"/>
      <c r="AW341" s="56"/>
      <c r="AX341" s="56"/>
      <c r="AY341" s="56"/>
    </row>
    <row r="342" spans="1:51" x14ac:dyDescent="0.25">
      <c r="A342" s="16"/>
      <c r="C342"/>
      <c r="D342" s="56"/>
      <c r="E342"/>
      <c r="F342"/>
      <c r="G342"/>
      <c r="H342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/>
      <c r="AU342" s="56"/>
      <c r="AV342" s="56"/>
      <c r="AW342" s="56"/>
      <c r="AX342" s="56"/>
      <c r="AY342" s="56"/>
    </row>
    <row r="343" spans="1:51" x14ac:dyDescent="0.25">
      <c r="A343" s="16"/>
      <c r="C343"/>
      <c r="D343" s="56"/>
      <c r="E343"/>
      <c r="F343"/>
      <c r="G343"/>
      <c r="H343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/>
      <c r="AU343" s="56"/>
      <c r="AV343" s="56"/>
      <c r="AW343" s="56"/>
      <c r="AX343" s="56"/>
      <c r="AY343" s="56"/>
    </row>
    <row r="344" spans="1:51" x14ac:dyDescent="0.25">
      <c r="A344" s="16"/>
      <c r="C344"/>
      <c r="D344" s="56"/>
      <c r="E344"/>
      <c r="F344"/>
      <c r="G344"/>
      <c r="H344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/>
      <c r="AU344" s="56"/>
      <c r="AV344" s="56"/>
      <c r="AW344" s="56"/>
      <c r="AX344" s="56"/>
      <c r="AY344" s="56"/>
    </row>
    <row r="345" spans="1:51" x14ac:dyDescent="0.25">
      <c r="A345" s="16"/>
      <c r="C345"/>
      <c r="D345" s="56"/>
      <c r="E345"/>
      <c r="F345"/>
      <c r="G345"/>
      <c r="H345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/>
      <c r="AU345" s="56"/>
      <c r="AV345" s="56"/>
      <c r="AW345" s="56"/>
      <c r="AX345" s="56"/>
      <c r="AY345" s="56"/>
    </row>
    <row r="346" spans="1:51" x14ac:dyDescent="0.25">
      <c r="A346" s="16"/>
      <c r="C346"/>
      <c r="D346" s="56"/>
      <c r="E346"/>
      <c r="F346"/>
      <c r="G346"/>
      <c r="H34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/>
      <c r="AU346" s="56"/>
      <c r="AV346" s="56"/>
      <c r="AW346" s="56"/>
      <c r="AX346" s="56"/>
      <c r="AY346" s="56"/>
    </row>
    <row r="347" spans="1:51" x14ac:dyDescent="0.25">
      <c r="A347" s="16"/>
      <c r="C347"/>
      <c r="D347" s="56"/>
      <c r="E347"/>
      <c r="F347"/>
      <c r="G347"/>
      <c r="H347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/>
      <c r="AU347" s="56"/>
      <c r="AV347" s="56"/>
      <c r="AW347" s="56"/>
      <c r="AX347" s="56"/>
      <c r="AY347" s="56"/>
    </row>
    <row r="348" spans="1:51" x14ac:dyDescent="0.25">
      <c r="A348" s="16"/>
      <c r="C348"/>
      <c r="D348" s="56"/>
      <c r="E348"/>
      <c r="F348"/>
      <c r="G348"/>
      <c r="H348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/>
      <c r="AU348" s="56"/>
      <c r="AV348" s="56"/>
      <c r="AW348" s="56"/>
      <c r="AX348" s="56"/>
      <c r="AY348" s="56"/>
    </row>
    <row r="349" spans="1:51" x14ac:dyDescent="0.25">
      <c r="A349" s="16"/>
      <c r="C349"/>
      <c r="D349" s="56"/>
      <c r="E349"/>
      <c r="F349"/>
      <c r="G349"/>
      <c r="H349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/>
      <c r="AU349" s="56"/>
      <c r="AV349" s="56"/>
      <c r="AW349" s="56"/>
      <c r="AX349" s="56"/>
      <c r="AY349" s="56"/>
    </row>
    <row r="350" spans="1:51" x14ac:dyDescent="0.25">
      <c r="A350" s="16"/>
      <c r="C350"/>
      <c r="D350" s="56"/>
      <c r="E350"/>
      <c r="F350"/>
      <c r="G350"/>
      <c r="H350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/>
      <c r="AU350" s="56"/>
      <c r="AV350" s="56"/>
      <c r="AW350" s="56"/>
      <c r="AX350" s="56"/>
      <c r="AY350" s="56"/>
    </row>
    <row r="351" spans="1:51" x14ac:dyDescent="0.25">
      <c r="A351" s="16"/>
      <c r="C351"/>
      <c r="D351" s="56"/>
      <c r="E351"/>
      <c r="F351"/>
      <c r="G351"/>
      <c r="H351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/>
      <c r="AU351" s="56"/>
      <c r="AV351" s="56"/>
      <c r="AW351" s="56"/>
      <c r="AX351" s="56"/>
      <c r="AY351" s="56"/>
    </row>
    <row r="352" spans="1:51" x14ac:dyDescent="0.25">
      <c r="A352" s="16"/>
      <c r="C352"/>
      <c r="D352" s="56"/>
      <c r="E352"/>
      <c r="F352"/>
      <c r="G352"/>
      <c r="H352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/>
      <c r="AU352" s="56"/>
      <c r="AV352" s="56"/>
      <c r="AW352" s="56"/>
      <c r="AX352" s="56"/>
      <c r="AY352" s="56"/>
    </row>
    <row r="353" spans="1:51" x14ac:dyDescent="0.25">
      <c r="A353" s="16"/>
      <c r="C353"/>
      <c r="D353" s="56"/>
      <c r="E353"/>
      <c r="F353"/>
      <c r="G353"/>
      <c r="H353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/>
      <c r="AU353" s="56"/>
      <c r="AV353" s="56"/>
      <c r="AW353" s="56"/>
      <c r="AX353" s="56"/>
      <c r="AY353" s="56"/>
    </row>
    <row r="354" spans="1:51" x14ac:dyDescent="0.25">
      <c r="A354" s="16"/>
      <c r="C354"/>
      <c r="D354" s="56"/>
      <c r="E354"/>
      <c r="F354"/>
      <c r="G354"/>
      <c r="H354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/>
      <c r="AU354" s="56"/>
      <c r="AV354" s="56"/>
      <c r="AW354" s="56"/>
      <c r="AX354" s="56"/>
      <c r="AY354" s="56"/>
    </row>
    <row r="355" spans="1:51" x14ac:dyDescent="0.25">
      <c r="A355" s="16"/>
      <c r="C355"/>
      <c r="D355" s="56"/>
      <c r="E355"/>
      <c r="F355"/>
      <c r="G355"/>
      <c r="H355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/>
      <c r="AU355" s="56"/>
      <c r="AV355" s="56"/>
      <c r="AW355" s="56"/>
      <c r="AX355" s="56"/>
      <c r="AY355" s="56"/>
    </row>
    <row r="356" spans="1:51" x14ac:dyDescent="0.25">
      <c r="A356" s="16"/>
      <c r="C356"/>
      <c r="D356" s="56"/>
      <c r="E356"/>
      <c r="F356"/>
      <c r="G356"/>
      <c r="H3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/>
      <c r="AU356" s="56"/>
      <c r="AV356" s="56"/>
      <c r="AW356" s="56"/>
      <c r="AX356" s="56"/>
      <c r="AY356" s="56"/>
    </row>
    <row r="357" spans="1:51" x14ac:dyDescent="0.25">
      <c r="A357" s="16"/>
      <c r="C357"/>
      <c r="D357" s="56"/>
      <c r="E357"/>
      <c r="F357"/>
      <c r="G357"/>
      <c r="H357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/>
      <c r="AU357" s="56"/>
      <c r="AV357" s="56"/>
      <c r="AW357" s="56"/>
      <c r="AX357" s="56"/>
      <c r="AY357" s="56"/>
    </row>
    <row r="358" spans="1:51" x14ac:dyDescent="0.25">
      <c r="A358" s="16"/>
      <c r="C358"/>
      <c r="D358" s="56"/>
      <c r="E358"/>
      <c r="F358"/>
      <c r="G358"/>
      <c r="H358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/>
      <c r="AU358" s="56"/>
      <c r="AV358" s="56"/>
      <c r="AW358" s="56"/>
      <c r="AX358" s="56"/>
      <c r="AY358" s="56"/>
    </row>
    <row r="359" spans="1:51" x14ac:dyDescent="0.25">
      <c r="A359" s="16"/>
      <c r="C359"/>
      <c r="D359" s="56"/>
      <c r="E359"/>
      <c r="F359"/>
      <c r="G359"/>
      <c r="H359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/>
      <c r="AU359" s="56"/>
      <c r="AV359" s="56"/>
      <c r="AW359" s="56"/>
      <c r="AX359" s="56"/>
      <c r="AY359" s="56"/>
    </row>
    <row r="360" spans="1:51" x14ac:dyDescent="0.25">
      <c r="A360" s="16"/>
      <c r="C360"/>
      <c r="D360" s="56"/>
      <c r="E360"/>
      <c r="F360"/>
      <c r="G360"/>
      <c r="H360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/>
      <c r="AU360" s="56"/>
      <c r="AV360" s="56"/>
      <c r="AW360" s="56"/>
      <c r="AX360" s="56"/>
      <c r="AY360" s="56"/>
    </row>
    <row r="361" spans="1:51" x14ac:dyDescent="0.25">
      <c r="A361" s="16"/>
      <c r="C361"/>
      <c r="D361" s="56"/>
      <c r="E361"/>
      <c r="F361"/>
      <c r="G361"/>
      <c r="H361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/>
      <c r="AU361" s="56"/>
      <c r="AV361" s="56"/>
      <c r="AW361" s="56"/>
      <c r="AX361" s="56"/>
      <c r="AY361" s="56"/>
    </row>
    <row r="362" spans="1:51" x14ac:dyDescent="0.25">
      <c r="A362" s="16"/>
      <c r="C362"/>
      <c r="D362" s="56"/>
      <c r="E362"/>
      <c r="F362"/>
      <c r="G362"/>
      <c r="H362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/>
      <c r="AU362" s="56"/>
      <c r="AV362" s="56"/>
      <c r="AW362" s="56"/>
      <c r="AX362" s="56"/>
      <c r="AY362" s="56"/>
    </row>
    <row r="363" spans="1:51" x14ac:dyDescent="0.25">
      <c r="A363" s="16"/>
      <c r="C363"/>
      <c r="D363" s="56"/>
      <c r="E363"/>
      <c r="F363"/>
      <c r="G363"/>
      <c r="H363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/>
      <c r="AU363" s="56"/>
      <c r="AV363" s="56"/>
      <c r="AW363" s="56"/>
      <c r="AX363" s="56"/>
      <c r="AY363" s="56"/>
    </row>
    <row r="364" spans="1:51" x14ac:dyDescent="0.25">
      <c r="A364" s="16"/>
      <c r="C364"/>
      <c r="D364" s="56"/>
      <c r="E364"/>
      <c r="F364"/>
      <c r="G364"/>
      <c r="H364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/>
      <c r="AU364" s="56"/>
      <c r="AV364" s="56"/>
      <c r="AW364" s="56"/>
      <c r="AX364" s="56"/>
      <c r="AY364" s="56"/>
    </row>
    <row r="365" spans="1:51" x14ac:dyDescent="0.25">
      <c r="A365" s="16"/>
      <c r="C365"/>
      <c r="D365" s="56"/>
      <c r="E365"/>
      <c r="F365"/>
      <c r="G365"/>
      <c r="H365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/>
      <c r="AU365" s="56"/>
      <c r="AV365" s="56"/>
      <c r="AW365" s="56"/>
      <c r="AX365" s="56"/>
      <c r="AY365" s="56"/>
    </row>
    <row r="366" spans="1:51" x14ac:dyDescent="0.25">
      <c r="A366" s="16"/>
      <c r="C366"/>
      <c r="D366" s="56"/>
      <c r="E366"/>
      <c r="F366"/>
      <c r="G366"/>
      <c r="H36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/>
      <c r="AU366" s="56"/>
      <c r="AV366" s="56"/>
      <c r="AW366" s="56"/>
      <c r="AX366" s="56"/>
      <c r="AY366" s="56"/>
    </row>
    <row r="367" spans="1:51" x14ac:dyDescent="0.25">
      <c r="A367" s="16"/>
      <c r="C367"/>
      <c r="D367" s="56"/>
      <c r="E367"/>
      <c r="F367"/>
      <c r="G367"/>
      <c r="H367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/>
      <c r="AU367" s="56"/>
      <c r="AV367" s="56"/>
      <c r="AW367" s="56"/>
      <c r="AX367" s="56"/>
      <c r="AY367" s="56"/>
    </row>
    <row r="368" spans="1:51" x14ac:dyDescent="0.25">
      <c r="A368" s="16"/>
      <c r="C368"/>
      <c r="D368" s="56"/>
      <c r="E368"/>
      <c r="F368"/>
      <c r="G368"/>
      <c r="H368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/>
      <c r="AU368" s="56"/>
      <c r="AV368" s="56"/>
      <c r="AW368" s="56"/>
      <c r="AX368" s="56"/>
      <c r="AY368" s="56"/>
    </row>
    <row r="369" spans="1:51" x14ac:dyDescent="0.25">
      <c r="A369" s="16"/>
      <c r="C369"/>
      <c r="D369" s="56"/>
      <c r="E369"/>
      <c r="F369"/>
      <c r="G369"/>
      <c r="H369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/>
      <c r="AU369" s="56"/>
      <c r="AV369" s="56"/>
      <c r="AW369" s="56"/>
      <c r="AX369" s="56"/>
      <c r="AY369" s="56"/>
    </row>
    <row r="370" spans="1:51" x14ac:dyDescent="0.25">
      <c r="A370" s="16"/>
      <c r="C370"/>
      <c r="D370" s="56"/>
      <c r="E370"/>
      <c r="F370"/>
      <c r="G370"/>
      <c r="H370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/>
      <c r="AU370" s="56"/>
      <c r="AV370" s="56"/>
      <c r="AW370" s="56"/>
      <c r="AX370" s="56"/>
      <c r="AY370" s="56"/>
    </row>
    <row r="371" spans="1:51" x14ac:dyDescent="0.25">
      <c r="A371" s="16"/>
      <c r="C371"/>
      <c r="D371" s="56"/>
      <c r="E371"/>
      <c r="F371"/>
      <c r="G371"/>
      <c r="H371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/>
      <c r="AU371" s="56"/>
      <c r="AV371" s="56"/>
      <c r="AW371" s="56"/>
      <c r="AX371" s="56"/>
      <c r="AY371" s="56"/>
    </row>
    <row r="372" spans="1:51" x14ac:dyDescent="0.25">
      <c r="A372" s="16"/>
      <c r="C372"/>
      <c r="D372" s="56"/>
      <c r="E372"/>
      <c r="F372"/>
      <c r="G372"/>
      <c r="H372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/>
      <c r="AU372" s="56"/>
      <c r="AV372" s="56"/>
      <c r="AW372" s="56"/>
      <c r="AX372" s="56"/>
      <c r="AY372" s="56"/>
    </row>
    <row r="373" spans="1:51" x14ac:dyDescent="0.25">
      <c r="A373" s="16"/>
      <c r="C373"/>
      <c r="D373" s="56"/>
      <c r="E373"/>
      <c r="F373"/>
      <c r="G373"/>
      <c r="H373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/>
      <c r="AU373" s="56"/>
      <c r="AV373" s="56"/>
      <c r="AW373" s="56"/>
      <c r="AX373" s="56"/>
      <c r="AY373" s="56"/>
    </row>
    <row r="374" spans="1:51" x14ac:dyDescent="0.25">
      <c r="A374" s="16"/>
      <c r="C374"/>
      <c r="D374" s="56"/>
      <c r="E374"/>
      <c r="F374"/>
      <c r="G374"/>
      <c r="H374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/>
      <c r="AU374" s="56"/>
      <c r="AV374" s="56"/>
      <c r="AW374" s="56"/>
      <c r="AX374" s="56"/>
      <c r="AY374" s="56"/>
    </row>
    <row r="375" spans="1:51" x14ac:dyDescent="0.25">
      <c r="A375" s="16"/>
      <c r="C375"/>
      <c r="D375" s="56"/>
      <c r="E375"/>
      <c r="F375"/>
      <c r="G375"/>
      <c r="H375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/>
      <c r="AU375" s="56"/>
      <c r="AV375" s="56"/>
      <c r="AW375" s="56"/>
      <c r="AX375" s="56"/>
      <c r="AY375" s="56"/>
    </row>
    <row r="376" spans="1:51" x14ac:dyDescent="0.25">
      <c r="A376" s="16"/>
      <c r="C376"/>
      <c r="D376" s="56"/>
      <c r="E376"/>
      <c r="F376"/>
      <c r="G376"/>
      <c r="H37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/>
      <c r="AU376" s="56"/>
      <c r="AV376" s="56"/>
      <c r="AW376" s="56"/>
      <c r="AX376" s="56"/>
      <c r="AY376" s="56"/>
    </row>
    <row r="377" spans="1:51" x14ac:dyDescent="0.25">
      <c r="A377" s="16"/>
      <c r="C377"/>
      <c r="D377" s="56"/>
      <c r="E377"/>
      <c r="F377"/>
      <c r="G377"/>
      <c r="H377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/>
      <c r="AU377" s="56"/>
      <c r="AV377" s="56"/>
      <c r="AW377" s="56"/>
      <c r="AX377" s="56"/>
      <c r="AY377" s="56"/>
    </row>
    <row r="378" spans="1:51" x14ac:dyDescent="0.25">
      <c r="A378" s="16"/>
      <c r="C378"/>
      <c r="D378" s="56"/>
      <c r="E378"/>
      <c r="F378"/>
      <c r="G378"/>
      <c r="H378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/>
      <c r="AU378" s="56"/>
      <c r="AV378" s="56"/>
      <c r="AW378" s="56"/>
      <c r="AX378" s="56"/>
      <c r="AY378" s="56"/>
    </row>
    <row r="379" spans="1:51" x14ac:dyDescent="0.25">
      <c r="A379" s="16"/>
      <c r="C379"/>
      <c r="D379" s="56"/>
      <c r="E379"/>
      <c r="F379"/>
      <c r="G379"/>
      <c r="H379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/>
      <c r="AU379" s="56"/>
      <c r="AV379" s="56"/>
      <c r="AW379" s="56"/>
      <c r="AX379" s="56"/>
      <c r="AY379" s="56"/>
    </row>
    <row r="380" spans="1:51" x14ac:dyDescent="0.25">
      <c r="A380" s="16"/>
      <c r="C380"/>
      <c r="D380" s="56"/>
      <c r="E380"/>
      <c r="F380"/>
      <c r="G380"/>
      <c r="H380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/>
      <c r="AU380" s="56"/>
      <c r="AV380" s="56"/>
      <c r="AW380" s="56"/>
      <c r="AX380" s="56"/>
      <c r="AY380" s="56"/>
    </row>
    <row r="381" spans="1:51" x14ac:dyDescent="0.25">
      <c r="A381" s="16"/>
      <c r="C381"/>
      <c r="D381" s="56"/>
      <c r="E381"/>
      <c r="F381"/>
      <c r="G381"/>
      <c r="H381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/>
      <c r="AU381" s="56"/>
      <c r="AV381" s="56"/>
      <c r="AW381" s="56"/>
      <c r="AX381" s="56"/>
      <c r="AY381" s="56"/>
    </row>
    <row r="382" spans="1:51" x14ac:dyDescent="0.25">
      <c r="A382" s="16"/>
      <c r="C382"/>
      <c r="D382" s="56"/>
      <c r="E382"/>
      <c r="F382"/>
      <c r="G382"/>
      <c r="H382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/>
      <c r="AU382" s="56"/>
      <c r="AV382" s="56"/>
      <c r="AW382" s="56"/>
      <c r="AX382" s="56"/>
      <c r="AY382" s="56"/>
    </row>
    <row r="383" spans="1:51" x14ac:dyDescent="0.25">
      <c r="A383" s="16"/>
      <c r="C383"/>
      <c r="D383" s="56"/>
      <c r="E383"/>
      <c r="F383"/>
      <c r="G383"/>
      <c r="H383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/>
      <c r="AU383" s="56"/>
      <c r="AV383" s="56"/>
      <c r="AW383" s="56"/>
      <c r="AX383" s="56"/>
      <c r="AY383" s="56"/>
    </row>
    <row r="384" spans="1:51" x14ac:dyDescent="0.25">
      <c r="A384" s="16"/>
      <c r="C384"/>
      <c r="D384" s="56"/>
      <c r="E384"/>
      <c r="F384"/>
      <c r="G384"/>
      <c r="H384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/>
      <c r="AU384" s="56"/>
      <c r="AV384" s="56"/>
      <c r="AW384" s="56"/>
      <c r="AX384" s="56"/>
      <c r="AY384" s="56"/>
    </row>
    <row r="385" spans="1:51" x14ac:dyDescent="0.25">
      <c r="A385" s="16"/>
      <c r="C385"/>
      <c r="D385" s="56"/>
      <c r="E385"/>
      <c r="F385"/>
      <c r="G385"/>
      <c r="H385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/>
      <c r="AU385" s="56"/>
      <c r="AV385" s="56"/>
      <c r="AW385" s="56"/>
      <c r="AX385" s="56"/>
      <c r="AY385" s="56"/>
    </row>
    <row r="386" spans="1:51" x14ac:dyDescent="0.25">
      <c r="A386" s="16"/>
      <c r="C386"/>
      <c r="D386" s="56"/>
      <c r="E386"/>
      <c r="F386"/>
      <c r="G386"/>
      <c r="H38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/>
      <c r="AU386" s="56"/>
      <c r="AV386" s="56"/>
      <c r="AW386" s="56"/>
      <c r="AX386" s="56"/>
      <c r="AY386" s="56"/>
    </row>
    <row r="387" spans="1:51" x14ac:dyDescent="0.25">
      <c r="A387" s="16"/>
      <c r="C387"/>
      <c r="D387" s="56"/>
      <c r="E387"/>
      <c r="F387"/>
      <c r="G387"/>
      <c r="H387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/>
      <c r="AU387" s="56"/>
      <c r="AV387" s="56"/>
      <c r="AW387" s="56"/>
      <c r="AX387" s="56"/>
      <c r="AY387" s="56"/>
    </row>
    <row r="388" spans="1:51" x14ac:dyDescent="0.25">
      <c r="A388" s="16"/>
      <c r="C388"/>
      <c r="D388" s="56"/>
      <c r="E388"/>
      <c r="F388"/>
      <c r="G388"/>
      <c r="H388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/>
      <c r="AU388" s="56"/>
      <c r="AV388" s="56"/>
      <c r="AW388" s="56"/>
      <c r="AX388" s="56"/>
      <c r="AY388" s="56"/>
    </row>
    <row r="389" spans="1:51" x14ac:dyDescent="0.25">
      <c r="A389" s="16"/>
      <c r="C389"/>
      <c r="D389" s="56"/>
      <c r="E389"/>
      <c r="F389"/>
      <c r="G389"/>
      <c r="H389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/>
      <c r="AU389" s="56"/>
      <c r="AV389" s="56"/>
      <c r="AW389" s="56"/>
      <c r="AX389" s="56"/>
      <c r="AY389" s="56"/>
    </row>
    <row r="390" spans="1:51" x14ac:dyDescent="0.25">
      <c r="A390" s="16"/>
      <c r="C390"/>
      <c r="D390" s="56"/>
      <c r="E390"/>
      <c r="F390"/>
      <c r="G390"/>
      <c r="H390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/>
      <c r="AU390" s="56"/>
      <c r="AV390" s="56"/>
      <c r="AW390" s="56"/>
      <c r="AX390" s="56"/>
      <c r="AY390" s="56"/>
    </row>
    <row r="391" spans="1:51" x14ac:dyDescent="0.25">
      <c r="A391" s="16"/>
      <c r="C391"/>
      <c r="D391" s="56"/>
      <c r="E391"/>
      <c r="F391"/>
      <c r="G391"/>
      <c r="H391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/>
      <c r="AU391" s="56"/>
      <c r="AV391" s="56"/>
      <c r="AW391" s="56"/>
      <c r="AX391" s="56"/>
      <c r="AY391" s="56"/>
    </row>
    <row r="392" spans="1:51" x14ac:dyDescent="0.25">
      <c r="A392" s="16"/>
      <c r="C392"/>
      <c r="D392" s="56"/>
      <c r="E392"/>
      <c r="F392"/>
      <c r="G392"/>
      <c r="H392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/>
      <c r="AU392" s="56"/>
      <c r="AV392" s="56"/>
      <c r="AW392" s="56"/>
      <c r="AX392" s="56"/>
      <c r="AY392" s="56"/>
    </row>
    <row r="393" spans="1:51" x14ac:dyDescent="0.25">
      <c r="A393" s="16"/>
      <c r="C393"/>
      <c r="D393" s="56"/>
      <c r="E393"/>
      <c r="F393"/>
      <c r="G393"/>
      <c r="H393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/>
      <c r="AU393" s="56"/>
      <c r="AV393" s="56"/>
      <c r="AW393" s="56"/>
      <c r="AX393" s="56"/>
      <c r="AY393" s="56"/>
    </row>
    <row r="394" spans="1:51" x14ac:dyDescent="0.25">
      <c r="A394" s="16"/>
      <c r="C394"/>
      <c r="D394" s="56"/>
      <c r="E394"/>
      <c r="F394"/>
      <c r="G394"/>
      <c r="H394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/>
      <c r="AU394" s="56"/>
      <c r="AV394" s="56"/>
      <c r="AW394" s="56"/>
      <c r="AX394" s="56"/>
      <c r="AY394" s="56"/>
    </row>
    <row r="395" spans="1:51" x14ac:dyDescent="0.25">
      <c r="A395" s="16"/>
      <c r="C395"/>
      <c r="D395" s="56"/>
      <c r="E395"/>
      <c r="F395"/>
      <c r="G395"/>
      <c r="H395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/>
      <c r="AU395" s="56"/>
      <c r="AV395" s="56"/>
      <c r="AW395" s="56"/>
      <c r="AX395" s="56"/>
      <c r="AY395" s="56"/>
    </row>
    <row r="396" spans="1:51" x14ac:dyDescent="0.25">
      <c r="A396" s="16"/>
      <c r="C396"/>
      <c r="D396" s="56"/>
      <c r="E396"/>
      <c r="F396"/>
      <c r="G396"/>
      <c r="H39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/>
      <c r="AU396" s="56"/>
      <c r="AV396" s="56"/>
      <c r="AW396" s="56"/>
      <c r="AX396" s="56"/>
      <c r="AY396" s="56"/>
    </row>
    <row r="397" spans="1:51" x14ac:dyDescent="0.25">
      <c r="A397" s="16"/>
      <c r="C397"/>
      <c r="D397" s="56"/>
      <c r="E397"/>
      <c r="F397"/>
      <c r="G397"/>
      <c r="H397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/>
      <c r="AU397" s="56"/>
      <c r="AV397" s="56"/>
      <c r="AW397" s="56"/>
      <c r="AX397" s="56"/>
      <c r="AY397" s="56"/>
    </row>
    <row r="398" spans="1:51" x14ac:dyDescent="0.25">
      <c r="A398" s="16"/>
      <c r="C398"/>
      <c r="D398" s="56"/>
      <c r="E398"/>
      <c r="F398"/>
      <c r="G398"/>
      <c r="H398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/>
      <c r="AU398" s="56"/>
      <c r="AV398" s="56"/>
      <c r="AW398" s="56"/>
      <c r="AX398" s="56"/>
      <c r="AY398" s="56"/>
    </row>
    <row r="399" spans="1:51" x14ac:dyDescent="0.25">
      <c r="A399" s="16"/>
      <c r="C399"/>
      <c r="D399" s="56"/>
      <c r="E399"/>
      <c r="F399"/>
      <c r="G399"/>
      <c r="H399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/>
      <c r="AU399" s="56"/>
      <c r="AV399" s="56"/>
      <c r="AW399" s="56"/>
      <c r="AX399" s="56"/>
      <c r="AY399" s="56"/>
    </row>
    <row r="400" spans="1:51" x14ac:dyDescent="0.25">
      <c r="A400" s="16"/>
      <c r="C400"/>
      <c r="D400" s="56"/>
      <c r="E400"/>
      <c r="F400"/>
      <c r="G400"/>
      <c r="H400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/>
      <c r="AU400" s="56"/>
      <c r="AV400" s="56"/>
      <c r="AW400" s="56"/>
      <c r="AX400" s="56"/>
      <c r="AY400" s="56"/>
    </row>
    <row r="401" spans="1:51" x14ac:dyDescent="0.25">
      <c r="A401" s="16"/>
      <c r="C401"/>
      <c r="D401" s="56"/>
      <c r="E401"/>
      <c r="F401"/>
      <c r="G401"/>
      <c r="H401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/>
      <c r="AU401" s="56"/>
      <c r="AV401" s="56"/>
      <c r="AW401" s="56"/>
      <c r="AX401" s="56"/>
      <c r="AY401" s="56"/>
    </row>
    <row r="402" spans="1:51" x14ac:dyDescent="0.25">
      <c r="A402" s="16"/>
      <c r="C402"/>
      <c r="D402" s="56"/>
      <c r="E402"/>
      <c r="F402"/>
      <c r="G402"/>
      <c r="H402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/>
      <c r="AU402" s="56"/>
      <c r="AV402" s="56"/>
      <c r="AW402" s="56"/>
      <c r="AX402" s="56"/>
      <c r="AY402" s="56"/>
    </row>
    <row r="403" spans="1:51" x14ac:dyDescent="0.25">
      <c r="A403" s="16"/>
      <c r="C403"/>
      <c r="D403" s="56"/>
      <c r="E403"/>
      <c r="F403"/>
      <c r="G403"/>
      <c r="H403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/>
      <c r="AU403" s="56"/>
      <c r="AV403" s="56"/>
      <c r="AW403" s="56"/>
      <c r="AX403" s="56"/>
      <c r="AY403" s="56"/>
    </row>
    <row r="404" spans="1:51" x14ac:dyDescent="0.25">
      <c r="A404" s="16"/>
      <c r="C404"/>
      <c r="D404" s="56"/>
      <c r="E404"/>
      <c r="F404"/>
      <c r="G404"/>
      <c r="H404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/>
      <c r="AU404" s="56"/>
      <c r="AV404" s="56"/>
      <c r="AW404" s="56"/>
      <c r="AX404" s="56"/>
      <c r="AY404" s="56"/>
    </row>
    <row r="405" spans="1:51" x14ac:dyDescent="0.25">
      <c r="A405" s="16"/>
      <c r="C405"/>
      <c r="D405" s="56"/>
      <c r="E405"/>
      <c r="F405"/>
      <c r="G405"/>
      <c r="H405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/>
      <c r="AU405" s="56"/>
      <c r="AV405" s="56"/>
      <c r="AW405" s="56"/>
      <c r="AX405" s="56"/>
      <c r="AY405" s="56"/>
    </row>
    <row r="406" spans="1:51" x14ac:dyDescent="0.25">
      <c r="A406" s="16"/>
      <c r="C406"/>
      <c r="D406" s="56"/>
      <c r="E406"/>
      <c r="F406"/>
      <c r="G406"/>
      <c r="H40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/>
      <c r="AU406" s="56"/>
      <c r="AV406" s="56"/>
      <c r="AW406" s="56"/>
      <c r="AX406" s="56"/>
      <c r="AY406" s="56"/>
    </row>
    <row r="407" spans="1:51" x14ac:dyDescent="0.25">
      <c r="A407" s="16"/>
      <c r="C407"/>
      <c r="D407" s="56"/>
      <c r="E407"/>
      <c r="F407"/>
      <c r="G407"/>
      <c r="H407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/>
      <c r="AU407" s="56"/>
      <c r="AV407" s="56"/>
      <c r="AW407" s="56"/>
      <c r="AX407" s="56"/>
      <c r="AY407" s="56"/>
    </row>
    <row r="408" spans="1:51" x14ac:dyDescent="0.25">
      <c r="A408" s="16"/>
      <c r="C408"/>
      <c r="D408" s="56"/>
      <c r="E408"/>
      <c r="F408"/>
      <c r="G408"/>
      <c r="H408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/>
      <c r="AU408" s="56"/>
      <c r="AV408" s="56"/>
      <c r="AW408" s="56"/>
      <c r="AX408" s="56"/>
      <c r="AY408" s="56"/>
    </row>
    <row r="409" spans="1:51" x14ac:dyDescent="0.25">
      <c r="A409" s="16"/>
      <c r="C409"/>
      <c r="D409" s="56"/>
      <c r="E409"/>
      <c r="F409"/>
      <c r="G409"/>
      <c r="H409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/>
      <c r="AU409" s="56"/>
      <c r="AV409" s="56"/>
      <c r="AW409" s="56"/>
      <c r="AX409" s="56"/>
      <c r="AY409" s="56"/>
    </row>
    <row r="410" spans="1:51" x14ac:dyDescent="0.25">
      <c r="A410" s="16"/>
      <c r="C410"/>
      <c r="D410" s="56"/>
      <c r="E410"/>
      <c r="F410"/>
      <c r="G410"/>
      <c r="H410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/>
      <c r="AU410" s="56"/>
      <c r="AV410" s="56"/>
      <c r="AW410" s="56"/>
      <c r="AX410" s="56"/>
      <c r="AY410" s="56"/>
    </row>
    <row r="411" spans="1:51" x14ac:dyDescent="0.25">
      <c r="A411" s="16"/>
      <c r="C411"/>
      <c r="D411" s="56"/>
      <c r="E411"/>
      <c r="F411"/>
      <c r="G411"/>
      <c r="H411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/>
      <c r="AU411" s="56"/>
      <c r="AV411" s="56"/>
      <c r="AW411" s="56"/>
      <c r="AX411" s="56"/>
      <c r="AY411" s="56"/>
    </row>
    <row r="412" spans="1:51" x14ac:dyDescent="0.25">
      <c r="A412" s="16"/>
      <c r="C412"/>
      <c r="D412" s="56"/>
      <c r="E412"/>
      <c r="F412"/>
      <c r="G412"/>
      <c r="H412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/>
      <c r="AU412" s="56"/>
      <c r="AV412" s="56"/>
      <c r="AW412" s="56"/>
      <c r="AX412" s="56"/>
      <c r="AY412" s="56"/>
    </row>
    <row r="413" spans="1:51" x14ac:dyDescent="0.25">
      <c r="A413" s="16"/>
      <c r="C413"/>
      <c r="D413" s="56"/>
      <c r="E413"/>
      <c r="F413"/>
      <c r="G413"/>
      <c r="H413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/>
      <c r="AU413" s="56"/>
      <c r="AV413" s="56"/>
      <c r="AW413" s="56"/>
      <c r="AX413" s="56"/>
      <c r="AY413" s="56"/>
    </row>
    <row r="414" spans="1:51" x14ac:dyDescent="0.25">
      <c r="A414" s="16"/>
      <c r="C414"/>
      <c r="D414" s="56"/>
      <c r="E414"/>
      <c r="F414"/>
      <c r="G414"/>
      <c r="H414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/>
      <c r="AU414" s="56"/>
      <c r="AV414" s="56"/>
      <c r="AW414" s="56"/>
      <c r="AX414" s="56"/>
      <c r="AY414" s="56"/>
    </row>
    <row r="415" spans="1:51" x14ac:dyDescent="0.25">
      <c r="A415" s="16"/>
      <c r="C415"/>
      <c r="D415" s="56"/>
      <c r="E415"/>
      <c r="F415"/>
      <c r="G415"/>
      <c r="H415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/>
      <c r="AU415" s="56"/>
      <c r="AV415" s="56"/>
      <c r="AW415" s="56"/>
      <c r="AX415" s="56"/>
      <c r="AY415" s="56"/>
    </row>
    <row r="416" spans="1:51" x14ac:dyDescent="0.25">
      <c r="A416" s="16"/>
      <c r="C416"/>
      <c r="D416" s="56"/>
      <c r="E416"/>
      <c r="F416"/>
      <c r="G416"/>
      <c r="H41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/>
      <c r="AU416" s="56"/>
      <c r="AV416" s="56"/>
      <c r="AW416" s="56"/>
      <c r="AX416" s="56"/>
      <c r="AY416" s="56"/>
    </row>
    <row r="417" spans="1:51" x14ac:dyDescent="0.25">
      <c r="A417" s="16"/>
      <c r="C417"/>
      <c r="D417" s="56"/>
      <c r="E417"/>
      <c r="F417"/>
      <c r="G417"/>
      <c r="H417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/>
      <c r="AU417" s="56"/>
      <c r="AV417" s="56"/>
      <c r="AW417" s="56"/>
      <c r="AX417" s="56"/>
      <c r="AY417" s="56"/>
    </row>
    <row r="418" spans="1:51" x14ac:dyDescent="0.25">
      <c r="A418" s="16"/>
      <c r="C418"/>
      <c r="D418" s="56"/>
      <c r="E418"/>
      <c r="F418"/>
      <c r="G418"/>
      <c r="H418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/>
      <c r="AU418" s="56"/>
      <c r="AV418" s="56"/>
      <c r="AW418" s="56"/>
      <c r="AX418" s="56"/>
      <c r="AY418" s="56"/>
    </row>
    <row r="419" spans="1:51" x14ac:dyDescent="0.25">
      <c r="A419" s="16"/>
      <c r="C419"/>
      <c r="D419" s="56"/>
      <c r="E419"/>
      <c r="F419"/>
      <c r="G419"/>
      <c r="H419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/>
      <c r="AU419" s="56"/>
      <c r="AV419" s="56"/>
      <c r="AW419" s="56"/>
      <c r="AX419" s="56"/>
      <c r="AY419" s="56"/>
    </row>
    <row r="420" spans="1:51" x14ac:dyDescent="0.25">
      <c r="A420" s="16"/>
      <c r="C420"/>
      <c r="D420" s="56"/>
      <c r="E420"/>
      <c r="F420"/>
      <c r="G420"/>
      <c r="H420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/>
      <c r="AU420" s="56"/>
      <c r="AV420" s="56"/>
      <c r="AW420" s="56"/>
      <c r="AX420" s="56"/>
      <c r="AY420" s="56"/>
    </row>
    <row r="421" spans="1:51" x14ac:dyDescent="0.25">
      <c r="A421" s="16"/>
      <c r="C421"/>
      <c r="D421" s="56"/>
      <c r="E421"/>
      <c r="F421"/>
      <c r="G421"/>
      <c r="H421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/>
      <c r="AU421" s="56"/>
      <c r="AV421" s="56"/>
      <c r="AW421" s="56"/>
      <c r="AX421" s="56"/>
      <c r="AY421" s="56"/>
    </row>
    <row r="422" spans="1:51" x14ac:dyDescent="0.25">
      <c r="A422" s="16"/>
      <c r="C422"/>
      <c r="D422" s="56"/>
      <c r="E422"/>
      <c r="F422"/>
      <c r="G422"/>
      <c r="H422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/>
      <c r="AU422" s="56"/>
      <c r="AV422" s="56"/>
      <c r="AW422" s="56"/>
      <c r="AX422" s="56"/>
      <c r="AY422" s="56"/>
    </row>
    <row r="423" spans="1:51" x14ac:dyDescent="0.25">
      <c r="A423" s="16"/>
      <c r="C423"/>
      <c r="D423" s="56"/>
      <c r="E423"/>
      <c r="F423"/>
      <c r="G423"/>
      <c r="H423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/>
      <c r="AU423" s="56"/>
      <c r="AV423" s="56"/>
      <c r="AW423" s="56"/>
      <c r="AX423" s="56"/>
      <c r="AY423" s="56"/>
    </row>
    <row r="424" spans="1:51" x14ac:dyDescent="0.25">
      <c r="A424" s="16"/>
      <c r="C424"/>
      <c r="D424" s="56"/>
      <c r="E424"/>
      <c r="F424"/>
      <c r="G424"/>
      <c r="H424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/>
      <c r="AU424" s="56"/>
      <c r="AV424" s="56"/>
      <c r="AW424" s="56"/>
      <c r="AX424" s="56"/>
      <c r="AY424" s="56"/>
    </row>
    <row r="425" spans="1:51" x14ac:dyDescent="0.25">
      <c r="A425" s="16"/>
      <c r="C425"/>
      <c r="D425" s="56"/>
      <c r="E425"/>
      <c r="F425"/>
      <c r="G425"/>
      <c r="H425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/>
      <c r="AU425" s="56"/>
      <c r="AV425" s="56"/>
      <c r="AW425" s="56"/>
      <c r="AX425" s="56"/>
      <c r="AY425" s="56"/>
    </row>
    <row r="426" spans="1:51" x14ac:dyDescent="0.25">
      <c r="A426" s="16"/>
      <c r="C426"/>
      <c r="D426" s="56"/>
      <c r="E426"/>
      <c r="F426"/>
      <c r="G426"/>
      <c r="H42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/>
      <c r="AU426" s="56"/>
      <c r="AV426" s="56"/>
      <c r="AW426" s="56"/>
      <c r="AX426" s="56"/>
      <c r="AY426" s="56"/>
    </row>
    <row r="427" spans="1:51" x14ac:dyDescent="0.25">
      <c r="A427" s="16"/>
      <c r="C427"/>
      <c r="D427" s="56"/>
      <c r="E427"/>
      <c r="F427"/>
      <c r="G427"/>
      <c r="H427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/>
      <c r="AU427" s="56"/>
      <c r="AV427" s="56"/>
      <c r="AW427" s="56"/>
      <c r="AX427" s="56"/>
      <c r="AY427" s="56"/>
    </row>
    <row r="428" spans="1:51" x14ac:dyDescent="0.25">
      <c r="A428" s="16"/>
      <c r="C428"/>
      <c r="D428" s="56"/>
      <c r="E428"/>
      <c r="F428"/>
      <c r="G428"/>
      <c r="H428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/>
      <c r="AU428" s="56"/>
      <c r="AV428" s="56"/>
      <c r="AW428" s="56"/>
      <c r="AX428" s="56"/>
      <c r="AY428" s="56"/>
    </row>
    <row r="429" spans="1:51" x14ac:dyDescent="0.25">
      <c r="A429" s="16"/>
      <c r="C429"/>
      <c r="D429" s="56"/>
      <c r="E429"/>
      <c r="F429"/>
      <c r="G429"/>
      <c r="H429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/>
      <c r="AU429" s="56"/>
      <c r="AV429" s="56"/>
      <c r="AW429" s="56"/>
      <c r="AX429" s="56"/>
      <c r="AY429" s="56"/>
    </row>
    <row r="430" spans="1:51" x14ac:dyDescent="0.25">
      <c r="A430" s="16"/>
      <c r="C430"/>
      <c r="D430" s="56"/>
      <c r="E430"/>
      <c r="F430"/>
      <c r="G430"/>
      <c r="H430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/>
      <c r="AU430" s="56"/>
      <c r="AV430" s="56"/>
      <c r="AW430" s="56"/>
      <c r="AX430" s="56"/>
      <c r="AY430" s="56"/>
    </row>
    <row r="431" spans="1:51" x14ac:dyDescent="0.25">
      <c r="A431" s="16"/>
      <c r="C431"/>
      <c r="D431" s="56"/>
      <c r="E431"/>
      <c r="F431"/>
      <c r="G431"/>
      <c r="H431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/>
      <c r="AU431" s="56"/>
      <c r="AV431" s="56"/>
      <c r="AW431" s="56"/>
      <c r="AX431" s="56"/>
      <c r="AY431" s="56"/>
    </row>
    <row r="432" spans="1:51" x14ac:dyDescent="0.25">
      <c r="A432" s="16"/>
      <c r="C432"/>
      <c r="D432" s="56"/>
      <c r="E432"/>
      <c r="F432"/>
      <c r="G432"/>
      <c r="H432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/>
      <c r="AU432" s="56"/>
      <c r="AV432" s="56"/>
      <c r="AW432" s="56"/>
      <c r="AX432" s="56"/>
      <c r="AY432" s="56"/>
    </row>
    <row r="433" spans="1:51" x14ac:dyDescent="0.25">
      <c r="A433" s="16"/>
      <c r="C433"/>
      <c r="D433" s="56"/>
      <c r="E433"/>
      <c r="F433"/>
      <c r="G433"/>
      <c r="H433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/>
      <c r="AU433" s="56"/>
      <c r="AV433" s="56"/>
      <c r="AW433" s="56"/>
      <c r="AX433" s="56"/>
      <c r="AY433" s="56"/>
    </row>
    <row r="434" spans="1:51" x14ac:dyDescent="0.25">
      <c r="A434" s="16"/>
      <c r="C434"/>
      <c r="D434" s="56"/>
      <c r="E434"/>
      <c r="F434"/>
      <c r="G434"/>
      <c r="H434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/>
      <c r="AU434" s="56"/>
      <c r="AV434" s="56"/>
      <c r="AW434" s="56"/>
      <c r="AX434" s="56"/>
      <c r="AY434" s="56"/>
    </row>
    <row r="435" spans="1:51" x14ac:dyDescent="0.25">
      <c r="A435" s="16"/>
      <c r="C435"/>
      <c r="D435" s="56"/>
      <c r="E435"/>
      <c r="F435"/>
      <c r="G435"/>
      <c r="H435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/>
      <c r="AU435" s="56"/>
      <c r="AV435" s="56"/>
      <c r="AW435" s="56"/>
      <c r="AX435" s="56"/>
      <c r="AY435" s="56"/>
    </row>
    <row r="436" spans="1:51" x14ac:dyDescent="0.25">
      <c r="A436" s="16"/>
      <c r="C436"/>
      <c r="D436" s="56"/>
      <c r="E436"/>
      <c r="F436"/>
      <c r="G436"/>
      <c r="H43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/>
      <c r="AU436" s="56"/>
      <c r="AV436" s="56"/>
      <c r="AW436" s="56"/>
      <c r="AX436" s="56"/>
      <c r="AY436" s="56"/>
    </row>
    <row r="437" spans="1:51" x14ac:dyDescent="0.25">
      <c r="A437" s="16"/>
      <c r="C437"/>
      <c r="D437" s="56"/>
      <c r="E437"/>
      <c r="F437"/>
      <c r="G437"/>
      <c r="H437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/>
      <c r="AU437" s="56"/>
      <c r="AV437" s="56"/>
      <c r="AW437" s="56"/>
      <c r="AX437" s="56"/>
      <c r="AY437" s="56"/>
    </row>
    <row r="438" spans="1:51" x14ac:dyDescent="0.25">
      <c r="A438" s="16"/>
      <c r="C438"/>
      <c r="D438" s="56"/>
      <c r="E438"/>
      <c r="F438"/>
      <c r="G438"/>
      <c r="H438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/>
      <c r="AU438" s="56"/>
      <c r="AV438" s="56"/>
      <c r="AW438" s="56"/>
      <c r="AX438" s="56"/>
      <c r="AY438" s="56"/>
    </row>
    <row r="439" spans="1:51" x14ac:dyDescent="0.25">
      <c r="A439" s="16"/>
      <c r="C439"/>
      <c r="D439" s="56"/>
      <c r="E439"/>
      <c r="F439"/>
      <c r="G439"/>
      <c r="H439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/>
      <c r="AU439" s="56"/>
      <c r="AV439" s="56"/>
      <c r="AW439" s="56"/>
      <c r="AX439" s="56"/>
      <c r="AY439" s="56"/>
    </row>
    <row r="440" spans="1:51" x14ac:dyDescent="0.25">
      <c r="A440" s="16"/>
      <c r="C440"/>
      <c r="D440" s="56"/>
      <c r="E440"/>
      <c r="F440"/>
      <c r="G440"/>
      <c r="H440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/>
      <c r="AU440" s="56"/>
      <c r="AV440" s="56"/>
      <c r="AW440" s="56"/>
      <c r="AX440" s="56"/>
      <c r="AY440" s="56"/>
    </row>
    <row r="441" spans="1:51" x14ac:dyDescent="0.25">
      <c r="A441" s="16"/>
      <c r="C441"/>
      <c r="D441" s="56"/>
      <c r="E441"/>
      <c r="F441"/>
      <c r="G441"/>
      <c r="H441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/>
      <c r="AU441" s="56"/>
      <c r="AV441" s="56"/>
      <c r="AW441" s="56"/>
      <c r="AX441" s="56"/>
      <c r="AY441" s="56"/>
    </row>
    <row r="442" spans="1:51" x14ac:dyDescent="0.25">
      <c r="A442" s="16"/>
      <c r="C442"/>
      <c r="D442" s="56"/>
      <c r="E442"/>
      <c r="F442"/>
      <c r="G442"/>
      <c r="H442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/>
      <c r="AU442" s="56"/>
      <c r="AV442" s="56"/>
      <c r="AW442" s="56"/>
      <c r="AX442" s="56"/>
      <c r="AY442" s="56"/>
    </row>
    <row r="443" spans="1:51" x14ac:dyDescent="0.25">
      <c r="A443" s="16"/>
      <c r="C443"/>
      <c r="D443" s="56"/>
      <c r="E443"/>
      <c r="F443"/>
      <c r="G443"/>
      <c r="H443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/>
      <c r="AU443" s="56"/>
      <c r="AV443" s="56"/>
      <c r="AW443" s="56"/>
      <c r="AX443" s="56"/>
      <c r="AY443" s="56"/>
    </row>
    <row r="444" spans="1:51" x14ac:dyDescent="0.25">
      <c r="A444" s="16"/>
      <c r="C444"/>
      <c r="D444" s="56"/>
      <c r="E444"/>
      <c r="F444"/>
      <c r="G444"/>
      <c r="H444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/>
      <c r="AU444" s="56"/>
      <c r="AV444" s="56"/>
      <c r="AW444" s="56"/>
      <c r="AX444" s="56"/>
      <c r="AY444" s="56"/>
    </row>
    <row r="445" spans="1:51" x14ac:dyDescent="0.25">
      <c r="A445" s="16"/>
      <c r="C445"/>
      <c r="D445" s="56"/>
      <c r="E445"/>
      <c r="F445"/>
      <c r="G445"/>
      <c r="H445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/>
      <c r="AU445" s="56"/>
      <c r="AV445" s="56"/>
      <c r="AW445" s="56"/>
      <c r="AX445" s="56"/>
      <c r="AY445" s="56"/>
    </row>
    <row r="446" spans="1:51" x14ac:dyDescent="0.25">
      <c r="A446" s="16"/>
      <c r="C446"/>
      <c r="D446" s="56"/>
      <c r="E446"/>
      <c r="F446"/>
      <c r="G446"/>
      <c r="H44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/>
      <c r="AU446" s="56"/>
      <c r="AV446" s="56"/>
      <c r="AW446" s="56"/>
      <c r="AX446" s="56"/>
      <c r="AY446" s="56"/>
    </row>
    <row r="447" spans="1:51" x14ac:dyDescent="0.25">
      <c r="A447" s="16"/>
      <c r="C447"/>
      <c r="D447" s="56"/>
      <c r="E447"/>
      <c r="F447"/>
      <c r="G447"/>
      <c r="H447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/>
      <c r="AU447" s="56"/>
      <c r="AV447" s="56"/>
      <c r="AW447" s="56"/>
      <c r="AX447" s="56"/>
      <c r="AY447" s="56"/>
    </row>
    <row r="448" spans="1:51" x14ac:dyDescent="0.25">
      <c r="A448" s="16"/>
      <c r="C448"/>
      <c r="D448" s="56"/>
      <c r="E448"/>
      <c r="F448"/>
      <c r="G448"/>
      <c r="H448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/>
      <c r="AU448" s="56"/>
      <c r="AV448" s="56"/>
      <c r="AW448" s="56"/>
      <c r="AX448" s="56"/>
      <c r="AY448" s="56"/>
    </row>
    <row r="449" spans="1:51" x14ac:dyDescent="0.25">
      <c r="A449" s="16"/>
      <c r="C449"/>
      <c r="D449" s="56"/>
      <c r="E449"/>
      <c r="F449"/>
      <c r="G449"/>
      <c r="H449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/>
      <c r="AU449" s="56"/>
      <c r="AV449" s="56"/>
      <c r="AW449" s="56"/>
      <c r="AX449" s="56"/>
      <c r="AY449" s="56"/>
    </row>
    <row r="450" spans="1:51" x14ac:dyDescent="0.25">
      <c r="A450" s="16"/>
      <c r="C450"/>
      <c r="D450" s="56"/>
      <c r="E450"/>
      <c r="F450"/>
      <c r="G450"/>
      <c r="H450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/>
      <c r="AU450" s="56"/>
      <c r="AV450" s="56"/>
      <c r="AW450" s="56"/>
      <c r="AX450" s="56"/>
      <c r="AY450" s="56"/>
    </row>
    <row r="451" spans="1:51" x14ac:dyDescent="0.25">
      <c r="A451" s="16"/>
      <c r="C451"/>
      <c r="D451" s="56"/>
      <c r="E451"/>
      <c r="F451"/>
      <c r="G451"/>
      <c r="H451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/>
      <c r="AU451" s="56"/>
      <c r="AV451" s="56"/>
      <c r="AW451" s="56"/>
      <c r="AX451" s="56"/>
      <c r="AY451" s="56"/>
    </row>
    <row r="452" spans="1:51" x14ac:dyDescent="0.25">
      <c r="A452" s="16"/>
      <c r="C452"/>
      <c r="D452" s="56"/>
      <c r="E452"/>
      <c r="F452"/>
      <c r="G452"/>
      <c r="H452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/>
      <c r="AU452" s="56"/>
      <c r="AV452" s="56"/>
      <c r="AW452" s="56"/>
      <c r="AX452" s="56"/>
      <c r="AY452" s="56"/>
    </row>
    <row r="453" spans="1:51" x14ac:dyDescent="0.25">
      <c r="A453" s="16"/>
      <c r="C453"/>
      <c r="D453" s="56"/>
      <c r="E453"/>
      <c r="F453"/>
      <c r="G453"/>
      <c r="H453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/>
      <c r="AU453" s="56"/>
      <c r="AV453" s="56"/>
      <c r="AW453" s="56"/>
      <c r="AX453" s="56"/>
      <c r="AY453" s="56"/>
    </row>
    <row r="454" spans="1:51" x14ac:dyDescent="0.25">
      <c r="A454" s="16"/>
      <c r="C454"/>
      <c r="D454" s="56"/>
      <c r="E454"/>
      <c r="F454"/>
      <c r="G454"/>
      <c r="H454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/>
      <c r="AU454" s="56"/>
      <c r="AV454" s="56"/>
      <c r="AW454" s="56"/>
      <c r="AX454" s="56"/>
      <c r="AY454" s="56"/>
    </row>
    <row r="455" spans="1:51" x14ac:dyDescent="0.25">
      <c r="A455" s="16"/>
      <c r="C455"/>
      <c r="D455" s="56"/>
      <c r="E455"/>
      <c r="F455"/>
      <c r="G455"/>
      <c r="H455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/>
      <c r="AU455" s="56"/>
      <c r="AV455" s="56"/>
      <c r="AW455" s="56"/>
      <c r="AX455" s="56"/>
      <c r="AY455" s="56"/>
    </row>
    <row r="456" spans="1:51" x14ac:dyDescent="0.25">
      <c r="A456" s="16"/>
      <c r="C456"/>
      <c r="D456" s="56"/>
      <c r="E456"/>
      <c r="F456"/>
      <c r="G456"/>
      <c r="H4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/>
      <c r="AU456" s="56"/>
      <c r="AV456" s="56"/>
      <c r="AW456" s="56"/>
      <c r="AX456" s="56"/>
      <c r="AY456" s="56"/>
    </row>
    <row r="457" spans="1:51" x14ac:dyDescent="0.25">
      <c r="A457" s="16"/>
      <c r="C457"/>
      <c r="D457" s="56"/>
      <c r="E457"/>
      <c r="F457"/>
      <c r="G457"/>
      <c r="H457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/>
      <c r="AU457" s="56"/>
      <c r="AV457" s="56"/>
      <c r="AW457" s="56"/>
      <c r="AX457" s="56"/>
      <c r="AY457" s="56"/>
    </row>
    <row r="458" spans="1:51" x14ac:dyDescent="0.25">
      <c r="A458" s="16"/>
      <c r="C458"/>
      <c r="D458" s="56"/>
      <c r="E458"/>
      <c r="F458"/>
      <c r="G458"/>
      <c r="H458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/>
      <c r="AU458" s="56"/>
      <c r="AV458" s="56"/>
      <c r="AW458" s="56"/>
      <c r="AX458" s="56"/>
      <c r="AY458" s="56"/>
    </row>
    <row r="459" spans="1:51" x14ac:dyDescent="0.25">
      <c r="A459" s="16"/>
      <c r="C459"/>
      <c r="D459" s="56"/>
      <c r="E459"/>
      <c r="F459"/>
      <c r="G459"/>
      <c r="H459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/>
      <c r="AU459" s="56"/>
      <c r="AV459" s="56"/>
      <c r="AW459" s="56"/>
      <c r="AX459" s="56"/>
      <c r="AY459" s="56"/>
    </row>
    <row r="460" spans="1:51" x14ac:dyDescent="0.25">
      <c r="A460" s="16"/>
      <c r="C460"/>
      <c r="D460" s="56"/>
      <c r="E460"/>
      <c r="F460"/>
      <c r="G460"/>
      <c r="H460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/>
      <c r="AU460" s="56"/>
      <c r="AV460" s="56"/>
      <c r="AW460" s="56"/>
      <c r="AX460" s="56"/>
      <c r="AY460" s="56"/>
    </row>
    <row r="461" spans="1:51" x14ac:dyDescent="0.25">
      <c r="A461" s="16"/>
      <c r="C461"/>
      <c r="D461" s="56"/>
      <c r="E461"/>
      <c r="F461"/>
      <c r="G461"/>
      <c r="H461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/>
      <c r="AU461" s="56"/>
      <c r="AV461" s="56"/>
      <c r="AW461" s="56"/>
      <c r="AX461" s="56"/>
      <c r="AY461" s="56"/>
    </row>
    <row r="462" spans="1:51" x14ac:dyDescent="0.25">
      <c r="A462" s="16"/>
      <c r="C462"/>
      <c r="D462" s="56"/>
      <c r="E462"/>
      <c r="F462"/>
      <c r="G462"/>
      <c r="H462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/>
      <c r="AU462" s="56"/>
      <c r="AV462" s="56"/>
      <c r="AW462" s="56"/>
      <c r="AX462" s="56"/>
      <c r="AY462" s="56"/>
    </row>
    <row r="463" spans="1:51" x14ac:dyDescent="0.25">
      <c r="A463" s="16"/>
      <c r="C463"/>
      <c r="D463" s="56"/>
      <c r="E463"/>
      <c r="F463"/>
      <c r="G463"/>
      <c r="H463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/>
      <c r="AU463" s="56"/>
      <c r="AV463" s="56"/>
      <c r="AW463" s="56"/>
      <c r="AX463" s="56"/>
      <c r="AY463" s="56"/>
    </row>
    <row r="464" spans="1:51" x14ac:dyDescent="0.25">
      <c r="A464" s="16"/>
      <c r="C464"/>
      <c r="D464" s="56"/>
      <c r="E464"/>
      <c r="F464"/>
      <c r="G464"/>
      <c r="H464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/>
      <c r="AU464" s="56"/>
      <c r="AV464" s="56"/>
      <c r="AW464" s="56"/>
      <c r="AX464" s="56"/>
      <c r="AY464" s="56"/>
    </row>
    <row r="465" spans="1:51" x14ac:dyDescent="0.25">
      <c r="A465" s="16"/>
      <c r="C465"/>
      <c r="D465" s="56"/>
      <c r="E465"/>
      <c r="F465"/>
      <c r="G465"/>
      <c r="H465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/>
      <c r="AU465" s="56"/>
      <c r="AV465" s="56"/>
      <c r="AW465" s="56"/>
      <c r="AX465" s="56"/>
      <c r="AY465" s="56"/>
    </row>
    <row r="466" spans="1:51" x14ac:dyDescent="0.25">
      <c r="A466" s="16"/>
      <c r="C466"/>
      <c r="D466" s="56"/>
      <c r="E466"/>
      <c r="F466"/>
      <c r="G466"/>
      <c r="H46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/>
      <c r="AU466" s="56"/>
      <c r="AV466" s="56"/>
      <c r="AW466" s="56"/>
      <c r="AX466" s="56"/>
      <c r="AY466" s="56"/>
    </row>
    <row r="467" spans="1:51" x14ac:dyDescent="0.25">
      <c r="A467" s="16"/>
      <c r="C467"/>
      <c r="D467" s="56"/>
      <c r="E467"/>
      <c r="F467"/>
      <c r="G467"/>
      <c r="H467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/>
      <c r="AU467" s="56"/>
      <c r="AV467" s="56"/>
      <c r="AW467" s="56"/>
      <c r="AX467" s="56"/>
      <c r="AY467" s="56"/>
    </row>
    <row r="468" spans="1:51" x14ac:dyDescent="0.25">
      <c r="A468" s="16"/>
      <c r="C468"/>
      <c r="D468" s="56"/>
      <c r="E468"/>
      <c r="F468"/>
      <c r="G468"/>
      <c r="H468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/>
      <c r="AU468" s="56"/>
      <c r="AV468" s="56"/>
      <c r="AW468" s="56"/>
      <c r="AX468" s="56"/>
      <c r="AY468" s="56"/>
    </row>
    <row r="469" spans="1:51" x14ac:dyDescent="0.25">
      <c r="A469" s="16"/>
      <c r="C469"/>
      <c r="D469" s="56"/>
      <c r="E469"/>
      <c r="F469"/>
      <c r="G469"/>
      <c r="H469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/>
      <c r="AU469" s="56"/>
      <c r="AV469" s="56"/>
      <c r="AW469" s="56"/>
      <c r="AX469" s="56"/>
      <c r="AY469" s="56"/>
    </row>
    <row r="470" spans="1:51" x14ac:dyDescent="0.25">
      <c r="A470" s="16"/>
      <c r="C470"/>
      <c r="D470" s="56"/>
      <c r="E470"/>
      <c r="F470"/>
      <c r="G470"/>
      <c r="H470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/>
      <c r="AU470" s="56"/>
      <c r="AV470" s="56"/>
      <c r="AW470" s="56"/>
      <c r="AX470" s="56"/>
      <c r="AY470" s="56"/>
    </row>
    <row r="471" spans="1:51" x14ac:dyDescent="0.25">
      <c r="A471" s="16"/>
      <c r="C471"/>
      <c r="D471" s="56"/>
      <c r="E471"/>
      <c r="F471"/>
      <c r="G471"/>
      <c r="H471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/>
      <c r="AU471" s="56"/>
      <c r="AV471" s="56"/>
      <c r="AW471" s="56"/>
      <c r="AX471" s="56"/>
      <c r="AY471" s="56"/>
    </row>
    <row r="472" spans="1:51" x14ac:dyDescent="0.25">
      <c r="A472" s="16"/>
      <c r="C472"/>
      <c r="D472" s="56"/>
      <c r="E472"/>
      <c r="F472"/>
      <c r="G472"/>
      <c r="H472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/>
      <c r="AU472" s="56"/>
      <c r="AV472" s="56"/>
      <c r="AW472" s="56"/>
      <c r="AX472" s="56"/>
      <c r="AY472" s="56"/>
    </row>
    <row r="473" spans="1:51" x14ac:dyDescent="0.25">
      <c r="A473" s="16"/>
      <c r="C473"/>
      <c r="D473" s="56"/>
      <c r="E473"/>
      <c r="F473"/>
      <c r="G473"/>
      <c r="H473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/>
      <c r="AU473" s="56"/>
      <c r="AV473" s="56"/>
      <c r="AW473" s="56"/>
      <c r="AX473" s="56"/>
      <c r="AY473" s="56"/>
    </row>
    <row r="474" spans="1:51" x14ac:dyDescent="0.25">
      <c r="A474" s="16"/>
      <c r="C474"/>
      <c r="D474" s="56"/>
      <c r="E474"/>
      <c r="F474"/>
      <c r="G474"/>
      <c r="H474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/>
      <c r="AU474" s="56"/>
      <c r="AV474" s="56"/>
      <c r="AW474" s="56"/>
      <c r="AX474" s="56"/>
      <c r="AY474" s="56"/>
    </row>
    <row r="475" spans="1:51" x14ac:dyDescent="0.25">
      <c r="A475" s="16"/>
      <c r="C475"/>
      <c r="D475" s="56"/>
      <c r="E475"/>
      <c r="F475"/>
      <c r="G475"/>
      <c r="H475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/>
      <c r="AU475" s="56"/>
      <c r="AV475" s="56"/>
      <c r="AW475" s="56"/>
      <c r="AX475" s="56"/>
      <c r="AY475" s="56"/>
    </row>
    <row r="476" spans="1:51" x14ac:dyDescent="0.25">
      <c r="A476" s="16"/>
      <c r="C476"/>
      <c r="D476" s="56"/>
      <c r="E476"/>
      <c r="F476"/>
      <c r="G476"/>
      <c r="H47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/>
      <c r="AU476" s="56"/>
      <c r="AV476" s="56"/>
      <c r="AW476" s="56"/>
      <c r="AX476" s="56"/>
      <c r="AY476" s="56"/>
    </row>
    <row r="477" spans="1:51" x14ac:dyDescent="0.25">
      <c r="A477" s="16"/>
      <c r="C477"/>
      <c r="D477" s="56"/>
      <c r="E477"/>
      <c r="F477"/>
      <c r="G477"/>
      <c r="H477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/>
      <c r="AU477" s="56"/>
      <c r="AV477" s="56"/>
      <c r="AW477" s="56"/>
      <c r="AX477" s="56"/>
      <c r="AY477" s="56"/>
    </row>
    <row r="478" spans="1:51" x14ac:dyDescent="0.25">
      <c r="A478" s="16"/>
      <c r="C478"/>
      <c r="D478" s="56"/>
      <c r="E478"/>
      <c r="F478"/>
      <c r="G478"/>
      <c r="H478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/>
      <c r="AU478" s="56"/>
      <c r="AV478" s="56"/>
      <c r="AW478" s="56"/>
      <c r="AX478" s="56"/>
      <c r="AY478" s="56"/>
    </row>
    <row r="479" spans="1:51" x14ac:dyDescent="0.25">
      <c r="A479" s="16"/>
      <c r="C479"/>
      <c r="D479" s="56"/>
      <c r="E479"/>
      <c r="F479"/>
      <c r="G479"/>
      <c r="H479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/>
      <c r="AU479" s="56"/>
      <c r="AV479" s="56"/>
      <c r="AW479" s="56"/>
      <c r="AX479" s="56"/>
      <c r="AY479" s="56"/>
    </row>
    <row r="480" spans="1:51" x14ac:dyDescent="0.25">
      <c r="A480" s="16"/>
      <c r="C480"/>
      <c r="D480" s="56"/>
      <c r="E480"/>
      <c r="F480"/>
      <c r="G480"/>
      <c r="H480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/>
      <c r="AU480" s="56"/>
      <c r="AV480" s="56"/>
      <c r="AW480" s="56"/>
      <c r="AX480" s="56"/>
      <c r="AY480" s="56"/>
    </row>
    <row r="481" spans="1:51" x14ac:dyDescent="0.25">
      <c r="A481" s="16"/>
      <c r="C481"/>
      <c r="D481" s="56"/>
      <c r="E481"/>
      <c r="F481"/>
      <c r="G481"/>
      <c r="H481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/>
      <c r="AU481" s="56"/>
      <c r="AV481" s="56"/>
      <c r="AW481" s="56"/>
      <c r="AX481" s="56"/>
      <c r="AY481" s="56"/>
    </row>
    <row r="482" spans="1:51" x14ac:dyDescent="0.25">
      <c r="A482" s="16"/>
      <c r="C482"/>
      <c r="D482" s="56"/>
      <c r="E482"/>
      <c r="F482"/>
      <c r="G482"/>
      <c r="H482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/>
      <c r="AU482" s="56"/>
      <c r="AV482" s="56"/>
      <c r="AW482" s="56"/>
      <c r="AX482" s="56"/>
      <c r="AY482" s="56"/>
    </row>
    <row r="483" spans="1:51" x14ac:dyDescent="0.25">
      <c r="A483" s="16"/>
      <c r="C483"/>
      <c r="D483" s="56"/>
      <c r="E483"/>
      <c r="F483"/>
      <c r="G483"/>
      <c r="H483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/>
      <c r="AU483" s="56"/>
      <c r="AV483" s="56"/>
      <c r="AW483" s="56"/>
      <c r="AX483" s="56"/>
      <c r="AY483" s="56"/>
    </row>
    <row r="484" spans="1:51" x14ac:dyDescent="0.25">
      <c r="A484" s="16"/>
      <c r="C484"/>
      <c r="D484" s="56"/>
      <c r="E484"/>
      <c r="F484"/>
      <c r="G484"/>
      <c r="H484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/>
      <c r="AU484" s="56"/>
      <c r="AV484" s="56"/>
      <c r="AW484" s="56"/>
      <c r="AX484" s="56"/>
      <c r="AY484" s="56"/>
    </row>
    <row r="485" spans="1:51" x14ac:dyDescent="0.25">
      <c r="A485" s="16"/>
      <c r="C485"/>
      <c r="D485" s="56"/>
      <c r="E485"/>
      <c r="F485"/>
      <c r="G485"/>
      <c r="H485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/>
      <c r="AU485" s="56"/>
      <c r="AV485" s="56"/>
      <c r="AW485" s="56"/>
      <c r="AX485" s="56"/>
      <c r="AY485" s="56"/>
    </row>
    <row r="486" spans="1:51" x14ac:dyDescent="0.25">
      <c r="A486" s="16"/>
      <c r="C486"/>
      <c r="D486" s="56"/>
      <c r="E486"/>
      <c r="F486"/>
      <c r="G486"/>
      <c r="H48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/>
      <c r="AU486" s="56"/>
      <c r="AV486" s="56"/>
      <c r="AW486" s="56"/>
      <c r="AX486" s="56"/>
      <c r="AY486" s="56"/>
    </row>
    <row r="487" spans="1:51" x14ac:dyDescent="0.25">
      <c r="A487" s="16"/>
      <c r="C487"/>
      <c r="D487" s="56"/>
      <c r="E487"/>
      <c r="F487"/>
      <c r="G487"/>
      <c r="H487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/>
      <c r="AU487" s="56"/>
      <c r="AV487" s="56"/>
      <c r="AW487" s="56"/>
      <c r="AX487" s="56"/>
      <c r="AY487" s="56"/>
    </row>
    <row r="488" spans="1:51" x14ac:dyDescent="0.25">
      <c r="A488" s="16"/>
      <c r="C488"/>
      <c r="D488" s="56"/>
      <c r="E488"/>
      <c r="F488"/>
      <c r="G488"/>
      <c r="H488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/>
      <c r="AU488" s="56"/>
      <c r="AV488" s="56"/>
      <c r="AW488" s="56"/>
      <c r="AX488" s="56"/>
      <c r="AY488" s="56"/>
    </row>
    <row r="489" spans="1:51" x14ac:dyDescent="0.25">
      <c r="A489" s="16"/>
      <c r="C489"/>
      <c r="D489" s="56"/>
      <c r="E489"/>
      <c r="F489"/>
      <c r="G489"/>
      <c r="H489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/>
      <c r="AU489" s="56"/>
      <c r="AV489" s="56"/>
      <c r="AW489" s="56"/>
      <c r="AX489" s="56"/>
      <c r="AY489" s="56"/>
    </row>
    <row r="490" spans="1:51" x14ac:dyDescent="0.25">
      <c r="A490" s="16"/>
      <c r="C490"/>
      <c r="D490" s="56"/>
      <c r="E490"/>
      <c r="F490"/>
      <c r="G490"/>
      <c r="H490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/>
      <c r="AU490" s="56"/>
      <c r="AV490" s="56"/>
      <c r="AW490" s="56"/>
      <c r="AX490" s="56"/>
      <c r="AY490" s="56"/>
    </row>
    <row r="491" spans="1:51" x14ac:dyDescent="0.25">
      <c r="A491" s="16"/>
      <c r="C491"/>
      <c r="D491" s="56"/>
      <c r="E491"/>
      <c r="F491"/>
      <c r="G491"/>
      <c r="H491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/>
      <c r="AU491" s="56"/>
      <c r="AV491" s="56"/>
      <c r="AW491" s="56"/>
      <c r="AX491" s="56"/>
      <c r="AY491" s="56"/>
    </row>
    <row r="492" spans="1:51" x14ac:dyDescent="0.25">
      <c r="A492" s="16"/>
      <c r="C492"/>
      <c r="D492" s="56"/>
      <c r="E492"/>
      <c r="F492"/>
      <c r="G492"/>
      <c r="H492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/>
      <c r="AU492" s="56"/>
      <c r="AV492" s="56"/>
      <c r="AW492" s="56"/>
      <c r="AX492" s="56"/>
      <c r="AY492" s="56"/>
    </row>
    <row r="493" spans="1:51" x14ac:dyDescent="0.25">
      <c r="A493" s="16"/>
      <c r="C493"/>
      <c r="D493" s="56"/>
      <c r="E493"/>
      <c r="F493"/>
      <c r="G493"/>
      <c r="H493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/>
      <c r="AU493" s="56"/>
      <c r="AV493" s="56"/>
      <c r="AW493" s="56"/>
      <c r="AX493" s="56"/>
      <c r="AY493" s="56"/>
    </row>
    <row r="494" spans="1:51" x14ac:dyDescent="0.25">
      <c r="A494" s="16"/>
      <c r="C494"/>
      <c r="D494" s="56"/>
      <c r="E494"/>
      <c r="F494"/>
      <c r="G494"/>
      <c r="H494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/>
      <c r="AU494" s="56"/>
      <c r="AV494" s="56"/>
      <c r="AW494" s="56"/>
      <c r="AX494" s="56"/>
      <c r="AY494" s="56"/>
    </row>
    <row r="495" spans="1:51" x14ac:dyDescent="0.25">
      <c r="A495" s="16"/>
      <c r="C495"/>
      <c r="D495" s="56"/>
      <c r="E495"/>
      <c r="F495"/>
      <c r="G495"/>
      <c r="H495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/>
      <c r="AU495" s="56"/>
      <c r="AV495" s="56"/>
      <c r="AW495" s="56"/>
      <c r="AX495" s="56"/>
      <c r="AY495" s="56"/>
    </row>
    <row r="496" spans="1:51" x14ac:dyDescent="0.25">
      <c r="A496" s="16"/>
      <c r="C496"/>
      <c r="D496" s="56"/>
      <c r="E496"/>
      <c r="F496"/>
      <c r="G496"/>
      <c r="H49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/>
      <c r="AU496" s="56"/>
      <c r="AV496" s="56"/>
      <c r="AW496" s="56"/>
      <c r="AX496" s="56"/>
      <c r="AY496" s="56"/>
    </row>
    <row r="497" spans="1:51" x14ac:dyDescent="0.25">
      <c r="A497" s="16"/>
      <c r="C497"/>
      <c r="D497" s="56"/>
      <c r="E497"/>
      <c r="F497"/>
      <c r="G497"/>
      <c r="H497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/>
      <c r="AU497" s="56"/>
      <c r="AV497" s="56"/>
      <c r="AW497" s="56"/>
      <c r="AX497" s="56"/>
      <c r="AY497" s="56"/>
    </row>
    <row r="498" spans="1:51" x14ac:dyDescent="0.25">
      <c r="A498" s="16"/>
      <c r="C498"/>
      <c r="D498" s="56"/>
      <c r="E498"/>
      <c r="F498"/>
      <c r="G498"/>
      <c r="H498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/>
      <c r="AU498" s="56"/>
      <c r="AV498" s="56"/>
      <c r="AW498" s="56"/>
      <c r="AX498" s="56"/>
      <c r="AY498" s="56"/>
    </row>
    <row r="499" spans="1:51" x14ac:dyDescent="0.25">
      <c r="A499" s="16"/>
      <c r="C499"/>
      <c r="D499" s="56"/>
      <c r="E499"/>
      <c r="F499"/>
      <c r="G499"/>
      <c r="H499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/>
      <c r="AU499" s="56"/>
      <c r="AV499" s="56"/>
      <c r="AW499" s="56"/>
      <c r="AX499" s="56"/>
      <c r="AY499" s="56"/>
    </row>
    <row r="500" spans="1:51" x14ac:dyDescent="0.25">
      <c r="A500" s="16"/>
      <c r="C500"/>
      <c r="D500" s="56"/>
      <c r="E500"/>
      <c r="F500"/>
      <c r="G500"/>
      <c r="H500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/>
      <c r="AU500" s="56"/>
      <c r="AV500" s="56"/>
      <c r="AW500" s="56"/>
      <c r="AX500" s="56"/>
      <c r="AY500" s="56"/>
    </row>
    <row r="501" spans="1:51" x14ac:dyDescent="0.25">
      <c r="A501" s="16"/>
      <c r="C501"/>
      <c r="D501" s="56"/>
      <c r="E501"/>
      <c r="F501"/>
      <c r="G501"/>
      <c r="H501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/>
      <c r="AU501" s="56"/>
      <c r="AV501" s="56"/>
      <c r="AW501" s="56"/>
      <c r="AX501" s="56"/>
      <c r="AY501" s="56"/>
    </row>
    <row r="502" spans="1:51" x14ac:dyDescent="0.25">
      <c r="A502" s="16"/>
      <c r="C502"/>
      <c r="D502" s="56"/>
      <c r="E502"/>
      <c r="F502"/>
      <c r="G502"/>
      <c r="H502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/>
      <c r="AU502" s="56"/>
      <c r="AV502" s="56"/>
      <c r="AW502" s="56"/>
      <c r="AX502" s="56"/>
      <c r="AY502" s="56"/>
    </row>
    <row r="503" spans="1:51" x14ac:dyDescent="0.25">
      <c r="A503" s="16"/>
      <c r="C503"/>
      <c r="D503" s="56"/>
      <c r="E503"/>
      <c r="F503"/>
      <c r="G503"/>
      <c r="H503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/>
      <c r="AU503" s="56"/>
      <c r="AV503" s="56"/>
      <c r="AW503" s="56"/>
      <c r="AX503" s="56"/>
      <c r="AY503" s="56"/>
    </row>
    <row r="504" spans="1:51" x14ac:dyDescent="0.25">
      <c r="A504" s="16"/>
      <c r="C504"/>
      <c r="D504" s="56"/>
      <c r="E504"/>
      <c r="F504"/>
      <c r="G504"/>
      <c r="H504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/>
      <c r="AU504" s="56"/>
      <c r="AV504" s="56"/>
      <c r="AW504" s="56"/>
      <c r="AX504" s="56"/>
      <c r="AY504" s="56"/>
    </row>
    <row r="505" spans="1:51" x14ac:dyDescent="0.25">
      <c r="A505" s="16"/>
      <c r="C505"/>
      <c r="D505" s="56"/>
      <c r="E505"/>
      <c r="F505"/>
      <c r="G505"/>
      <c r="H505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/>
      <c r="AU505" s="56"/>
      <c r="AV505" s="56"/>
      <c r="AW505" s="56"/>
      <c r="AX505" s="56"/>
      <c r="AY505" s="56"/>
    </row>
    <row r="506" spans="1:51" x14ac:dyDescent="0.25">
      <c r="A506" s="16"/>
      <c r="C506"/>
      <c r="D506" s="56"/>
      <c r="E506"/>
      <c r="F506"/>
      <c r="G506"/>
      <c r="H50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/>
      <c r="AU506" s="56"/>
      <c r="AV506" s="56"/>
      <c r="AW506" s="56"/>
      <c r="AX506" s="56"/>
      <c r="AY506" s="56"/>
    </row>
    <row r="507" spans="1:51" x14ac:dyDescent="0.25">
      <c r="A507" s="16"/>
      <c r="C507"/>
      <c r="D507" s="56"/>
      <c r="E507"/>
      <c r="F507"/>
      <c r="G507"/>
      <c r="H507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/>
      <c r="AU507" s="56"/>
      <c r="AV507" s="56"/>
      <c r="AW507" s="56"/>
      <c r="AX507" s="56"/>
      <c r="AY507" s="56"/>
    </row>
    <row r="508" spans="1:51" x14ac:dyDescent="0.25">
      <c r="A508" s="16"/>
      <c r="C508"/>
      <c r="D508" s="56"/>
      <c r="E508"/>
      <c r="F508"/>
      <c r="G508"/>
      <c r="H508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/>
      <c r="AU508" s="56"/>
      <c r="AV508" s="56"/>
      <c r="AW508" s="56"/>
      <c r="AX508" s="56"/>
      <c r="AY508" s="56"/>
    </row>
    <row r="509" spans="1:51" x14ac:dyDescent="0.25">
      <c r="A509" s="16"/>
      <c r="C509"/>
      <c r="D509" s="56"/>
      <c r="E509"/>
      <c r="F509"/>
      <c r="G509"/>
      <c r="H509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/>
      <c r="AU509" s="56"/>
      <c r="AV509" s="56"/>
      <c r="AW509" s="56"/>
      <c r="AX509" s="56"/>
      <c r="AY509" s="56"/>
    </row>
    <row r="510" spans="1:51" x14ac:dyDescent="0.25">
      <c r="A510" s="16"/>
      <c r="C510"/>
      <c r="D510" s="56"/>
      <c r="E510"/>
      <c r="F510"/>
      <c r="G510"/>
      <c r="H510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/>
      <c r="AU510" s="56"/>
      <c r="AV510" s="56"/>
      <c r="AW510" s="56"/>
      <c r="AX510" s="56"/>
      <c r="AY510" s="56"/>
    </row>
    <row r="511" spans="1:51" x14ac:dyDescent="0.25">
      <c r="A511" s="16"/>
      <c r="C511"/>
      <c r="D511" s="56"/>
      <c r="E511"/>
      <c r="F511"/>
      <c r="G511"/>
      <c r="H511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/>
      <c r="AU511" s="56"/>
      <c r="AV511" s="56"/>
      <c r="AW511" s="56"/>
      <c r="AX511" s="56"/>
      <c r="AY511" s="56"/>
    </row>
    <row r="512" spans="1:51" x14ac:dyDescent="0.25">
      <c r="A512" s="16"/>
      <c r="C512"/>
      <c r="D512" s="56"/>
      <c r="E512"/>
      <c r="F512"/>
      <c r="G512"/>
      <c r="H512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/>
      <c r="AU512" s="56"/>
      <c r="AV512" s="56"/>
      <c r="AW512" s="56"/>
      <c r="AX512" s="56"/>
      <c r="AY512" s="56"/>
    </row>
    <row r="513" spans="1:51" x14ac:dyDescent="0.25">
      <c r="A513" s="16"/>
      <c r="C513"/>
      <c r="D513" s="56"/>
      <c r="E513"/>
      <c r="F513"/>
      <c r="G513"/>
      <c r="H513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/>
      <c r="AU513" s="56"/>
      <c r="AV513" s="56"/>
      <c r="AW513" s="56"/>
      <c r="AX513" s="56"/>
      <c r="AY513" s="56"/>
    </row>
    <row r="514" spans="1:51" x14ac:dyDescent="0.25">
      <c r="A514" s="16"/>
      <c r="C514"/>
      <c r="D514" s="56"/>
      <c r="E514"/>
      <c r="F514"/>
      <c r="G514"/>
      <c r="H514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/>
      <c r="AU514" s="56"/>
      <c r="AV514" s="56"/>
      <c r="AW514" s="56"/>
      <c r="AX514" s="56"/>
      <c r="AY514" s="56"/>
    </row>
    <row r="515" spans="1:51" x14ac:dyDescent="0.25">
      <c r="A515" s="16"/>
      <c r="C515"/>
      <c r="D515" s="56"/>
      <c r="E515"/>
      <c r="F515"/>
      <c r="G515"/>
      <c r="H515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/>
      <c r="AU515" s="56"/>
      <c r="AV515" s="56"/>
      <c r="AW515" s="56"/>
      <c r="AX515" s="56"/>
      <c r="AY515" s="56"/>
    </row>
    <row r="516" spans="1:51" x14ac:dyDescent="0.25">
      <c r="A516" s="16"/>
      <c r="C516"/>
      <c r="D516" s="56"/>
      <c r="E516"/>
      <c r="F516"/>
      <c r="G516"/>
      <c r="H51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/>
      <c r="AU516" s="56"/>
      <c r="AV516" s="56"/>
      <c r="AW516" s="56"/>
      <c r="AX516" s="56"/>
      <c r="AY516" s="56"/>
    </row>
    <row r="517" spans="1:51" x14ac:dyDescent="0.25">
      <c r="A517" s="16"/>
      <c r="C517"/>
      <c r="D517" s="56"/>
      <c r="E517"/>
      <c r="F517"/>
      <c r="G517"/>
      <c r="H517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/>
      <c r="AU517" s="56"/>
      <c r="AV517" s="56"/>
      <c r="AW517" s="56"/>
      <c r="AX517" s="56"/>
      <c r="AY517" s="56"/>
    </row>
    <row r="518" spans="1:51" x14ac:dyDescent="0.25">
      <c r="A518" s="16"/>
      <c r="C518"/>
      <c r="D518" s="56"/>
      <c r="E518"/>
      <c r="F518"/>
      <c r="G518"/>
      <c r="H518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/>
      <c r="AU518" s="56"/>
      <c r="AV518" s="56"/>
      <c r="AW518" s="56"/>
      <c r="AX518" s="56"/>
      <c r="AY518" s="56"/>
    </row>
    <row r="519" spans="1:51" x14ac:dyDescent="0.25">
      <c r="A519" s="16"/>
      <c r="C519"/>
      <c r="D519" s="56"/>
      <c r="E519"/>
      <c r="F519"/>
      <c r="G519"/>
      <c r="H519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/>
      <c r="AU519" s="56"/>
      <c r="AV519" s="56"/>
      <c r="AW519" s="56"/>
      <c r="AX519" s="56"/>
      <c r="AY519" s="56"/>
    </row>
    <row r="520" spans="1:51" x14ac:dyDescent="0.25">
      <c r="A520" s="16"/>
      <c r="C520"/>
      <c r="D520" s="56"/>
      <c r="E520"/>
      <c r="F520"/>
      <c r="G520"/>
      <c r="H520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/>
      <c r="AU520" s="56"/>
      <c r="AV520" s="56"/>
      <c r="AW520" s="56"/>
      <c r="AX520" s="56"/>
      <c r="AY520" s="56"/>
    </row>
    <row r="521" spans="1:51" x14ac:dyDescent="0.25">
      <c r="A521" s="16"/>
      <c r="C521"/>
      <c r="D521" s="56"/>
      <c r="E521"/>
      <c r="F521"/>
      <c r="G521"/>
      <c r="H521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/>
      <c r="AU521" s="56"/>
      <c r="AV521" s="56"/>
      <c r="AW521" s="56"/>
      <c r="AX521" s="56"/>
      <c r="AY521" s="56"/>
    </row>
    <row r="522" spans="1:51" x14ac:dyDescent="0.25">
      <c r="A522" s="16"/>
      <c r="C522"/>
      <c r="D522" s="56"/>
      <c r="E522"/>
      <c r="F522"/>
      <c r="G522"/>
      <c r="H522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/>
      <c r="AU522" s="56"/>
      <c r="AV522" s="56"/>
      <c r="AW522" s="56"/>
      <c r="AX522" s="56"/>
      <c r="AY522" s="56"/>
    </row>
    <row r="523" spans="1:51" x14ac:dyDescent="0.25">
      <c r="A523" s="16"/>
      <c r="C523"/>
      <c r="D523" s="56"/>
      <c r="E523"/>
      <c r="F523"/>
      <c r="G523"/>
      <c r="H523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/>
      <c r="AU523" s="56"/>
      <c r="AV523" s="56"/>
      <c r="AW523" s="56"/>
      <c r="AX523" s="56"/>
      <c r="AY523" s="56"/>
    </row>
    <row r="524" spans="1:51" x14ac:dyDescent="0.25">
      <c r="A524" s="16"/>
      <c r="C524"/>
      <c r="D524" s="56"/>
      <c r="E524"/>
      <c r="F524"/>
      <c r="G524"/>
      <c r="H524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/>
      <c r="AU524" s="56"/>
      <c r="AV524" s="56"/>
      <c r="AW524" s="56"/>
      <c r="AX524" s="56"/>
      <c r="AY524" s="56"/>
    </row>
    <row r="525" spans="1:51" x14ac:dyDescent="0.25">
      <c r="A525" s="16"/>
      <c r="C525"/>
      <c r="D525" s="56"/>
      <c r="E525"/>
      <c r="F525"/>
      <c r="G525"/>
      <c r="H525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/>
      <c r="AU525" s="56"/>
      <c r="AV525" s="56"/>
      <c r="AW525" s="56"/>
      <c r="AX525" s="56"/>
      <c r="AY525" s="56"/>
    </row>
    <row r="526" spans="1:51" x14ac:dyDescent="0.25">
      <c r="A526" s="16"/>
      <c r="C526"/>
      <c r="D526" s="56"/>
      <c r="E526"/>
      <c r="F526"/>
      <c r="G526"/>
      <c r="H52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/>
      <c r="AU526" s="56"/>
      <c r="AV526" s="56"/>
      <c r="AW526" s="56"/>
      <c r="AX526" s="56"/>
      <c r="AY526" s="56"/>
    </row>
    <row r="527" spans="1:51" x14ac:dyDescent="0.25">
      <c r="A527" s="16"/>
      <c r="C527"/>
      <c r="D527" s="56"/>
      <c r="E527"/>
      <c r="F527"/>
      <c r="G527"/>
      <c r="H527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/>
      <c r="AU527" s="56"/>
      <c r="AV527" s="56"/>
      <c r="AW527" s="56"/>
      <c r="AX527" s="56"/>
      <c r="AY527" s="56"/>
    </row>
    <row r="528" spans="1:51" x14ac:dyDescent="0.25">
      <c r="A528" s="16"/>
      <c r="C528"/>
      <c r="D528" s="56"/>
      <c r="E528"/>
      <c r="F528"/>
      <c r="G528"/>
      <c r="H528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/>
      <c r="AU528" s="56"/>
      <c r="AV528" s="56"/>
      <c r="AW528" s="56"/>
      <c r="AX528" s="56"/>
      <c r="AY528" s="56"/>
    </row>
    <row r="529" spans="1:51" x14ac:dyDescent="0.25">
      <c r="A529" s="16"/>
      <c r="C529"/>
      <c r="D529" s="56"/>
      <c r="E529"/>
      <c r="F529"/>
      <c r="G529"/>
      <c r="H529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/>
      <c r="AU529" s="56"/>
      <c r="AV529" s="56"/>
      <c r="AW529" s="56"/>
      <c r="AX529" s="56"/>
      <c r="AY529" s="56"/>
    </row>
    <row r="530" spans="1:51" x14ac:dyDescent="0.25">
      <c r="A530" s="16"/>
      <c r="C530"/>
      <c r="D530" s="56"/>
      <c r="E530"/>
      <c r="F530"/>
      <c r="G530"/>
      <c r="H530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/>
      <c r="AU530" s="56"/>
      <c r="AV530" s="56"/>
      <c r="AW530" s="56"/>
      <c r="AX530" s="56"/>
      <c r="AY530" s="56"/>
    </row>
    <row r="531" spans="1:51" x14ac:dyDescent="0.25">
      <c r="A531" s="16"/>
      <c r="C531"/>
      <c r="D531" s="56"/>
      <c r="E531"/>
      <c r="F531"/>
      <c r="G531"/>
      <c r="H531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/>
      <c r="AU531" s="56"/>
      <c r="AV531" s="56"/>
      <c r="AW531" s="56"/>
      <c r="AX531" s="56"/>
      <c r="AY531" s="56"/>
    </row>
    <row r="532" spans="1:51" x14ac:dyDescent="0.25">
      <c r="A532" s="16"/>
      <c r="C532"/>
      <c r="D532" s="56"/>
      <c r="E532"/>
      <c r="F532"/>
      <c r="G532"/>
      <c r="H532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/>
      <c r="AU532" s="56"/>
      <c r="AV532" s="56"/>
      <c r="AW532" s="56"/>
      <c r="AX532" s="56"/>
      <c r="AY532" s="56"/>
    </row>
    <row r="533" spans="1:51" x14ac:dyDescent="0.25">
      <c r="A533" s="16"/>
      <c r="C533"/>
      <c r="D533" s="56"/>
      <c r="E533"/>
      <c r="F533"/>
      <c r="G533"/>
      <c r="H533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/>
      <c r="AU533" s="56"/>
      <c r="AV533" s="56"/>
      <c r="AW533" s="56"/>
      <c r="AX533" s="56"/>
      <c r="AY533" s="56"/>
    </row>
    <row r="534" spans="1:51" x14ac:dyDescent="0.25">
      <c r="A534" s="16"/>
      <c r="C534"/>
      <c r="D534" s="56"/>
      <c r="E534"/>
      <c r="F534"/>
      <c r="G534"/>
      <c r="H534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/>
      <c r="AU534" s="56"/>
      <c r="AV534" s="56"/>
      <c r="AW534" s="56"/>
      <c r="AX534" s="56"/>
      <c r="AY534" s="56"/>
    </row>
    <row r="535" spans="1:51" x14ac:dyDescent="0.25">
      <c r="A535" s="16"/>
      <c r="C535"/>
      <c r="D535" s="56"/>
      <c r="E535"/>
      <c r="F535"/>
      <c r="G535"/>
      <c r="H535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/>
      <c r="AU535" s="56"/>
      <c r="AV535" s="56"/>
      <c r="AW535" s="56"/>
      <c r="AX535" s="56"/>
      <c r="AY535" s="56"/>
    </row>
    <row r="536" spans="1:51" x14ac:dyDescent="0.25">
      <c r="A536" s="16"/>
      <c r="C536"/>
      <c r="D536" s="56"/>
      <c r="E536"/>
      <c r="F536"/>
      <c r="G536"/>
      <c r="H53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/>
      <c r="AU536" s="56"/>
      <c r="AV536" s="56"/>
      <c r="AW536" s="56"/>
      <c r="AX536" s="56"/>
      <c r="AY536" s="56"/>
    </row>
    <row r="537" spans="1:51" x14ac:dyDescent="0.25">
      <c r="A537" s="16"/>
      <c r="C537"/>
      <c r="D537" s="56"/>
      <c r="E537"/>
      <c r="F537"/>
      <c r="G537"/>
      <c r="H537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/>
      <c r="AU537" s="56"/>
      <c r="AV537" s="56"/>
      <c r="AW537" s="56"/>
      <c r="AX537" s="56"/>
      <c r="AY537" s="56"/>
    </row>
    <row r="538" spans="1:51" x14ac:dyDescent="0.25">
      <c r="A538" s="16"/>
      <c r="C538"/>
      <c r="D538" s="56"/>
      <c r="E538"/>
      <c r="F538"/>
      <c r="G538"/>
      <c r="H538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/>
      <c r="AU538" s="56"/>
      <c r="AV538" s="56"/>
      <c r="AW538" s="56"/>
      <c r="AX538" s="56"/>
      <c r="AY538" s="56"/>
    </row>
    <row r="539" spans="1:51" x14ac:dyDescent="0.25">
      <c r="A539" s="16"/>
      <c r="C539"/>
      <c r="D539" s="56"/>
      <c r="E539"/>
      <c r="F539"/>
      <c r="G539"/>
      <c r="H539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/>
      <c r="AU539" s="56"/>
      <c r="AV539" s="56"/>
      <c r="AW539" s="56"/>
      <c r="AX539" s="56"/>
      <c r="AY539" s="56"/>
    </row>
    <row r="540" spans="1:51" x14ac:dyDescent="0.25">
      <c r="A540" s="16"/>
      <c r="C540"/>
      <c r="D540" s="56"/>
      <c r="E540"/>
      <c r="F540"/>
      <c r="G540"/>
      <c r="H540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/>
      <c r="AU540" s="56"/>
      <c r="AV540" s="56"/>
      <c r="AW540" s="56"/>
      <c r="AX540" s="56"/>
      <c r="AY540" s="56"/>
    </row>
    <row r="541" spans="1:51" x14ac:dyDescent="0.25">
      <c r="A541" s="16"/>
      <c r="C541"/>
      <c r="D541" s="56"/>
      <c r="E541"/>
      <c r="F541"/>
      <c r="G541"/>
      <c r="H541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/>
      <c r="AU541" s="56"/>
      <c r="AV541" s="56"/>
      <c r="AW541" s="56"/>
      <c r="AX541" s="56"/>
      <c r="AY541" s="56"/>
    </row>
    <row r="542" spans="1:51" x14ac:dyDescent="0.25">
      <c r="A542" s="16"/>
      <c r="C542"/>
      <c r="D542" s="56"/>
      <c r="E542"/>
      <c r="F542"/>
      <c r="G542"/>
      <c r="H542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/>
      <c r="AU542" s="56"/>
      <c r="AV542" s="56"/>
      <c r="AW542" s="56"/>
      <c r="AX542" s="56"/>
      <c r="AY542" s="56"/>
    </row>
    <row r="543" spans="1:51" x14ac:dyDescent="0.25">
      <c r="A543" s="16"/>
      <c r="C543"/>
      <c r="D543" s="56"/>
      <c r="E543"/>
      <c r="F543"/>
      <c r="G543"/>
      <c r="H543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/>
      <c r="AU543" s="56"/>
      <c r="AV543" s="56"/>
      <c r="AW543" s="56"/>
      <c r="AX543" s="56"/>
      <c r="AY543" s="56"/>
    </row>
    <row r="544" spans="1:51" x14ac:dyDescent="0.25">
      <c r="A544" s="16"/>
      <c r="C544"/>
      <c r="D544" s="56"/>
      <c r="E544"/>
      <c r="F544"/>
      <c r="G544"/>
      <c r="H544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/>
      <c r="AU544" s="56"/>
      <c r="AV544" s="56"/>
      <c r="AW544" s="56"/>
      <c r="AX544" s="56"/>
      <c r="AY544" s="56"/>
    </row>
    <row r="545" spans="1:51" x14ac:dyDescent="0.25">
      <c r="A545" s="16"/>
      <c r="C545"/>
      <c r="D545" s="56"/>
      <c r="E545"/>
      <c r="F545"/>
      <c r="G545"/>
      <c r="H545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/>
      <c r="AU545" s="56"/>
      <c r="AV545" s="56"/>
      <c r="AW545" s="56"/>
      <c r="AX545" s="56"/>
      <c r="AY545" s="56"/>
    </row>
    <row r="546" spans="1:51" x14ac:dyDescent="0.25">
      <c r="A546" s="16"/>
      <c r="C546"/>
      <c r="D546" s="56"/>
      <c r="E546"/>
      <c r="F546"/>
      <c r="G546"/>
      <c r="H54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/>
      <c r="AU546" s="56"/>
      <c r="AV546" s="56"/>
      <c r="AW546" s="56"/>
      <c r="AX546" s="56"/>
      <c r="AY546" s="56"/>
    </row>
    <row r="547" spans="1:51" x14ac:dyDescent="0.25">
      <c r="A547" s="16"/>
      <c r="C547"/>
      <c r="D547" s="56"/>
      <c r="E547"/>
      <c r="F547"/>
      <c r="G547"/>
      <c r="H547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/>
      <c r="AU547" s="56"/>
      <c r="AV547" s="56"/>
      <c r="AW547" s="56"/>
      <c r="AX547" s="56"/>
      <c r="AY547" s="56"/>
    </row>
    <row r="548" spans="1:51" x14ac:dyDescent="0.25">
      <c r="A548" s="16"/>
      <c r="C548"/>
      <c r="D548" s="56"/>
      <c r="E548"/>
      <c r="F548"/>
      <c r="G548"/>
      <c r="H548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/>
      <c r="AU548" s="56"/>
      <c r="AV548" s="56"/>
      <c r="AW548" s="56"/>
      <c r="AX548" s="56"/>
      <c r="AY548" s="56"/>
    </row>
    <row r="549" spans="1:51" x14ac:dyDescent="0.25">
      <c r="A549" s="16"/>
      <c r="C549"/>
      <c r="D549" s="56"/>
      <c r="E549"/>
      <c r="F549"/>
      <c r="G549"/>
      <c r="H549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/>
      <c r="AU549" s="56"/>
      <c r="AV549" s="56"/>
      <c r="AW549" s="56"/>
      <c r="AX549" s="56"/>
      <c r="AY549" s="56"/>
    </row>
    <row r="550" spans="1:51" x14ac:dyDescent="0.25">
      <c r="A550" s="16"/>
      <c r="C550"/>
      <c r="D550" s="56"/>
      <c r="E550"/>
      <c r="F550"/>
      <c r="G550"/>
      <c r="H550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/>
      <c r="AU550" s="56"/>
      <c r="AV550" s="56"/>
      <c r="AW550" s="56"/>
      <c r="AX550" s="56"/>
      <c r="AY550" s="56"/>
    </row>
    <row r="551" spans="1:51" x14ac:dyDescent="0.25">
      <c r="A551" s="16"/>
      <c r="C551"/>
      <c r="D551" s="56"/>
      <c r="E551"/>
      <c r="F551"/>
      <c r="G551"/>
      <c r="H551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/>
      <c r="AU551" s="56"/>
      <c r="AV551" s="56"/>
      <c r="AW551" s="56"/>
      <c r="AX551" s="56"/>
      <c r="AY551" s="56"/>
    </row>
    <row r="552" spans="1:51" x14ac:dyDescent="0.25">
      <c r="A552" s="16"/>
      <c r="C552"/>
      <c r="D552" s="56"/>
      <c r="E552"/>
      <c r="F552"/>
      <c r="G552"/>
      <c r="H552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/>
      <c r="AU552" s="56"/>
      <c r="AV552" s="56"/>
      <c r="AW552" s="56"/>
      <c r="AX552" s="56"/>
      <c r="AY552" s="56"/>
    </row>
    <row r="553" spans="1:51" x14ac:dyDescent="0.25">
      <c r="A553" s="16"/>
      <c r="C553"/>
      <c r="D553" s="56"/>
      <c r="E553"/>
      <c r="F553"/>
      <c r="G553"/>
      <c r="H553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/>
      <c r="AU553" s="56"/>
      <c r="AV553" s="56"/>
      <c r="AW553" s="56"/>
      <c r="AX553" s="56"/>
      <c r="AY553" s="56"/>
    </row>
    <row r="554" spans="1:51" x14ac:dyDescent="0.25">
      <c r="A554" s="16"/>
      <c r="C554"/>
      <c r="D554" s="56"/>
      <c r="E554"/>
      <c r="F554"/>
      <c r="G554"/>
      <c r="H554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/>
      <c r="AU554" s="56"/>
      <c r="AV554" s="56"/>
      <c r="AW554" s="56"/>
      <c r="AX554" s="56"/>
      <c r="AY554" s="56"/>
    </row>
    <row r="555" spans="1:51" x14ac:dyDescent="0.25">
      <c r="A555" s="16"/>
      <c r="C555"/>
      <c r="D555" s="56"/>
      <c r="E555"/>
      <c r="F555"/>
      <c r="G555"/>
      <c r="H555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/>
      <c r="AU555" s="56"/>
      <c r="AV555" s="56"/>
      <c r="AW555" s="56"/>
      <c r="AX555" s="56"/>
      <c r="AY555" s="56"/>
    </row>
    <row r="556" spans="1:51" x14ac:dyDescent="0.25">
      <c r="A556" s="16"/>
      <c r="C556"/>
      <c r="D556" s="56"/>
      <c r="E556"/>
      <c r="F556"/>
      <c r="G556"/>
      <c r="H5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/>
      <c r="AU556" s="56"/>
      <c r="AV556" s="56"/>
      <c r="AW556" s="56"/>
      <c r="AX556" s="56"/>
      <c r="AY556" s="56"/>
    </row>
    <row r="557" spans="1:51" x14ac:dyDescent="0.25">
      <c r="A557" s="16"/>
      <c r="C557"/>
      <c r="D557" s="56"/>
      <c r="E557"/>
      <c r="F557"/>
      <c r="G557"/>
      <c r="H557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/>
      <c r="AU557" s="56"/>
      <c r="AV557" s="56"/>
      <c r="AW557" s="56"/>
      <c r="AX557" s="56"/>
      <c r="AY557" s="56"/>
    </row>
    <row r="558" spans="1:51" x14ac:dyDescent="0.25">
      <c r="A558" s="16"/>
      <c r="C558"/>
      <c r="D558" s="56"/>
      <c r="E558"/>
      <c r="F558"/>
      <c r="G558"/>
      <c r="H558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/>
      <c r="AU558" s="56"/>
      <c r="AV558" s="56"/>
      <c r="AW558" s="56"/>
      <c r="AX558" s="56"/>
      <c r="AY558" s="56"/>
    </row>
    <row r="559" spans="1:51" x14ac:dyDescent="0.25">
      <c r="A559" s="16"/>
      <c r="C559"/>
      <c r="D559" s="56"/>
      <c r="E559"/>
      <c r="F559"/>
      <c r="G559"/>
      <c r="H559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/>
      <c r="AU559" s="56"/>
      <c r="AV559" s="56"/>
      <c r="AW559" s="56"/>
      <c r="AX559" s="56"/>
      <c r="AY559" s="56"/>
    </row>
    <row r="560" spans="1:51" x14ac:dyDescent="0.25">
      <c r="A560" s="16"/>
      <c r="C560"/>
      <c r="D560" s="56"/>
      <c r="E560"/>
      <c r="F560"/>
      <c r="G560"/>
      <c r="H560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/>
      <c r="AU560" s="56"/>
      <c r="AV560" s="56"/>
      <c r="AW560" s="56"/>
      <c r="AX560" s="56"/>
      <c r="AY560" s="56"/>
    </row>
    <row r="561" spans="1:51" x14ac:dyDescent="0.25">
      <c r="A561" s="16"/>
      <c r="C561"/>
      <c r="D561" s="56"/>
      <c r="E561"/>
      <c r="F561"/>
      <c r="G561"/>
      <c r="H561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/>
      <c r="AU561" s="56"/>
      <c r="AV561" s="56"/>
      <c r="AW561" s="56"/>
      <c r="AX561" s="56"/>
      <c r="AY561" s="56"/>
    </row>
    <row r="562" spans="1:51" x14ac:dyDescent="0.25">
      <c r="A562" s="16"/>
      <c r="C562"/>
      <c r="D562" s="56"/>
      <c r="E562"/>
      <c r="F562"/>
      <c r="G562"/>
      <c r="H562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/>
      <c r="AU562" s="56"/>
      <c r="AV562" s="56"/>
      <c r="AW562" s="56"/>
      <c r="AX562" s="56"/>
      <c r="AY562" s="56"/>
    </row>
    <row r="563" spans="1:51" x14ac:dyDescent="0.25">
      <c r="A563" s="16"/>
      <c r="C563"/>
      <c r="D563" s="56"/>
      <c r="E563"/>
      <c r="F563"/>
      <c r="G563"/>
      <c r="H563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/>
      <c r="AU563" s="56"/>
      <c r="AV563" s="56"/>
      <c r="AW563" s="56"/>
      <c r="AX563" s="56"/>
      <c r="AY563" s="56"/>
    </row>
    <row r="564" spans="1:51" x14ac:dyDescent="0.25">
      <c r="A564" s="16"/>
      <c r="C564"/>
      <c r="D564" s="56"/>
      <c r="E564"/>
      <c r="F564"/>
      <c r="G564"/>
      <c r="H564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/>
      <c r="AU564" s="56"/>
      <c r="AV564" s="56"/>
      <c r="AW564" s="56"/>
      <c r="AX564" s="56"/>
      <c r="AY564" s="56"/>
    </row>
    <row r="565" spans="1:51" x14ac:dyDescent="0.25">
      <c r="A565" s="16"/>
      <c r="C565"/>
      <c r="D565" s="56"/>
      <c r="E565"/>
      <c r="F565"/>
      <c r="G565"/>
      <c r="H565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/>
      <c r="AU565" s="56"/>
      <c r="AV565" s="56"/>
      <c r="AW565" s="56"/>
      <c r="AX565" s="56"/>
      <c r="AY565" s="56"/>
    </row>
    <row r="566" spans="1:51" x14ac:dyDescent="0.25">
      <c r="A566" s="16"/>
      <c r="C566"/>
      <c r="D566" s="56"/>
      <c r="E566"/>
      <c r="F566"/>
      <c r="G566"/>
      <c r="H56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/>
      <c r="AU566" s="56"/>
      <c r="AV566" s="56"/>
      <c r="AW566" s="56"/>
      <c r="AX566" s="56"/>
      <c r="AY566" s="56"/>
    </row>
    <row r="567" spans="1:51" x14ac:dyDescent="0.25">
      <c r="A567" s="16"/>
      <c r="C567"/>
      <c r="D567" s="56"/>
      <c r="E567"/>
      <c r="F567"/>
      <c r="G567"/>
      <c r="H567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/>
      <c r="AU567" s="56"/>
      <c r="AV567" s="56"/>
      <c r="AW567" s="56"/>
      <c r="AX567" s="56"/>
      <c r="AY567" s="56"/>
    </row>
    <row r="568" spans="1:51" x14ac:dyDescent="0.25">
      <c r="A568" s="16"/>
      <c r="C568"/>
      <c r="D568" s="56"/>
      <c r="E568"/>
      <c r="F568"/>
      <c r="G568"/>
      <c r="H568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/>
      <c r="AU568" s="56"/>
      <c r="AV568" s="56"/>
      <c r="AW568" s="56"/>
      <c r="AX568" s="56"/>
      <c r="AY568" s="56"/>
    </row>
    <row r="569" spans="1:51" x14ac:dyDescent="0.25">
      <c r="A569" s="16"/>
      <c r="C569"/>
      <c r="D569" s="56"/>
      <c r="E569"/>
      <c r="F569"/>
      <c r="G569"/>
      <c r="H569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/>
      <c r="AU569" s="56"/>
      <c r="AV569" s="56"/>
      <c r="AW569" s="56"/>
      <c r="AX569" s="56"/>
      <c r="AY569" s="56"/>
    </row>
    <row r="570" spans="1:51" x14ac:dyDescent="0.25">
      <c r="A570" s="16"/>
      <c r="C570"/>
      <c r="D570" s="56"/>
      <c r="E570"/>
      <c r="F570"/>
      <c r="G570"/>
      <c r="H570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/>
      <c r="AU570" s="56"/>
      <c r="AV570" s="56"/>
      <c r="AW570" s="56"/>
      <c r="AX570" s="56"/>
      <c r="AY570" s="56"/>
    </row>
    <row r="571" spans="1:51" x14ac:dyDescent="0.25">
      <c r="A571" s="16"/>
      <c r="C571"/>
      <c r="D571" s="56"/>
      <c r="E571"/>
      <c r="F571"/>
      <c r="G571"/>
      <c r="H571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/>
      <c r="AU571" s="56"/>
      <c r="AV571" s="56"/>
      <c r="AW571" s="56"/>
      <c r="AX571" s="56"/>
      <c r="AY571" s="56"/>
    </row>
    <row r="572" spans="1:51" x14ac:dyDescent="0.25">
      <c r="A572" s="16"/>
      <c r="C572"/>
      <c r="D572" s="56"/>
      <c r="E572"/>
      <c r="F572"/>
      <c r="G572"/>
      <c r="H572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/>
      <c r="AU572" s="56"/>
      <c r="AV572" s="56"/>
      <c r="AW572" s="56"/>
      <c r="AX572" s="56"/>
      <c r="AY572" s="56"/>
    </row>
    <row r="573" spans="1:51" x14ac:dyDescent="0.25">
      <c r="A573" s="16"/>
      <c r="C573"/>
      <c r="D573" s="56"/>
      <c r="E573"/>
      <c r="F573"/>
      <c r="G573"/>
      <c r="H573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/>
      <c r="AU573" s="56"/>
      <c r="AV573" s="56"/>
      <c r="AW573" s="56"/>
      <c r="AX573" s="56"/>
      <c r="AY573" s="56"/>
    </row>
    <row r="574" spans="1:51" x14ac:dyDescent="0.25">
      <c r="A574" s="16"/>
      <c r="C574"/>
      <c r="D574" s="56"/>
      <c r="E574"/>
      <c r="F574"/>
      <c r="G574"/>
      <c r="H574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/>
      <c r="AU574" s="56"/>
      <c r="AV574" s="56"/>
      <c r="AW574" s="56"/>
      <c r="AX574" s="56"/>
      <c r="AY574" s="56"/>
    </row>
    <row r="575" spans="1:51" x14ac:dyDescent="0.25">
      <c r="A575" s="16"/>
      <c r="C575"/>
      <c r="D575" s="56"/>
      <c r="E575"/>
      <c r="F575"/>
      <c r="G575"/>
      <c r="H575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/>
      <c r="AU575" s="56"/>
      <c r="AV575" s="56"/>
      <c r="AW575" s="56"/>
      <c r="AX575" s="56"/>
      <c r="AY575" s="56"/>
    </row>
    <row r="576" spans="1:51" x14ac:dyDescent="0.25">
      <c r="A576" s="16"/>
      <c r="C576"/>
      <c r="D576" s="56"/>
      <c r="E576"/>
      <c r="F576"/>
      <c r="G576"/>
      <c r="H57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/>
      <c r="AU576" s="56"/>
      <c r="AV576" s="56"/>
      <c r="AW576" s="56"/>
      <c r="AX576" s="56"/>
      <c r="AY576" s="56"/>
    </row>
    <row r="577" spans="1:51" x14ac:dyDescent="0.25">
      <c r="A577" s="16"/>
      <c r="C577"/>
      <c r="D577" s="56"/>
      <c r="E577"/>
      <c r="F577"/>
      <c r="G577"/>
      <c r="H577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/>
      <c r="AU577" s="56"/>
      <c r="AV577" s="56"/>
      <c r="AW577" s="56"/>
      <c r="AX577" s="56"/>
      <c r="AY577" s="56"/>
    </row>
    <row r="578" spans="1:51" x14ac:dyDescent="0.25">
      <c r="A578" s="16"/>
      <c r="C578"/>
      <c r="D578" s="56"/>
      <c r="E578"/>
      <c r="F578"/>
      <c r="G578"/>
      <c r="H578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/>
      <c r="AU578" s="56"/>
      <c r="AV578" s="56"/>
      <c r="AW578" s="56"/>
      <c r="AX578" s="56"/>
      <c r="AY578" s="56"/>
    </row>
    <row r="579" spans="1:51" x14ac:dyDescent="0.25">
      <c r="A579" s="16"/>
      <c r="C579"/>
      <c r="D579" s="56"/>
      <c r="E579"/>
      <c r="F579"/>
      <c r="G579"/>
      <c r="H579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/>
      <c r="AU579" s="56"/>
      <c r="AV579" s="56"/>
      <c r="AW579" s="56"/>
      <c r="AX579" s="56"/>
      <c r="AY579" s="56"/>
    </row>
    <row r="580" spans="1:51" x14ac:dyDescent="0.25">
      <c r="A580" s="16"/>
      <c r="C580"/>
      <c r="D580" s="56"/>
      <c r="E580"/>
      <c r="F580"/>
      <c r="G580"/>
      <c r="H580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/>
      <c r="AU580" s="56"/>
      <c r="AV580" s="56"/>
      <c r="AW580" s="56"/>
      <c r="AX580" s="56"/>
      <c r="AY580" s="56"/>
    </row>
    <row r="581" spans="1:51" x14ac:dyDescent="0.25">
      <c r="A581" s="16"/>
      <c r="C581"/>
      <c r="D581" s="56"/>
      <c r="E581"/>
      <c r="F581"/>
      <c r="G581"/>
      <c r="H581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/>
      <c r="AU581" s="56"/>
      <c r="AV581" s="56"/>
      <c r="AW581" s="56"/>
      <c r="AX581" s="56"/>
      <c r="AY581" s="56"/>
    </row>
    <row r="582" spans="1:51" x14ac:dyDescent="0.25">
      <c r="A582" s="16"/>
      <c r="C582"/>
      <c r="D582" s="56"/>
      <c r="E582"/>
      <c r="F582"/>
      <c r="G582"/>
      <c r="H582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/>
      <c r="AU582" s="56"/>
      <c r="AV582" s="56"/>
      <c r="AW582" s="56"/>
      <c r="AX582" s="56"/>
      <c r="AY582" s="56"/>
    </row>
    <row r="583" spans="1:51" x14ac:dyDescent="0.25">
      <c r="A583" s="16"/>
      <c r="C583"/>
      <c r="D583" s="56"/>
      <c r="E583"/>
      <c r="F583"/>
      <c r="G583"/>
      <c r="H583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/>
      <c r="AU583" s="56"/>
      <c r="AV583" s="56"/>
      <c r="AW583" s="56"/>
      <c r="AX583" s="56"/>
      <c r="AY583" s="56"/>
    </row>
    <row r="584" spans="1:51" x14ac:dyDescent="0.25">
      <c r="A584" s="16"/>
      <c r="C584"/>
      <c r="D584" s="56"/>
      <c r="E584"/>
      <c r="F584"/>
      <c r="G584"/>
      <c r="H584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/>
      <c r="AU584" s="56"/>
      <c r="AV584" s="56"/>
      <c r="AW584" s="56"/>
      <c r="AX584" s="56"/>
      <c r="AY584" s="56"/>
    </row>
    <row r="585" spans="1:51" x14ac:dyDescent="0.25">
      <c r="A585" s="16"/>
      <c r="C585"/>
      <c r="D585" s="56"/>
      <c r="E585"/>
      <c r="F585"/>
      <c r="G585"/>
      <c r="H585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/>
      <c r="AU585" s="56"/>
      <c r="AV585" s="56"/>
      <c r="AW585" s="56"/>
      <c r="AX585" s="56"/>
      <c r="AY585" s="56"/>
    </row>
    <row r="586" spans="1:51" x14ac:dyDescent="0.25">
      <c r="A586" s="16"/>
      <c r="C586"/>
      <c r="D586" s="56"/>
      <c r="E586"/>
      <c r="F586"/>
      <c r="G586"/>
      <c r="H58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/>
      <c r="AU586" s="56"/>
      <c r="AV586" s="56"/>
      <c r="AW586" s="56"/>
      <c r="AX586" s="56"/>
      <c r="AY586" s="56"/>
    </row>
    <row r="587" spans="1:51" x14ac:dyDescent="0.25">
      <c r="A587" s="16"/>
      <c r="C587"/>
      <c r="D587" s="56"/>
      <c r="E587"/>
      <c r="F587"/>
      <c r="G587"/>
      <c r="H587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/>
      <c r="AU587" s="56"/>
      <c r="AV587" s="56"/>
      <c r="AW587" s="56"/>
      <c r="AX587" s="56"/>
      <c r="AY587" s="56"/>
    </row>
    <row r="588" spans="1:51" x14ac:dyDescent="0.25">
      <c r="A588" s="16"/>
      <c r="C588"/>
      <c r="D588" s="56"/>
      <c r="E588"/>
      <c r="F588"/>
      <c r="G588"/>
      <c r="H588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/>
      <c r="AU588" s="56"/>
      <c r="AV588" s="56"/>
      <c r="AW588" s="56"/>
      <c r="AX588" s="56"/>
      <c r="AY588" s="56"/>
    </row>
    <row r="589" spans="1:51" x14ac:dyDescent="0.25">
      <c r="A589" s="16"/>
      <c r="C589"/>
      <c r="D589" s="56"/>
      <c r="E589"/>
      <c r="F589"/>
      <c r="G589"/>
      <c r="H589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/>
      <c r="AU589" s="56"/>
      <c r="AV589" s="56"/>
      <c r="AW589" s="56"/>
      <c r="AX589" s="56"/>
      <c r="AY589" s="56"/>
    </row>
    <row r="590" spans="1:51" x14ac:dyDescent="0.25">
      <c r="A590" s="16"/>
      <c r="C590"/>
      <c r="D590" s="56"/>
      <c r="E590"/>
      <c r="F590"/>
      <c r="G590"/>
      <c r="H590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/>
      <c r="AU590" s="56"/>
      <c r="AV590" s="56"/>
      <c r="AW590" s="56"/>
      <c r="AX590" s="56"/>
      <c r="AY590" s="56"/>
    </row>
    <row r="591" spans="1:51" x14ac:dyDescent="0.25">
      <c r="A591" s="16"/>
      <c r="C591"/>
      <c r="D591" s="56"/>
      <c r="E591"/>
      <c r="F591"/>
      <c r="G591"/>
      <c r="H591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/>
      <c r="AU591" s="56"/>
      <c r="AV591" s="56"/>
      <c r="AW591" s="56"/>
      <c r="AX591" s="56"/>
      <c r="AY591" s="56"/>
    </row>
    <row r="592" spans="1:51" x14ac:dyDescent="0.25">
      <c r="A592" s="16"/>
      <c r="C592"/>
      <c r="D592" s="56"/>
      <c r="E592"/>
      <c r="F592"/>
      <c r="G592"/>
      <c r="H592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/>
      <c r="AU592" s="56"/>
      <c r="AV592" s="56"/>
      <c r="AW592" s="56"/>
      <c r="AX592" s="56"/>
      <c r="AY592" s="56"/>
    </row>
    <row r="593" spans="1:51" x14ac:dyDescent="0.25">
      <c r="A593" s="16"/>
      <c r="C593"/>
      <c r="D593" s="56"/>
      <c r="E593"/>
      <c r="F593"/>
      <c r="G593"/>
      <c r="H593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/>
      <c r="AU593" s="56"/>
      <c r="AV593" s="56"/>
      <c r="AW593" s="56"/>
      <c r="AX593" s="56"/>
      <c r="AY593" s="56"/>
    </row>
    <row r="594" spans="1:51" x14ac:dyDescent="0.25">
      <c r="A594" s="16"/>
      <c r="C594"/>
      <c r="D594" s="56"/>
      <c r="E594"/>
      <c r="F594"/>
      <c r="G594"/>
      <c r="H594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/>
      <c r="AU594" s="56"/>
      <c r="AV594" s="56"/>
      <c r="AW594" s="56"/>
      <c r="AX594" s="56"/>
      <c r="AY594" s="56"/>
    </row>
    <row r="595" spans="1:51" x14ac:dyDescent="0.25">
      <c r="A595" s="16"/>
      <c r="C595"/>
      <c r="D595" s="56"/>
      <c r="E595"/>
      <c r="F595"/>
      <c r="G595"/>
      <c r="H595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/>
      <c r="AU595" s="56"/>
      <c r="AV595" s="56"/>
      <c r="AW595" s="56"/>
      <c r="AX595" s="56"/>
      <c r="AY595" s="56"/>
    </row>
    <row r="596" spans="1:51" x14ac:dyDescent="0.25">
      <c r="A596" s="16"/>
      <c r="C596"/>
      <c r="D596" s="56"/>
      <c r="E596"/>
      <c r="F596"/>
      <c r="G596"/>
      <c r="H59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/>
      <c r="AU596" s="56"/>
      <c r="AV596" s="56"/>
      <c r="AW596" s="56"/>
      <c r="AX596" s="56"/>
      <c r="AY596" s="56"/>
    </row>
    <row r="597" spans="1:51" x14ac:dyDescent="0.25">
      <c r="A597" s="16"/>
      <c r="C597"/>
      <c r="D597" s="56"/>
      <c r="E597"/>
      <c r="F597"/>
      <c r="G597"/>
      <c r="H597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/>
      <c r="AU597" s="56"/>
      <c r="AV597" s="56"/>
      <c r="AW597" s="56"/>
      <c r="AX597" s="56"/>
      <c r="AY597" s="56"/>
    </row>
    <row r="598" spans="1:51" x14ac:dyDescent="0.25">
      <c r="A598" s="16"/>
      <c r="C598"/>
      <c r="D598" s="56"/>
      <c r="E598"/>
      <c r="F598"/>
      <c r="G598"/>
      <c r="H598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/>
      <c r="AU598" s="56"/>
      <c r="AV598" s="56"/>
      <c r="AW598" s="56"/>
      <c r="AX598" s="56"/>
      <c r="AY598" s="56"/>
    </row>
    <row r="599" spans="1:51" x14ac:dyDescent="0.25">
      <c r="A599" s="16"/>
      <c r="C599"/>
      <c r="D599" s="56"/>
      <c r="E599"/>
      <c r="F599"/>
      <c r="G599"/>
      <c r="H599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/>
      <c r="AU599" s="56"/>
      <c r="AV599" s="56"/>
      <c r="AW599" s="56"/>
      <c r="AX599" s="56"/>
      <c r="AY599" s="56"/>
    </row>
    <row r="600" spans="1:51" x14ac:dyDescent="0.25">
      <c r="A600" s="16"/>
      <c r="C600"/>
      <c r="D600" s="56"/>
      <c r="E600"/>
      <c r="F600"/>
      <c r="G600"/>
      <c r="H600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/>
      <c r="AU600" s="56"/>
      <c r="AV600" s="56"/>
      <c r="AW600" s="56"/>
      <c r="AX600" s="56"/>
      <c r="AY600" s="56"/>
    </row>
    <row r="601" spans="1:51" x14ac:dyDescent="0.25">
      <c r="A601" s="16"/>
      <c r="C601"/>
      <c r="D601" s="56"/>
      <c r="E601"/>
      <c r="F601"/>
      <c r="G601"/>
      <c r="H601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/>
      <c r="AU601" s="56"/>
      <c r="AV601" s="56"/>
      <c r="AW601" s="56"/>
      <c r="AX601" s="56"/>
      <c r="AY601" s="56"/>
    </row>
    <row r="602" spans="1:51" x14ac:dyDescent="0.25">
      <c r="A602" s="16"/>
      <c r="C602"/>
      <c r="D602" s="56"/>
      <c r="E602"/>
      <c r="F602"/>
      <c r="G602"/>
      <c r="H602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/>
      <c r="AU602" s="56"/>
      <c r="AV602" s="56"/>
      <c r="AW602" s="56"/>
      <c r="AX602" s="56"/>
      <c r="AY602" s="56"/>
    </row>
    <row r="603" spans="1:51" x14ac:dyDescent="0.25">
      <c r="A603" s="16"/>
      <c r="C603"/>
      <c r="D603" s="56"/>
      <c r="E603"/>
      <c r="F603"/>
      <c r="G603"/>
      <c r="H603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/>
      <c r="AU603" s="56"/>
      <c r="AV603" s="56"/>
      <c r="AW603" s="56"/>
      <c r="AX603" s="56"/>
      <c r="AY603" s="56"/>
    </row>
    <row r="604" spans="1:51" x14ac:dyDescent="0.25">
      <c r="A604" s="16"/>
      <c r="C604"/>
      <c r="D604" s="56"/>
      <c r="E604"/>
      <c r="F604"/>
      <c r="G604"/>
      <c r="H604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/>
      <c r="AU604" s="56"/>
      <c r="AV604" s="56"/>
      <c r="AW604" s="56"/>
      <c r="AX604" s="56"/>
      <c r="AY604" s="56"/>
    </row>
    <row r="605" spans="1:51" x14ac:dyDescent="0.25">
      <c r="A605" s="16"/>
      <c r="C605"/>
      <c r="D605" s="56"/>
      <c r="E605"/>
      <c r="F605"/>
      <c r="G605"/>
      <c r="H605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/>
      <c r="AU605" s="56"/>
      <c r="AV605" s="56"/>
      <c r="AW605" s="56"/>
      <c r="AX605" s="56"/>
      <c r="AY605" s="56"/>
    </row>
    <row r="606" spans="1:51" x14ac:dyDescent="0.25">
      <c r="A606" s="16"/>
      <c r="C606"/>
      <c r="D606" s="56"/>
      <c r="E606"/>
      <c r="F606"/>
      <c r="G606"/>
      <c r="H60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/>
      <c r="AU606" s="56"/>
      <c r="AV606" s="56"/>
      <c r="AW606" s="56"/>
      <c r="AX606" s="56"/>
      <c r="AY606" s="56"/>
    </row>
    <row r="607" spans="1:51" x14ac:dyDescent="0.25">
      <c r="A607" s="16"/>
      <c r="C607"/>
      <c r="D607" s="56"/>
      <c r="E607"/>
      <c r="F607"/>
      <c r="G607"/>
      <c r="H607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/>
      <c r="AU607" s="56"/>
      <c r="AV607" s="56"/>
      <c r="AW607" s="56"/>
      <c r="AX607" s="56"/>
      <c r="AY607" s="56"/>
    </row>
    <row r="608" spans="1:51" x14ac:dyDescent="0.25">
      <c r="A608" s="16"/>
      <c r="C608"/>
      <c r="D608" s="56"/>
      <c r="E608"/>
      <c r="F608"/>
      <c r="G608"/>
      <c r="H608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/>
      <c r="AU608" s="56"/>
      <c r="AV608" s="56"/>
      <c r="AW608" s="56"/>
      <c r="AX608" s="56"/>
      <c r="AY608" s="56"/>
    </row>
    <row r="609" spans="1:51" x14ac:dyDescent="0.25">
      <c r="A609" s="16"/>
      <c r="C609"/>
      <c r="D609" s="56"/>
      <c r="E609"/>
      <c r="F609"/>
      <c r="G609"/>
      <c r="H609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/>
      <c r="AU609" s="56"/>
      <c r="AV609" s="56"/>
      <c r="AW609" s="56"/>
      <c r="AX609" s="56"/>
      <c r="AY609" s="56"/>
    </row>
    <row r="610" spans="1:51" x14ac:dyDescent="0.25">
      <c r="A610" s="16"/>
      <c r="C610"/>
      <c r="D610" s="56"/>
      <c r="E610"/>
      <c r="F610"/>
      <c r="G610"/>
      <c r="H610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/>
      <c r="AU610" s="56"/>
      <c r="AV610" s="56"/>
      <c r="AW610" s="56"/>
      <c r="AX610" s="56"/>
      <c r="AY610" s="56"/>
    </row>
    <row r="611" spans="1:51" x14ac:dyDescent="0.25">
      <c r="A611" s="16"/>
      <c r="C611"/>
      <c r="D611" s="56"/>
      <c r="E611"/>
      <c r="F611"/>
      <c r="G611"/>
      <c r="H611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/>
      <c r="AU611" s="56"/>
      <c r="AV611" s="56"/>
      <c r="AW611" s="56"/>
      <c r="AX611" s="56"/>
      <c r="AY611" s="56"/>
    </row>
    <row r="612" spans="1:51" x14ac:dyDescent="0.25">
      <c r="A612" s="16"/>
      <c r="C612"/>
      <c r="D612" s="56"/>
      <c r="E612"/>
      <c r="F612"/>
      <c r="G612"/>
      <c r="H612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/>
      <c r="AU612" s="56"/>
      <c r="AV612" s="56"/>
      <c r="AW612" s="56"/>
      <c r="AX612" s="56"/>
      <c r="AY612" s="56"/>
    </row>
    <row r="613" spans="1:51" x14ac:dyDescent="0.25">
      <c r="A613" s="16"/>
      <c r="C613"/>
      <c r="D613" s="56"/>
      <c r="E613"/>
      <c r="F613"/>
      <c r="G613"/>
      <c r="H613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/>
      <c r="AU613" s="56"/>
      <c r="AV613" s="56"/>
      <c r="AW613" s="56"/>
      <c r="AX613" s="56"/>
      <c r="AY613" s="56"/>
    </row>
    <row r="614" spans="1:51" x14ac:dyDescent="0.25">
      <c r="A614" s="16"/>
      <c r="C614"/>
      <c r="D614" s="56"/>
      <c r="E614"/>
      <c r="F614"/>
      <c r="G614"/>
      <c r="H614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/>
      <c r="AU614" s="56"/>
      <c r="AV614" s="56"/>
      <c r="AW614" s="56"/>
      <c r="AX614" s="56"/>
      <c r="AY614" s="56"/>
    </row>
    <row r="615" spans="1:51" x14ac:dyDescent="0.25">
      <c r="A615" s="16"/>
      <c r="C615"/>
      <c r="D615" s="56"/>
      <c r="E615"/>
      <c r="F615"/>
      <c r="G615"/>
      <c r="H615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/>
      <c r="AU615" s="56"/>
      <c r="AV615" s="56"/>
      <c r="AW615" s="56"/>
      <c r="AX615" s="56"/>
      <c r="AY615" s="56"/>
    </row>
    <row r="616" spans="1:51" x14ac:dyDescent="0.25">
      <c r="A616" s="16"/>
      <c r="C616"/>
      <c r="D616" s="56"/>
      <c r="E616"/>
      <c r="F616"/>
      <c r="G616"/>
      <c r="H61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/>
      <c r="AU616" s="56"/>
      <c r="AV616" s="56"/>
      <c r="AW616" s="56"/>
      <c r="AX616" s="56"/>
      <c r="AY616" s="56"/>
    </row>
    <row r="617" spans="1:51" x14ac:dyDescent="0.25">
      <c r="A617" s="16"/>
      <c r="C617"/>
      <c r="D617" s="56"/>
      <c r="E617"/>
      <c r="F617"/>
      <c r="G617"/>
      <c r="H617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/>
      <c r="AU617" s="56"/>
      <c r="AV617" s="56"/>
      <c r="AW617" s="56"/>
      <c r="AX617" s="56"/>
      <c r="AY617" s="56"/>
    </row>
    <row r="618" spans="1:51" x14ac:dyDescent="0.25">
      <c r="A618" s="16"/>
      <c r="C618"/>
      <c r="D618" s="56"/>
      <c r="E618"/>
      <c r="F618"/>
      <c r="G618"/>
      <c r="H618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/>
      <c r="AU618" s="56"/>
      <c r="AV618" s="56"/>
      <c r="AW618" s="56"/>
      <c r="AX618" s="56"/>
      <c r="AY618" s="56"/>
    </row>
    <row r="619" spans="1:51" x14ac:dyDescent="0.25">
      <c r="A619" s="16"/>
      <c r="C619"/>
      <c r="D619" s="56"/>
      <c r="E619"/>
      <c r="F619"/>
      <c r="G619"/>
      <c r="H619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/>
      <c r="AU619" s="56"/>
      <c r="AV619" s="56"/>
      <c r="AW619" s="56"/>
      <c r="AX619" s="56"/>
      <c r="AY619" s="56"/>
    </row>
    <row r="620" spans="1:51" x14ac:dyDescent="0.25">
      <c r="A620" s="16"/>
      <c r="C620"/>
      <c r="D620" s="56"/>
      <c r="E620"/>
      <c r="F620"/>
      <c r="G620"/>
      <c r="H620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/>
      <c r="AU620" s="56"/>
      <c r="AV620" s="56"/>
      <c r="AW620" s="56"/>
      <c r="AX620" s="56"/>
      <c r="AY620" s="56"/>
    </row>
    <row r="621" spans="1:51" x14ac:dyDescent="0.25">
      <c r="A621" s="16"/>
      <c r="C621"/>
      <c r="D621" s="56"/>
      <c r="E621"/>
      <c r="F621"/>
      <c r="G621"/>
      <c r="H621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/>
      <c r="AU621" s="56"/>
      <c r="AV621" s="56"/>
      <c r="AW621" s="56"/>
      <c r="AX621" s="56"/>
      <c r="AY621" s="56"/>
    </row>
    <row r="622" spans="1:51" x14ac:dyDescent="0.25">
      <c r="A622" s="16"/>
      <c r="C622"/>
      <c r="D622" s="56"/>
      <c r="E622"/>
      <c r="F622"/>
      <c r="G622"/>
      <c r="H622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/>
      <c r="AU622" s="56"/>
      <c r="AV622" s="56"/>
      <c r="AW622" s="56"/>
      <c r="AX622" s="56"/>
      <c r="AY622" s="56"/>
    </row>
    <row r="623" spans="1:51" x14ac:dyDescent="0.25">
      <c r="A623" s="16"/>
      <c r="C623"/>
      <c r="D623" s="56"/>
      <c r="E623"/>
      <c r="F623"/>
      <c r="G623"/>
      <c r="H623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/>
      <c r="AU623" s="56"/>
      <c r="AV623" s="56"/>
      <c r="AW623" s="56"/>
      <c r="AX623" s="56"/>
      <c r="AY623" s="56"/>
    </row>
    <row r="624" spans="1:51" x14ac:dyDescent="0.25">
      <c r="A624" s="16"/>
      <c r="C624"/>
      <c r="D624" s="56"/>
      <c r="E624"/>
      <c r="F624"/>
      <c r="G624"/>
      <c r="H624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/>
      <c r="AU624" s="56"/>
      <c r="AV624" s="56"/>
      <c r="AW624" s="56"/>
      <c r="AX624" s="56"/>
      <c r="AY624" s="56"/>
    </row>
    <row r="625" spans="1:51" x14ac:dyDescent="0.25">
      <c r="A625" s="16"/>
      <c r="C625"/>
      <c r="D625" s="56"/>
      <c r="E625"/>
      <c r="F625"/>
      <c r="G625"/>
      <c r="H625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/>
      <c r="AU625" s="56"/>
      <c r="AV625" s="56"/>
      <c r="AW625" s="56"/>
      <c r="AX625" s="56"/>
      <c r="AY625" s="56"/>
    </row>
    <row r="626" spans="1:51" x14ac:dyDescent="0.25">
      <c r="A626" s="16"/>
      <c r="C626"/>
      <c r="D626" s="56"/>
      <c r="E626"/>
      <c r="F626"/>
      <c r="G626"/>
      <c r="H62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/>
      <c r="AU626" s="56"/>
      <c r="AV626" s="56"/>
      <c r="AW626" s="56"/>
      <c r="AX626" s="56"/>
      <c r="AY626" s="56"/>
    </row>
    <row r="627" spans="1:51" x14ac:dyDescent="0.25">
      <c r="A627" s="16"/>
      <c r="C627"/>
      <c r="D627" s="56"/>
      <c r="E627"/>
      <c r="F627"/>
      <c r="G627"/>
      <c r="H627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/>
      <c r="AU627" s="56"/>
      <c r="AV627" s="56"/>
      <c r="AW627" s="56"/>
      <c r="AX627" s="56"/>
      <c r="AY627" s="56"/>
    </row>
    <row r="628" spans="1:51" x14ac:dyDescent="0.25">
      <c r="A628" s="16"/>
      <c r="C628"/>
      <c r="D628" s="56"/>
      <c r="E628"/>
      <c r="F628"/>
      <c r="G628"/>
      <c r="H628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/>
      <c r="AU628" s="56"/>
      <c r="AV628" s="56"/>
      <c r="AW628" s="56"/>
      <c r="AX628" s="56"/>
      <c r="AY628" s="56"/>
    </row>
    <row r="629" spans="1:51" x14ac:dyDescent="0.25">
      <c r="A629" s="16"/>
      <c r="C629"/>
      <c r="D629" s="56"/>
      <c r="E629"/>
      <c r="F629"/>
      <c r="G629"/>
      <c r="H629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/>
      <c r="AU629" s="56"/>
      <c r="AV629" s="56"/>
      <c r="AW629" s="56"/>
      <c r="AX629" s="56"/>
      <c r="AY629" s="56"/>
    </row>
    <row r="630" spans="1:51" x14ac:dyDescent="0.25">
      <c r="A630" s="16"/>
      <c r="C630"/>
      <c r="D630" s="56"/>
      <c r="E630"/>
      <c r="F630"/>
      <c r="G630"/>
      <c r="H630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/>
      <c r="AU630" s="56"/>
      <c r="AV630" s="56"/>
      <c r="AW630" s="56"/>
      <c r="AX630" s="56"/>
      <c r="AY630" s="56"/>
    </row>
    <row r="631" spans="1:51" x14ac:dyDescent="0.25">
      <c r="A631" s="16"/>
      <c r="C631"/>
      <c r="D631" s="56"/>
      <c r="E631"/>
      <c r="F631"/>
      <c r="G631"/>
      <c r="H631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/>
      <c r="AU631" s="56"/>
      <c r="AV631" s="56"/>
      <c r="AW631" s="56"/>
      <c r="AX631" s="56"/>
      <c r="AY631" s="56"/>
    </row>
    <row r="632" spans="1:51" x14ac:dyDescent="0.25">
      <c r="A632" s="16"/>
      <c r="C632"/>
      <c r="D632" s="56"/>
      <c r="E632"/>
      <c r="F632"/>
      <c r="G632"/>
      <c r="H632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/>
      <c r="AU632" s="56"/>
      <c r="AV632" s="56"/>
      <c r="AW632" s="56"/>
      <c r="AX632" s="56"/>
      <c r="AY632" s="56"/>
    </row>
    <row r="633" spans="1:51" x14ac:dyDescent="0.25">
      <c r="A633" s="16"/>
      <c r="C633"/>
      <c r="D633" s="56"/>
      <c r="E633"/>
      <c r="F633"/>
      <c r="G633"/>
      <c r="H633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/>
      <c r="AU633" s="56"/>
      <c r="AV633" s="56"/>
      <c r="AW633" s="56"/>
      <c r="AX633" s="56"/>
      <c r="AY633" s="56"/>
    </row>
    <row r="634" spans="1:51" x14ac:dyDescent="0.25">
      <c r="A634" s="16"/>
      <c r="C634"/>
      <c r="D634" s="56"/>
      <c r="E634"/>
      <c r="F634"/>
      <c r="G634"/>
      <c r="H634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/>
      <c r="AU634" s="56"/>
      <c r="AV634" s="56"/>
      <c r="AW634" s="56"/>
      <c r="AX634" s="56"/>
      <c r="AY634" s="56"/>
    </row>
    <row r="635" spans="1:51" x14ac:dyDescent="0.25">
      <c r="A635" s="16"/>
      <c r="C635"/>
      <c r="D635" s="56"/>
      <c r="E635"/>
      <c r="F635"/>
      <c r="G635"/>
      <c r="H635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/>
      <c r="AU635" s="56"/>
      <c r="AV635" s="56"/>
      <c r="AW635" s="56"/>
      <c r="AX635" s="56"/>
      <c r="AY635" s="56"/>
    </row>
    <row r="636" spans="1:51" x14ac:dyDescent="0.25">
      <c r="A636" s="16"/>
      <c r="C636"/>
      <c r="D636" s="56"/>
      <c r="E636"/>
      <c r="F636"/>
      <c r="G636"/>
      <c r="H63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/>
      <c r="AU636" s="56"/>
      <c r="AV636" s="56"/>
      <c r="AW636" s="56"/>
      <c r="AX636" s="56"/>
      <c r="AY636" s="56"/>
    </row>
    <row r="637" spans="1:51" x14ac:dyDescent="0.25">
      <c r="A637" s="16"/>
      <c r="C637"/>
      <c r="D637" s="56"/>
      <c r="E637"/>
      <c r="F637"/>
      <c r="G637"/>
      <c r="H637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/>
      <c r="AU637" s="56"/>
      <c r="AV637" s="56"/>
      <c r="AW637" s="56"/>
      <c r="AX637" s="56"/>
      <c r="AY637" s="56"/>
    </row>
    <row r="638" spans="1:51" x14ac:dyDescent="0.25">
      <c r="A638" s="16"/>
      <c r="C638"/>
      <c r="D638" s="56"/>
      <c r="E638"/>
      <c r="F638"/>
      <c r="G638"/>
      <c r="H638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/>
      <c r="AU638" s="56"/>
      <c r="AV638" s="56"/>
      <c r="AW638" s="56"/>
      <c r="AX638" s="56"/>
      <c r="AY638" s="56"/>
    </row>
    <row r="639" spans="1:51" x14ac:dyDescent="0.25">
      <c r="A639" s="16"/>
      <c r="C639"/>
      <c r="D639" s="56"/>
      <c r="E639"/>
      <c r="F639"/>
      <c r="G639"/>
      <c r="H639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/>
      <c r="AU639" s="56"/>
      <c r="AV639" s="56"/>
      <c r="AW639" s="56"/>
      <c r="AX639" s="56"/>
      <c r="AY639" s="56"/>
    </row>
    <row r="640" spans="1:51" x14ac:dyDescent="0.25">
      <c r="A640" s="16"/>
      <c r="C640"/>
      <c r="D640" s="56"/>
      <c r="E640"/>
      <c r="F640"/>
      <c r="G640"/>
      <c r="H640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/>
      <c r="AU640" s="56"/>
      <c r="AV640" s="56"/>
      <c r="AW640" s="56"/>
      <c r="AX640" s="56"/>
      <c r="AY640" s="56"/>
    </row>
    <row r="641" spans="1:51" x14ac:dyDescent="0.25">
      <c r="A641" s="16"/>
      <c r="C641"/>
      <c r="D641" s="56"/>
      <c r="E641"/>
      <c r="F641"/>
      <c r="G641"/>
      <c r="H641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/>
      <c r="AU641" s="56"/>
      <c r="AV641" s="56"/>
      <c r="AW641" s="56"/>
      <c r="AX641" s="56"/>
      <c r="AY641" s="56"/>
    </row>
    <row r="642" spans="1:51" x14ac:dyDescent="0.25">
      <c r="A642" s="16"/>
      <c r="C642"/>
      <c r="D642" s="56"/>
      <c r="E642"/>
      <c r="F642"/>
      <c r="G642"/>
      <c r="H642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/>
      <c r="AU642" s="56"/>
      <c r="AV642" s="56"/>
      <c r="AW642" s="56"/>
      <c r="AX642" s="56"/>
      <c r="AY642" s="56"/>
    </row>
    <row r="643" spans="1:51" x14ac:dyDescent="0.25">
      <c r="A643" s="16"/>
      <c r="C643"/>
      <c r="D643" s="56"/>
      <c r="E643"/>
      <c r="F643"/>
      <c r="G643"/>
      <c r="H643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/>
      <c r="AU643" s="56"/>
      <c r="AV643" s="56"/>
      <c r="AW643" s="56"/>
      <c r="AX643" s="56"/>
      <c r="AY643" s="56"/>
    </row>
    <row r="644" spans="1:51" x14ac:dyDescent="0.25">
      <c r="A644" s="16"/>
      <c r="C644"/>
      <c r="D644" s="56"/>
      <c r="E644"/>
      <c r="F644"/>
      <c r="G644"/>
      <c r="H644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/>
      <c r="AU644" s="56"/>
      <c r="AV644" s="56"/>
      <c r="AW644" s="56"/>
      <c r="AX644" s="56"/>
      <c r="AY644" s="56"/>
    </row>
    <row r="645" spans="1:51" x14ac:dyDescent="0.25">
      <c r="A645" s="16"/>
      <c r="C645"/>
      <c r="D645" s="56"/>
      <c r="E645"/>
      <c r="F645"/>
      <c r="G645"/>
      <c r="H645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/>
      <c r="AU645" s="56"/>
      <c r="AV645" s="56"/>
      <c r="AW645" s="56"/>
      <c r="AX645" s="56"/>
      <c r="AY645" s="56"/>
    </row>
    <row r="646" spans="1:51" x14ac:dyDescent="0.25">
      <c r="A646" s="16"/>
      <c r="C646"/>
      <c r="D646" s="56"/>
      <c r="E646"/>
      <c r="F646"/>
      <c r="G646"/>
      <c r="H64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/>
      <c r="AU646" s="56"/>
      <c r="AV646" s="56"/>
      <c r="AW646" s="56"/>
      <c r="AX646" s="56"/>
      <c r="AY646" s="56"/>
    </row>
    <row r="647" spans="1:51" x14ac:dyDescent="0.25">
      <c r="A647" s="16"/>
      <c r="C647"/>
      <c r="D647" s="56"/>
      <c r="E647"/>
      <c r="F647"/>
      <c r="G647"/>
      <c r="H647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/>
      <c r="AU647" s="56"/>
      <c r="AV647" s="56"/>
      <c r="AW647" s="56"/>
      <c r="AX647" s="56"/>
      <c r="AY647" s="56"/>
    </row>
    <row r="648" spans="1:51" x14ac:dyDescent="0.25">
      <c r="A648" s="16"/>
      <c r="C648"/>
      <c r="D648" s="56"/>
      <c r="E648"/>
      <c r="F648"/>
      <c r="G648"/>
      <c r="H648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/>
      <c r="AU648" s="56"/>
      <c r="AV648" s="56"/>
      <c r="AW648" s="56"/>
      <c r="AX648" s="56"/>
      <c r="AY648" s="56"/>
    </row>
    <row r="649" spans="1:51" x14ac:dyDescent="0.25">
      <c r="A649" s="16"/>
      <c r="C649"/>
      <c r="D649" s="56"/>
      <c r="E649"/>
      <c r="F649"/>
      <c r="G649"/>
      <c r="H649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/>
      <c r="AU649" s="56"/>
      <c r="AV649" s="56"/>
      <c r="AW649" s="56"/>
      <c r="AX649" s="56"/>
      <c r="AY649" s="56"/>
    </row>
    <row r="650" spans="1:51" x14ac:dyDescent="0.25">
      <c r="A650" s="16"/>
      <c r="C650"/>
      <c r="D650" s="56"/>
      <c r="E650"/>
      <c r="F650"/>
      <c r="G650"/>
      <c r="H650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/>
      <c r="AU650" s="56"/>
      <c r="AV650" s="56"/>
      <c r="AW650" s="56"/>
      <c r="AX650" s="56"/>
      <c r="AY650" s="56"/>
    </row>
    <row r="651" spans="1:51" x14ac:dyDescent="0.25">
      <c r="A651" s="16"/>
      <c r="C651"/>
      <c r="D651" s="56"/>
      <c r="E651"/>
      <c r="F651"/>
      <c r="G651"/>
      <c r="H651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/>
      <c r="AU651" s="56"/>
      <c r="AV651" s="56"/>
      <c r="AW651" s="56"/>
      <c r="AX651" s="56"/>
      <c r="AY651" s="56"/>
    </row>
    <row r="652" spans="1:51" x14ac:dyDescent="0.25">
      <c r="A652" s="16"/>
      <c r="C652"/>
      <c r="D652" s="56"/>
      <c r="E652"/>
      <c r="F652"/>
      <c r="G652"/>
      <c r="H652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/>
      <c r="AU652" s="56"/>
      <c r="AV652" s="56"/>
      <c r="AW652" s="56"/>
      <c r="AX652" s="56"/>
      <c r="AY652" s="56"/>
    </row>
    <row r="653" spans="1:51" x14ac:dyDescent="0.25">
      <c r="A653" s="16"/>
      <c r="C653"/>
      <c r="D653" s="56"/>
      <c r="E653"/>
      <c r="F653"/>
      <c r="G653"/>
      <c r="H653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/>
      <c r="AU653" s="56"/>
      <c r="AV653" s="56"/>
      <c r="AW653" s="56"/>
      <c r="AX653" s="56"/>
      <c r="AY653" s="56"/>
    </row>
    <row r="654" spans="1:51" x14ac:dyDescent="0.25">
      <c r="A654" s="16"/>
      <c r="C654"/>
      <c r="D654" s="56"/>
      <c r="E654"/>
      <c r="F654"/>
      <c r="G654"/>
      <c r="H654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/>
      <c r="AU654" s="56"/>
      <c r="AV654" s="56"/>
      <c r="AW654" s="56"/>
      <c r="AX654" s="56"/>
      <c r="AY654" s="56"/>
    </row>
    <row r="655" spans="1:51" x14ac:dyDescent="0.25">
      <c r="A655" s="16"/>
      <c r="C655"/>
      <c r="D655" s="56"/>
      <c r="E655"/>
      <c r="F655"/>
      <c r="G655"/>
      <c r="H655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/>
      <c r="AU655" s="56"/>
      <c r="AV655" s="56"/>
      <c r="AW655" s="56"/>
      <c r="AX655" s="56"/>
      <c r="AY655" s="56"/>
    </row>
    <row r="656" spans="1:51" x14ac:dyDescent="0.25">
      <c r="A656" s="16"/>
      <c r="C656"/>
      <c r="D656" s="56"/>
      <c r="E656"/>
      <c r="F656"/>
      <c r="G656"/>
      <c r="H6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/>
      <c r="AU656" s="56"/>
      <c r="AV656" s="56"/>
      <c r="AW656" s="56"/>
      <c r="AX656" s="56"/>
      <c r="AY656" s="56"/>
    </row>
    <row r="657" spans="1:51" x14ac:dyDescent="0.25">
      <c r="A657" s="16"/>
      <c r="C657"/>
      <c r="D657" s="56"/>
      <c r="E657"/>
      <c r="F657"/>
      <c r="G657"/>
      <c r="H657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/>
      <c r="AU657" s="56"/>
      <c r="AV657" s="56"/>
      <c r="AW657" s="56"/>
      <c r="AX657" s="56"/>
      <c r="AY657" s="56"/>
    </row>
    <row r="658" spans="1:51" x14ac:dyDescent="0.25">
      <c r="A658" s="16"/>
      <c r="C658"/>
      <c r="D658" s="56"/>
      <c r="E658"/>
      <c r="F658"/>
      <c r="G658"/>
      <c r="H658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/>
      <c r="AU658" s="56"/>
      <c r="AV658" s="56"/>
      <c r="AW658" s="56"/>
      <c r="AX658" s="56"/>
      <c r="AY658" s="56"/>
    </row>
    <row r="659" spans="1:51" x14ac:dyDescent="0.25">
      <c r="A659" s="16"/>
      <c r="C659"/>
      <c r="D659" s="56"/>
      <c r="E659"/>
      <c r="F659"/>
      <c r="G659"/>
      <c r="H659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/>
      <c r="AU659" s="56"/>
      <c r="AV659" s="56"/>
      <c r="AW659" s="56"/>
      <c r="AX659" s="56"/>
      <c r="AY659" s="56"/>
    </row>
    <row r="660" spans="1:51" x14ac:dyDescent="0.25">
      <c r="A660" s="16"/>
      <c r="C660"/>
      <c r="D660" s="56"/>
      <c r="E660"/>
      <c r="F660"/>
      <c r="G660"/>
      <c r="H660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/>
      <c r="AU660" s="56"/>
      <c r="AV660" s="56"/>
      <c r="AW660" s="56"/>
      <c r="AX660" s="56"/>
      <c r="AY660" s="56"/>
    </row>
    <row r="661" spans="1:51" x14ac:dyDescent="0.25">
      <c r="A661" s="16"/>
      <c r="C661"/>
      <c r="D661" s="56"/>
      <c r="E661"/>
      <c r="F661"/>
      <c r="G661"/>
      <c r="H661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/>
      <c r="AU661" s="56"/>
      <c r="AV661" s="56"/>
      <c r="AW661" s="56"/>
      <c r="AX661" s="56"/>
      <c r="AY661" s="56"/>
    </row>
    <row r="662" spans="1:51" x14ac:dyDescent="0.25">
      <c r="A662" s="16"/>
      <c r="C662"/>
      <c r="D662" s="56"/>
      <c r="E662"/>
      <c r="F662"/>
      <c r="G662"/>
      <c r="H662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/>
      <c r="AU662" s="56"/>
      <c r="AV662" s="56"/>
      <c r="AW662" s="56"/>
      <c r="AX662" s="56"/>
      <c r="AY662" s="56"/>
    </row>
    <row r="663" spans="1:51" x14ac:dyDescent="0.25">
      <c r="A663" s="16"/>
      <c r="C663"/>
      <c r="D663" s="56"/>
      <c r="E663"/>
      <c r="F663"/>
      <c r="G663"/>
      <c r="H663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/>
      <c r="AU663" s="56"/>
      <c r="AV663" s="56"/>
      <c r="AW663" s="56"/>
      <c r="AX663" s="56"/>
      <c r="AY663" s="56"/>
    </row>
    <row r="664" spans="1:51" x14ac:dyDescent="0.25">
      <c r="A664" s="16"/>
      <c r="C664"/>
      <c r="D664" s="56"/>
      <c r="E664"/>
      <c r="F664"/>
      <c r="G664"/>
      <c r="H664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/>
      <c r="AU664" s="56"/>
      <c r="AV664" s="56"/>
      <c r="AW664" s="56"/>
      <c r="AX664" s="56"/>
      <c r="AY664" s="56"/>
    </row>
    <row r="665" spans="1:51" x14ac:dyDescent="0.25">
      <c r="A665" s="16"/>
      <c r="C665"/>
      <c r="D665" s="56"/>
      <c r="E665"/>
      <c r="F665"/>
      <c r="G665"/>
      <c r="H665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/>
      <c r="AU665" s="56"/>
      <c r="AV665" s="56"/>
      <c r="AW665" s="56"/>
      <c r="AX665" s="56"/>
      <c r="AY665" s="56"/>
    </row>
    <row r="666" spans="1:51" x14ac:dyDescent="0.25">
      <c r="A666" s="16"/>
      <c r="C666"/>
      <c r="D666" s="56"/>
      <c r="E666"/>
      <c r="F666"/>
      <c r="G666"/>
      <c r="H66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/>
      <c r="AU666" s="56"/>
      <c r="AV666" s="56"/>
      <c r="AW666" s="56"/>
      <c r="AX666" s="56"/>
      <c r="AY666" s="56"/>
    </row>
    <row r="667" spans="1:51" x14ac:dyDescent="0.25">
      <c r="A667" s="16"/>
      <c r="C667"/>
      <c r="D667" s="56"/>
      <c r="E667"/>
      <c r="F667"/>
      <c r="G667"/>
      <c r="H667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/>
      <c r="AU667" s="56"/>
      <c r="AV667" s="56"/>
      <c r="AW667" s="56"/>
      <c r="AX667" s="56"/>
      <c r="AY667" s="56"/>
    </row>
    <row r="668" spans="1:51" x14ac:dyDescent="0.25">
      <c r="A668" s="16"/>
      <c r="C668"/>
      <c r="D668" s="56"/>
      <c r="E668"/>
      <c r="F668"/>
      <c r="G668"/>
      <c r="H668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/>
      <c r="AU668" s="56"/>
      <c r="AV668" s="56"/>
      <c r="AW668" s="56"/>
      <c r="AX668" s="56"/>
      <c r="AY668" s="56"/>
    </row>
    <row r="669" spans="1:51" x14ac:dyDescent="0.25">
      <c r="A669" s="16"/>
      <c r="C669"/>
      <c r="D669" s="56"/>
      <c r="E669"/>
      <c r="F669"/>
      <c r="G669"/>
      <c r="H669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/>
      <c r="AU669" s="56"/>
      <c r="AV669" s="56"/>
      <c r="AW669" s="56"/>
      <c r="AX669" s="56"/>
      <c r="AY669" s="56"/>
    </row>
    <row r="670" spans="1:51" x14ac:dyDescent="0.25">
      <c r="A670" s="16"/>
      <c r="C670"/>
      <c r="D670" s="56"/>
      <c r="E670"/>
      <c r="F670"/>
      <c r="G670"/>
      <c r="H670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/>
      <c r="AU670" s="56"/>
      <c r="AV670" s="56"/>
      <c r="AW670" s="56"/>
      <c r="AX670" s="56"/>
      <c r="AY670" s="56"/>
    </row>
    <row r="671" spans="1:51" x14ac:dyDescent="0.25">
      <c r="A671" s="16"/>
      <c r="C671"/>
      <c r="D671" s="56"/>
      <c r="E671"/>
      <c r="F671"/>
      <c r="G671"/>
      <c r="H671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/>
      <c r="AU671" s="56"/>
      <c r="AV671" s="56"/>
      <c r="AW671" s="56"/>
      <c r="AX671" s="56"/>
      <c r="AY671" s="56"/>
    </row>
    <row r="672" spans="1:51" x14ac:dyDescent="0.25">
      <c r="A672" s="16"/>
      <c r="C672"/>
      <c r="D672" s="56"/>
      <c r="E672"/>
      <c r="F672"/>
      <c r="G672"/>
      <c r="H672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/>
      <c r="AU672" s="56"/>
      <c r="AV672" s="56"/>
      <c r="AW672" s="56"/>
      <c r="AX672" s="56"/>
      <c r="AY672" s="56"/>
    </row>
    <row r="673" spans="1:51" x14ac:dyDescent="0.25">
      <c r="A673" s="16"/>
      <c r="C673"/>
      <c r="D673" s="56"/>
      <c r="E673"/>
      <c r="F673"/>
      <c r="G673"/>
      <c r="H673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/>
      <c r="AU673" s="56"/>
      <c r="AV673" s="56"/>
      <c r="AW673" s="56"/>
      <c r="AX673" s="56"/>
      <c r="AY673" s="56"/>
    </row>
    <row r="674" spans="1:51" x14ac:dyDescent="0.25">
      <c r="A674" s="16"/>
      <c r="C674"/>
      <c r="D674" s="56"/>
      <c r="E674"/>
      <c r="F674"/>
      <c r="G674"/>
      <c r="H674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/>
      <c r="AU674" s="56"/>
      <c r="AV674" s="56"/>
      <c r="AW674" s="56"/>
      <c r="AX674" s="56"/>
      <c r="AY674" s="56"/>
    </row>
    <row r="675" spans="1:51" x14ac:dyDescent="0.25">
      <c r="A675" s="16"/>
      <c r="C675"/>
      <c r="D675" s="56"/>
      <c r="E675"/>
      <c r="F675"/>
      <c r="G675"/>
      <c r="H675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/>
      <c r="AU675" s="56"/>
      <c r="AV675" s="56"/>
      <c r="AW675" s="56"/>
      <c r="AX675" s="56"/>
      <c r="AY675" s="56"/>
    </row>
    <row r="676" spans="1:51" x14ac:dyDescent="0.25">
      <c r="A676" s="16"/>
      <c r="C676"/>
      <c r="D676" s="56"/>
      <c r="E676"/>
      <c r="F676"/>
      <c r="G676"/>
      <c r="H67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/>
      <c r="AU676" s="56"/>
      <c r="AV676" s="56"/>
      <c r="AW676" s="56"/>
      <c r="AX676" s="56"/>
      <c r="AY676" s="56"/>
    </row>
    <row r="677" spans="1:51" x14ac:dyDescent="0.25">
      <c r="A677" s="16"/>
      <c r="C677"/>
      <c r="D677" s="56"/>
      <c r="E677"/>
      <c r="F677"/>
      <c r="G677"/>
      <c r="H677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/>
      <c r="AU677" s="56"/>
      <c r="AV677" s="56"/>
      <c r="AW677" s="56"/>
      <c r="AX677" s="56"/>
      <c r="AY677" s="56"/>
    </row>
    <row r="678" spans="1:51" x14ac:dyDescent="0.25">
      <c r="A678" s="16"/>
      <c r="C678"/>
      <c r="D678" s="56"/>
      <c r="E678"/>
      <c r="F678"/>
      <c r="G678"/>
      <c r="H678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/>
      <c r="AU678" s="56"/>
      <c r="AV678" s="56"/>
      <c r="AW678" s="56"/>
      <c r="AX678" s="56"/>
      <c r="AY678" s="56"/>
    </row>
    <row r="679" spans="1:51" x14ac:dyDescent="0.25">
      <c r="A679" s="16"/>
      <c r="C679"/>
      <c r="D679" s="56"/>
      <c r="E679"/>
      <c r="F679"/>
      <c r="G679"/>
      <c r="H679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/>
      <c r="AU679" s="56"/>
      <c r="AV679" s="56"/>
      <c r="AW679" s="56"/>
      <c r="AX679" s="56"/>
      <c r="AY679" s="56"/>
    </row>
    <row r="680" spans="1:51" x14ac:dyDescent="0.25">
      <c r="A680" s="16"/>
      <c r="C680"/>
      <c r="D680" s="56"/>
      <c r="E680"/>
      <c r="F680"/>
      <c r="G680"/>
      <c r="H680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/>
      <c r="AU680" s="56"/>
      <c r="AV680" s="56"/>
      <c r="AW680" s="56"/>
      <c r="AX680" s="56"/>
      <c r="AY680" s="56"/>
    </row>
    <row r="681" spans="1:51" x14ac:dyDescent="0.25">
      <c r="A681" s="16"/>
      <c r="C681"/>
      <c r="D681" s="56"/>
      <c r="E681"/>
      <c r="F681"/>
      <c r="G681"/>
      <c r="H681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/>
      <c r="AU681" s="56"/>
      <c r="AV681" s="56"/>
      <c r="AW681" s="56"/>
      <c r="AX681" s="56"/>
      <c r="AY681" s="56"/>
    </row>
    <row r="682" spans="1:51" x14ac:dyDescent="0.25">
      <c r="A682" s="16"/>
      <c r="C682"/>
      <c r="D682" s="56"/>
      <c r="E682"/>
      <c r="F682"/>
      <c r="G682"/>
      <c r="H682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/>
      <c r="AU682" s="56"/>
      <c r="AV682" s="56"/>
      <c r="AW682" s="56"/>
      <c r="AX682" s="56"/>
      <c r="AY682" s="56"/>
    </row>
    <row r="683" spans="1:51" x14ac:dyDescent="0.25">
      <c r="A683" s="16"/>
      <c r="C683"/>
      <c r="D683" s="56"/>
      <c r="E683"/>
      <c r="F683"/>
      <c r="G683"/>
      <c r="H683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/>
      <c r="AU683" s="56"/>
      <c r="AV683" s="56"/>
      <c r="AW683" s="56"/>
      <c r="AX683" s="56"/>
      <c r="AY683" s="56"/>
    </row>
    <row r="684" spans="1:51" x14ac:dyDescent="0.25">
      <c r="A684" s="16"/>
      <c r="C684"/>
      <c r="D684" s="56"/>
      <c r="E684"/>
      <c r="F684"/>
      <c r="G684"/>
      <c r="H684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/>
      <c r="AU684" s="56"/>
      <c r="AV684" s="56"/>
      <c r="AW684" s="56"/>
      <c r="AX684" s="56"/>
      <c r="AY684" s="56"/>
    </row>
    <row r="685" spans="1:51" x14ac:dyDescent="0.25">
      <c r="A685" s="16"/>
      <c r="C685"/>
      <c r="D685" s="56"/>
      <c r="E685"/>
      <c r="F685"/>
      <c r="G685"/>
      <c r="H685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/>
      <c r="AU685" s="56"/>
      <c r="AV685" s="56"/>
      <c r="AW685" s="56"/>
      <c r="AX685" s="56"/>
      <c r="AY685" s="56"/>
    </row>
    <row r="686" spans="1:51" x14ac:dyDescent="0.25">
      <c r="A686" s="16"/>
      <c r="C686"/>
      <c r="D686" s="56"/>
      <c r="E686"/>
      <c r="F686"/>
      <c r="G686"/>
      <c r="H68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/>
      <c r="AU686" s="56"/>
      <c r="AV686" s="56"/>
      <c r="AW686" s="56"/>
      <c r="AX686" s="56"/>
      <c r="AY686" s="56"/>
    </row>
    <row r="687" spans="1:51" x14ac:dyDescent="0.25">
      <c r="A687" s="16"/>
      <c r="C687"/>
      <c r="D687" s="56"/>
      <c r="E687"/>
      <c r="F687"/>
      <c r="G687"/>
      <c r="H687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/>
      <c r="AU687" s="56"/>
      <c r="AV687" s="56"/>
      <c r="AW687" s="56"/>
      <c r="AX687" s="56"/>
      <c r="AY687" s="56"/>
    </row>
    <row r="688" spans="1:51" x14ac:dyDescent="0.25">
      <c r="A688" s="16"/>
      <c r="C688"/>
      <c r="D688" s="56"/>
      <c r="E688"/>
      <c r="F688"/>
      <c r="G688"/>
      <c r="H688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/>
      <c r="AU688" s="56"/>
      <c r="AV688" s="56"/>
      <c r="AW688" s="56"/>
      <c r="AX688" s="56"/>
      <c r="AY688" s="56"/>
    </row>
    <row r="689" spans="1:51" x14ac:dyDescent="0.25">
      <c r="A689" s="16"/>
      <c r="C689"/>
      <c r="D689" s="56"/>
      <c r="E689"/>
      <c r="F689"/>
      <c r="G689"/>
      <c r="H689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/>
      <c r="AU689" s="56"/>
      <c r="AV689" s="56"/>
      <c r="AW689" s="56"/>
      <c r="AX689" s="56"/>
      <c r="AY689" s="56"/>
    </row>
    <row r="690" spans="1:51" x14ac:dyDescent="0.25">
      <c r="A690" s="16"/>
      <c r="C690"/>
      <c r="D690" s="56"/>
      <c r="E690"/>
      <c r="F690"/>
      <c r="G690"/>
      <c r="H690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/>
      <c r="AU690" s="56"/>
      <c r="AV690" s="56"/>
      <c r="AW690" s="56"/>
      <c r="AX690" s="56"/>
      <c r="AY690" s="56"/>
    </row>
    <row r="691" spans="1:51" x14ac:dyDescent="0.25">
      <c r="A691" s="16"/>
      <c r="C691"/>
      <c r="D691" s="56"/>
      <c r="E691"/>
      <c r="F691"/>
      <c r="G691"/>
      <c r="H691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/>
      <c r="AU691" s="56"/>
      <c r="AV691" s="56"/>
      <c r="AW691" s="56"/>
      <c r="AX691" s="56"/>
      <c r="AY691" s="56"/>
    </row>
    <row r="692" spans="1:51" x14ac:dyDescent="0.25">
      <c r="A692" s="16"/>
      <c r="C692"/>
      <c r="D692" s="56"/>
      <c r="E692"/>
      <c r="F692"/>
      <c r="G692"/>
      <c r="H692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/>
      <c r="AU692" s="56"/>
      <c r="AV692" s="56"/>
      <c r="AW692" s="56"/>
      <c r="AX692" s="56"/>
      <c r="AY692" s="56"/>
    </row>
    <row r="693" spans="1:51" x14ac:dyDescent="0.25">
      <c r="A693" s="16"/>
      <c r="C693"/>
      <c r="D693" s="56"/>
      <c r="E693"/>
      <c r="F693"/>
      <c r="G693"/>
      <c r="H693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/>
      <c r="AU693" s="56"/>
      <c r="AV693" s="56"/>
      <c r="AW693" s="56"/>
      <c r="AX693" s="56"/>
      <c r="AY693" s="56"/>
    </row>
    <row r="694" spans="1:51" x14ac:dyDescent="0.25">
      <c r="A694" s="16"/>
      <c r="C694"/>
      <c r="D694" s="56"/>
      <c r="E694"/>
      <c r="F694"/>
      <c r="G694"/>
      <c r="H694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/>
      <c r="AU694" s="56"/>
      <c r="AV694" s="56"/>
      <c r="AW694" s="56"/>
      <c r="AX694" s="56"/>
      <c r="AY694" s="56"/>
    </row>
    <row r="695" spans="1:51" x14ac:dyDescent="0.25">
      <c r="A695" s="16"/>
      <c r="C695"/>
      <c r="D695" s="56"/>
      <c r="E695"/>
      <c r="F695"/>
      <c r="G695"/>
      <c r="H695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/>
      <c r="AU695" s="56"/>
      <c r="AV695" s="56"/>
      <c r="AW695" s="56"/>
      <c r="AX695" s="56"/>
      <c r="AY695" s="56"/>
    </row>
    <row r="696" spans="1:51" x14ac:dyDescent="0.25">
      <c r="A696" s="16"/>
      <c r="C696"/>
      <c r="D696" s="56"/>
      <c r="E696"/>
      <c r="F696"/>
      <c r="G696"/>
      <c r="H69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/>
      <c r="AU696" s="56"/>
      <c r="AV696" s="56"/>
      <c r="AW696" s="56"/>
      <c r="AX696" s="56"/>
      <c r="AY696" s="56"/>
    </row>
    <row r="697" spans="1:51" x14ac:dyDescent="0.25">
      <c r="A697" s="16"/>
      <c r="C697"/>
      <c r="D697" s="56"/>
      <c r="E697"/>
      <c r="F697"/>
      <c r="G697"/>
      <c r="H697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/>
      <c r="AU697" s="56"/>
      <c r="AV697" s="56"/>
      <c r="AW697" s="56"/>
      <c r="AX697" s="56"/>
      <c r="AY697" s="56"/>
    </row>
    <row r="698" spans="1:51" x14ac:dyDescent="0.25">
      <c r="A698" s="16"/>
      <c r="C698"/>
      <c r="D698" s="56"/>
      <c r="E698"/>
      <c r="F698"/>
      <c r="G698"/>
      <c r="H698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/>
      <c r="AU698" s="56"/>
      <c r="AV698" s="56"/>
      <c r="AW698" s="56"/>
      <c r="AX698" s="56"/>
      <c r="AY698" s="56"/>
    </row>
    <row r="699" spans="1:51" x14ac:dyDescent="0.25">
      <c r="A699" s="16"/>
      <c r="C699"/>
      <c r="D699" s="56"/>
      <c r="E699"/>
      <c r="F699"/>
      <c r="G699"/>
      <c r="H699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/>
      <c r="AU699" s="56"/>
      <c r="AV699" s="56"/>
      <c r="AW699" s="56"/>
      <c r="AX699" s="56"/>
      <c r="AY699" s="56"/>
    </row>
    <row r="700" spans="1:51" x14ac:dyDescent="0.25">
      <c r="A700" s="16"/>
      <c r="C700"/>
      <c r="D700" s="56"/>
      <c r="E700"/>
      <c r="F700"/>
      <c r="G700"/>
      <c r="H700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/>
      <c r="AU700" s="56"/>
      <c r="AV700" s="56"/>
      <c r="AW700" s="56"/>
      <c r="AX700" s="56"/>
      <c r="AY700" s="56"/>
    </row>
    <row r="701" spans="1:51" x14ac:dyDescent="0.25">
      <c r="A701" s="16"/>
      <c r="C701"/>
      <c r="D701" s="56"/>
      <c r="E701"/>
      <c r="F701"/>
      <c r="G701"/>
      <c r="H701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/>
      <c r="AU701" s="56"/>
      <c r="AV701" s="56"/>
      <c r="AW701" s="56"/>
      <c r="AX701" s="56"/>
      <c r="AY701" s="56"/>
    </row>
    <row r="702" spans="1:51" x14ac:dyDescent="0.25">
      <c r="A702" s="16"/>
      <c r="C702"/>
      <c r="D702" s="56"/>
      <c r="E702"/>
      <c r="F702"/>
      <c r="G702"/>
      <c r="H702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/>
      <c r="AU702" s="56"/>
      <c r="AV702" s="56"/>
      <c r="AW702" s="56"/>
      <c r="AX702" s="56"/>
      <c r="AY702" s="56"/>
    </row>
    <row r="703" spans="1:51" x14ac:dyDescent="0.25">
      <c r="A703" s="16"/>
      <c r="C703"/>
      <c r="D703" s="56"/>
      <c r="E703"/>
      <c r="F703"/>
      <c r="G703"/>
      <c r="H703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/>
      <c r="AU703" s="56"/>
      <c r="AV703" s="56"/>
      <c r="AW703" s="56"/>
      <c r="AX703" s="56"/>
      <c r="AY703" s="56"/>
    </row>
    <row r="704" spans="1:51" x14ac:dyDescent="0.25">
      <c r="A704" s="16"/>
      <c r="C704"/>
      <c r="D704" s="56"/>
      <c r="E704"/>
      <c r="F704"/>
      <c r="G704"/>
      <c r="H704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/>
      <c r="AU704" s="56"/>
      <c r="AV704" s="56"/>
      <c r="AW704" s="56"/>
      <c r="AX704" s="56"/>
      <c r="AY704" s="56"/>
    </row>
    <row r="705" spans="1:51" x14ac:dyDescent="0.25">
      <c r="A705" s="16"/>
      <c r="C705"/>
      <c r="D705" s="56"/>
      <c r="E705"/>
      <c r="F705"/>
      <c r="G705"/>
      <c r="H705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/>
      <c r="AU705" s="56"/>
      <c r="AV705" s="56"/>
      <c r="AW705" s="56"/>
      <c r="AX705" s="56"/>
      <c r="AY705" s="56"/>
    </row>
    <row r="706" spans="1:51" x14ac:dyDescent="0.25">
      <c r="A706" s="16"/>
      <c r="C706"/>
      <c r="D706" s="56"/>
      <c r="E706"/>
      <c r="F706"/>
      <c r="G706"/>
      <c r="H70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/>
      <c r="AU706" s="56"/>
      <c r="AV706" s="56"/>
      <c r="AW706" s="56"/>
      <c r="AX706" s="56"/>
      <c r="AY706" s="56"/>
    </row>
    <row r="707" spans="1:51" x14ac:dyDescent="0.25">
      <c r="A707" s="16"/>
      <c r="C707"/>
      <c r="D707" s="56"/>
      <c r="E707"/>
      <c r="F707"/>
      <c r="G707"/>
      <c r="H707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/>
      <c r="AU707" s="56"/>
      <c r="AV707" s="56"/>
      <c r="AW707" s="56"/>
      <c r="AX707" s="56"/>
      <c r="AY707" s="56"/>
    </row>
    <row r="708" spans="1:51" x14ac:dyDescent="0.25">
      <c r="A708" s="16"/>
      <c r="C708"/>
      <c r="D708" s="56"/>
      <c r="E708"/>
      <c r="F708"/>
      <c r="G708"/>
      <c r="H708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/>
      <c r="AU708" s="56"/>
      <c r="AV708" s="56"/>
      <c r="AW708" s="56"/>
      <c r="AX708" s="56"/>
      <c r="AY708" s="56"/>
    </row>
    <row r="709" spans="1:51" x14ac:dyDescent="0.25">
      <c r="A709" s="16"/>
      <c r="C709"/>
      <c r="D709" s="56"/>
      <c r="E709"/>
      <c r="F709"/>
      <c r="G709"/>
      <c r="H709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/>
      <c r="AU709" s="56"/>
      <c r="AV709" s="56"/>
      <c r="AW709" s="56"/>
      <c r="AX709" s="56"/>
      <c r="AY709" s="56"/>
    </row>
    <row r="710" spans="1:51" x14ac:dyDescent="0.25">
      <c r="A710" s="16"/>
      <c r="C710"/>
      <c r="D710" s="56"/>
      <c r="E710"/>
      <c r="F710"/>
      <c r="G710"/>
      <c r="H710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/>
      <c r="AU710" s="56"/>
      <c r="AV710" s="56"/>
      <c r="AW710" s="56"/>
      <c r="AX710" s="56"/>
      <c r="AY710" s="56"/>
    </row>
    <row r="711" spans="1:51" x14ac:dyDescent="0.25">
      <c r="A711" s="16"/>
      <c r="C711"/>
      <c r="D711" s="56"/>
      <c r="E711"/>
      <c r="F711"/>
      <c r="G711"/>
      <c r="H711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/>
      <c r="AU711" s="56"/>
      <c r="AV711" s="56"/>
      <c r="AW711" s="56"/>
      <c r="AX711" s="56"/>
      <c r="AY711" s="56"/>
    </row>
    <row r="712" spans="1:51" x14ac:dyDescent="0.25">
      <c r="A712" s="16"/>
      <c r="C712"/>
      <c r="D712" s="56"/>
      <c r="E712"/>
      <c r="F712"/>
      <c r="G712"/>
      <c r="H712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/>
      <c r="AU712" s="56"/>
      <c r="AV712" s="56"/>
      <c r="AW712" s="56"/>
      <c r="AX712" s="56"/>
      <c r="AY712" s="56"/>
    </row>
    <row r="713" spans="1:51" x14ac:dyDescent="0.25">
      <c r="A713" s="16"/>
      <c r="C713"/>
      <c r="D713" s="56"/>
      <c r="E713"/>
      <c r="F713"/>
      <c r="G713"/>
      <c r="H713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/>
      <c r="AU713" s="56"/>
      <c r="AV713" s="56"/>
      <c r="AW713" s="56"/>
      <c r="AX713" s="56"/>
      <c r="AY713" s="56"/>
    </row>
    <row r="714" spans="1:51" x14ac:dyDescent="0.25">
      <c r="A714" s="16"/>
      <c r="C714"/>
      <c r="D714" s="56"/>
      <c r="E714"/>
      <c r="F714"/>
      <c r="G714"/>
      <c r="H714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/>
      <c r="AU714" s="56"/>
      <c r="AV714" s="56"/>
      <c r="AW714" s="56"/>
      <c r="AX714" s="56"/>
      <c r="AY714" s="56"/>
    </row>
    <row r="715" spans="1:51" x14ac:dyDescent="0.25">
      <c r="A715" s="16"/>
      <c r="C715"/>
      <c r="D715" s="56"/>
      <c r="E715"/>
      <c r="F715"/>
      <c r="G715"/>
      <c r="H715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/>
      <c r="AU715" s="56"/>
      <c r="AV715" s="56"/>
      <c r="AW715" s="56"/>
      <c r="AX715" s="56"/>
      <c r="AY715" s="56"/>
    </row>
    <row r="716" spans="1:51" x14ac:dyDescent="0.25">
      <c r="A716" s="16"/>
      <c r="C716"/>
      <c r="D716" s="56"/>
      <c r="E716"/>
      <c r="F716"/>
      <c r="G716"/>
      <c r="H71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/>
      <c r="AU716" s="56"/>
      <c r="AV716" s="56"/>
      <c r="AW716" s="56"/>
      <c r="AX716" s="56"/>
      <c r="AY716" s="56"/>
    </row>
    <row r="717" spans="1:51" x14ac:dyDescent="0.25">
      <c r="A717" s="16"/>
      <c r="C717"/>
      <c r="D717" s="56"/>
      <c r="E717"/>
      <c r="F717"/>
      <c r="G717"/>
      <c r="H717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/>
      <c r="AU717" s="56"/>
      <c r="AV717" s="56"/>
      <c r="AW717" s="56"/>
      <c r="AX717" s="56"/>
      <c r="AY717" s="56"/>
    </row>
    <row r="718" spans="1:51" x14ac:dyDescent="0.25">
      <c r="A718" s="16"/>
      <c r="C718"/>
      <c r="D718" s="56"/>
      <c r="E718"/>
      <c r="F718"/>
      <c r="G718"/>
      <c r="H718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/>
      <c r="AU718" s="56"/>
      <c r="AV718" s="56"/>
      <c r="AW718" s="56"/>
      <c r="AX718" s="56"/>
      <c r="AY718" s="56"/>
    </row>
    <row r="719" spans="1:51" x14ac:dyDescent="0.25">
      <c r="A719" s="16"/>
      <c r="C719"/>
      <c r="D719" s="56"/>
      <c r="E719"/>
      <c r="F719"/>
      <c r="G719"/>
      <c r="H719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/>
      <c r="AU719" s="56"/>
      <c r="AV719" s="56"/>
      <c r="AW719" s="56"/>
      <c r="AX719" s="56"/>
      <c r="AY719" s="56"/>
    </row>
    <row r="720" spans="1:51" x14ac:dyDescent="0.25">
      <c r="A720" s="16"/>
      <c r="C720"/>
      <c r="D720" s="56"/>
      <c r="E720"/>
      <c r="F720"/>
      <c r="G720"/>
      <c r="H720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/>
      <c r="AU720" s="56"/>
      <c r="AV720" s="56"/>
      <c r="AW720" s="56"/>
      <c r="AX720" s="56"/>
      <c r="AY720" s="56"/>
    </row>
    <row r="721" spans="1:51" x14ac:dyDescent="0.25">
      <c r="A721" s="16"/>
      <c r="C721"/>
      <c r="D721" s="56"/>
      <c r="E721"/>
      <c r="F721"/>
      <c r="G721"/>
      <c r="H721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/>
      <c r="AU721" s="56"/>
      <c r="AV721" s="56"/>
      <c r="AW721" s="56"/>
      <c r="AX721" s="56"/>
      <c r="AY721" s="56"/>
    </row>
    <row r="722" spans="1:51" x14ac:dyDescent="0.25">
      <c r="A722" s="16"/>
      <c r="C722"/>
      <c r="D722" s="56"/>
      <c r="E722"/>
      <c r="F722"/>
      <c r="G722"/>
      <c r="H722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/>
      <c r="AU722" s="56"/>
      <c r="AV722" s="56"/>
      <c r="AW722" s="56"/>
      <c r="AX722" s="56"/>
      <c r="AY722" s="56"/>
    </row>
    <row r="723" spans="1:51" x14ac:dyDescent="0.25">
      <c r="A723" s="16"/>
      <c r="C723"/>
      <c r="D723" s="56"/>
      <c r="E723"/>
      <c r="F723"/>
      <c r="G723"/>
      <c r="H723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/>
      <c r="AU723" s="56"/>
      <c r="AV723" s="56"/>
      <c r="AW723" s="56"/>
      <c r="AX723" s="56"/>
      <c r="AY723" s="56"/>
    </row>
    <row r="724" spans="1:51" x14ac:dyDescent="0.25">
      <c r="A724" s="16"/>
      <c r="C724"/>
      <c r="D724" s="56"/>
      <c r="E724"/>
      <c r="F724"/>
      <c r="G724"/>
      <c r="H724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/>
      <c r="AU724" s="56"/>
      <c r="AV724" s="56"/>
      <c r="AW724" s="56"/>
      <c r="AX724" s="56"/>
      <c r="AY724" s="56"/>
    </row>
    <row r="725" spans="1:51" x14ac:dyDescent="0.25">
      <c r="A725" s="16"/>
      <c r="C725"/>
      <c r="D725" s="56"/>
      <c r="E725"/>
      <c r="F725"/>
      <c r="G725"/>
      <c r="H725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/>
      <c r="AU725" s="56"/>
      <c r="AV725" s="56"/>
      <c r="AW725" s="56"/>
      <c r="AX725" s="56"/>
      <c r="AY725" s="56"/>
    </row>
    <row r="726" spans="1:51" x14ac:dyDescent="0.25">
      <c r="A726" s="16"/>
      <c r="C726"/>
      <c r="D726" s="56"/>
      <c r="E726"/>
      <c r="F726"/>
      <c r="G726"/>
      <c r="H72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/>
      <c r="AU726" s="56"/>
      <c r="AV726" s="56"/>
      <c r="AW726" s="56"/>
      <c r="AX726" s="56"/>
      <c r="AY726" s="56"/>
    </row>
    <row r="727" spans="1:51" x14ac:dyDescent="0.25">
      <c r="A727" s="16"/>
      <c r="C727"/>
      <c r="D727" s="56"/>
      <c r="E727"/>
      <c r="F727"/>
      <c r="G727"/>
      <c r="H727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/>
      <c r="AU727" s="56"/>
      <c r="AV727" s="56"/>
      <c r="AW727" s="56"/>
      <c r="AX727" s="56"/>
      <c r="AY727" s="56"/>
    </row>
    <row r="728" spans="1:51" x14ac:dyDescent="0.25">
      <c r="A728" s="16"/>
      <c r="C728"/>
      <c r="D728" s="56"/>
      <c r="E728"/>
      <c r="F728"/>
      <c r="G728"/>
      <c r="H728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/>
      <c r="AU728" s="56"/>
      <c r="AV728" s="56"/>
      <c r="AW728" s="56"/>
      <c r="AX728" s="56"/>
      <c r="AY728" s="56"/>
    </row>
    <row r="729" spans="1:51" x14ac:dyDescent="0.25">
      <c r="A729" s="16"/>
      <c r="C729"/>
      <c r="D729" s="56"/>
      <c r="E729"/>
      <c r="F729"/>
      <c r="G729"/>
      <c r="H729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/>
      <c r="AU729" s="56"/>
      <c r="AV729" s="56"/>
      <c r="AW729" s="56"/>
      <c r="AX729" s="56"/>
      <c r="AY729" s="56"/>
    </row>
    <row r="730" spans="1:51" x14ac:dyDescent="0.25">
      <c r="A730" s="16"/>
      <c r="C730"/>
      <c r="D730" s="56"/>
      <c r="E730"/>
      <c r="F730"/>
      <c r="G730"/>
      <c r="H730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/>
      <c r="AU730" s="56"/>
      <c r="AV730" s="56"/>
      <c r="AW730" s="56"/>
      <c r="AX730" s="56"/>
      <c r="AY730" s="56"/>
    </row>
    <row r="731" spans="1:51" x14ac:dyDescent="0.25">
      <c r="A731" s="16"/>
      <c r="C731"/>
      <c r="D731" s="56"/>
      <c r="E731"/>
      <c r="F731"/>
      <c r="G731"/>
      <c r="H731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/>
      <c r="AU731" s="56"/>
      <c r="AV731" s="56"/>
      <c r="AW731" s="56"/>
      <c r="AX731" s="56"/>
      <c r="AY731" s="56"/>
    </row>
    <row r="732" spans="1:51" x14ac:dyDescent="0.25">
      <c r="A732" s="16"/>
      <c r="C732"/>
      <c r="D732" s="56"/>
      <c r="E732"/>
      <c r="F732"/>
      <c r="G732"/>
      <c r="H732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/>
      <c r="AU732" s="56"/>
      <c r="AV732" s="56"/>
      <c r="AW732" s="56"/>
      <c r="AX732" s="56"/>
      <c r="AY732" s="56"/>
    </row>
    <row r="733" spans="1:51" x14ac:dyDescent="0.25">
      <c r="A733" s="16"/>
      <c r="C733"/>
      <c r="D733" s="56"/>
      <c r="E733"/>
      <c r="F733"/>
      <c r="G733"/>
      <c r="H733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/>
      <c r="AU733" s="56"/>
      <c r="AV733" s="56"/>
      <c r="AW733" s="56"/>
      <c r="AX733" s="56"/>
      <c r="AY733" s="56"/>
    </row>
    <row r="734" spans="1:51" x14ac:dyDescent="0.25">
      <c r="A734" s="16"/>
      <c r="C734"/>
      <c r="D734" s="56"/>
      <c r="E734"/>
      <c r="F734"/>
      <c r="G734"/>
      <c r="H734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/>
      <c r="AU734" s="56"/>
      <c r="AV734" s="56"/>
      <c r="AW734" s="56"/>
      <c r="AX734" s="56"/>
      <c r="AY734" s="56"/>
    </row>
    <row r="735" spans="1:51" x14ac:dyDescent="0.25">
      <c r="A735" s="16"/>
      <c r="C735"/>
      <c r="D735" s="56"/>
      <c r="E735"/>
      <c r="F735"/>
      <c r="G735"/>
      <c r="H735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/>
      <c r="AU735" s="56"/>
      <c r="AV735" s="56"/>
      <c r="AW735" s="56"/>
      <c r="AX735" s="56"/>
      <c r="AY735" s="56"/>
    </row>
    <row r="736" spans="1:51" x14ac:dyDescent="0.25">
      <c r="A736" s="16"/>
      <c r="C736"/>
      <c r="D736" s="56"/>
      <c r="E736"/>
      <c r="F736"/>
      <c r="G736"/>
      <c r="H73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/>
      <c r="AU736" s="56"/>
      <c r="AV736" s="56"/>
      <c r="AW736" s="56"/>
      <c r="AX736" s="56"/>
      <c r="AY736" s="56"/>
    </row>
    <row r="737" spans="1:51" x14ac:dyDescent="0.25">
      <c r="A737" s="16"/>
      <c r="C737"/>
      <c r="D737" s="56"/>
      <c r="E737"/>
      <c r="F737"/>
      <c r="G737"/>
      <c r="H737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/>
      <c r="AU737" s="56"/>
      <c r="AV737" s="56"/>
      <c r="AW737" s="56"/>
      <c r="AX737" s="56"/>
      <c r="AY737" s="56"/>
    </row>
    <row r="738" spans="1:51" x14ac:dyDescent="0.25">
      <c r="A738" s="16"/>
      <c r="C738"/>
      <c r="D738" s="56"/>
      <c r="E738"/>
      <c r="F738"/>
      <c r="G738"/>
      <c r="H738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/>
      <c r="AU738" s="56"/>
      <c r="AV738" s="56"/>
      <c r="AW738" s="56"/>
      <c r="AX738" s="56"/>
      <c r="AY738" s="56"/>
    </row>
    <row r="739" spans="1:51" x14ac:dyDescent="0.25">
      <c r="A739" s="16"/>
      <c r="C739"/>
      <c r="D739" s="56"/>
      <c r="E739"/>
      <c r="F739"/>
      <c r="G739"/>
      <c r="H739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/>
      <c r="AU739" s="56"/>
      <c r="AV739" s="56"/>
      <c r="AW739" s="56"/>
      <c r="AX739" s="56"/>
      <c r="AY739" s="56"/>
    </row>
    <row r="740" spans="1:51" x14ac:dyDescent="0.25">
      <c r="A740" s="16"/>
      <c r="C740"/>
      <c r="D740" s="56"/>
      <c r="E740"/>
      <c r="F740"/>
      <c r="G740"/>
      <c r="H740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/>
      <c r="AU740" s="56"/>
      <c r="AV740" s="56"/>
      <c r="AW740" s="56"/>
      <c r="AX740" s="56"/>
      <c r="AY740" s="56"/>
    </row>
    <row r="741" spans="1:51" x14ac:dyDescent="0.25">
      <c r="A741" s="16"/>
      <c r="C741"/>
      <c r="D741" s="56"/>
      <c r="E741"/>
      <c r="F741"/>
      <c r="G741"/>
      <c r="H741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/>
      <c r="AU741" s="56"/>
      <c r="AV741" s="56"/>
      <c r="AW741" s="56"/>
      <c r="AX741" s="56"/>
      <c r="AY741" s="56"/>
    </row>
    <row r="742" spans="1:51" x14ac:dyDescent="0.25">
      <c r="A742" s="16"/>
      <c r="C742"/>
      <c r="D742" s="56"/>
      <c r="E742"/>
      <c r="F742"/>
      <c r="G742"/>
      <c r="H742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/>
      <c r="AU742" s="56"/>
      <c r="AV742" s="56"/>
      <c r="AW742" s="56"/>
      <c r="AX742" s="56"/>
      <c r="AY742" s="56"/>
    </row>
    <row r="743" spans="1:51" x14ac:dyDescent="0.25">
      <c r="A743" s="16"/>
      <c r="C743"/>
      <c r="D743" s="56"/>
      <c r="E743"/>
      <c r="F743"/>
      <c r="G743"/>
      <c r="H743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/>
      <c r="AU743" s="56"/>
      <c r="AV743" s="56"/>
      <c r="AW743" s="56"/>
      <c r="AX743" s="56"/>
      <c r="AY743" s="56"/>
    </row>
    <row r="744" spans="1:51" x14ac:dyDescent="0.25">
      <c r="A744" s="16"/>
      <c r="C744"/>
      <c r="D744" s="56"/>
      <c r="E744"/>
      <c r="F744"/>
      <c r="G744"/>
      <c r="H744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/>
      <c r="AU744" s="56"/>
      <c r="AV744" s="56"/>
      <c r="AW744" s="56"/>
      <c r="AX744" s="56"/>
      <c r="AY744" s="56"/>
    </row>
    <row r="745" spans="1:51" x14ac:dyDescent="0.25">
      <c r="A745" s="16"/>
      <c r="C745"/>
      <c r="D745" s="56"/>
      <c r="E745"/>
      <c r="F745"/>
      <c r="G745"/>
      <c r="H745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/>
      <c r="AU745" s="56"/>
      <c r="AV745" s="56"/>
      <c r="AW745" s="56"/>
      <c r="AX745" s="56"/>
      <c r="AY745" s="56"/>
    </row>
    <row r="746" spans="1:51" x14ac:dyDescent="0.25">
      <c r="A746" s="16"/>
      <c r="C746"/>
      <c r="D746" s="56"/>
      <c r="E746"/>
      <c r="F746"/>
      <c r="G746"/>
      <c r="H74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/>
      <c r="AU746" s="56"/>
      <c r="AV746" s="56"/>
      <c r="AW746" s="56"/>
      <c r="AX746" s="56"/>
      <c r="AY746" s="56"/>
    </row>
    <row r="747" spans="1:51" x14ac:dyDescent="0.25">
      <c r="A747" s="16"/>
      <c r="C747"/>
      <c r="D747" s="56"/>
      <c r="E747"/>
      <c r="F747"/>
      <c r="G747"/>
      <c r="H747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/>
      <c r="AU747" s="56"/>
      <c r="AV747" s="56"/>
      <c r="AW747" s="56"/>
      <c r="AX747" s="56"/>
      <c r="AY747" s="56"/>
    </row>
    <row r="748" spans="1:51" x14ac:dyDescent="0.25">
      <c r="A748" s="16"/>
      <c r="C748"/>
      <c r="D748" s="56"/>
      <c r="E748"/>
      <c r="F748"/>
      <c r="G748"/>
      <c r="H748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/>
      <c r="AU748" s="56"/>
      <c r="AV748" s="56"/>
      <c r="AW748" s="56"/>
      <c r="AX748" s="56"/>
      <c r="AY748" s="56"/>
    </row>
    <row r="749" spans="1:51" x14ac:dyDescent="0.25">
      <c r="A749" s="16"/>
      <c r="C749"/>
      <c r="D749" s="56"/>
      <c r="E749"/>
      <c r="F749"/>
      <c r="G749"/>
      <c r="H749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/>
      <c r="AU749" s="56"/>
      <c r="AV749" s="56"/>
      <c r="AW749" s="56"/>
      <c r="AX749" s="56"/>
      <c r="AY749" s="56"/>
    </row>
    <row r="750" spans="1:51" x14ac:dyDescent="0.25">
      <c r="A750" s="16"/>
      <c r="C750"/>
      <c r="D750" s="56"/>
      <c r="E750"/>
      <c r="F750"/>
      <c r="G750"/>
      <c r="H750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/>
      <c r="AU750" s="56"/>
      <c r="AV750" s="56"/>
      <c r="AW750" s="56"/>
      <c r="AX750" s="56"/>
      <c r="AY750" s="56"/>
    </row>
    <row r="751" spans="1:51" x14ac:dyDescent="0.25">
      <c r="A751" s="16"/>
      <c r="C751"/>
      <c r="D751" s="56"/>
      <c r="E751"/>
      <c r="F751"/>
      <c r="G751"/>
      <c r="H751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/>
      <c r="AU751" s="56"/>
      <c r="AV751" s="56"/>
      <c r="AW751" s="56"/>
      <c r="AX751" s="56"/>
      <c r="AY751" s="56"/>
    </row>
    <row r="752" spans="1:51" x14ac:dyDescent="0.25">
      <c r="A752" s="16"/>
      <c r="C752"/>
      <c r="D752" s="56"/>
      <c r="E752"/>
      <c r="F752"/>
      <c r="G752"/>
      <c r="H752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/>
      <c r="AU752" s="56"/>
      <c r="AV752" s="56"/>
      <c r="AW752" s="56"/>
      <c r="AX752" s="56"/>
      <c r="AY752" s="56"/>
    </row>
    <row r="753" spans="1:51" x14ac:dyDescent="0.25">
      <c r="A753" s="16"/>
      <c r="C753"/>
      <c r="D753" s="56"/>
      <c r="E753"/>
      <c r="F753"/>
      <c r="G753"/>
      <c r="H753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/>
      <c r="AU753" s="56"/>
      <c r="AV753" s="56"/>
      <c r="AW753" s="56"/>
      <c r="AX753" s="56"/>
      <c r="AY753" s="56"/>
    </row>
    <row r="754" spans="1:51" x14ac:dyDescent="0.25">
      <c r="A754" s="16"/>
      <c r="C754"/>
      <c r="D754" s="56"/>
      <c r="E754"/>
      <c r="F754"/>
      <c r="G754"/>
      <c r="H754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/>
      <c r="AU754" s="56"/>
      <c r="AV754" s="56"/>
      <c r="AW754" s="56"/>
      <c r="AX754" s="56"/>
      <c r="AY754" s="56"/>
    </row>
    <row r="755" spans="1:51" x14ac:dyDescent="0.25">
      <c r="A755" s="16"/>
      <c r="C755"/>
      <c r="D755" s="56"/>
      <c r="E755"/>
      <c r="F755"/>
      <c r="G755"/>
      <c r="H755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/>
      <c r="AU755" s="56"/>
      <c r="AV755" s="56"/>
      <c r="AW755" s="56"/>
      <c r="AX755" s="56"/>
      <c r="AY755" s="56"/>
    </row>
    <row r="756" spans="1:51" x14ac:dyDescent="0.25">
      <c r="A756" s="16"/>
      <c r="C756"/>
      <c r="D756" s="56"/>
      <c r="E756"/>
      <c r="F756"/>
      <c r="G756"/>
      <c r="H7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/>
      <c r="AU756" s="56"/>
      <c r="AV756" s="56"/>
      <c r="AW756" s="56"/>
      <c r="AX756" s="56"/>
      <c r="AY756" s="56"/>
    </row>
    <row r="757" spans="1:51" x14ac:dyDescent="0.25">
      <c r="A757" s="16"/>
      <c r="C757"/>
      <c r="D757" s="56"/>
      <c r="E757"/>
      <c r="F757"/>
      <c r="G757"/>
      <c r="H757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/>
      <c r="AU757" s="56"/>
      <c r="AV757" s="56"/>
      <c r="AW757" s="56"/>
      <c r="AX757" s="56"/>
      <c r="AY757" s="56"/>
    </row>
    <row r="758" spans="1:51" x14ac:dyDescent="0.25">
      <c r="A758" s="16"/>
      <c r="C758"/>
      <c r="D758" s="56"/>
      <c r="E758"/>
      <c r="F758"/>
      <c r="G758"/>
      <c r="H758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/>
      <c r="AU758" s="56"/>
      <c r="AV758" s="56"/>
      <c r="AW758" s="56"/>
      <c r="AX758" s="56"/>
      <c r="AY758" s="56"/>
    </row>
    <row r="759" spans="1:51" x14ac:dyDescent="0.25">
      <c r="A759" s="16"/>
      <c r="C759"/>
      <c r="D759" s="56"/>
      <c r="E759"/>
      <c r="F759"/>
      <c r="G759"/>
      <c r="H759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/>
      <c r="AU759" s="56"/>
      <c r="AV759" s="56"/>
      <c r="AW759" s="56"/>
      <c r="AX759" s="56"/>
      <c r="AY759" s="56"/>
    </row>
    <row r="760" spans="1:51" x14ac:dyDescent="0.25">
      <c r="A760" s="16"/>
      <c r="C760"/>
      <c r="D760" s="56"/>
      <c r="E760"/>
      <c r="F760"/>
      <c r="G760"/>
      <c r="H760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/>
      <c r="AU760" s="56"/>
      <c r="AV760" s="56"/>
      <c r="AW760" s="56"/>
      <c r="AX760" s="56"/>
      <c r="AY760" s="56"/>
    </row>
    <row r="761" spans="1:51" x14ac:dyDescent="0.25">
      <c r="A761" s="16"/>
      <c r="C761"/>
      <c r="D761" s="56"/>
      <c r="E761"/>
      <c r="F761"/>
      <c r="G761"/>
      <c r="H761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/>
      <c r="AU761" s="56"/>
      <c r="AV761" s="56"/>
      <c r="AW761" s="56"/>
      <c r="AX761" s="56"/>
      <c r="AY761" s="56"/>
    </row>
    <row r="762" spans="1:51" x14ac:dyDescent="0.25">
      <c r="A762" s="16"/>
      <c r="C762"/>
      <c r="D762" s="56"/>
      <c r="E762"/>
      <c r="F762"/>
      <c r="G762"/>
      <c r="H762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/>
      <c r="AU762" s="56"/>
      <c r="AV762" s="56"/>
      <c r="AW762" s="56"/>
      <c r="AX762" s="56"/>
      <c r="AY762" s="56"/>
    </row>
    <row r="763" spans="1:51" x14ac:dyDescent="0.25">
      <c r="A763" s="16"/>
      <c r="C763"/>
      <c r="D763" s="56"/>
      <c r="E763"/>
      <c r="F763"/>
      <c r="G763"/>
      <c r="H763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/>
      <c r="AU763" s="56"/>
      <c r="AV763" s="56"/>
      <c r="AW763" s="56"/>
      <c r="AX763" s="56"/>
      <c r="AY763" s="56"/>
    </row>
    <row r="764" spans="1:51" x14ac:dyDescent="0.25">
      <c r="A764" s="16"/>
      <c r="C764"/>
      <c r="D764" s="56"/>
      <c r="E764"/>
      <c r="F764"/>
      <c r="G764"/>
      <c r="H764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/>
      <c r="AU764" s="56"/>
      <c r="AV764" s="56"/>
      <c r="AW764" s="56"/>
      <c r="AX764" s="56"/>
      <c r="AY764" s="56"/>
    </row>
    <row r="765" spans="1:51" x14ac:dyDescent="0.25">
      <c r="A765" s="16"/>
      <c r="C765"/>
      <c r="D765" s="56"/>
      <c r="E765"/>
      <c r="F765"/>
      <c r="G765"/>
      <c r="H765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/>
      <c r="AU765" s="56"/>
      <c r="AV765" s="56"/>
      <c r="AW765" s="56"/>
      <c r="AX765" s="56"/>
      <c r="AY765" s="56"/>
    </row>
    <row r="766" spans="1:51" x14ac:dyDescent="0.25">
      <c r="A766" s="16"/>
      <c r="C766"/>
      <c r="D766" s="56"/>
      <c r="E766"/>
      <c r="F766"/>
      <c r="G766"/>
      <c r="H76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/>
      <c r="AU766" s="56"/>
      <c r="AV766" s="56"/>
      <c r="AW766" s="56"/>
      <c r="AX766" s="56"/>
      <c r="AY766" s="56"/>
    </row>
    <row r="767" spans="1:51" x14ac:dyDescent="0.25">
      <c r="A767" s="16"/>
      <c r="C767"/>
      <c r="D767" s="56"/>
      <c r="E767"/>
      <c r="F767"/>
      <c r="G767"/>
      <c r="H767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/>
      <c r="AU767" s="56"/>
      <c r="AV767" s="56"/>
      <c r="AW767" s="56"/>
      <c r="AX767" s="56"/>
      <c r="AY767" s="56"/>
    </row>
    <row r="768" spans="1:51" x14ac:dyDescent="0.25">
      <c r="A768" s="16"/>
      <c r="C768"/>
      <c r="D768" s="56"/>
      <c r="E768"/>
      <c r="F768"/>
      <c r="G768"/>
      <c r="H768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/>
      <c r="AU768" s="56"/>
      <c r="AV768" s="56"/>
      <c r="AW768" s="56"/>
      <c r="AX768" s="56"/>
      <c r="AY768" s="56"/>
    </row>
    <row r="769" spans="1:51" x14ac:dyDescent="0.25">
      <c r="A769" s="16"/>
      <c r="C769"/>
      <c r="D769" s="56"/>
      <c r="E769"/>
      <c r="F769"/>
      <c r="G769"/>
      <c r="H769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/>
      <c r="AU769" s="56"/>
      <c r="AV769" s="56"/>
      <c r="AW769" s="56"/>
      <c r="AX769" s="56"/>
      <c r="AY769" s="56"/>
    </row>
    <row r="770" spans="1:51" x14ac:dyDescent="0.25">
      <c r="A770" s="16"/>
      <c r="C770"/>
      <c r="D770" s="56"/>
      <c r="E770"/>
      <c r="F770"/>
      <c r="G770"/>
      <c r="H770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/>
      <c r="AU770" s="56"/>
      <c r="AV770" s="56"/>
      <c r="AW770" s="56"/>
      <c r="AX770" s="56"/>
      <c r="AY770" s="56"/>
    </row>
    <row r="771" spans="1:51" x14ac:dyDescent="0.25">
      <c r="A771" s="16"/>
      <c r="C771"/>
      <c r="D771" s="56"/>
      <c r="E771"/>
      <c r="F771"/>
      <c r="G771"/>
      <c r="H771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/>
      <c r="AU771" s="56"/>
      <c r="AV771" s="56"/>
      <c r="AW771" s="56"/>
      <c r="AX771" s="56"/>
      <c r="AY771" s="56"/>
    </row>
    <row r="772" spans="1:51" x14ac:dyDescent="0.25">
      <c r="A772" s="16"/>
      <c r="C772"/>
      <c r="D772" s="56"/>
      <c r="E772"/>
      <c r="F772"/>
      <c r="G772"/>
      <c r="H772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/>
      <c r="AU772" s="56"/>
      <c r="AV772" s="56"/>
      <c r="AW772" s="56"/>
      <c r="AX772" s="56"/>
      <c r="AY772" s="56"/>
    </row>
    <row r="773" spans="1:51" x14ac:dyDescent="0.25">
      <c r="A773" s="16"/>
      <c r="C773"/>
      <c r="D773" s="56"/>
      <c r="E773"/>
      <c r="F773"/>
      <c r="G773"/>
      <c r="H773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/>
      <c r="AU773" s="56"/>
      <c r="AV773" s="56"/>
      <c r="AW773" s="56"/>
      <c r="AX773" s="56"/>
      <c r="AY773" s="56"/>
    </row>
    <row r="774" spans="1:51" x14ac:dyDescent="0.25">
      <c r="A774" s="16"/>
      <c r="C774"/>
      <c r="D774" s="56"/>
      <c r="E774"/>
      <c r="F774"/>
      <c r="G774"/>
      <c r="H774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/>
      <c r="AU774" s="56"/>
      <c r="AV774" s="56"/>
      <c r="AW774" s="56"/>
      <c r="AX774" s="56"/>
      <c r="AY774" s="56"/>
    </row>
    <row r="775" spans="1:51" x14ac:dyDescent="0.25">
      <c r="A775" s="16"/>
      <c r="C775"/>
      <c r="D775" s="56"/>
      <c r="E775"/>
      <c r="F775"/>
      <c r="G775"/>
      <c r="H775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/>
      <c r="AU775" s="56"/>
      <c r="AV775" s="56"/>
      <c r="AW775" s="56"/>
      <c r="AX775" s="56"/>
      <c r="AY775" s="56"/>
    </row>
    <row r="776" spans="1:51" x14ac:dyDescent="0.25">
      <c r="A776" s="16"/>
      <c r="C776"/>
      <c r="D776" s="56"/>
      <c r="E776"/>
      <c r="F776"/>
      <c r="G776"/>
      <c r="H77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/>
      <c r="AU776" s="56"/>
      <c r="AV776" s="56"/>
      <c r="AW776" s="56"/>
      <c r="AX776" s="56"/>
      <c r="AY776" s="56"/>
    </row>
    <row r="777" spans="1:51" x14ac:dyDescent="0.25">
      <c r="A777" s="16"/>
      <c r="C777"/>
      <c r="D777" s="56"/>
      <c r="E777"/>
      <c r="F777"/>
      <c r="G777"/>
      <c r="H777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/>
      <c r="AU777" s="56"/>
      <c r="AV777" s="56"/>
      <c r="AW777" s="56"/>
      <c r="AX777" s="56"/>
      <c r="AY777" s="56"/>
    </row>
    <row r="778" spans="1:51" x14ac:dyDescent="0.25">
      <c r="A778" s="16"/>
      <c r="C778"/>
      <c r="D778" s="56"/>
      <c r="E778"/>
      <c r="F778"/>
      <c r="G778"/>
      <c r="H778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/>
      <c r="AU778" s="56"/>
      <c r="AV778" s="56"/>
      <c r="AW778" s="56"/>
      <c r="AX778" s="56"/>
      <c r="AY778" s="56"/>
    </row>
    <row r="779" spans="1:51" x14ac:dyDescent="0.25">
      <c r="A779" s="16"/>
      <c r="C779"/>
      <c r="D779" s="56"/>
      <c r="E779"/>
      <c r="F779"/>
      <c r="G779"/>
      <c r="H779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/>
      <c r="AU779" s="56"/>
      <c r="AV779" s="56"/>
      <c r="AW779" s="56"/>
      <c r="AX779" s="56"/>
      <c r="AY779" s="56"/>
    </row>
    <row r="780" spans="1:51" x14ac:dyDescent="0.25">
      <c r="A780" s="16"/>
      <c r="C780"/>
      <c r="D780" s="56"/>
      <c r="E780"/>
      <c r="F780"/>
      <c r="G780"/>
      <c r="H780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/>
      <c r="AU780" s="56"/>
      <c r="AV780" s="56"/>
      <c r="AW780" s="56"/>
      <c r="AX780" s="56"/>
      <c r="AY780" s="56"/>
    </row>
    <row r="781" spans="1:51" x14ac:dyDescent="0.25">
      <c r="A781" s="16"/>
      <c r="C781"/>
      <c r="D781" s="56"/>
      <c r="E781"/>
      <c r="F781"/>
      <c r="G781"/>
      <c r="H781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/>
      <c r="AU781" s="56"/>
      <c r="AV781" s="56"/>
      <c r="AW781" s="56"/>
      <c r="AX781" s="56"/>
      <c r="AY781" s="56"/>
    </row>
    <row r="782" spans="1:51" x14ac:dyDescent="0.25">
      <c r="A782" s="16"/>
      <c r="C782"/>
      <c r="D782" s="56"/>
      <c r="E782"/>
      <c r="F782"/>
      <c r="G782"/>
      <c r="H782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/>
      <c r="AU782" s="56"/>
      <c r="AV782" s="56"/>
      <c r="AW782" s="56"/>
      <c r="AX782" s="56"/>
      <c r="AY782" s="56"/>
    </row>
    <row r="783" spans="1:51" x14ac:dyDescent="0.25">
      <c r="A783" s="16"/>
      <c r="C783"/>
      <c r="D783" s="56"/>
      <c r="E783"/>
      <c r="F783"/>
      <c r="G783"/>
      <c r="H783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/>
      <c r="AU783" s="56"/>
      <c r="AV783" s="56"/>
      <c r="AW783" s="56"/>
      <c r="AX783" s="56"/>
      <c r="AY783" s="56"/>
    </row>
    <row r="784" spans="1:51" x14ac:dyDescent="0.25">
      <c r="A784" s="16"/>
      <c r="C784"/>
      <c r="D784" s="56"/>
      <c r="E784"/>
      <c r="F784"/>
      <c r="G784"/>
      <c r="H784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/>
      <c r="AU784" s="56"/>
      <c r="AV784" s="56"/>
      <c r="AW784" s="56"/>
      <c r="AX784" s="56"/>
      <c r="AY784" s="56"/>
    </row>
    <row r="785" spans="1:51" x14ac:dyDescent="0.25">
      <c r="A785" s="16"/>
      <c r="C785"/>
      <c r="D785" s="56"/>
      <c r="E785"/>
      <c r="F785"/>
      <c r="G785"/>
      <c r="H785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/>
      <c r="AU785" s="56"/>
      <c r="AV785" s="56"/>
      <c r="AW785" s="56"/>
      <c r="AX785" s="56"/>
      <c r="AY785" s="56"/>
    </row>
    <row r="786" spans="1:51" x14ac:dyDescent="0.25">
      <c r="A786" s="16"/>
      <c r="C786"/>
      <c r="D786" s="56"/>
      <c r="E786"/>
      <c r="F786"/>
      <c r="G786"/>
      <c r="H78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/>
      <c r="AU786" s="56"/>
      <c r="AV786" s="56"/>
      <c r="AW786" s="56"/>
      <c r="AX786" s="56"/>
      <c r="AY786" s="56"/>
    </row>
    <row r="787" spans="1:51" x14ac:dyDescent="0.25">
      <c r="A787" s="16"/>
      <c r="C787"/>
      <c r="D787" s="56"/>
      <c r="E787"/>
      <c r="F787"/>
      <c r="G787"/>
      <c r="H787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/>
      <c r="AU787" s="56"/>
      <c r="AV787" s="56"/>
      <c r="AW787" s="56"/>
      <c r="AX787" s="56"/>
      <c r="AY787" s="56"/>
    </row>
    <row r="788" spans="1:51" x14ac:dyDescent="0.25">
      <c r="A788" s="16"/>
      <c r="C788"/>
      <c r="D788" s="56"/>
      <c r="E788"/>
      <c r="F788"/>
      <c r="G788"/>
      <c r="H788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/>
      <c r="AU788" s="56"/>
      <c r="AV788" s="56"/>
      <c r="AW788" s="56"/>
      <c r="AX788" s="56"/>
      <c r="AY788" s="56"/>
    </row>
    <row r="789" spans="1:51" x14ac:dyDescent="0.25">
      <c r="A789" s="16"/>
      <c r="C789"/>
      <c r="D789" s="56"/>
      <c r="E789"/>
      <c r="F789"/>
      <c r="G789"/>
      <c r="H789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/>
      <c r="AU789" s="56"/>
      <c r="AV789" s="56"/>
      <c r="AW789" s="56"/>
      <c r="AX789" s="56"/>
      <c r="AY789" s="56"/>
    </row>
    <row r="790" spans="1:51" x14ac:dyDescent="0.25">
      <c r="A790" s="16"/>
      <c r="C790"/>
      <c r="D790" s="56"/>
      <c r="E790"/>
      <c r="F790"/>
      <c r="G790"/>
      <c r="H790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/>
      <c r="AU790" s="56"/>
      <c r="AV790" s="56"/>
      <c r="AW790" s="56"/>
      <c r="AX790" s="56"/>
      <c r="AY790" s="56"/>
    </row>
    <row r="791" spans="1:51" x14ac:dyDescent="0.25">
      <c r="A791" s="16"/>
      <c r="C791"/>
      <c r="D791" s="56"/>
      <c r="E791"/>
      <c r="F791"/>
      <c r="G791"/>
      <c r="H791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/>
      <c r="AU791" s="56"/>
      <c r="AV791" s="56"/>
      <c r="AW791" s="56"/>
      <c r="AX791" s="56"/>
      <c r="AY791" s="56"/>
    </row>
    <row r="792" spans="1:51" x14ac:dyDescent="0.25">
      <c r="A792" s="16"/>
      <c r="C792"/>
      <c r="D792" s="56"/>
      <c r="E792"/>
      <c r="F792"/>
      <c r="G792"/>
      <c r="H792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/>
      <c r="AU792" s="56"/>
      <c r="AV792" s="56"/>
      <c r="AW792" s="56"/>
      <c r="AX792" s="56"/>
      <c r="AY792" s="56"/>
    </row>
    <row r="793" spans="1:51" x14ac:dyDescent="0.25">
      <c r="A793" s="16"/>
      <c r="C793"/>
      <c r="D793" s="56"/>
      <c r="E793"/>
      <c r="F793"/>
      <c r="G793"/>
      <c r="H793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/>
      <c r="AU793" s="56"/>
      <c r="AV793" s="56"/>
      <c r="AW793" s="56"/>
      <c r="AX793" s="56"/>
      <c r="AY793" s="56"/>
    </row>
    <row r="794" spans="1:51" x14ac:dyDescent="0.25">
      <c r="A794" s="16"/>
      <c r="C794"/>
      <c r="D794" s="56"/>
      <c r="E794"/>
      <c r="F794"/>
      <c r="G794"/>
      <c r="H794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/>
      <c r="AU794" s="56"/>
      <c r="AV794" s="56"/>
      <c r="AW794" s="56"/>
      <c r="AX794" s="56"/>
      <c r="AY794" s="56"/>
    </row>
    <row r="795" spans="1:51" x14ac:dyDescent="0.25">
      <c r="A795" s="16"/>
      <c r="C795"/>
      <c r="D795" s="56"/>
      <c r="E795"/>
      <c r="F795"/>
      <c r="G795"/>
      <c r="H795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/>
      <c r="AU795" s="56"/>
      <c r="AV795" s="56"/>
      <c r="AW795" s="56"/>
      <c r="AX795" s="56"/>
      <c r="AY795" s="56"/>
    </row>
    <row r="796" spans="1:51" x14ac:dyDescent="0.25">
      <c r="A796" s="16"/>
      <c r="C796"/>
      <c r="D796" s="56"/>
      <c r="E796"/>
      <c r="F796"/>
      <c r="G796"/>
      <c r="H79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/>
      <c r="AU796" s="56"/>
      <c r="AV796" s="56"/>
      <c r="AW796" s="56"/>
      <c r="AX796" s="56"/>
      <c r="AY796" s="56"/>
    </row>
    <row r="797" spans="1:51" x14ac:dyDescent="0.25">
      <c r="A797" s="16"/>
      <c r="C797"/>
      <c r="D797" s="56"/>
      <c r="E797"/>
      <c r="F797"/>
      <c r="G797"/>
      <c r="H797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/>
      <c r="AU797" s="56"/>
      <c r="AV797" s="56"/>
      <c r="AW797" s="56"/>
      <c r="AX797" s="56"/>
      <c r="AY797" s="56"/>
    </row>
    <row r="798" spans="1:51" x14ac:dyDescent="0.25">
      <c r="A798" s="16"/>
      <c r="C798"/>
      <c r="D798" s="56"/>
      <c r="E798"/>
      <c r="F798"/>
      <c r="G798"/>
      <c r="H798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/>
      <c r="AU798" s="56"/>
      <c r="AV798" s="56"/>
      <c r="AW798" s="56"/>
      <c r="AX798" s="56"/>
      <c r="AY798" s="56"/>
    </row>
    <row r="799" spans="1:51" x14ac:dyDescent="0.25">
      <c r="A799" s="16"/>
      <c r="C799"/>
      <c r="D799" s="56"/>
      <c r="E799"/>
      <c r="F799"/>
      <c r="G799"/>
      <c r="H799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/>
      <c r="AU799" s="56"/>
      <c r="AV799" s="56"/>
      <c r="AW799" s="56"/>
      <c r="AX799" s="56"/>
      <c r="AY799" s="56"/>
    </row>
    <row r="800" spans="1:51" x14ac:dyDescent="0.25">
      <c r="A800" s="16"/>
      <c r="C800"/>
      <c r="D800" s="56"/>
      <c r="E800"/>
      <c r="F800"/>
      <c r="G800"/>
      <c r="H800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/>
      <c r="AU800" s="56"/>
      <c r="AV800" s="56"/>
      <c r="AW800" s="56"/>
      <c r="AX800" s="56"/>
      <c r="AY800" s="56"/>
    </row>
    <row r="801" spans="1:51" x14ac:dyDescent="0.25">
      <c r="A801" s="16"/>
      <c r="C801"/>
      <c r="D801" s="56"/>
      <c r="E801"/>
      <c r="F801"/>
      <c r="G801"/>
      <c r="H801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/>
      <c r="AU801" s="56"/>
      <c r="AV801" s="56"/>
      <c r="AW801" s="56"/>
      <c r="AX801" s="56"/>
      <c r="AY801" s="56"/>
    </row>
    <row r="802" spans="1:51" x14ac:dyDescent="0.25">
      <c r="A802" s="16"/>
      <c r="C802"/>
      <c r="D802" s="56"/>
      <c r="E802"/>
      <c r="F802"/>
      <c r="G802"/>
      <c r="H802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/>
      <c r="AU802" s="56"/>
      <c r="AV802" s="56"/>
      <c r="AW802" s="56"/>
      <c r="AX802" s="56"/>
      <c r="AY802" s="56"/>
    </row>
    <row r="803" spans="1:51" x14ac:dyDescent="0.25">
      <c r="A803" s="16"/>
      <c r="C803"/>
      <c r="D803" s="56"/>
      <c r="E803"/>
      <c r="F803"/>
      <c r="G803"/>
      <c r="H803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/>
      <c r="AU803" s="56"/>
      <c r="AV803" s="56"/>
      <c r="AW803" s="56"/>
      <c r="AX803" s="56"/>
      <c r="AY803" s="56"/>
    </row>
    <row r="804" spans="1:51" x14ac:dyDescent="0.25">
      <c r="A804" s="16"/>
      <c r="C804"/>
      <c r="D804" s="56"/>
      <c r="E804"/>
      <c r="F804"/>
      <c r="G804"/>
      <c r="H804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/>
      <c r="AU804" s="56"/>
      <c r="AV804" s="56"/>
      <c r="AW804" s="56"/>
      <c r="AX804" s="56"/>
      <c r="AY804" s="56"/>
    </row>
    <row r="805" spans="1:51" x14ac:dyDescent="0.25">
      <c r="A805" s="16"/>
      <c r="C805"/>
      <c r="D805" s="56"/>
      <c r="E805"/>
      <c r="F805"/>
      <c r="G805"/>
      <c r="H805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/>
      <c r="AU805" s="56"/>
      <c r="AV805" s="56"/>
      <c r="AW805" s="56"/>
      <c r="AX805" s="56"/>
      <c r="AY805" s="56"/>
    </row>
    <row r="806" spans="1:51" x14ac:dyDescent="0.25">
      <c r="A806" s="16"/>
      <c r="C806"/>
      <c r="D806" s="56"/>
      <c r="E806"/>
      <c r="F806"/>
      <c r="G806"/>
      <c r="H80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/>
      <c r="AU806" s="56"/>
      <c r="AV806" s="56"/>
      <c r="AW806" s="56"/>
      <c r="AX806" s="56"/>
      <c r="AY806" s="56"/>
    </row>
    <row r="807" spans="1:51" x14ac:dyDescent="0.25">
      <c r="A807" s="16"/>
      <c r="C807"/>
      <c r="D807" s="56"/>
      <c r="E807"/>
      <c r="F807"/>
      <c r="G807"/>
      <c r="H807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/>
      <c r="AU807" s="56"/>
      <c r="AV807" s="56"/>
      <c r="AW807" s="56"/>
      <c r="AX807" s="56"/>
      <c r="AY807" s="56"/>
    </row>
    <row r="808" spans="1:51" x14ac:dyDescent="0.25">
      <c r="A808" s="16"/>
      <c r="C808"/>
      <c r="D808" s="56"/>
      <c r="E808"/>
      <c r="F808"/>
      <c r="G808"/>
      <c r="H808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/>
      <c r="AU808" s="56"/>
      <c r="AV808" s="56"/>
      <c r="AW808" s="56"/>
      <c r="AX808" s="56"/>
      <c r="AY808" s="56"/>
    </row>
    <row r="809" spans="1:51" x14ac:dyDescent="0.25">
      <c r="A809" s="16"/>
      <c r="C809"/>
      <c r="D809" s="56"/>
      <c r="E809"/>
      <c r="F809"/>
      <c r="G809"/>
      <c r="H809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/>
      <c r="AU809" s="56"/>
      <c r="AV809" s="56"/>
      <c r="AW809" s="56"/>
      <c r="AX809" s="56"/>
      <c r="AY809" s="56"/>
    </row>
    <row r="810" spans="1:51" x14ac:dyDescent="0.25">
      <c r="A810" s="16"/>
      <c r="C810"/>
      <c r="D810" s="56"/>
      <c r="E810"/>
      <c r="F810"/>
      <c r="G810"/>
      <c r="H810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/>
      <c r="AU810" s="56"/>
      <c r="AV810" s="56"/>
      <c r="AW810" s="56"/>
      <c r="AX810" s="56"/>
      <c r="AY810" s="56"/>
    </row>
    <row r="811" spans="1:51" x14ac:dyDescent="0.25">
      <c r="A811" s="16"/>
      <c r="C811"/>
      <c r="D811" s="56"/>
      <c r="E811"/>
      <c r="F811"/>
      <c r="G811"/>
      <c r="H811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/>
      <c r="AU811" s="56"/>
      <c r="AV811" s="56"/>
      <c r="AW811" s="56"/>
      <c r="AX811" s="56"/>
      <c r="AY811" s="56"/>
    </row>
    <row r="812" spans="1:51" x14ac:dyDescent="0.25">
      <c r="A812" s="16"/>
      <c r="C812"/>
      <c r="D812" s="56"/>
      <c r="E812"/>
      <c r="F812"/>
      <c r="G812"/>
      <c r="H812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/>
      <c r="AU812" s="56"/>
      <c r="AV812" s="56"/>
      <c r="AW812" s="56"/>
      <c r="AX812" s="56"/>
      <c r="AY812" s="56"/>
    </row>
    <row r="813" spans="1:51" x14ac:dyDescent="0.25">
      <c r="A813" s="16"/>
      <c r="C813"/>
      <c r="D813" s="56"/>
      <c r="E813"/>
      <c r="F813"/>
      <c r="G813"/>
      <c r="H813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/>
      <c r="AU813" s="56"/>
      <c r="AV813" s="56"/>
      <c r="AW813" s="56"/>
      <c r="AX813" s="56"/>
      <c r="AY813" s="56"/>
    </row>
    <row r="814" spans="1:51" x14ac:dyDescent="0.25">
      <c r="A814" s="16"/>
      <c r="C814"/>
      <c r="D814" s="56"/>
      <c r="E814"/>
      <c r="F814"/>
      <c r="G814"/>
      <c r="H814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/>
      <c r="AU814" s="56"/>
      <c r="AV814" s="56"/>
      <c r="AW814" s="56"/>
      <c r="AX814" s="56"/>
      <c r="AY814" s="56"/>
    </row>
    <row r="815" spans="1:51" x14ac:dyDescent="0.25">
      <c r="A815" s="16"/>
      <c r="C815"/>
      <c r="D815" s="56"/>
      <c r="E815"/>
      <c r="F815"/>
      <c r="G815"/>
      <c r="H815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/>
      <c r="AU815" s="56"/>
      <c r="AV815" s="56"/>
      <c r="AW815" s="56"/>
      <c r="AX815" s="56"/>
      <c r="AY815" s="56"/>
    </row>
    <row r="816" spans="1:51" x14ac:dyDescent="0.25">
      <c r="A816" s="16"/>
      <c r="C816"/>
      <c r="D816" s="56"/>
      <c r="E816"/>
      <c r="F816"/>
      <c r="G816"/>
      <c r="H81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/>
      <c r="AU816" s="56"/>
      <c r="AV816" s="56"/>
      <c r="AW816" s="56"/>
      <c r="AX816" s="56"/>
      <c r="AY816" s="56"/>
    </row>
    <row r="817" spans="1:51" x14ac:dyDescent="0.25">
      <c r="A817" s="16"/>
      <c r="C817"/>
      <c r="D817" s="56"/>
      <c r="E817"/>
      <c r="F817"/>
      <c r="G817"/>
      <c r="H817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/>
      <c r="AU817" s="56"/>
      <c r="AV817" s="56"/>
      <c r="AW817" s="56"/>
      <c r="AX817" s="56"/>
      <c r="AY817" s="56"/>
    </row>
    <row r="818" spans="1:51" x14ac:dyDescent="0.25">
      <c r="A818" s="16"/>
      <c r="C818"/>
      <c r="D818" s="56"/>
      <c r="E818"/>
      <c r="F818"/>
      <c r="G818"/>
      <c r="H818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/>
      <c r="AU818" s="56"/>
      <c r="AV818" s="56"/>
      <c r="AW818" s="56"/>
      <c r="AX818" s="56"/>
      <c r="AY818" s="56"/>
    </row>
    <row r="819" spans="1:51" x14ac:dyDescent="0.25">
      <c r="A819" s="16"/>
      <c r="C819"/>
      <c r="D819" s="56"/>
      <c r="E819"/>
      <c r="F819"/>
      <c r="G819"/>
      <c r="H819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/>
      <c r="AU819" s="56"/>
      <c r="AV819" s="56"/>
      <c r="AW819" s="56"/>
      <c r="AX819" s="56"/>
      <c r="AY819" s="56"/>
    </row>
    <row r="820" spans="1:51" x14ac:dyDescent="0.25">
      <c r="A820" s="16"/>
      <c r="C820"/>
      <c r="D820" s="56"/>
      <c r="E820"/>
      <c r="F820"/>
      <c r="G820"/>
      <c r="H820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/>
      <c r="AU820" s="56"/>
      <c r="AV820" s="56"/>
      <c r="AW820" s="56"/>
      <c r="AX820" s="56"/>
      <c r="AY820" s="56"/>
    </row>
    <row r="821" spans="1:51" x14ac:dyDescent="0.25">
      <c r="A821" s="16"/>
      <c r="C821"/>
      <c r="D821" s="56"/>
      <c r="E821"/>
      <c r="F821"/>
      <c r="G821"/>
      <c r="H821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/>
      <c r="AU821" s="56"/>
      <c r="AV821" s="56"/>
      <c r="AW821" s="56"/>
      <c r="AX821" s="56"/>
      <c r="AY821" s="56"/>
    </row>
    <row r="822" spans="1:51" x14ac:dyDescent="0.25">
      <c r="A822" s="16"/>
      <c r="C822"/>
      <c r="D822" s="56"/>
      <c r="E822"/>
      <c r="F822"/>
      <c r="G822"/>
      <c r="H822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/>
      <c r="AU822" s="56"/>
      <c r="AV822" s="56"/>
      <c r="AW822" s="56"/>
      <c r="AX822" s="56"/>
      <c r="AY822" s="56"/>
    </row>
    <row r="823" spans="1:51" x14ac:dyDescent="0.25">
      <c r="A823" s="16"/>
      <c r="C823"/>
      <c r="D823" s="56"/>
      <c r="E823"/>
      <c r="F823"/>
      <c r="G823"/>
      <c r="H823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/>
      <c r="AU823" s="56"/>
      <c r="AV823" s="56"/>
      <c r="AW823" s="56"/>
      <c r="AX823" s="56"/>
      <c r="AY823" s="56"/>
    </row>
    <row r="824" spans="1:51" x14ac:dyDescent="0.25">
      <c r="A824" s="16"/>
      <c r="C824"/>
      <c r="D824" s="56"/>
      <c r="E824"/>
      <c r="F824"/>
      <c r="G824"/>
      <c r="H824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/>
      <c r="AU824" s="56"/>
      <c r="AV824" s="56"/>
      <c r="AW824" s="56"/>
      <c r="AX824" s="56"/>
      <c r="AY824" s="56"/>
    </row>
    <row r="825" spans="1:51" x14ac:dyDescent="0.25">
      <c r="A825" s="16"/>
      <c r="C825"/>
      <c r="D825" s="56"/>
      <c r="E825"/>
      <c r="F825"/>
      <c r="G825"/>
      <c r="H825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/>
      <c r="AU825" s="56"/>
      <c r="AV825" s="56"/>
      <c r="AW825" s="56"/>
      <c r="AX825" s="56"/>
      <c r="AY825" s="56"/>
    </row>
    <row r="826" spans="1:51" x14ac:dyDescent="0.25">
      <c r="A826" s="16"/>
      <c r="C826"/>
      <c r="D826" s="56"/>
      <c r="E826"/>
      <c r="F826"/>
      <c r="G826"/>
      <c r="H82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/>
      <c r="AU826" s="56"/>
      <c r="AV826" s="56"/>
      <c r="AW826" s="56"/>
      <c r="AX826" s="56"/>
      <c r="AY826" s="56"/>
    </row>
    <row r="827" spans="1:51" x14ac:dyDescent="0.25">
      <c r="A827" s="16"/>
      <c r="C827"/>
      <c r="D827" s="56"/>
      <c r="E827"/>
      <c r="F827"/>
      <c r="G827"/>
      <c r="H827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/>
      <c r="AU827" s="56"/>
      <c r="AV827" s="56"/>
      <c r="AW827" s="56"/>
      <c r="AX827" s="56"/>
      <c r="AY827" s="56"/>
    </row>
    <row r="828" spans="1:51" x14ac:dyDescent="0.25">
      <c r="A828" s="16"/>
      <c r="C828"/>
      <c r="D828" s="56"/>
      <c r="E828"/>
      <c r="F828"/>
      <c r="G828"/>
      <c r="H828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/>
      <c r="AU828" s="56"/>
      <c r="AV828" s="56"/>
      <c r="AW828" s="56"/>
      <c r="AX828" s="56"/>
      <c r="AY828" s="56"/>
    </row>
    <row r="829" spans="1:51" x14ac:dyDescent="0.25">
      <c r="A829" s="16"/>
      <c r="C829"/>
      <c r="D829" s="56"/>
      <c r="E829"/>
      <c r="F829"/>
      <c r="G829"/>
      <c r="H829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/>
      <c r="AU829" s="56"/>
      <c r="AV829" s="56"/>
      <c r="AW829" s="56"/>
      <c r="AX829" s="56"/>
      <c r="AY829" s="56"/>
    </row>
    <row r="830" spans="1:51" x14ac:dyDescent="0.25">
      <c r="A830" s="16"/>
      <c r="C830"/>
      <c r="D830" s="56"/>
      <c r="E830"/>
      <c r="F830"/>
      <c r="G830"/>
      <c r="H830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/>
      <c r="AU830" s="56"/>
      <c r="AV830" s="56"/>
      <c r="AW830" s="56"/>
      <c r="AX830" s="56"/>
      <c r="AY830" s="56"/>
    </row>
    <row r="831" spans="1:51" x14ac:dyDescent="0.25">
      <c r="A831" s="16"/>
      <c r="C831"/>
      <c r="D831" s="56"/>
      <c r="E831"/>
      <c r="F831"/>
      <c r="G831"/>
      <c r="H831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/>
      <c r="AU831" s="56"/>
      <c r="AV831" s="56"/>
      <c r="AW831" s="56"/>
      <c r="AX831" s="56"/>
      <c r="AY831" s="56"/>
    </row>
    <row r="832" spans="1:51" x14ac:dyDescent="0.25">
      <c r="A832" s="16"/>
      <c r="C832"/>
      <c r="D832" s="56"/>
      <c r="E832"/>
      <c r="F832"/>
      <c r="G832"/>
      <c r="H832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/>
      <c r="AU832" s="56"/>
      <c r="AV832" s="56"/>
      <c r="AW832" s="56"/>
      <c r="AX832" s="56"/>
      <c r="AY832" s="56"/>
    </row>
    <row r="833" spans="1:51" x14ac:dyDescent="0.25">
      <c r="A833" s="16"/>
      <c r="C833"/>
      <c r="D833" s="56"/>
      <c r="E833"/>
      <c r="F833"/>
      <c r="G833"/>
      <c r="H833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/>
      <c r="AU833" s="56"/>
      <c r="AV833" s="56"/>
      <c r="AW833" s="56"/>
      <c r="AX833" s="56"/>
      <c r="AY833" s="56"/>
    </row>
    <row r="834" spans="1:51" x14ac:dyDescent="0.25">
      <c r="A834" s="16"/>
      <c r="C834"/>
      <c r="D834" s="56"/>
      <c r="E834"/>
      <c r="F834"/>
      <c r="G834"/>
      <c r="H834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/>
      <c r="AU834" s="56"/>
      <c r="AV834" s="56"/>
      <c r="AW834" s="56"/>
      <c r="AX834" s="56"/>
      <c r="AY834" s="56"/>
    </row>
    <row r="835" spans="1:51" x14ac:dyDescent="0.25">
      <c r="A835" s="16"/>
      <c r="C835"/>
      <c r="D835" s="56"/>
      <c r="E835"/>
      <c r="F835"/>
      <c r="G835"/>
      <c r="H835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/>
      <c r="AU835" s="56"/>
      <c r="AV835" s="56"/>
      <c r="AW835" s="56"/>
      <c r="AX835" s="56"/>
      <c r="AY835" s="56"/>
    </row>
    <row r="836" spans="1:51" x14ac:dyDescent="0.25">
      <c r="A836" s="16"/>
      <c r="C836"/>
      <c r="D836" s="56"/>
      <c r="E836"/>
      <c r="F836"/>
      <c r="G836"/>
      <c r="H83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/>
      <c r="AU836" s="56"/>
      <c r="AV836" s="56"/>
      <c r="AW836" s="56"/>
      <c r="AX836" s="56"/>
      <c r="AY836" s="56"/>
    </row>
    <row r="837" spans="1:51" x14ac:dyDescent="0.25">
      <c r="A837" s="16"/>
      <c r="C837"/>
      <c r="D837" s="56"/>
      <c r="E837"/>
      <c r="F837"/>
      <c r="G837"/>
      <c r="H837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/>
      <c r="AU837" s="56"/>
      <c r="AV837" s="56"/>
      <c r="AW837" s="56"/>
      <c r="AX837" s="56"/>
      <c r="AY837" s="56"/>
    </row>
    <row r="838" spans="1:51" x14ac:dyDescent="0.25">
      <c r="A838" s="16"/>
      <c r="C838"/>
      <c r="D838" s="56"/>
      <c r="E838"/>
      <c r="F838"/>
      <c r="G838"/>
      <c r="H838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/>
      <c r="AU838" s="56"/>
      <c r="AV838" s="56"/>
      <c r="AW838" s="56"/>
      <c r="AX838" s="56"/>
      <c r="AY838" s="56"/>
    </row>
    <row r="839" spans="1:51" x14ac:dyDescent="0.25">
      <c r="A839" s="16"/>
      <c r="C839"/>
      <c r="D839" s="56"/>
      <c r="E839"/>
      <c r="F839"/>
      <c r="G839"/>
      <c r="H839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/>
      <c r="AU839" s="56"/>
      <c r="AV839" s="56"/>
      <c r="AW839" s="56"/>
      <c r="AX839" s="56"/>
      <c r="AY839" s="56"/>
    </row>
    <row r="840" spans="1:51" x14ac:dyDescent="0.25">
      <c r="A840" s="16"/>
      <c r="C840"/>
      <c r="D840" s="56"/>
      <c r="E840"/>
      <c r="F840"/>
      <c r="G840"/>
      <c r="H840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/>
      <c r="AU840" s="56"/>
      <c r="AV840" s="56"/>
      <c r="AW840" s="56"/>
      <c r="AX840" s="56"/>
      <c r="AY840" s="56"/>
    </row>
    <row r="841" spans="1:51" x14ac:dyDescent="0.25">
      <c r="A841" s="16"/>
      <c r="C841"/>
      <c r="D841" s="56"/>
      <c r="E841"/>
      <c r="F841"/>
      <c r="G841"/>
      <c r="H841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/>
      <c r="AU841" s="56"/>
      <c r="AV841" s="56"/>
      <c r="AW841" s="56"/>
      <c r="AX841" s="56"/>
      <c r="AY841" s="56"/>
    </row>
    <row r="842" spans="1:51" x14ac:dyDescent="0.25">
      <c r="A842" s="16"/>
      <c r="C842"/>
      <c r="D842" s="56"/>
      <c r="E842"/>
      <c r="F842"/>
      <c r="G842"/>
      <c r="H842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/>
      <c r="AU842" s="56"/>
      <c r="AV842" s="56"/>
      <c r="AW842" s="56"/>
      <c r="AX842" s="56"/>
      <c r="AY842" s="56"/>
    </row>
    <row r="843" spans="1:51" x14ac:dyDescent="0.25">
      <c r="A843" s="16"/>
      <c r="C843"/>
      <c r="D843" s="56"/>
      <c r="E843"/>
      <c r="F843"/>
      <c r="G843"/>
      <c r="H843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/>
      <c r="AU843" s="56"/>
      <c r="AV843" s="56"/>
      <c r="AW843" s="56"/>
      <c r="AX843" s="56"/>
      <c r="AY843" s="56"/>
    </row>
    <row r="844" spans="1:51" x14ac:dyDescent="0.25">
      <c r="A844" s="16"/>
      <c r="C844"/>
      <c r="D844" s="56"/>
      <c r="E844"/>
      <c r="F844"/>
      <c r="G844"/>
      <c r="H844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/>
      <c r="AU844" s="56"/>
      <c r="AV844" s="56"/>
      <c r="AW844" s="56"/>
      <c r="AX844" s="56"/>
      <c r="AY844" s="56"/>
    </row>
    <row r="845" spans="1:51" x14ac:dyDescent="0.25">
      <c r="A845" s="16"/>
      <c r="C845"/>
      <c r="D845" s="56"/>
      <c r="E845"/>
      <c r="F845"/>
      <c r="G845"/>
      <c r="H845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/>
      <c r="AU845" s="56"/>
      <c r="AV845" s="56"/>
      <c r="AW845" s="56"/>
      <c r="AX845" s="56"/>
      <c r="AY845" s="56"/>
    </row>
    <row r="846" spans="1:51" x14ac:dyDescent="0.25">
      <c r="A846" s="16"/>
      <c r="C846"/>
      <c r="D846" s="56"/>
      <c r="E846"/>
      <c r="F846"/>
      <c r="G846"/>
      <c r="H84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/>
      <c r="AU846" s="56"/>
      <c r="AV846" s="56"/>
      <c r="AW846" s="56"/>
      <c r="AX846" s="56"/>
      <c r="AY846" s="56"/>
    </row>
    <row r="847" spans="1:51" x14ac:dyDescent="0.25">
      <c r="A847" s="16"/>
      <c r="C847"/>
      <c r="D847" s="56"/>
      <c r="E847"/>
      <c r="F847"/>
      <c r="G847"/>
      <c r="H847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/>
      <c r="AU847" s="56"/>
      <c r="AV847" s="56"/>
      <c r="AW847" s="56"/>
      <c r="AX847" s="56"/>
      <c r="AY847" s="56"/>
    </row>
    <row r="848" spans="1:51" x14ac:dyDescent="0.25">
      <c r="A848" s="16"/>
      <c r="C848"/>
      <c r="D848" s="56"/>
      <c r="E848"/>
      <c r="F848"/>
      <c r="G848"/>
      <c r="H848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/>
      <c r="AU848" s="56"/>
      <c r="AV848" s="56"/>
      <c r="AW848" s="56"/>
      <c r="AX848" s="56"/>
      <c r="AY848" s="56"/>
    </row>
    <row r="849" spans="1:51" x14ac:dyDescent="0.25">
      <c r="A849" s="16"/>
      <c r="C849"/>
      <c r="D849" s="56"/>
      <c r="E849"/>
      <c r="F849"/>
      <c r="G849"/>
      <c r="H849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/>
      <c r="AU849" s="56"/>
      <c r="AV849" s="56"/>
      <c r="AW849" s="56"/>
      <c r="AX849" s="56"/>
      <c r="AY849" s="56"/>
    </row>
    <row r="850" spans="1:51" x14ac:dyDescent="0.25">
      <c r="A850" s="16"/>
      <c r="C850"/>
      <c r="D850" s="56"/>
      <c r="E850"/>
      <c r="F850"/>
      <c r="G850"/>
      <c r="H850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/>
      <c r="AU850" s="56"/>
      <c r="AV850" s="56"/>
      <c r="AW850" s="56"/>
      <c r="AX850" s="56"/>
      <c r="AY850" s="56"/>
    </row>
    <row r="851" spans="1:51" x14ac:dyDescent="0.25">
      <c r="A851" s="16"/>
      <c r="C851"/>
      <c r="D851" s="56"/>
      <c r="E851"/>
      <c r="F851"/>
      <c r="G851"/>
      <c r="H851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/>
      <c r="AU851" s="56"/>
      <c r="AV851" s="56"/>
      <c r="AW851" s="56"/>
      <c r="AX851" s="56"/>
      <c r="AY851" s="56"/>
    </row>
    <row r="852" spans="1:51" x14ac:dyDescent="0.25">
      <c r="A852" s="16"/>
      <c r="C852"/>
      <c r="D852" s="56"/>
      <c r="E852"/>
      <c r="F852"/>
      <c r="G852"/>
      <c r="H852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/>
      <c r="AU852" s="56"/>
      <c r="AV852" s="56"/>
      <c r="AW852" s="56"/>
      <c r="AX852" s="56"/>
      <c r="AY852" s="56"/>
    </row>
    <row r="853" spans="1:51" x14ac:dyDescent="0.25">
      <c r="A853" s="16"/>
      <c r="C853"/>
      <c r="D853" s="56"/>
      <c r="E853"/>
      <c r="F853"/>
      <c r="G853"/>
      <c r="H853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/>
      <c r="AU853" s="56"/>
      <c r="AV853" s="56"/>
      <c r="AW853" s="56"/>
      <c r="AX853" s="56"/>
      <c r="AY853" s="56"/>
    </row>
    <row r="854" spans="1:51" x14ac:dyDescent="0.25">
      <c r="A854" s="16"/>
      <c r="C854"/>
      <c r="D854" s="56"/>
      <c r="E854"/>
      <c r="F854"/>
      <c r="G854"/>
      <c r="H854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/>
      <c r="AU854" s="56"/>
      <c r="AV854" s="56"/>
      <c r="AW854" s="56"/>
      <c r="AX854" s="56"/>
      <c r="AY854" s="56"/>
    </row>
    <row r="855" spans="1:51" x14ac:dyDescent="0.25">
      <c r="A855" s="16"/>
      <c r="C855"/>
      <c r="D855" s="56"/>
      <c r="E855"/>
      <c r="F855"/>
      <c r="G855"/>
      <c r="H855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/>
      <c r="AU855" s="56"/>
      <c r="AV855" s="56"/>
      <c r="AW855" s="56"/>
      <c r="AX855" s="56"/>
      <c r="AY855" s="56"/>
    </row>
    <row r="856" spans="1:51" x14ac:dyDescent="0.25">
      <c r="A856" s="16"/>
      <c r="C856"/>
      <c r="D856" s="56"/>
      <c r="E856"/>
      <c r="F856"/>
      <c r="G856"/>
      <c r="H8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/>
      <c r="AU856" s="56"/>
      <c r="AV856" s="56"/>
      <c r="AW856" s="56"/>
      <c r="AX856" s="56"/>
      <c r="AY856" s="56"/>
    </row>
    <row r="857" spans="1:51" x14ac:dyDescent="0.25">
      <c r="A857" s="16"/>
      <c r="C857"/>
      <c r="D857" s="56"/>
      <c r="E857"/>
      <c r="F857"/>
      <c r="G857"/>
      <c r="H857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/>
      <c r="AU857" s="56"/>
      <c r="AV857" s="56"/>
      <c r="AW857" s="56"/>
      <c r="AX857" s="56"/>
      <c r="AY857" s="56"/>
    </row>
    <row r="858" spans="1:51" x14ac:dyDescent="0.25">
      <c r="A858" s="16"/>
      <c r="C858"/>
      <c r="D858" s="56"/>
      <c r="E858"/>
      <c r="F858"/>
      <c r="G858"/>
      <c r="H858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/>
      <c r="AU858" s="56"/>
      <c r="AV858" s="56"/>
      <c r="AW858" s="56"/>
      <c r="AX858" s="56"/>
      <c r="AY858" s="56"/>
    </row>
    <row r="859" spans="1:51" x14ac:dyDescent="0.25">
      <c r="A859" s="16"/>
      <c r="C859"/>
      <c r="D859" s="56"/>
      <c r="E859"/>
      <c r="F859"/>
      <c r="G859"/>
      <c r="H859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/>
      <c r="AU859" s="56"/>
      <c r="AV859" s="56"/>
      <c r="AW859" s="56"/>
      <c r="AX859" s="56"/>
      <c r="AY859" s="56"/>
    </row>
    <row r="860" spans="1:51" x14ac:dyDescent="0.25">
      <c r="A860" s="16"/>
      <c r="C860"/>
      <c r="D860" s="56"/>
      <c r="E860"/>
      <c r="F860"/>
      <c r="G860"/>
      <c r="H860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/>
      <c r="AU860" s="56"/>
      <c r="AV860" s="56"/>
      <c r="AW860" s="56"/>
      <c r="AX860" s="56"/>
      <c r="AY860" s="56"/>
    </row>
    <row r="861" spans="1:51" x14ac:dyDescent="0.25">
      <c r="A861" s="16"/>
      <c r="C861"/>
      <c r="D861" s="56"/>
      <c r="E861"/>
      <c r="F861"/>
      <c r="G861"/>
      <c r="H861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/>
      <c r="AU861" s="56"/>
      <c r="AV861" s="56"/>
      <c r="AW861" s="56"/>
      <c r="AX861" s="56"/>
      <c r="AY861" s="56"/>
    </row>
    <row r="862" spans="1:51" x14ac:dyDescent="0.25">
      <c r="A862" s="16"/>
      <c r="C862"/>
      <c r="D862" s="56"/>
      <c r="E862"/>
      <c r="F862"/>
      <c r="G862"/>
      <c r="H862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/>
      <c r="AU862" s="56"/>
      <c r="AV862" s="56"/>
      <c r="AW862" s="56"/>
      <c r="AX862" s="56"/>
      <c r="AY862" s="56"/>
    </row>
    <row r="863" spans="1:51" x14ac:dyDescent="0.25">
      <c r="A863" s="16"/>
      <c r="C863"/>
      <c r="D863" s="56"/>
      <c r="E863"/>
      <c r="F863"/>
      <c r="G863"/>
      <c r="H863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/>
      <c r="AU863" s="56"/>
      <c r="AV863" s="56"/>
      <c r="AW863" s="56"/>
      <c r="AX863" s="56"/>
      <c r="AY863" s="56"/>
    </row>
    <row r="864" spans="1:51" x14ac:dyDescent="0.25">
      <c r="A864" s="16"/>
      <c r="C864"/>
      <c r="D864" s="56"/>
      <c r="E864"/>
      <c r="F864"/>
      <c r="G864"/>
      <c r="H864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/>
      <c r="AU864" s="56"/>
      <c r="AV864" s="56"/>
      <c r="AW864" s="56"/>
      <c r="AX864" s="56"/>
      <c r="AY864" s="56"/>
    </row>
    <row r="865" spans="1:51" x14ac:dyDescent="0.25">
      <c r="A865" s="16"/>
      <c r="C865"/>
      <c r="D865" s="56"/>
      <c r="E865"/>
      <c r="F865"/>
      <c r="G865"/>
      <c r="H865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/>
      <c r="AU865" s="56"/>
      <c r="AV865" s="56"/>
      <c r="AW865" s="56"/>
      <c r="AX865" s="56"/>
      <c r="AY865" s="56"/>
    </row>
    <row r="866" spans="1:51" x14ac:dyDescent="0.25">
      <c r="A866" s="16"/>
      <c r="C866"/>
      <c r="D866" s="56"/>
      <c r="E866"/>
      <c r="F866"/>
      <c r="G866"/>
      <c r="H86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/>
      <c r="AU866" s="56"/>
      <c r="AV866" s="56"/>
      <c r="AW866" s="56"/>
      <c r="AX866" s="56"/>
      <c r="AY866" s="56"/>
    </row>
    <row r="867" spans="1:51" x14ac:dyDescent="0.25">
      <c r="A867" s="16"/>
      <c r="C867"/>
      <c r="D867" s="56"/>
      <c r="E867"/>
      <c r="F867"/>
      <c r="G867"/>
      <c r="H867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/>
      <c r="AU867" s="56"/>
      <c r="AV867" s="56"/>
      <c r="AW867" s="56"/>
      <c r="AX867" s="56"/>
      <c r="AY867" s="56"/>
    </row>
    <row r="868" spans="1:51" x14ac:dyDescent="0.25">
      <c r="A868" s="16"/>
      <c r="C868"/>
      <c r="D868" s="56"/>
      <c r="E868"/>
      <c r="F868"/>
      <c r="G868"/>
      <c r="H868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/>
      <c r="AU868" s="56"/>
      <c r="AV868" s="56"/>
      <c r="AW868" s="56"/>
      <c r="AX868" s="56"/>
      <c r="AY868" s="56"/>
    </row>
    <row r="869" spans="1:51" x14ac:dyDescent="0.25">
      <c r="A869" s="16"/>
      <c r="C869"/>
      <c r="D869" s="56"/>
      <c r="E869"/>
      <c r="F869"/>
      <c r="G869"/>
      <c r="H869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/>
      <c r="AU869" s="56"/>
      <c r="AV869" s="56"/>
      <c r="AW869" s="56"/>
      <c r="AX869" s="56"/>
      <c r="AY869" s="56"/>
    </row>
    <row r="870" spans="1:51" x14ac:dyDescent="0.25">
      <c r="A870" s="16"/>
      <c r="C870"/>
      <c r="D870" s="56"/>
      <c r="E870"/>
      <c r="F870"/>
      <c r="G870"/>
      <c r="H870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/>
      <c r="AU870" s="56"/>
      <c r="AV870" s="56"/>
      <c r="AW870" s="56"/>
      <c r="AX870" s="56"/>
      <c r="AY870" s="56"/>
    </row>
    <row r="871" spans="1:51" x14ac:dyDescent="0.25">
      <c r="A871" s="16"/>
      <c r="C871"/>
      <c r="D871" s="56"/>
      <c r="E871"/>
      <c r="F871"/>
      <c r="G871"/>
      <c r="H871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/>
      <c r="AU871" s="56"/>
      <c r="AV871" s="56"/>
      <c r="AW871" s="56"/>
      <c r="AX871" s="56"/>
      <c r="AY871" s="56"/>
    </row>
    <row r="872" spans="1:51" x14ac:dyDescent="0.25">
      <c r="A872" s="16"/>
      <c r="C872"/>
      <c r="D872" s="56"/>
      <c r="E872"/>
      <c r="F872"/>
      <c r="G872"/>
      <c r="H872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/>
      <c r="AU872" s="56"/>
      <c r="AV872" s="56"/>
      <c r="AW872" s="56"/>
      <c r="AX872" s="56"/>
      <c r="AY872" s="56"/>
    </row>
    <row r="873" spans="1:51" x14ac:dyDescent="0.25">
      <c r="A873" s="16"/>
      <c r="C873"/>
      <c r="D873" s="56"/>
      <c r="E873"/>
      <c r="F873"/>
      <c r="G873"/>
      <c r="H873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/>
      <c r="AU873" s="56"/>
      <c r="AV873" s="56"/>
      <c r="AW873" s="56"/>
      <c r="AX873" s="56"/>
      <c r="AY873" s="56"/>
    </row>
    <row r="874" spans="1:51" x14ac:dyDescent="0.25">
      <c r="A874" s="16"/>
      <c r="C874"/>
      <c r="D874" s="56"/>
      <c r="E874"/>
      <c r="F874"/>
      <c r="G874"/>
      <c r="H874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/>
      <c r="AU874" s="56"/>
      <c r="AV874" s="56"/>
      <c r="AW874" s="56"/>
      <c r="AX874" s="56"/>
      <c r="AY874" s="56"/>
    </row>
    <row r="875" spans="1:51" x14ac:dyDescent="0.25">
      <c r="A875" s="16"/>
      <c r="C875"/>
      <c r="D875" s="56"/>
      <c r="E875"/>
      <c r="F875"/>
      <c r="G875"/>
      <c r="H875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/>
      <c r="AU875" s="56"/>
      <c r="AV875" s="56"/>
      <c r="AW875" s="56"/>
      <c r="AX875" s="56"/>
      <c r="AY875" s="56"/>
    </row>
    <row r="876" spans="1:51" x14ac:dyDescent="0.25">
      <c r="A876" s="16"/>
      <c r="C876"/>
      <c r="D876" s="56"/>
      <c r="E876"/>
      <c r="F876"/>
      <c r="G876"/>
      <c r="H87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/>
      <c r="AU876" s="56"/>
      <c r="AV876" s="56"/>
      <c r="AW876" s="56"/>
      <c r="AX876" s="56"/>
      <c r="AY876" s="56"/>
    </row>
    <row r="877" spans="1:51" x14ac:dyDescent="0.25">
      <c r="A877" s="16"/>
      <c r="C877"/>
      <c r="D877" s="56"/>
      <c r="E877"/>
      <c r="F877"/>
      <c r="G877"/>
      <c r="H877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/>
      <c r="AU877" s="56"/>
      <c r="AV877" s="56"/>
      <c r="AW877" s="56"/>
      <c r="AX877" s="56"/>
      <c r="AY877" s="56"/>
    </row>
    <row r="878" spans="1:51" x14ac:dyDescent="0.25">
      <c r="A878" s="16"/>
      <c r="C878"/>
      <c r="D878" s="56"/>
      <c r="E878"/>
      <c r="F878"/>
      <c r="G878"/>
      <c r="H878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/>
      <c r="AU878" s="56"/>
      <c r="AV878" s="56"/>
      <c r="AW878" s="56"/>
      <c r="AX878" s="56"/>
      <c r="AY878" s="56"/>
    </row>
    <row r="879" spans="1:51" x14ac:dyDescent="0.25">
      <c r="A879" s="16"/>
      <c r="C879"/>
      <c r="D879" s="56"/>
      <c r="E879"/>
      <c r="F879"/>
      <c r="G879"/>
      <c r="H879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/>
      <c r="AU879" s="56"/>
      <c r="AV879" s="56"/>
      <c r="AW879" s="56"/>
      <c r="AX879" s="56"/>
      <c r="AY879" s="56"/>
    </row>
    <row r="880" spans="1:51" x14ac:dyDescent="0.25">
      <c r="A880" s="16"/>
      <c r="C880"/>
      <c r="D880" s="56"/>
      <c r="E880"/>
      <c r="F880"/>
      <c r="G880"/>
      <c r="H880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/>
      <c r="AU880" s="56"/>
      <c r="AV880" s="56"/>
      <c r="AW880" s="56"/>
      <c r="AX880" s="56"/>
      <c r="AY880" s="56"/>
    </row>
    <row r="881" spans="1:51" x14ac:dyDescent="0.25">
      <c r="A881" s="16"/>
      <c r="C881"/>
      <c r="D881" s="56"/>
      <c r="E881"/>
      <c r="F881"/>
      <c r="G881"/>
      <c r="H881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/>
      <c r="AU881" s="56"/>
      <c r="AV881" s="56"/>
      <c r="AW881" s="56"/>
      <c r="AX881" s="56"/>
      <c r="AY881" s="56"/>
    </row>
    <row r="882" spans="1:51" x14ac:dyDescent="0.25">
      <c r="A882" s="16"/>
      <c r="C882"/>
      <c r="D882" s="56"/>
      <c r="E882"/>
      <c r="F882"/>
      <c r="G882"/>
      <c r="H882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/>
      <c r="AU882" s="56"/>
      <c r="AV882" s="56"/>
      <c r="AW882" s="56"/>
      <c r="AX882" s="56"/>
      <c r="AY882" s="56"/>
    </row>
    <row r="883" spans="1:51" x14ac:dyDescent="0.25">
      <c r="A883" s="16"/>
      <c r="C883"/>
      <c r="D883" s="56"/>
      <c r="E883"/>
      <c r="F883"/>
      <c r="G883"/>
      <c r="H883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/>
      <c r="AU883" s="56"/>
      <c r="AV883" s="56"/>
      <c r="AW883" s="56"/>
      <c r="AX883" s="56"/>
      <c r="AY883" s="56"/>
    </row>
    <row r="884" spans="1:51" x14ac:dyDescent="0.25">
      <c r="A884" s="16"/>
      <c r="C884"/>
      <c r="D884" s="56"/>
      <c r="E884"/>
      <c r="F884"/>
      <c r="G884"/>
      <c r="H884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/>
      <c r="AU884" s="56"/>
      <c r="AV884" s="56"/>
      <c r="AW884" s="56"/>
      <c r="AX884" s="56"/>
      <c r="AY884" s="56"/>
    </row>
    <row r="885" spans="1:51" x14ac:dyDescent="0.25">
      <c r="A885" s="16"/>
      <c r="C885"/>
      <c r="D885" s="56"/>
      <c r="E885"/>
      <c r="F885"/>
      <c r="G885"/>
      <c r="H885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/>
      <c r="AU885" s="56"/>
      <c r="AV885" s="56"/>
      <c r="AW885" s="56"/>
      <c r="AX885" s="56"/>
      <c r="AY885" s="56"/>
    </row>
    <row r="886" spans="1:51" x14ac:dyDescent="0.25">
      <c r="A886" s="16"/>
      <c r="C886"/>
      <c r="D886" s="56"/>
      <c r="E886"/>
      <c r="F886"/>
      <c r="G886"/>
      <c r="H88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/>
      <c r="AU886" s="56"/>
      <c r="AV886" s="56"/>
      <c r="AW886" s="56"/>
      <c r="AX886" s="56"/>
      <c r="AY886" s="56"/>
    </row>
    <row r="887" spans="1:51" x14ac:dyDescent="0.25">
      <c r="A887" s="16"/>
      <c r="C887"/>
      <c r="D887" s="56"/>
      <c r="E887"/>
      <c r="F887"/>
      <c r="G887"/>
      <c r="H887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/>
      <c r="AU887" s="56"/>
      <c r="AV887" s="56"/>
      <c r="AW887" s="56"/>
      <c r="AX887" s="56"/>
      <c r="AY887" s="56"/>
    </row>
    <row r="888" spans="1:51" x14ac:dyDescent="0.25">
      <c r="A888" s="16"/>
      <c r="C888"/>
      <c r="D888" s="56"/>
      <c r="E888"/>
      <c r="F888"/>
      <c r="G888"/>
      <c r="H888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/>
      <c r="AU888" s="56"/>
      <c r="AV888" s="56"/>
      <c r="AW888" s="56"/>
      <c r="AX888" s="56"/>
      <c r="AY888" s="56"/>
    </row>
    <row r="889" spans="1:51" x14ac:dyDescent="0.25">
      <c r="A889" s="16"/>
      <c r="C889"/>
      <c r="D889" s="56"/>
      <c r="E889"/>
      <c r="F889"/>
      <c r="G889"/>
      <c r="H889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/>
      <c r="AU889" s="56"/>
      <c r="AV889" s="56"/>
      <c r="AW889" s="56"/>
      <c r="AX889" s="56"/>
      <c r="AY889" s="56"/>
    </row>
    <row r="890" spans="1:51" x14ac:dyDescent="0.25">
      <c r="A890" s="16"/>
      <c r="C890"/>
      <c r="D890" s="56"/>
      <c r="E890"/>
      <c r="F890"/>
      <c r="G890"/>
      <c r="H890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/>
      <c r="AU890" s="56"/>
      <c r="AV890" s="56"/>
      <c r="AW890" s="56"/>
      <c r="AX890" s="56"/>
      <c r="AY890" s="56"/>
    </row>
    <row r="891" spans="1:51" x14ac:dyDescent="0.25">
      <c r="A891" s="16"/>
      <c r="C891"/>
      <c r="D891" s="56"/>
      <c r="E891"/>
      <c r="F891"/>
      <c r="G891"/>
      <c r="H891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/>
      <c r="AU891" s="56"/>
      <c r="AV891" s="56"/>
      <c r="AW891" s="56"/>
      <c r="AX891" s="56"/>
      <c r="AY891" s="56"/>
    </row>
    <row r="892" spans="1:51" x14ac:dyDescent="0.25">
      <c r="A892" s="16"/>
      <c r="C892"/>
      <c r="D892" s="56"/>
      <c r="E892"/>
      <c r="F892"/>
      <c r="G892"/>
      <c r="H892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/>
      <c r="AU892" s="56"/>
      <c r="AV892" s="56"/>
      <c r="AW892" s="56"/>
      <c r="AX892" s="56"/>
      <c r="AY892" s="56"/>
    </row>
    <row r="893" spans="1:51" x14ac:dyDescent="0.25">
      <c r="A893" s="16"/>
      <c r="C893"/>
      <c r="D893" s="56"/>
      <c r="E893"/>
      <c r="F893"/>
      <c r="G893"/>
      <c r="H893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/>
      <c r="AU893" s="56"/>
      <c r="AV893" s="56"/>
      <c r="AW893" s="56"/>
      <c r="AX893" s="56"/>
      <c r="AY893" s="56"/>
    </row>
    <row r="894" spans="1:51" x14ac:dyDescent="0.25">
      <c r="A894" s="16"/>
      <c r="C894"/>
      <c r="D894" s="56"/>
      <c r="E894"/>
      <c r="F894"/>
      <c r="G894"/>
      <c r="H894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/>
      <c r="AU894" s="56"/>
      <c r="AV894" s="56"/>
      <c r="AW894" s="56"/>
      <c r="AX894" s="56"/>
      <c r="AY894" s="56"/>
    </row>
    <row r="895" spans="1:51" x14ac:dyDescent="0.25">
      <c r="A895" s="16"/>
      <c r="C895"/>
      <c r="D895" s="56"/>
      <c r="E895"/>
      <c r="F895"/>
      <c r="G895"/>
      <c r="H895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/>
      <c r="AU895" s="56"/>
      <c r="AV895" s="56"/>
      <c r="AW895" s="56"/>
      <c r="AX895" s="56"/>
      <c r="AY895" s="56"/>
    </row>
    <row r="896" spans="1:51" x14ac:dyDescent="0.25">
      <c r="A896" s="16"/>
      <c r="C896"/>
      <c r="D896" s="56"/>
      <c r="E896"/>
      <c r="F896"/>
      <c r="G896"/>
      <c r="H89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/>
      <c r="AU896" s="56"/>
      <c r="AV896" s="56"/>
      <c r="AW896" s="56"/>
      <c r="AX896" s="56"/>
      <c r="AY896" s="56"/>
    </row>
    <row r="897" spans="1:51" x14ac:dyDescent="0.25">
      <c r="A897" s="16"/>
      <c r="C897"/>
      <c r="D897" s="56"/>
      <c r="E897"/>
      <c r="F897"/>
      <c r="G897"/>
      <c r="H897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/>
      <c r="AU897" s="56"/>
      <c r="AV897" s="56"/>
      <c r="AW897" s="56"/>
      <c r="AX897" s="56"/>
      <c r="AY897" s="56"/>
    </row>
    <row r="898" spans="1:51" x14ac:dyDescent="0.25">
      <c r="A898" s="16"/>
      <c r="C898"/>
      <c r="D898" s="56"/>
      <c r="E898"/>
      <c r="F898"/>
      <c r="G898"/>
      <c r="H898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/>
      <c r="AU898" s="56"/>
      <c r="AV898" s="56"/>
      <c r="AW898" s="56"/>
      <c r="AX898" s="56"/>
      <c r="AY898" s="56"/>
    </row>
    <row r="899" spans="1:51" x14ac:dyDescent="0.25">
      <c r="A899" s="16"/>
      <c r="C899"/>
      <c r="D899" s="56"/>
      <c r="E899"/>
      <c r="F899"/>
      <c r="G899"/>
      <c r="H899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/>
      <c r="AU899" s="56"/>
      <c r="AV899" s="56"/>
      <c r="AW899" s="56"/>
      <c r="AX899" s="56"/>
      <c r="AY899" s="56"/>
    </row>
    <row r="900" spans="1:51" x14ac:dyDescent="0.25">
      <c r="A900" s="16"/>
      <c r="C900"/>
      <c r="D900" s="56"/>
      <c r="E900"/>
      <c r="F900"/>
      <c r="G900"/>
      <c r="H900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/>
      <c r="AU900" s="56"/>
      <c r="AV900" s="56"/>
      <c r="AW900" s="56"/>
      <c r="AX900" s="56"/>
      <c r="AY900" s="56"/>
    </row>
    <row r="901" spans="1:51" x14ac:dyDescent="0.25">
      <c r="A901" s="16"/>
      <c r="C901"/>
      <c r="D901" s="56"/>
      <c r="E901"/>
      <c r="F901"/>
      <c r="G901"/>
      <c r="H901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/>
      <c r="AU901" s="56"/>
      <c r="AV901" s="56"/>
      <c r="AW901" s="56"/>
      <c r="AX901" s="56"/>
      <c r="AY901" s="56"/>
    </row>
    <row r="902" spans="1:51" x14ac:dyDescent="0.25">
      <c r="A902" s="16"/>
      <c r="C902"/>
      <c r="D902" s="56"/>
      <c r="E902"/>
      <c r="F902"/>
      <c r="G902"/>
      <c r="H902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/>
      <c r="AU902" s="56"/>
      <c r="AV902" s="56"/>
      <c r="AW902" s="56"/>
      <c r="AX902" s="56"/>
      <c r="AY902" s="56"/>
    </row>
    <row r="903" spans="1:51" x14ac:dyDescent="0.25">
      <c r="A903" s="16"/>
      <c r="C903"/>
      <c r="D903" s="56"/>
      <c r="E903"/>
      <c r="F903"/>
      <c r="G903"/>
      <c r="H903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/>
      <c r="AU903" s="56"/>
      <c r="AV903" s="56"/>
      <c r="AW903" s="56"/>
      <c r="AX903" s="56"/>
      <c r="AY903" s="56"/>
    </row>
    <row r="904" spans="1:51" x14ac:dyDescent="0.25">
      <c r="A904" s="16"/>
      <c r="C904"/>
      <c r="D904" s="56"/>
      <c r="E904"/>
      <c r="F904"/>
      <c r="G904"/>
      <c r="H904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/>
      <c r="AU904" s="56"/>
      <c r="AV904" s="56"/>
      <c r="AW904" s="56"/>
      <c r="AX904" s="56"/>
      <c r="AY904" s="56"/>
    </row>
    <row r="905" spans="1:51" x14ac:dyDescent="0.25">
      <c r="A905" s="16"/>
      <c r="C905"/>
      <c r="D905" s="56"/>
      <c r="E905"/>
      <c r="F905"/>
      <c r="G905"/>
      <c r="H905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/>
      <c r="AU905" s="56"/>
      <c r="AV905" s="56"/>
      <c r="AW905" s="56"/>
      <c r="AX905" s="56"/>
      <c r="AY905" s="56"/>
    </row>
    <row r="906" spans="1:51" x14ac:dyDescent="0.25">
      <c r="A906" s="16"/>
      <c r="C906"/>
      <c r="D906" s="56"/>
      <c r="E906"/>
      <c r="F906"/>
      <c r="G906"/>
      <c r="H90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/>
      <c r="AU906" s="56"/>
      <c r="AV906" s="56"/>
      <c r="AW906" s="56"/>
      <c r="AX906" s="56"/>
      <c r="AY906" s="56"/>
    </row>
    <row r="907" spans="1:51" x14ac:dyDescent="0.25">
      <c r="A907" s="16"/>
      <c r="C907"/>
      <c r="D907" s="56"/>
      <c r="E907"/>
      <c r="F907"/>
      <c r="G907"/>
      <c r="H907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/>
      <c r="AU907" s="56"/>
      <c r="AV907" s="56"/>
      <c r="AW907" s="56"/>
      <c r="AX907" s="56"/>
      <c r="AY907" s="56"/>
    </row>
    <row r="908" spans="1:51" x14ac:dyDescent="0.25">
      <c r="A908" s="16"/>
      <c r="C908"/>
      <c r="D908" s="56"/>
      <c r="E908"/>
      <c r="F908"/>
      <c r="G908"/>
      <c r="H908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/>
      <c r="AU908" s="56"/>
      <c r="AV908" s="56"/>
      <c r="AW908" s="56"/>
      <c r="AX908" s="56"/>
      <c r="AY908" s="56"/>
    </row>
    <row r="909" spans="1:51" x14ac:dyDescent="0.25">
      <c r="A909" s="16"/>
      <c r="C909"/>
      <c r="D909" s="56"/>
      <c r="E909"/>
      <c r="F909"/>
      <c r="G909"/>
      <c r="H909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/>
      <c r="AU909" s="56"/>
      <c r="AV909" s="56"/>
      <c r="AW909" s="56"/>
      <c r="AX909" s="56"/>
      <c r="AY909" s="56"/>
    </row>
    <row r="910" spans="1:51" x14ac:dyDescent="0.25">
      <c r="A910" s="16"/>
      <c r="C910"/>
      <c r="D910" s="56"/>
      <c r="E910"/>
      <c r="F910"/>
      <c r="G910"/>
      <c r="H910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/>
      <c r="AU910" s="56"/>
      <c r="AV910" s="56"/>
      <c r="AW910" s="56"/>
      <c r="AX910" s="56"/>
      <c r="AY910" s="56"/>
    </row>
    <row r="911" spans="1:51" x14ac:dyDescent="0.25">
      <c r="A911" s="16"/>
      <c r="C911"/>
      <c r="D911" s="56"/>
      <c r="E911"/>
      <c r="F911"/>
      <c r="G911"/>
      <c r="H911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/>
      <c r="AU911" s="56"/>
      <c r="AV911" s="56"/>
      <c r="AW911" s="56"/>
      <c r="AX911" s="56"/>
      <c r="AY911" s="56"/>
    </row>
    <row r="912" spans="1:51" x14ac:dyDescent="0.25">
      <c r="A912" s="16"/>
      <c r="C912"/>
      <c r="D912" s="56"/>
      <c r="E912"/>
      <c r="F912"/>
      <c r="G912"/>
      <c r="H912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/>
      <c r="AU912" s="56"/>
      <c r="AV912" s="56"/>
      <c r="AW912" s="56"/>
      <c r="AX912" s="56"/>
      <c r="AY912" s="56"/>
    </row>
    <row r="913" spans="1:51" x14ac:dyDescent="0.25">
      <c r="A913" s="16"/>
      <c r="C913"/>
      <c r="D913" s="56"/>
      <c r="E913"/>
      <c r="F913"/>
      <c r="G913"/>
      <c r="H913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/>
      <c r="AU913" s="56"/>
      <c r="AV913" s="56"/>
      <c r="AW913" s="56"/>
      <c r="AX913" s="56"/>
      <c r="AY913" s="56"/>
    </row>
    <row r="914" spans="1:51" x14ac:dyDescent="0.25">
      <c r="A914" s="16"/>
      <c r="C914"/>
      <c r="D914" s="56"/>
      <c r="E914"/>
      <c r="F914"/>
      <c r="G914"/>
      <c r="H914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/>
      <c r="AU914" s="56"/>
      <c r="AV914" s="56"/>
      <c r="AW914" s="56"/>
      <c r="AX914" s="56"/>
      <c r="AY914" s="56"/>
    </row>
    <row r="915" spans="1:51" x14ac:dyDescent="0.25">
      <c r="A915" s="16"/>
      <c r="C915"/>
      <c r="D915" s="56"/>
      <c r="E915"/>
      <c r="F915"/>
      <c r="G915"/>
      <c r="H915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/>
      <c r="AU915" s="56"/>
      <c r="AV915" s="56"/>
      <c r="AW915" s="56"/>
      <c r="AX915" s="56"/>
      <c r="AY915" s="56"/>
    </row>
    <row r="916" spans="1:51" x14ac:dyDescent="0.25">
      <c r="A916" s="16"/>
      <c r="C916"/>
      <c r="D916" s="56"/>
      <c r="E916"/>
      <c r="F916"/>
      <c r="G916"/>
      <c r="H91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/>
      <c r="AU916" s="56"/>
      <c r="AV916" s="56"/>
      <c r="AW916" s="56"/>
      <c r="AX916" s="56"/>
      <c r="AY916" s="56"/>
    </row>
    <row r="917" spans="1:51" x14ac:dyDescent="0.25">
      <c r="A917" s="16"/>
      <c r="C917"/>
      <c r="D917" s="56"/>
      <c r="E917"/>
      <c r="F917"/>
      <c r="G917"/>
      <c r="H917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/>
      <c r="AU917" s="56"/>
      <c r="AV917" s="56"/>
      <c r="AW917" s="56"/>
      <c r="AX917" s="56"/>
      <c r="AY917" s="56"/>
    </row>
    <row r="918" spans="1:51" x14ac:dyDescent="0.25">
      <c r="A918" s="16"/>
      <c r="C918"/>
      <c r="D918" s="56"/>
      <c r="E918"/>
      <c r="F918"/>
      <c r="G918"/>
      <c r="H918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/>
      <c r="AU918" s="56"/>
      <c r="AV918" s="56"/>
      <c r="AW918" s="56"/>
      <c r="AX918" s="56"/>
      <c r="AY918" s="56"/>
    </row>
    <row r="919" spans="1:51" x14ac:dyDescent="0.25">
      <c r="A919" s="16"/>
      <c r="C919"/>
      <c r="D919" s="56"/>
      <c r="E919"/>
      <c r="F919"/>
      <c r="G919"/>
      <c r="H919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/>
      <c r="AU919" s="56"/>
      <c r="AV919" s="56"/>
      <c r="AW919" s="56"/>
      <c r="AX919" s="56"/>
      <c r="AY919" s="56"/>
    </row>
    <row r="920" spans="1:51" x14ac:dyDescent="0.25">
      <c r="A920" s="16"/>
      <c r="C920"/>
      <c r="D920" s="56"/>
      <c r="E920"/>
      <c r="F920"/>
      <c r="G920"/>
      <c r="H920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/>
      <c r="AU920" s="56"/>
      <c r="AV920" s="56"/>
      <c r="AW920" s="56"/>
      <c r="AX920" s="56"/>
      <c r="AY920" s="56"/>
    </row>
    <row r="921" spans="1:51" x14ac:dyDescent="0.25">
      <c r="A921" s="16"/>
      <c r="C921"/>
      <c r="D921" s="56"/>
      <c r="E921"/>
      <c r="F921"/>
      <c r="G921"/>
      <c r="H921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/>
      <c r="AU921" s="56"/>
      <c r="AV921" s="56"/>
      <c r="AW921" s="56"/>
      <c r="AX921" s="56"/>
      <c r="AY921" s="56"/>
    </row>
    <row r="922" spans="1:51" x14ac:dyDescent="0.25">
      <c r="A922" s="16"/>
      <c r="C922"/>
      <c r="D922" s="56"/>
      <c r="E922"/>
      <c r="F922"/>
      <c r="G922"/>
      <c r="H922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/>
      <c r="AU922" s="56"/>
      <c r="AV922" s="56"/>
      <c r="AW922" s="56"/>
      <c r="AX922" s="56"/>
      <c r="AY922" s="56"/>
    </row>
    <row r="923" spans="1:51" x14ac:dyDescent="0.25">
      <c r="A923" s="16"/>
      <c r="C923"/>
      <c r="D923" s="56"/>
      <c r="E923"/>
      <c r="F923"/>
      <c r="G923"/>
      <c r="H923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/>
      <c r="AU923" s="56"/>
      <c r="AV923" s="56"/>
      <c r="AW923" s="56"/>
      <c r="AX923" s="56"/>
      <c r="AY923" s="56"/>
    </row>
    <row r="924" spans="1:51" x14ac:dyDescent="0.25">
      <c r="A924" s="16"/>
      <c r="C924"/>
      <c r="D924" s="56"/>
      <c r="E924"/>
      <c r="F924"/>
      <c r="G924"/>
      <c r="H924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/>
      <c r="AU924" s="56"/>
      <c r="AV924" s="56"/>
      <c r="AW924" s="56"/>
      <c r="AX924" s="56"/>
      <c r="AY924" s="56"/>
    </row>
    <row r="925" spans="1:51" x14ac:dyDescent="0.25">
      <c r="A925" s="16"/>
      <c r="C925"/>
      <c r="D925" s="56"/>
      <c r="E925"/>
      <c r="F925"/>
      <c r="G925"/>
      <c r="H925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/>
      <c r="AU925" s="56"/>
      <c r="AV925" s="56"/>
      <c r="AW925" s="56"/>
      <c r="AX925" s="56"/>
      <c r="AY925" s="56"/>
    </row>
    <row r="926" spans="1:51" x14ac:dyDescent="0.25">
      <c r="A926" s="16"/>
      <c r="C926"/>
      <c r="D926" s="56"/>
      <c r="E926"/>
      <c r="F926"/>
      <c r="G926"/>
      <c r="H92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/>
      <c r="AU926" s="56"/>
      <c r="AV926" s="56"/>
      <c r="AW926" s="56"/>
      <c r="AX926" s="56"/>
      <c r="AY926" s="56"/>
    </row>
    <row r="927" spans="1:51" x14ac:dyDescent="0.25">
      <c r="A927" s="16"/>
      <c r="C927"/>
      <c r="D927" s="56"/>
      <c r="E927"/>
      <c r="F927"/>
      <c r="G927"/>
      <c r="H927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/>
      <c r="AU927" s="56"/>
      <c r="AV927" s="56"/>
      <c r="AW927" s="56"/>
      <c r="AX927" s="56"/>
      <c r="AY927" s="56"/>
    </row>
    <row r="928" spans="1:51" x14ac:dyDescent="0.25">
      <c r="A928" s="16"/>
      <c r="C928"/>
      <c r="D928" s="56"/>
      <c r="E928"/>
      <c r="F928"/>
      <c r="G928"/>
      <c r="H928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/>
      <c r="AU928" s="56"/>
      <c r="AV928" s="56"/>
      <c r="AW928" s="56"/>
      <c r="AX928" s="56"/>
      <c r="AY928" s="56"/>
    </row>
    <row r="929" spans="1:51" x14ac:dyDescent="0.25">
      <c r="A929" s="16"/>
      <c r="C929"/>
      <c r="D929" s="56"/>
      <c r="E929"/>
      <c r="F929"/>
      <c r="G929"/>
      <c r="H929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/>
      <c r="AU929" s="56"/>
      <c r="AV929" s="56"/>
      <c r="AW929" s="56"/>
      <c r="AX929" s="56"/>
      <c r="AY929" s="56"/>
    </row>
    <row r="930" spans="1:51" x14ac:dyDescent="0.25">
      <c r="A930" s="16"/>
      <c r="C930"/>
      <c r="D930" s="56"/>
      <c r="E930"/>
      <c r="F930"/>
      <c r="G930"/>
      <c r="H930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/>
      <c r="AU930" s="56"/>
      <c r="AV930" s="56"/>
      <c r="AW930" s="56"/>
      <c r="AX930" s="56"/>
      <c r="AY930" s="56"/>
    </row>
    <row r="931" spans="1:51" x14ac:dyDescent="0.25">
      <c r="A931" s="16"/>
      <c r="C931"/>
      <c r="D931" s="56"/>
      <c r="E931"/>
      <c r="F931"/>
      <c r="G931"/>
      <c r="H931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/>
      <c r="AU931" s="56"/>
      <c r="AV931" s="56"/>
      <c r="AW931" s="56"/>
      <c r="AX931" s="56"/>
      <c r="AY931" s="56"/>
    </row>
    <row r="932" spans="1:51" x14ac:dyDescent="0.25">
      <c r="A932" s="16"/>
      <c r="C932"/>
      <c r="D932" s="56"/>
      <c r="E932"/>
      <c r="F932"/>
      <c r="G932"/>
      <c r="H932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/>
      <c r="AU932" s="56"/>
      <c r="AV932" s="56"/>
      <c r="AW932" s="56"/>
      <c r="AX932" s="56"/>
      <c r="AY932" s="56"/>
    </row>
    <row r="933" spans="1:51" x14ac:dyDescent="0.25">
      <c r="A933" s="16"/>
      <c r="C933"/>
      <c r="D933" s="56"/>
      <c r="E933"/>
      <c r="F933"/>
      <c r="G933"/>
      <c r="H933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/>
      <c r="AU933" s="56"/>
      <c r="AV933" s="56"/>
      <c r="AW933" s="56"/>
      <c r="AX933" s="56"/>
      <c r="AY933" s="56"/>
    </row>
    <row r="934" spans="1:51" x14ac:dyDescent="0.25">
      <c r="A934" s="16"/>
      <c r="C934"/>
      <c r="D934" s="56"/>
      <c r="E934"/>
      <c r="F934"/>
      <c r="G934"/>
      <c r="H934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/>
      <c r="AU934" s="56"/>
      <c r="AV934" s="56"/>
      <c r="AW934" s="56"/>
      <c r="AX934" s="56"/>
      <c r="AY934" s="56"/>
    </row>
    <row r="935" spans="1:51" x14ac:dyDescent="0.25">
      <c r="A935" s="16"/>
      <c r="C935"/>
      <c r="D935" s="56"/>
      <c r="E935"/>
      <c r="F935"/>
      <c r="G935"/>
      <c r="H935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/>
      <c r="AU935" s="56"/>
      <c r="AV935" s="56"/>
      <c r="AW935" s="56"/>
      <c r="AX935" s="56"/>
      <c r="AY935" s="56"/>
    </row>
    <row r="936" spans="1:51" x14ac:dyDescent="0.25">
      <c r="A936" s="16"/>
      <c r="C936"/>
      <c r="D936" s="56"/>
      <c r="E936"/>
      <c r="F936"/>
      <c r="G936"/>
      <c r="H93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/>
      <c r="AU936" s="56"/>
      <c r="AV936" s="56"/>
      <c r="AW936" s="56"/>
      <c r="AX936" s="56"/>
      <c r="AY936" s="56"/>
    </row>
    <row r="937" spans="1:51" x14ac:dyDescent="0.25">
      <c r="A937" s="16"/>
      <c r="C937"/>
      <c r="D937" s="56"/>
      <c r="E937"/>
      <c r="F937"/>
      <c r="G937"/>
      <c r="H937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/>
      <c r="AU937" s="56"/>
      <c r="AV937" s="56"/>
      <c r="AW937" s="56"/>
      <c r="AX937" s="56"/>
      <c r="AY937" s="56"/>
    </row>
    <row r="938" spans="1:51" x14ac:dyDescent="0.25">
      <c r="A938" s="16"/>
      <c r="C938"/>
      <c r="D938" s="56"/>
      <c r="E938"/>
      <c r="F938"/>
      <c r="G938"/>
      <c r="H938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/>
      <c r="AU938" s="56"/>
      <c r="AV938" s="56"/>
      <c r="AW938" s="56"/>
      <c r="AX938" s="56"/>
      <c r="AY938" s="56"/>
    </row>
    <row r="939" spans="1:51" x14ac:dyDescent="0.25">
      <c r="A939" s="16"/>
      <c r="C939"/>
      <c r="D939" s="56"/>
      <c r="E939"/>
      <c r="F939"/>
      <c r="G939"/>
      <c r="H939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/>
      <c r="AU939" s="56"/>
      <c r="AV939" s="56"/>
      <c r="AW939" s="56"/>
      <c r="AX939" s="56"/>
      <c r="AY939" s="56"/>
    </row>
    <row r="940" spans="1:51" x14ac:dyDescent="0.25">
      <c r="A940" s="16"/>
      <c r="C940"/>
      <c r="D940" s="56"/>
      <c r="E940"/>
      <c r="F940"/>
      <c r="G940"/>
      <c r="H940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/>
      <c r="AU940" s="56"/>
      <c r="AV940" s="56"/>
      <c r="AW940" s="56"/>
      <c r="AX940" s="56"/>
      <c r="AY940" s="56"/>
    </row>
    <row r="941" spans="1:51" x14ac:dyDescent="0.25">
      <c r="A941" s="16"/>
      <c r="C941"/>
      <c r="D941" s="56"/>
      <c r="E941"/>
      <c r="F941"/>
      <c r="G941"/>
      <c r="H941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/>
      <c r="AU941" s="56"/>
      <c r="AV941" s="56"/>
      <c r="AW941" s="56"/>
      <c r="AX941" s="56"/>
      <c r="AY941" s="56"/>
    </row>
    <row r="942" spans="1:51" x14ac:dyDescent="0.25">
      <c r="A942" s="16"/>
      <c r="C942"/>
      <c r="D942" s="56"/>
      <c r="E942"/>
      <c r="F942"/>
      <c r="G942"/>
      <c r="H942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/>
      <c r="AU942" s="56"/>
      <c r="AV942" s="56"/>
      <c r="AW942" s="56"/>
      <c r="AX942" s="56"/>
      <c r="AY942" s="56"/>
    </row>
    <row r="943" spans="1:51" x14ac:dyDescent="0.25">
      <c r="A943" s="16"/>
      <c r="C943"/>
      <c r="D943" s="56"/>
      <c r="E943"/>
      <c r="F943"/>
      <c r="G943"/>
      <c r="H943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/>
      <c r="AU943" s="56"/>
      <c r="AV943" s="56"/>
      <c r="AW943" s="56"/>
      <c r="AX943" s="56"/>
      <c r="AY943" s="56"/>
    </row>
    <row r="944" spans="1:51" x14ac:dyDescent="0.25">
      <c r="A944" s="16"/>
      <c r="C944"/>
      <c r="D944" s="56"/>
      <c r="E944"/>
      <c r="F944"/>
      <c r="G944"/>
      <c r="H944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/>
      <c r="AU944" s="56"/>
      <c r="AV944" s="56"/>
      <c r="AW944" s="56"/>
      <c r="AX944" s="56"/>
      <c r="AY944" s="56"/>
    </row>
    <row r="945" spans="1:51" x14ac:dyDescent="0.25">
      <c r="A945" s="16"/>
      <c r="C945"/>
      <c r="D945" s="56"/>
      <c r="E945"/>
      <c r="F945"/>
      <c r="G945"/>
      <c r="H945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/>
      <c r="AU945" s="56"/>
      <c r="AV945" s="56"/>
      <c r="AW945" s="56"/>
      <c r="AX945" s="56"/>
      <c r="AY945" s="56"/>
    </row>
    <row r="946" spans="1:51" x14ac:dyDescent="0.25">
      <c r="A946" s="16"/>
      <c r="C946"/>
      <c r="D946" s="56"/>
      <c r="E946"/>
      <c r="F946"/>
      <c r="G946"/>
      <c r="H94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/>
      <c r="AU946" s="56"/>
      <c r="AV946" s="56"/>
      <c r="AW946" s="56"/>
      <c r="AX946" s="56"/>
      <c r="AY946" s="56"/>
    </row>
    <row r="947" spans="1:51" x14ac:dyDescent="0.25">
      <c r="A947" s="16"/>
      <c r="C947"/>
      <c r="D947" s="56"/>
      <c r="E947"/>
      <c r="F947"/>
      <c r="G947"/>
      <c r="H947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/>
      <c r="AU947" s="56"/>
      <c r="AV947" s="56"/>
      <c r="AW947" s="56"/>
      <c r="AX947" s="56"/>
      <c r="AY947" s="56"/>
    </row>
    <row r="948" spans="1:51" x14ac:dyDescent="0.25">
      <c r="A948" s="16"/>
      <c r="C948"/>
      <c r="D948" s="56"/>
      <c r="E948"/>
      <c r="F948"/>
      <c r="G948"/>
      <c r="H948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/>
      <c r="AU948" s="56"/>
      <c r="AV948" s="56"/>
      <c r="AW948" s="56"/>
      <c r="AX948" s="56"/>
      <c r="AY948" s="56"/>
    </row>
    <row r="949" spans="1:51" x14ac:dyDescent="0.25">
      <c r="A949" s="16"/>
      <c r="C949"/>
      <c r="D949" s="56"/>
      <c r="E949"/>
      <c r="F949"/>
      <c r="G949"/>
      <c r="H949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/>
      <c r="AU949" s="56"/>
      <c r="AV949" s="56"/>
      <c r="AW949" s="56"/>
      <c r="AX949" s="56"/>
      <c r="AY949" s="56"/>
    </row>
    <row r="950" spans="1:51" x14ac:dyDescent="0.25">
      <c r="A950" s="16"/>
      <c r="C950"/>
      <c r="D950" s="56"/>
      <c r="E950"/>
      <c r="F950"/>
      <c r="G950"/>
      <c r="H950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/>
      <c r="AU950" s="56"/>
      <c r="AV950" s="56"/>
      <c r="AW950" s="56"/>
      <c r="AX950" s="56"/>
      <c r="AY950" s="56"/>
    </row>
    <row r="951" spans="1:51" x14ac:dyDescent="0.25">
      <c r="A951" s="16"/>
      <c r="C951"/>
      <c r="D951" s="56"/>
      <c r="E951"/>
      <c r="F951"/>
      <c r="G951"/>
      <c r="H951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/>
      <c r="AU951" s="56"/>
      <c r="AV951" s="56"/>
      <c r="AW951" s="56"/>
      <c r="AX951" s="56"/>
      <c r="AY951" s="56"/>
    </row>
    <row r="952" spans="1:51" x14ac:dyDescent="0.25">
      <c r="A952" s="16"/>
      <c r="C952"/>
      <c r="D952" s="56"/>
      <c r="E952"/>
      <c r="F952"/>
      <c r="G952"/>
      <c r="H952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/>
      <c r="AU952" s="56"/>
      <c r="AV952" s="56"/>
      <c r="AW952" s="56"/>
      <c r="AX952" s="56"/>
      <c r="AY952" s="56"/>
    </row>
    <row r="953" spans="1:51" x14ac:dyDescent="0.25">
      <c r="A953" s="16"/>
      <c r="C953"/>
      <c r="D953" s="56"/>
      <c r="E953"/>
      <c r="F953"/>
      <c r="G953"/>
      <c r="H953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/>
      <c r="AU953" s="56"/>
      <c r="AV953" s="56"/>
      <c r="AW953" s="56"/>
      <c r="AX953" s="56"/>
      <c r="AY953" s="56"/>
    </row>
    <row r="954" spans="1:51" x14ac:dyDescent="0.25">
      <c r="A954" s="16"/>
      <c r="C954"/>
      <c r="D954" s="56"/>
      <c r="E954"/>
      <c r="F954"/>
      <c r="G954"/>
      <c r="H954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/>
      <c r="AU954" s="56"/>
      <c r="AV954" s="56"/>
      <c r="AW954" s="56"/>
      <c r="AX954" s="56"/>
      <c r="AY954" s="56"/>
    </row>
    <row r="955" spans="1:51" x14ac:dyDescent="0.25">
      <c r="A955" s="16"/>
      <c r="C955"/>
      <c r="D955" s="56"/>
      <c r="E955"/>
      <c r="F955"/>
      <c r="G955"/>
      <c r="H955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/>
      <c r="AU955" s="56"/>
      <c r="AV955" s="56"/>
      <c r="AW955" s="56"/>
      <c r="AX955" s="56"/>
      <c r="AY955" s="56"/>
    </row>
    <row r="956" spans="1:51" x14ac:dyDescent="0.25">
      <c r="A956" s="16"/>
      <c r="C956"/>
      <c r="D956" s="56"/>
      <c r="E956"/>
      <c r="F956"/>
      <c r="G956"/>
      <c r="H9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/>
      <c r="AU956" s="56"/>
      <c r="AV956" s="56"/>
      <c r="AW956" s="56"/>
      <c r="AX956" s="56"/>
      <c r="AY956" s="56"/>
    </row>
    <row r="957" spans="1:51" x14ac:dyDescent="0.25">
      <c r="A957" s="16"/>
      <c r="C957"/>
      <c r="D957" s="56"/>
      <c r="E957"/>
      <c r="F957"/>
      <c r="G957"/>
      <c r="H957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/>
      <c r="AU957" s="56"/>
      <c r="AV957" s="56"/>
      <c r="AW957" s="56"/>
      <c r="AX957" s="56"/>
      <c r="AY957" s="56"/>
    </row>
    <row r="958" spans="1:51" x14ac:dyDescent="0.25">
      <c r="A958" s="16"/>
      <c r="C958"/>
      <c r="D958" s="56"/>
      <c r="E958"/>
      <c r="F958"/>
      <c r="G958"/>
      <c r="H958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/>
      <c r="AU958" s="56"/>
      <c r="AV958" s="56"/>
      <c r="AW958" s="56"/>
      <c r="AX958" s="56"/>
      <c r="AY958" s="56"/>
    </row>
    <row r="959" spans="1:51" x14ac:dyDescent="0.25">
      <c r="A959" s="16"/>
      <c r="C959"/>
      <c r="D959" s="56"/>
      <c r="E959"/>
      <c r="F959"/>
      <c r="G959"/>
      <c r="H959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/>
      <c r="AU959" s="56"/>
      <c r="AV959" s="56"/>
      <c r="AW959" s="56"/>
      <c r="AX959" s="56"/>
      <c r="AY959" s="56"/>
    </row>
    <row r="960" spans="1:51" x14ac:dyDescent="0.25">
      <c r="A960" s="16"/>
      <c r="C960"/>
      <c r="D960" s="56"/>
      <c r="E960"/>
      <c r="F960"/>
      <c r="G960"/>
      <c r="H960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/>
      <c r="AU960" s="56"/>
      <c r="AV960" s="56"/>
      <c r="AW960" s="56"/>
      <c r="AX960" s="56"/>
      <c r="AY960" s="56"/>
    </row>
    <row r="961" spans="1:51" x14ac:dyDescent="0.25">
      <c r="A961" s="16"/>
      <c r="C961"/>
      <c r="D961" s="56"/>
      <c r="E961"/>
      <c r="F961"/>
      <c r="G961"/>
      <c r="H961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/>
      <c r="AU961" s="56"/>
      <c r="AV961" s="56"/>
      <c r="AW961" s="56"/>
      <c r="AX961" s="56"/>
      <c r="AY961" s="56"/>
    </row>
    <row r="962" spans="1:51" x14ac:dyDescent="0.25">
      <c r="A962" s="16"/>
      <c r="C962"/>
      <c r="D962" s="56"/>
      <c r="E962"/>
      <c r="F962"/>
      <c r="G962"/>
      <c r="H962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/>
      <c r="AU962" s="56"/>
      <c r="AV962" s="56"/>
      <c r="AW962" s="56"/>
      <c r="AX962" s="56"/>
      <c r="AY962" s="56"/>
    </row>
    <row r="963" spans="1:51" x14ac:dyDescent="0.25">
      <c r="A963" s="16"/>
      <c r="C963"/>
      <c r="D963" s="56"/>
      <c r="E963"/>
      <c r="F963"/>
      <c r="G963"/>
      <c r="H963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/>
      <c r="AU963" s="56"/>
      <c r="AV963" s="56"/>
      <c r="AW963" s="56"/>
      <c r="AX963" s="56"/>
      <c r="AY963" s="56"/>
    </row>
    <row r="964" spans="1:51" x14ac:dyDescent="0.25">
      <c r="A964" s="16"/>
      <c r="C964"/>
      <c r="D964" s="56"/>
      <c r="E964"/>
      <c r="F964"/>
      <c r="G964"/>
      <c r="H964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/>
      <c r="AU964" s="56"/>
      <c r="AV964" s="56"/>
      <c r="AW964" s="56"/>
      <c r="AX964" s="56"/>
      <c r="AY964" s="56"/>
    </row>
    <row r="965" spans="1:51" x14ac:dyDescent="0.25">
      <c r="A965" s="16"/>
      <c r="C965"/>
      <c r="D965" s="56"/>
      <c r="E965"/>
      <c r="F965"/>
      <c r="G965"/>
      <c r="H965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/>
      <c r="AU965" s="56"/>
      <c r="AV965" s="56"/>
      <c r="AW965" s="56"/>
      <c r="AX965" s="56"/>
      <c r="AY965" s="56"/>
    </row>
    <row r="966" spans="1:51" x14ac:dyDescent="0.25">
      <c r="A966" s="16"/>
      <c r="C966"/>
      <c r="D966" s="56"/>
      <c r="E966"/>
      <c r="F966"/>
      <c r="G966"/>
      <c r="H96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/>
      <c r="AU966" s="56"/>
      <c r="AV966" s="56"/>
      <c r="AW966" s="56"/>
      <c r="AX966" s="56"/>
      <c r="AY966" s="56"/>
    </row>
    <row r="967" spans="1:51" x14ac:dyDescent="0.25">
      <c r="A967" s="16"/>
      <c r="C967"/>
      <c r="D967" s="56"/>
      <c r="E967"/>
      <c r="F967"/>
      <c r="G967"/>
      <c r="H967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/>
      <c r="AU967" s="56"/>
      <c r="AV967" s="56"/>
      <c r="AW967" s="56"/>
      <c r="AX967" s="56"/>
      <c r="AY967" s="56"/>
    </row>
    <row r="968" spans="1:51" x14ac:dyDescent="0.25">
      <c r="A968" s="16"/>
      <c r="C968"/>
      <c r="D968" s="56"/>
      <c r="E968"/>
      <c r="F968"/>
      <c r="G968"/>
      <c r="H968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/>
      <c r="AU968" s="56"/>
      <c r="AV968" s="56"/>
      <c r="AW968" s="56"/>
      <c r="AX968" s="56"/>
      <c r="AY968" s="56"/>
    </row>
    <row r="969" spans="1:51" x14ac:dyDescent="0.25">
      <c r="A969" s="16"/>
      <c r="C969"/>
      <c r="D969" s="56"/>
      <c r="E969"/>
      <c r="F969"/>
      <c r="G969"/>
      <c r="H969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/>
      <c r="AU969" s="56"/>
      <c r="AV969" s="56"/>
      <c r="AW969" s="56"/>
      <c r="AX969" s="56"/>
      <c r="AY969" s="56"/>
    </row>
    <row r="970" spans="1:51" x14ac:dyDescent="0.25">
      <c r="A970" s="16"/>
      <c r="C970"/>
      <c r="D970" s="56"/>
      <c r="E970"/>
      <c r="F970"/>
      <c r="G970"/>
      <c r="H970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/>
      <c r="AU970" s="56"/>
      <c r="AV970" s="56"/>
      <c r="AW970" s="56"/>
      <c r="AX970" s="56"/>
      <c r="AY970" s="56"/>
    </row>
    <row r="971" spans="1:51" x14ac:dyDescent="0.25">
      <c r="A971" s="16"/>
      <c r="C971"/>
      <c r="D971" s="56"/>
      <c r="E971"/>
      <c r="F971"/>
      <c r="G971"/>
      <c r="H971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/>
      <c r="AU971" s="56"/>
      <c r="AV971" s="56"/>
      <c r="AW971" s="56"/>
      <c r="AX971" s="56"/>
      <c r="AY971" s="56"/>
    </row>
    <row r="972" spans="1:51" x14ac:dyDescent="0.25">
      <c r="A972" s="16"/>
      <c r="C972"/>
      <c r="D972" s="56"/>
      <c r="E972"/>
      <c r="F972"/>
      <c r="G972"/>
      <c r="H972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/>
      <c r="AU972" s="56"/>
      <c r="AV972" s="56"/>
      <c r="AW972" s="56"/>
      <c r="AX972" s="56"/>
      <c r="AY972" s="56"/>
    </row>
    <row r="973" spans="1:51" x14ac:dyDescent="0.25">
      <c r="A973" s="16"/>
      <c r="C973"/>
      <c r="D973" s="56"/>
      <c r="E973"/>
      <c r="F973"/>
      <c r="G973"/>
      <c r="H973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/>
      <c r="AU973" s="56"/>
      <c r="AV973" s="56"/>
      <c r="AW973" s="56"/>
      <c r="AX973" s="56"/>
      <c r="AY973" s="56"/>
    </row>
    <row r="974" spans="1:51" x14ac:dyDescent="0.25">
      <c r="A974" s="16"/>
      <c r="C974"/>
      <c r="D974" s="56"/>
      <c r="E974"/>
      <c r="F974"/>
      <c r="G974"/>
      <c r="H974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/>
      <c r="AU974" s="56"/>
      <c r="AV974" s="56"/>
      <c r="AW974" s="56"/>
      <c r="AX974" s="56"/>
      <c r="AY974" s="56"/>
    </row>
    <row r="975" spans="1:51" x14ac:dyDescent="0.25">
      <c r="A975" s="16"/>
      <c r="C975"/>
      <c r="D975" s="56"/>
      <c r="E975"/>
      <c r="F975"/>
      <c r="G975"/>
      <c r="H975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/>
      <c r="AU975" s="56"/>
      <c r="AV975" s="56"/>
      <c r="AW975" s="56"/>
      <c r="AX975" s="56"/>
      <c r="AY975" s="56"/>
    </row>
    <row r="976" spans="1:51" x14ac:dyDescent="0.25">
      <c r="A976" s="16"/>
      <c r="C976"/>
      <c r="D976" s="56"/>
      <c r="E976"/>
      <c r="F976"/>
      <c r="G976"/>
      <c r="H97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/>
      <c r="AU976" s="56"/>
      <c r="AV976" s="56"/>
      <c r="AW976" s="56"/>
      <c r="AX976" s="56"/>
      <c r="AY976" s="56"/>
    </row>
    <row r="977" spans="1:51" x14ac:dyDescent="0.25">
      <c r="A977" s="16"/>
      <c r="C977"/>
      <c r="D977" s="56"/>
      <c r="E977"/>
      <c r="F977"/>
      <c r="G977"/>
      <c r="H977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/>
      <c r="AU977" s="56"/>
      <c r="AV977" s="56"/>
      <c r="AW977" s="56"/>
      <c r="AX977" s="56"/>
      <c r="AY977" s="56"/>
    </row>
    <row r="978" spans="1:51" x14ac:dyDescent="0.25">
      <c r="A978" s="16"/>
      <c r="C978"/>
      <c r="D978" s="56"/>
      <c r="E978"/>
      <c r="F978"/>
      <c r="G978"/>
      <c r="H978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/>
      <c r="AU978" s="56"/>
      <c r="AV978" s="56"/>
      <c r="AW978" s="56"/>
      <c r="AX978" s="56"/>
      <c r="AY978" s="56"/>
    </row>
    <row r="979" spans="1:51" x14ac:dyDescent="0.25">
      <c r="A979" s="16"/>
      <c r="C979"/>
      <c r="D979" s="56"/>
      <c r="E979"/>
      <c r="F979"/>
      <c r="G979"/>
      <c r="H979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/>
      <c r="AU979" s="56"/>
      <c r="AV979" s="56"/>
      <c r="AW979" s="56"/>
      <c r="AX979" s="56"/>
      <c r="AY979" s="56"/>
    </row>
    <row r="980" spans="1:51" x14ac:dyDescent="0.25">
      <c r="A980" s="16"/>
      <c r="C980"/>
      <c r="D980" s="56"/>
      <c r="E980"/>
      <c r="F980"/>
      <c r="G980"/>
      <c r="H980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/>
      <c r="AU980" s="56"/>
      <c r="AV980" s="56"/>
      <c r="AW980" s="56"/>
      <c r="AX980" s="56"/>
      <c r="AY980" s="56"/>
    </row>
    <row r="981" spans="1:51" x14ac:dyDescent="0.25">
      <c r="A981" s="16"/>
      <c r="C981"/>
      <c r="D981" s="56"/>
      <c r="E981"/>
      <c r="F981"/>
      <c r="G981"/>
      <c r="H981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/>
      <c r="AU981" s="56"/>
      <c r="AV981" s="56"/>
      <c r="AW981" s="56"/>
      <c r="AX981" s="56"/>
      <c r="AY981" s="56"/>
    </row>
    <row r="982" spans="1:51" x14ac:dyDescent="0.25">
      <c r="A982" s="16"/>
      <c r="C982"/>
      <c r="D982" s="56"/>
      <c r="E982"/>
      <c r="F982"/>
      <c r="G982"/>
      <c r="H982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/>
      <c r="AU982" s="56"/>
      <c r="AV982" s="56"/>
      <c r="AW982" s="56"/>
      <c r="AX982" s="56"/>
      <c r="AY982" s="56"/>
    </row>
    <row r="983" spans="1:51" x14ac:dyDescent="0.25">
      <c r="A983" s="16"/>
      <c r="C983"/>
      <c r="D983" s="56"/>
      <c r="E983"/>
      <c r="F983"/>
      <c r="G983"/>
      <c r="H983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/>
      <c r="AU983" s="56"/>
      <c r="AV983" s="56"/>
      <c r="AW983" s="56"/>
      <c r="AX983" s="56"/>
      <c r="AY983" s="56"/>
    </row>
    <row r="984" spans="1:51" x14ac:dyDescent="0.25">
      <c r="A984" s="16"/>
      <c r="C984"/>
      <c r="D984" s="56"/>
      <c r="E984"/>
      <c r="F984"/>
      <c r="G984"/>
      <c r="H984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/>
      <c r="AU984" s="56"/>
      <c r="AV984" s="56"/>
      <c r="AW984" s="56"/>
      <c r="AX984" s="56"/>
      <c r="AY984" s="56"/>
    </row>
    <row r="985" spans="1:51" x14ac:dyDescent="0.25">
      <c r="A985" s="16"/>
      <c r="C985"/>
      <c r="D985" s="56"/>
      <c r="E985"/>
      <c r="F985"/>
      <c r="G985"/>
      <c r="H985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/>
      <c r="AU985" s="56"/>
      <c r="AV985" s="56"/>
      <c r="AW985" s="56"/>
      <c r="AX985" s="56"/>
      <c r="AY985" s="56"/>
    </row>
    <row r="986" spans="1:51" x14ac:dyDescent="0.25">
      <c r="A986" s="16"/>
      <c r="C986"/>
      <c r="D986" s="56"/>
      <c r="E986"/>
      <c r="F986"/>
      <c r="G986"/>
      <c r="H98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/>
      <c r="AU986" s="56"/>
      <c r="AV986" s="56"/>
      <c r="AW986" s="56"/>
      <c r="AX986" s="56"/>
      <c r="AY986" s="56"/>
    </row>
    <row r="987" spans="1:51" x14ac:dyDescent="0.25">
      <c r="A987" s="16"/>
      <c r="C987"/>
      <c r="D987" s="56"/>
      <c r="E987"/>
      <c r="F987"/>
      <c r="G987"/>
      <c r="H987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/>
      <c r="AU987" s="56"/>
      <c r="AV987" s="56"/>
      <c r="AW987" s="56"/>
      <c r="AX987" s="56"/>
      <c r="AY987" s="56"/>
    </row>
    <row r="988" spans="1:51" x14ac:dyDescent="0.25">
      <c r="A988" s="16"/>
      <c r="C988"/>
      <c r="D988" s="56"/>
      <c r="E988"/>
      <c r="F988"/>
      <c r="G988"/>
      <c r="H988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/>
      <c r="AU988" s="56"/>
      <c r="AV988" s="56"/>
      <c r="AW988" s="56"/>
      <c r="AX988" s="56"/>
      <c r="AY988" s="56"/>
    </row>
    <row r="989" spans="1:51" x14ac:dyDescent="0.25">
      <c r="A989" s="16"/>
      <c r="C989"/>
      <c r="D989" s="56"/>
      <c r="E989"/>
      <c r="F989"/>
      <c r="G989"/>
      <c r="H989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/>
      <c r="AU989" s="56"/>
      <c r="AV989" s="56"/>
      <c r="AW989" s="56"/>
      <c r="AX989" s="56"/>
      <c r="AY989" s="56"/>
    </row>
    <row r="990" spans="1:51" x14ac:dyDescent="0.25">
      <c r="A990" s="16"/>
      <c r="C990"/>
      <c r="D990" s="56"/>
      <c r="E990"/>
      <c r="F990"/>
      <c r="G990"/>
      <c r="H990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/>
      <c r="AU990" s="56"/>
      <c r="AV990" s="56"/>
      <c r="AW990" s="56"/>
      <c r="AX990" s="56"/>
      <c r="AY990" s="56"/>
    </row>
    <row r="991" spans="1:51" x14ac:dyDescent="0.25">
      <c r="A991" s="16"/>
      <c r="C991"/>
      <c r="D991" s="56"/>
      <c r="E991"/>
      <c r="F991"/>
      <c r="G991"/>
      <c r="H991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/>
      <c r="AU991" s="56"/>
      <c r="AV991" s="56"/>
      <c r="AW991" s="56"/>
      <c r="AX991" s="56"/>
      <c r="AY991" s="56"/>
    </row>
    <row r="992" spans="1:51" x14ac:dyDescent="0.25">
      <c r="A992" s="16"/>
      <c r="C992"/>
      <c r="D992" s="56"/>
      <c r="E992"/>
      <c r="F992"/>
      <c r="G992"/>
      <c r="H992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/>
      <c r="AU992" s="56"/>
      <c r="AV992" s="56"/>
      <c r="AW992" s="56"/>
      <c r="AX992" s="56"/>
      <c r="AY992" s="56"/>
    </row>
    <row r="993" spans="1:51" x14ac:dyDescent="0.25">
      <c r="A993" s="16"/>
      <c r="C993"/>
      <c r="D993" s="56"/>
      <c r="E993"/>
      <c r="F993"/>
      <c r="G993"/>
      <c r="H993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/>
      <c r="AU993" s="56"/>
      <c r="AV993" s="56"/>
      <c r="AW993" s="56"/>
      <c r="AX993" s="56"/>
      <c r="AY993" s="56"/>
    </row>
    <row r="994" spans="1:51" x14ac:dyDescent="0.25">
      <c r="A994" s="16"/>
      <c r="C994"/>
      <c r="D994" s="56"/>
      <c r="E994"/>
      <c r="F994"/>
      <c r="G994"/>
      <c r="H994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/>
      <c r="AU994" s="56"/>
      <c r="AV994" s="56"/>
      <c r="AW994" s="56"/>
      <c r="AX994" s="56"/>
      <c r="AY994" s="56"/>
    </row>
    <row r="995" spans="1:51" x14ac:dyDescent="0.25">
      <c r="A995" s="16"/>
      <c r="C995"/>
      <c r="D995" s="56"/>
      <c r="E995"/>
      <c r="F995"/>
      <c r="G995"/>
      <c r="H995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/>
      <c r="AU995" s="56"/>
      <c r="AV995" s="56"/>
      <c r="AW995" s="56"/>
      <c r="AX995" s="56"/>
      <c r="AY995" s="56"/>
    </row>
    <row r="996" spans="1:51" x14ac:dyDescent="0.25">
      <c r="A996" s="16"/>
      <c r="C996"/>
      <c r="D996" s="56"/>
      <c r="E996"/>
      <c r="F996"/>
      <c r="G996"/>
      <c r="H99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/>
      <c r="AU996" s="56"/>
      <c r="AV996" s="56"/>
      <c r="AW996" s="56"/>
      <c r="AX996" s="56"/>
      <c r="AY996" s="56"/>
    </row>
    <row r="997" spans="1:51" x14ac:dyDescent="0.25">
      <c r="A997" s="16"/>
      <c r="C997"/>
      <c r="D997" s="56"/>
      <c r="E997"/>
      <c r="F997"/>
      <c r="G997"/>
      <c r="H997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/>
      <c r="AU997" s="56"/>
      <c r="AV997" s="56"/>
      <c r="AW997" s="56"/>
      <c r="AX997" s="56"/>
      <c r="AY997" s="56"/>
    </row>
    <row r="998" spans="1:51" x14ac:dyDescent="0.25">
      <c r="A998" s="16"/>
      <c r="C998"/>
      <c r="D998" s="56"/>
      <c r="E998"/>
      <c r="F998"/>
      <c r="G998"/>
      <c r="H998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/>
      <c r="AU998" s="56"/>
      <c r="AV998" s="56"/>
      <c r="AW998" s="56"/>
      <c r="AX998" s="56"/>
      <c r="AY998" s="56"/>
    </row>
    <row r="999" spans="1:51" x14ac:dyDescent="0.25">
      <c r="A999" s="16"/>
      <c r="C999"/>
      <c r="D999" s="56"/>
      <c r="E999"/>
      <c r="F999"/>
      <c r="G999"/>
      <c r="H999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/>
      <c r="AU999" s="56"/>
      <c r="AV999" s="56"/>
      <c r="AW999" s="56"/>
      <c r="AX999" s="56"/>
      <c r="AY999" s="56"/>
    </row>
    <row r="1000" spans="1:51" x14ac:dyDescent="0.25">
      <c r="A1000" s="16"/>
      <c r="C1000"/>
      <c r="D1000" s="56"/>
      <c r="E1000"/>
      <c r="F1000"/>
      <c r="G1000"/>
      <c r="H1000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/>
      <c r="AU1000" s="56"/>
      <c r="AV1000" s="56"/>
      <c r="AW1000" s="56"/>
      <c r="AX1000" s="56"/>
      <c r="AY1000" s="56"/>
    </row>
    <row r="1001" spans="1:51" x14ac:dyDescent="0.25">
      <c r="A1001" s="16"/>
      <c r="C1001"/>
      <c r="D1001" s="56"/>
      <c r="E1001"/>
      <c r="F1001"/>
      <c r="G1001"/>
      <c r="H1001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/>
      <c r="AU1001" s="56"/>
      <c r="AV1001" s="56"/>
      <c r="AW1001" s="56"/>
      <c r="AX1001" s="56"/>
      <c r="AY1001" s="56"/>
    </row>
    <row r="1002" spans="1:51" x14ac:dyDescent="0.25">
      <c r="A1002" s="16"/>
      <c r="C1002"/>
      <c r="D1002" s="56"/>
      <c r="E1002"/>
      <c r="F1002"/>
      <c r="G1002"/>
      <c r="H1002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/>
      <c r="AU1002" s="56"/>
      <c r="AV1002" s="56"/>
      <c r="AW1002" s="56"/>
      <c r="AX1002" s="56"/>
      <c r="AY1002" s="56"/>
    </row>
    <row r="1003" spans="1:51" x14ac:dyDescent="0.25">
      <c r="A1003" s="16"/>
      <c r="C1003"/>
      <c r="D1003" s="56"/>
      <c r="E1003"/>
      <c r="F1003"/>
      <c r="G1003"/>
      <c r="H1003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/>
      <c r="AU1003" s="56"/>
      <c r="AV1003" s="56"/>
      <c r="AW1003" s="56"/>
      <c r="AX1003" s="56"/>
      <c r="AY1003" s="56"/>
    </row>
    <row r="1004" spans="1:51" x14ac:dyDescent="0.25">
      <c r="A1004" s="16"/>
      <c r="C1004"/>
      <c r="D1004" s="56"/>
      <c r="E1004"/>
      <c r="F1004"/>
      <c r="G1004"/>
      <c r="H1004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/>
      <c r="AU1004" s="56"/>
      <c r="AV1004" s="56"/>
      <c r="AW1004" s="56"/>
      <c r="AX1004" s="56"/>
      <c r="AY1004" s="56"/>
    </row>
    <row r="1005" spans="1:51" x14ac:dyDescent="0.25">
      <c r="A1005" s="16"/>
      <c r="C1005"/>
      <c r="D1005" s="56"/>
      <c r="E1005"/>
      <c r="F1005"/>
      <c r="G1005"/>
      <c r="H1005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/>
      <c r="AU1005" s="56"/>
      <c r="AV1005" s="56"/>
      <c r="AW1005" s="56"/>
      <c r="AX1005" s="56"/>
      <c r="AY1005" s="56"/>
    </row>
    <row r="1006" spans="1:51" x14ac:dyDescent="0.25">
      <c r="A1006" s="16"/>
      <c r="C1006"/>
      <c r="D1006" s="56"/>
      <c r="E1006"/>
      <c r="F1006"/>
      <c r="G1006"/>
      <c r="H100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/>
      <c r="AU1006" s="56"/>
      <c r="AV1006" s="56"/>
      <c r="AW1006" s="56"/>
      <c r="AX1006" s="56"/>
      <c r="AY1006" s="56"/>
    </row>
    <row r="1007" spans="1:51" x14ac:dyDescent="0.25">
      <c r="A1007" s="16"/>
      <c r="C1007"/>
      <c r="D1007" s="56"/>
      <c r="E1007"/>
      <c r="F1007"/>
      <c r="G1007"/>
      <c r="H1007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/>
      <c r="AU1007" s="56"/>
      <c r="AV1007" s="56"/>
      <c r="AW1007" s="56"/>
      <c r="AX1007" s="56"/>
      <c r="AY1007" s="56"/>
    </row>
    <row r="1008" spans="1:51" x14ac:dyDescent="0.25">
      <c r="A1008" s="16"/>
      <c r="C1008"/>
      <c r="D1008" s="56"/>
      <c r="E1008"/>
      <c r="F1008"/>
      <c r="G1008"/>
      <c r="H1008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/>
      <c r="AU1008" s="56"/>
      <c r="AV1008" s="56"/>
      <c r="AW1008" s="56"/>
      <c r="AX1008" s="56"/>
      <c r="AY1008" s="56"/>
    </row>
    <row r="1009" spans="1:51" x14ac:dyDescent="0.25">
      <c r="A1009" s="16"/>
      <c r="C1009"/>
      <c r="D1009" s="56"/>
      <c r="E1009"/>
      <c r="F1009"/>
      <c r="G1009"/>
      <c r="H1009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/>
      <c r="AU1009" s="56"/>
      <c r="AV1009" s="56"/>
      <c r="AW1009" s="56"/>
      <c r="AX1009" s="56"/>
      <c r="AY1009" s="56"/>
    </row>
    <row r="1010" spans="1:51" x14ac:dyDescent="0.25">
      <c r="A1010" s="16"/>
      <c r="C1010"/>
      <c r="D1010" s="56"/>
      <c r="E1010"/>
      <c r="F1010"/>
      <c r="G1010"/>
      <c r="H1010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/>
      <c r="AU1010" s="56"/>
      <c r="AV1010" s="56"/>
      <c r="AW1010" s="56"/>
      <c r="AX1010" s="56"/>
      <c r="AY1010" s="56"/>
    </row>
    <row r="1011" spans="1:51" x14ac:dyDescent="0.25">
      <c r="A1011" s="16"/>
      <c r="C1011"/>
      <c r="D1011" s="56"/>
      <c r="E1011"/>
      <c r="F1011"/>
      <c r="G1011"/>
      <c r="H1011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/>
      <c r="AU1011" s="56"/>
      <c r="AV1011" s="56"/>
      <c r="AW1011" s="56"/>
      <c r="AX1011" s="56"/>
      <c r="AY1011" s="56"/>
    </row>
    <row r="1012" spans="1:51" x14ac:dyDescent="0.25">
      <c r="A1012" s="16"/>
      <c r="C1012"/>
      <c r="D1012" s="56"/>
      <c r="E1012"/>
      <c r="F1012"/>
      <c r="G1012"/>
      <c r="H1012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/>
      <c r="AU1012" s="56"/>
      <c r="AV1012" s="56"/>
      <c r="AW1012" s="56"/>
      <c r="AX1012" s="56"/>
      <c r="AY1012" s="56"/>
    </row>
    <row r="1013" spans="1:51" x14ac:dyDescent="0.25">
      <c r="A1013" s="16"/>
      <c r="C1013"/>
      <c r="D1013" s="56"/>
      <c r="E1013"/>
      <c r="F1013"/>
      <c r="G1013"/>
      <c r="H1013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/>
      <c r="AU1013" s="56"/>
      <c r="AV1013" s="56"/>
      <c r="AW1013" s="56"/>
      <c r="AX1013" s="56"/>
      <c r="AY1013" s="56"/>
    </row>
    <row r="1014" spans="1:51" x14ac:dyDescent="0.25">
      <c r="A1014" s="16"/>
      <c r="C1014"/>
      <c r="D1014" s="56"/>
      <c r="E1014"/>
      <c r="F1014"/>
      <c r="G1014"/>
      <c r="H1014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/>
      <c r="AU1014" s="56"/>
      <c r="AV1014" s="56"/>
      <c r="AW1014" s="56"/>
      <c r="AX1014" s="56"/>
      <c r="AY1014" s="56"/>
    </row>
    <row r="1015" spans="1:51" x14ac:dyDescent="0.25">
      <c r="A1015" s="16"/>
      <c r="C1015"/>
      <c r="D1015" s="56"/>
      <c r="E1015"/>
      <c r="F1015"/>
      <c r="G1015"/>
      <c r="H1015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/>
      <c r="AU1015" s="56"/>
      <c r="AV1015" s="56"/>
      <c r="AW1015" s="56"/>
      <c r="AX1015" s="56"/>
      <c r="AY1015" s="56"/>
    </row>
    <row r="1016" spans="1:51" x14ac:dyDescent="0.25">
      <c r="A1016" s="16"/>
      <c r="C1016"/>
      <c r="D1016" s="56"/>
      <c r="E1016"/>
      <c r="F1016"/>
      <c r="G1016"/>
      <c r="H101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/>
      <c r="AU1016" s="56"/>
      <c r="AV1016" s="56"/>
      <c r="AW1016" s="56"/>
      <c r="AX1016" s="56"/>
      <c r="AY1016" s="56"/>
    </row>
    <row r="1017" spans="1:51" x14ac:dyDescent="0.25">
      <c r="A1017" s="16"/>
      <c r="C1017"/>
      <c r="D1017" s="56"/>
      <c r="E1017"/>
      <c r="F1017"/>
      <c r="G1017"/>
      <c r="H1017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/>
      <c r="AU1017" s="56"/>
      <c r="AV1017" s="56"/>
      <c r="AW1017" s="56"/>
      <c r="AX1017" s="56"/>
      <c r="AY1017" s="56"/>
    </row>
    <row r="1018" spans="1:51" x14ac:dyDescent="0.25">
      <c r="A1018" s="16"/>
      <c r="C1018"/>
      <c r="D1018" s="56"/>
      <c r="E1018"/>
      <c r="F1018"/>
      <c r="G1018"/>
      <c r="H1018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/>
      <c r="AU1018" s="56"/>
      <c r="AV1018" s="56"/>
      <c r="AW1018" s="56"/>
      <c r="AX1018" s="56"/>
      <c r="AY1018" s="56"/>
    </row>
    <row r="1019" spans="1:51" x14ac:dyDescent="0.25">
      <c r="A1019" s="16"/>
      <c r="C1019"/>
      <c r="D1019" s="56"/>
      <c r="E1019"/>
      <c r="F1019"/>
      <c r="G1019"/>
      <c r="H1019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/>
      <c r="AU1019" s="56"/>
      <c r="AV1019" s="56"/>
      <c r="AW1019" s="56"/>
      <c r="AX1019" s="56"/>
      <c r="AY1019" s="56"/>
    </row>
    <row r="1020" spans="1:51" x14ac:dyDescent="0.25">
      <c r="A1020" s="16"/>
      <c r="C1020"/>
      <c r="D1020" s="56"/>
      <c r="E1020"/>
      <c r="F1020"/>
      <c r="G1020"/>
      <c r="H1020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/>
      <c r="AU1020" s="56"/>
      <c r="AV1020" s="56"/>
      <c r="AW1020" s="56"/>
      <c r="AX1020" s="56"/>
      <c r="AY1020" s="56"/>
    </row>
    <row r="1021" spans="1:51" x14ac:dyDescent="0.25">
      <c r="A1021" s="16"/>
      <c r="C1021"/>
      <c r="D1021" s="56"/>
      <c r="E1021"/>
      <c r="F1021"/>
      <c r="G1021"/>
      <c r="H1021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/>
      <c r="AU1021" s="56"/>
      <c r="AV1021" s="56"/>
      <c r="AW1021" s="56"/>
      <c r="AX1021" s="56"/>
      <c r="AY1021" s="56"/>
    </row>
    <row r="1022" spans="1:51" x14ac:dyDescent="0.25">
      <c r="A1022" s="16"/>
      <c r="C1022"/>
      <c r="D1022" s="56"/>
      <c r="E1022"/>
      <c r="F1022"/>
      <c r="G1022"/>
      <c r="H1022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/>
      <c r="AU1022" s="56"/>
      <c r="AV1022" s="56"/>
      <c r="AW1022" s="56"/>
      <c r="AX1022" s="56"/>
      <c r="AY1022" s="56"/>
    </row>
    <row r="1023" spans="1:51" x14ac:dyDescent="0.25">
      <c r="A1023" s="16"/>
      <c r="C1023"/>
      <c r="D1023" s="56"/>
      <c r="E1023"/>
      <c r="F1023"/>
      <c r="G1023"/>
      <c r="H1023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/>
      <c r="AU1023" s="56"/>
      <c r="AV1023" s="56"/>
      <c r="AW1023" s="56"/>
      <c r="AX1023" s="56"/>
      <c r="AY1023" s="56"/>
    </row>
    <row r="1024" spans="1:51" x14ac:dyDescent="0.25">
      <c r="A1024" s="16"/>
      <c r="C1024"/>
      <c r="D1024" s="56"/>
      <c r="E1024"/>
      <c r="F1024"/>
      <c r="G1024"/>
      <c r="H1024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/>
      <c r="AU1024" s="56"/>
      <c r="AV1024" s="56"/>
      <c r="AW1024" s="56"/>
      <c r="AX1024" s="56"/>
      <c r="AY1024" s="56"/>
    </row>
    <row r="1025" spans="1:51" x14ac:dyDescent="0.25">
      <c r="A1025" s="16"/>
      <c r="C1025"/>
      <c r="D1025" s="56"/>
      <c r="E1025"/>
      <c r="F1025"/>
      <c r="G1025"/>
      <c r="H1025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/>
      <c r="AU1025" s="56"/>
      <c r="AV1025" s="56"/>
      <c r="AW1025" s="56"/>
      <c r="AX1025" s="56"/>
      <c r="AY1025" s="56"/>
    </row>
    <row r="1026" spans="1:51" x14ac:dyDescent="0.25">
      <c r="A1026" s="16"/>
      <c r="C1026"/>
      <c r="D1026" s="56"/>
      <c r="E1026"/>
      <c r="F1026"/>
      <c r="G1026"/>
      <c r="H102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/>
      <c r="AU1026" s="56"/>
      <c r="AV1026" s="56"/>
      <c r="AW1026" s="56"/>
      <c r="AX1026" s="56"/>
      <c r="AY1026" s="56"/>
    </row>
    <row r="1027" spans="1:51" x14ac:dyDescent="0.25">
      <c r="A1027" s="16"/>
      <c r="C1027"/>
      <c r="D1027" s="56"/>
      <c r="E1027"/>
      <c r="F1027"/>
      <c r="G1027"/>
      <c r="H1027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/>
      <c r="AU1027" s="56"/>
      <c r="AV1027" s="56"/>
      <c r="AW1027" s="56"/>
      <c r="AX1027" s="56"/>
      <c r="AY1027" s="56"/>
    </row>
    <row r="1028" spans="1:51" x14ac:dyDescent="0.25">
      <c r="A1028" s="16"/>
      <c r="C1028"/>
      <c r="D1028" s="56"/>
      <c r="E1028"/>
      <c r="F1028"/>
      <c r="G1028"/>
      <c r="H1028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/>
      <c r="AU1028" s="56"/>
      <c r="AV1028" s="56"/>
      <c r="AW1028" s="56"/>
      <c r="AX1028" s="56"/>
      <c r="AY1028" s="56"/>
    </row>
    <row r="1029" spans="1:51" x14ac:dyDescent="0.25">
      <c r="A1029" s="16"/>
      <c r="C1029"/>
      <c r="D1029" s="56"/>
      <c r="E1029"/>
      <c r="F1029"/>
      <c r="G1029"/>
      <c r="H1029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/>
      <c r="AU1029" s="56"/>
      <c r="AV1029" s="56"/>
      <c r="AW1029" s="56"/>
      <c r="AX1029" s="56"/>
      <c r="AY1029" s="56"/>
    </row>
    <row r="1030" spans="1:51" x14ac:dyDescent="0.25">
      <c r="A1030" s="16"/>
      <c r="C1030"/>
      <c r="D1030" s="56"/>
      <c r="E1030"/>
      <c r="F1030"/>
      <c r="G1030"/>
      <c r="H1030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/>
      <c r="AU1030" s="56"/>
      <c r="AV1030" s="56"/>
      <c r="AW1030" s="56"/>
      <c r="AX1030" s="56"/>
      <c r="AY1030" s="56"/>
    </row>
    <row r="1031" spans="1:51" x14ac:dyDescent="0.25">
      <c r="A1031" s="16"/>
      <c r="C1031"/>
      <c r="D1031" s="56"/>
      <c r="E1031"/>
      <c r="F1031"/>
      <c r="G1031"/>
      <c r="H1031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/>
      <c r="AU1031" s="56"/>
      <c r="AV1031" s="56"/>
      <c r="AW1031" s="56"/>
      <c r="AX1031" s="56"/>
      <c r="AY1031" s="56"/>
    </row>
    <row r="1032" spans="1:51" x14ac:dyDescent="0.25">
      <c r="A1032" s="16"/>
      <c r="C1032"/>
      <c r="D1032" s="56"/>
      <c r="E1032"/>
      <c r="F1032"/>
      <c r="G1032"/>
      <c r="H1032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/>
      <c r="AU1032" s="56"/>
      <c r="AV1032" s="56"/>
      <c r="AW1032" s="56"/>
      <c r="AX1032" s="56"/>
      <c r="AY1032" s="56"/>
    </row>
    <row r="1033" spans="1:51" x14ac:dyDescent="0.25">
      <c r="A1033" s="16"/>
      <c r="C1033"/>
      <c r="D1033" s="56"/>
      <c r="E1033"/>
      <c r="F1033"/>
      <c r="G1033"/>
      <c r="H1033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/>
      <c r="AU1033" s="56"/>
      <c r="AV1033" s="56"/>
      <c r="AW1033" s="56"/>
      <c r="AX1033" s="56"/>
      <c r="AY1033" s="56"/>
    </row>
    <row r="1034" spans="1:51" x14ac:dyDescent="0.25">
      <c r="A1034" s="16"/>
      <c r="C1034"/>
      <c r="D1034" s="56"/>
      <c r="E1034"/>
      <c r="F1034"/>
      <c r="G1034"/>
      <c r="H1034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/>
      <c r="AU1034" s="56"/>
      <c r="AV1034" s="56"/>
      <c r="AW1034" s="56"/>
      <c r="AX1034" s="56"/>
      <c r="AY1034" s="56"/>
    </row>
    <row r="1035" spans="1:51" x14ac:dyDescent="0.25">
      <c r="A1035" s="16"/>
      <c r="C1035"/>
      <c r="D1035" s="56"/>
      <c r="E1035"/>
      <c r="F1035"/>
      <c r="G1035"/>
      <c r="H1035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/>
      <c r="AU1035" s="56"/>
      <c r="AV1035" s="56"/>
      <c r="AW1035" s="56"/>
      <c r="AX1035" s="56"/>
      <c r="AY1035" s="56"/>
    </row>
    <row r="1036" spans="1:51" x14ac:dyDescent="0.25">
      <c r="A1036" s="16"/>
      <c r="C1036"/>
      <c r="D1036" s="56"/>
      <c r="E1036"/>
      <c r="F1036"/>
      <c r="G1036"/>
      <c r="H103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/>
      <c r="AU1036" s="56"/>
      <c r="AV1036" s="56"/>
      <c r="AW1036" s="56"/>
      <c r="AX1036" s="56"/>
      <c r="AY1036" s="56"/>
    </row>
    <row r="1037" spans="1:51" x14ac:dyDescent="0.25">
      <c r="A1037" s="16"/>
      <c r="C1037"/>
      <c r="D1037" s="56"/>
      <c r="E1037"/>
      <c r="F1037"/>
      <c r="G1037"/>
      <c r="H1037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/>
      <c r="AU1037" s="56"/>
      <c r="AV1037" s="56"/>
      <c r="AW1037" s="56"/>
      <c r="AX1037" s="56"/>
      <c r="AY1037" s="56"/>
    </row>
    <row r="1038" spans="1:51" x14ac:dyDescent="0.25">
      <c r="A1038" s="16"/>
      <c r="C1038"/>
      <c r="D1038" s="56"/>
      <c r="E1038"/>
      <c r="F1038"/>
      <c r="G1038"/>
      <c r="H1038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/>
      <c r="AU1038" s="56"/>
      <c r="AV1038" s="56"/>
      <c r="AW1038" s="56"/>
      <c r="AX1038" s="56"/>
      <c r="AY1038" s="56"/>
    </row>
    <row r="1039" spans="1:51" x14ac:dyDescent="0.25">
      <c r="A1039" s="16"/>
      <c r="C1039"/>
      <c r="D1039" s="56"/>
      <c r="E1039"/>
      <c r="F1039"/>
      <c r="G1039"/>
      <c r="H1039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/>
      <c r="AU1039" s="56"/>
      <c r="AV1039" s="56"/>
      <c r="AW1039" s="56"/>
      <c r="AX1039" s="56"/>
      <c r="AY1039" s="56"/>
    </row>
    <row r="1040" spans="1:51" x14ac:dyDescent="0.25">
      <c r="A1040" s="16"/>
      <c r="C1040"/>
      <c r="D1040" s="56"/>
      <c r="E1040"/>
      <c r="F1040"/>
      <c r="G1040"/>
      <c r="H1040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/>
      <c r="AU1040" s="56"/>
      <c r="AV1040" s="56"/>
      <c r="AW1040" s="56"/>
      <c r="AX1040" s="56"/>
      <c r="AY1040" s="56"/>
    </row>
    <row r="1041" spans="1:51" x14ac:dyDescent="0.25">
      <c r="A1041" s="16"/>
      <c r="C1041"/>
      <c r="D1041" s="56"/>
      <c r="E1041"/>
      <c r="F1041"/>
      <c r="G1041"/>
      <c r="H1041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/>
      <c r="AU1041" s="56"/>
      <c r="AV1041" s="56"/>
      <c r="AW1041" s="56"/>
      <c r="AX1041" s="56"/>
      <c r="AY1041" s="56"/>
    </row>
    <row r="1042" spans="1:51" x14ac:dyDescent="0.25">
      <c r="A1042" s="16"/>
      <c r="C1042"/>
      <c r="D1042" s="56"/>
      <c r="E1042"/>
      <c r="F1042"/>
      <c r="G1042"/>
      <c r="H1042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/>
      <c r="AU1042" s="56"/>
      <c r="AV1042" s="56"/>
      <c r="AW1042" s="56"/>
      <c r="AX1042" s="56"/>
      <c r="AY1042" s="56"/>
    </row>
    <row r="1043" spans="1:51" x14ac:dyDescent="0.25">
      <c r="A1043" s="16"/>
      <c r="C1043"/>
      <c r="D1043" s="56"/>
      <c r="E1043"/>
      <c r="F1043"/>
      <c r="G1043"/>
      <c r="H1043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/>
      <c r="AU1043" s="56"/>
      <c r="AV1043" s="56"/>
      <c r="AW1043" s="56"/>
      <c r="AX1043" s="56"/>
      <c r="AY1043" s="56"/>
    </row>
    <row r="1044" spans="1:51" x14ac:dyDescent="0.25">
      <c r="A1044" s="16"/>
      <c r="C1044"/>
      <c r="D1044" s="56"/>
      <c r="E1044"/>
      <c r="F1044"/>
      <c r="G1044"/>
      <c r="H1044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/>
      <c r="AU1044" s="56"/>
      <c r="AV1044" s="56"/>
      <c r="AW1044" s="56"/>
      <c r="AX1044" s="56"/>
      <c r="AY1044" s="56"/>
    </row>
    <row r="1045" spans="1:51" x14ac:dyDescent="0.25">
      <c r="A1045" s="16"/>
      <c r="C1045"/>
      <c r="D1045" s="56"/>
      <c r="E1045"/>
      <c r="F1045"/>
      <c r="G1045"/>
      <c r="H1045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/>
      <c r="AU1045" s="56"/>
      <c r="AV1045" s="56"/>
      <c r="AW1045" s="56"/>
      <c r="AX1045" s="56"/>
      <c r="AY1045" s="56"/>
    </row>
    <row r="1046" spans="1:51" x14ac:dyDescent="0.25">
      <c r="A1046" s="16"/>
      <c r="C1046"/>
      <c r="D1046" s="56"/>
      <c r="E1046"/>
      <c r="F1046"/>
      <c r="G1046"/>
      <c r="H104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/>
      <c r="AU1046" s="56"/>
      <c r="AV1046" s="56"/>
      <c r="AW1046" s="56"/>
      <c r="AX1046" s="56"/>
      <c r="AY1046" s="56"/>
    </row>
    <row r="1047" spans="1:51" x14ac:dyDescent="0.25">
      <c r="A1047" s="16"/>
      <c r="C1047"/>
      <c r="D1047" s="56"/>
      <c r="E1047"/>
      <c r="F1047"/>
      <c r="G1047"/>
      <c r="H1047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/>
      <c r="AU1047" s="56"/>
      <c r="AV1047" s="56"/>
      <c r="AW1047" s="56"/>
      <c r="AX1047" s="56"/>
      <c r="AY1047" s="56"/>
    </row>
    <row r="1048" spans="1:51" x14ac:dyDescent="0.25">
      <c r="A1048" s="16"/>
      <c r="C1048"/>
      <c r="D1048" s="56"/>
      <c r="E1048"/>
      <c r="F1048"/>
      <c r="G1048"/>
      <c r="H1048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/>
      <c r="AU1048" s="56"/>
      <c r="AV1048" s="56"/>
      <c r="AW1048" s="56"/>
      <c r="AX1048" s="56"/>
      <c r="AY1048" s="56"/>
    </row>
    <row r="1049" spans="1:51" x14ac:dyDescent="0.25">
      <c r="A1049" s="16"/>
      <c r="C1049"/>
      <c r="D1049" s="56"/>
      <c r="E1049"/>
      <c r="F1049"/>
      <c r="G1049"/>
      <c r="H1049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/>
      <c r="AU1049" s="56"/>
      <c r="AV1049" s="56"/>
      <c r="AW1049" s="56"/>
      <c r="AX1049" s="56"/>
      <c r="AY1049" s="56"/>
    </row>
    <row r="1050" spans="1:51" x14ac:dyDescent="0.25">
      <c r="A1050" s="16"/>
      <c r="C1050"/>
      <c r="D1050" s="56"/>
      <c r="E1050"/>
      <c r="F1050"/>
      <c r="G1050"/>
      <c r="H1050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/>
      <c r="AU1050" s="56"/>
      <c r="AV1050" s="56"/>
      <c r="AW1050" s="56"/>
      <c r="AX1050" s="56"/>
      <c r="AY1050" s="56"/>
    </row>
    <row r="1051" spans="1:51" x14ac:dyDescent="0.25">
      <c r="A1051" s="16"/>
      <c r="C1051"/>
      <c r="D1051" s="56"/>
      <c r="E1051"/>
      <c r="F1051"/>
      <c r="G1051"/>
      <c r="H1051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/>
      <c r="AU1051" s="56"/>
      <c r="AV1051" s="56"/>
      <c r="AW1051" s="56"/>
      <c r="AX1051" s="56"/>
      <c r="AY1051" s="56"/>
    </row>
    <row r="1052" spans="1:51" x14ac:dyDescent="0.25">
      <c r="A1052" s="16"/>
      <c r="C1052"/>
      <c r="D1052" s="56"/>
      <c r="E1052"/>
      <c r="F1052"/>
      <c r="G1052"/>
      <c r="H1052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/>
      <c r="AU1052" s="56"/>
      <c r="AV1052" s="56"/>
      <c r="AW1052" s="56"/>
      <c r="AX1052" s="56"/>
      <c r="AY1052" s="56"/>
    </row>
    <row r="1053" spans="1:51" x14ac:dyDescent="0.25">
      <c r="A1053" s="16"/>
      <c r="C1053"/>
      <c r="D1053" s="56"/>
      <c r="E1053"/>
      <c r="F1053"/>
      <c r="G1053"/>
      <c r="H1053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/>
      <c r="AU1053" s="56"/>
      <c r="AV1053" s="56"/>
      <c r="AW1053" s="56"/>
      <c r="AX1053" s="56"/>
      <c r="AY1053" s="56"/>
    </row>
    <row r="1054" spans="1:51" x14ac:dyDescent="0.25">
      <c r="A1054" s="16"/>
      <c r="C1054"/>
      <c r="D1054" s="56"/>
      <c r="E1054"/>
      <c r="F1054"/>
      <c r="G1054"/>
      <c r="H1054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/>
      <c r="AU1054" s="56"/>
      <c r="AV1054" s="56"/>
      <c r="AW1054" s="56"/>
      <c r="AX1054" s="56"/>
      <c r="AY1054" s="56"/>
    </row>
    <row r="1055" spans="1:51" x14ac:dyDescent="0.25">
      <c r="A1055" s="16"/>
      <c r="C1055"/>
      <c r="D1055" s="56"/>
      <c r="E1055"/>
      <c r="F1055"/>
      <c r="G1055"/>
      <c r="H1055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/>
      <c r="AU1055" s="56"/>
      <c r="AV1055" s="56"/>
      <c r="AW1055" s="56"/>
      <c r="AX1055" s="56"/>
      <c r="AY1055" s="56"/>
    </row>
    <row r="1056" spans="1:51" x14ac:dyDescent="0.25">
      <c r="A1056" s="16"/>
      <c r="C1056"/>
      <c r="D1056" s="56"/>
      <c r="E1056"/>
      <c r="F1056"/>
      <c r="G1056"/>
      <c r="H10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/>
      <c r="AU1056" s="56"/>
      <c r="AV1056" s="56"/>
      <c r="AW1056" s="56"/>
      <c r="AX1056" s="56"/>
      <c r="AY1056" s="56"/>
    </row>
    <row r="1057" spans="1:51" x14ac:dyDescent="0.25">
      <c r="A1057" s="16"/>
      <c r="C1057"/>
      <c r="D1057" s="56"/>
      <c r="E1057"/>
      <c r="F1057"/>
      <c r="G1057"/>
      <c r="H1057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/>
      <c r="AU1057" s="56"/>
      <c r="AV1057" s="56"/>
      <c r="AW1057" s="56"/>
      <c r="AX1057" s="56"/>
      <c r="AY1057" s="56"/>
    </row>
    <row r="1058" spans="1:51" x14ac:dyDescent="0.25">
      <c r="A1058" s="16"/>
      <c r="C1058"/>
      <c r="D1058" s="56"/>
      <c r="E1058"/>
      <c r="F1058"/>
      <c r="G1058"/>
      <c r="H1058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/>
      <c r="AU1058" s="56"/>
      <c r="AV1058" s="56"/>
      <c r="AW1058" s="56"/>
      <c r="AX1058" s="56"/>
      <c r="AY1058" s="56"/>
    </row>
    <row r="1059" spans="1:51" x14ac:dyDescent="0.25">
      <c r="A1059" s="16"/>
      <c r="C1059"/>
      <c r="D1059" s="56"/>
      <c r="E1059"/>
      <c r="F1059"/>
      <c r="G1059"/>
      <c r="H1059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/>
      <c r="AU1059" s="56"/>
      <c r="AV1059" s="56"/>
      <c r="AW1059" s="56"/>
      <c r="AX1059" s="56"/>
      <c r="AY1059" s="56"/>
    </row>
    <row r="1060" spans="1:51" x14ac:dyDescent="0.25">
      <c r="A1060" s="16"/>
      <c r="C1060"/>
      <c r="D1060" s="56"/>
      <c r="E1060"/>
      <c r="F1060"/>
      <c r="G1060"/>
      <c r="H1060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/>
      <c r="AU1060" s="56"/>
      <c r="AV1060" s="56"/>
      <c r="AW1060" s="56"/>
      <c r="AX1060" s="56"/>
      <c r="AY1060" s="56"/>
    </row>
    <row r="1061" spans="1:51" x14ac:dyDescent="0.25">
      <c r="A1061" s="16"/>
      <c r="C1061"/>
      <c r="D1061" s="56"/>
      <c r="E1061"/>
      <c r="F1061"/>
      <c r="G1061"/>
      <c r="H1061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/>
      <c r="AU1061" s="56"/>
      <c r="AV1061" s="56"/>
      <c r="AW1061" s="56"/>
      <c r="AX1061" s="56"/>
      <c r="AY1061" s="56"/>
    </row>
    <row r="1062" spans="1:51" x14ac:dyDescent="0.25">
      <c r="A1062" s="16"/>
      <c r="C1062"/>
      <c r="D1062" s="56"/>
      <c r="E1062"/>
      <c r="F1062"/>
      <c r="G1062"/>
      <c r="H1062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/>
      <c r="AU1062" s="56"/>
      <c r="AV1062" s="56"/>
      <c r="AW1062" s="56"/>
      <c r="AX1062" s="56"/>
      <c r="AY1062" s="56"/>
    </row>
    <row r="1063" spans="1:51" x14ac:dyDescent="0.25">
      <c r="A1063" s="16"/>
      <c r="C1063"/>
      <c r="D1063" s="56"/>
      <c r="E1063"/>
      <c r="F1063"/>
      <c r="G1063"/>
      <c r="H1063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/>
      <c r="AU1063" s="56"/>
      <c r="AV1063" s="56"/>
      <c r="AW1063" s="56"/>
      <c r="AX1063" s="56"/>
      <c r="AY1063" s="56"/>
    </row>
    <row r="1064" spans="1:51" x14ac:dyDescent="0.25">
      <c r="A1064" s="16"/>
      <c r="C1064"/>
      <c r="D1064" s="56"/>
      <c r="E1064"/>
      <c r="F1064"/>
      <c r="G1064"/>
      <c r="H1064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/>
      <c r="AU1064" s="56"/>
      <c r="AV1064" s="56"/>
      <c r="AW1064" s="56"/>
      <c r="AX1064" s="56"/>
      <c r="AY1064" s="56"/>
    </row>
    <row r="1065" spans="1:51" x14ac:dyDescent="0.25">
      <c r="A1065" s="16"/>
      <c r="C1065"/>
      <c r="D1065" s="56"/>
      <c r="E1065"/>
      <c r="F1065"/>
      <c r="G1065"/>
      <c r="H1065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/>
      <c r="AU1065" s="56"/>
      <c r="AV1065" s="56"/>
      <c r="AW1065" s="56"/>
      <c r="AX1065" s="56"/>
      <c r="AY1065" s="56"/>
    </row>
    <row r="1066" spans="1:51" x14ac:dyDescent="0.25">
      <c r="A1066" s="16"/>
      <c r="C1066"/>
      <c r="D1066" s="56"/>
      <c r="E1066"/>
      <c r="F1066"/>
      <c r="G1066"/>
      <c r="H106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/>
      <c r="AU1066" s="56"/>
      <c r="AV1066" s="56"/>
      <c r="AW1066" s="56"/>
      <c r="AX1066" s="56"/>
      <c r="AY1066" s="56"/>
    </row>
    <row r="1067" spans="1:51" x14ac:dyDescent="0.25">
      <c r="A1067" s="16"/>
      <c r="C1067"/>
      <c r="D1067" s="56"/>
      <c r="E1067"/>
      <c r="F1067"/>
      <c r="G1067"/>
      <c r="H1067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/>
      <c r="AU1067" s="56"/>
      <c r="AV1067" s="56"/>
      <c r="AW1067" s="56"/>
      <c r="AX1067" s="56"/>
      <c r="AY1067" s="56"/>
    </row>
    <row r="1068" spans="1:51" x14ac:dyDescent="0.25">
      <c r="A1068" s="16"/>
      <c r="C1068"/>
      <c r="D1068" s="56"/>
      <c r="E1068"/>
      <c r="F1068"/>
      <c r="G1068"/>
      <c r="H1068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/>
      <c r="AU1068" s="56"/>
      <c r="AV1068" s="56"/>
      <c r="AW1068" s="56"/>
      <c r="AX1068" s="56"/>
      <c r="AY1068" s="56"/>
    </row>
    <row r="1069" spans="1:51" x14ac:dyDescent="0.25">
      <c r="A1069" s="16"/>
      <c r="C1069"/>
      <c r="D1069" s="56"/>
      <c r="E1069"/>
      <c r="F1069"/>
      <c r="G1069"/>
      <c r="H1069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/>
      <c r="AU1069" s="56"/>
      <c r="AV1069" s="56"/>
      <c r="AW1069" s="56"/>
      <c r="AX1069" s="56"/>
      <c r="AY1069" s="56"/>
    </row>
    <row r="1070" spans="1:51" x14ac:dyDescent="0.25">
      <c r="A1070" s="16"/>
      <c r="C1070"/>
      <c r="D1070" s="56"/>
      <c r="E1070"/>
      <c r="F1070"/>
      <c r="G1070"/>
      <c r="H1070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/>
      <c r="AU1070" s="56"/>
      <c r="AV1070" s="56"/>
      <c r="AW1070" s="56"/>
      <c r="AX1070" s="56"/>
      <c r="AY1070" s="56"/>
    </row>
    <row r="1071" spans="1:51" x14ac:dyDescent="0.25">
      <c r="A1071" s="16"/>
      <c r="C1071"/>
      <c r="D1071" s="56"/>
      <c r="E1071"/>
      <c r="F1071"/>
      <c r="G1071"/>
      <c r="H1071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/>
      <c r="AU1071" s="56"/>
      <c r="AV1071" s="56"/>
      <c r="AW1071" s="56"/>
      <c r="AX1071" s="56"/>
      <c r="AY1071" s="56"/>
    </row>
    <row r="1072" spans="1:51" x14ac:dyDescent="0.25">
      <c r="A1072" s="16"/>
      <c r="C1072"/>
      <c r="D1072" s="56"/>
      <c r="E1072"/>
      <c r="F1072"/>
      <c r="G1072"/>
      <c r="H1072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/>
      <c r="AU1072" s="56"/>
      <c r="AV1072" s="56"/>
      <c r="AW1072" s="56"/>
      <c r="AX1072" s="56"/>
      <c r="AY1072" s="56"/>
    </row>
    <row r="1073" spans="1:51" x14ac:dyDescent="0.25">
      <c r="A1073" s="16"/>
      <c r="C1073"/>
      <c r="D1073" s="56"/>
      <c r="E1073"/>
      <c r="F1073"/>
      <c r="G1073"/>
      <c r="H1073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/>
      <c r="AU1073" s="56"/>
      <c r="AV1073" s="56"/>
      <c r="AW1073" s="56"/>
      <c r="AX1073" s="56"/>
      <c r="AY1073" s="56"/>
    </row>
    <row r="1074" spans="1:51" x14ac:dyDescent="0.25">
      <c r="A1074" s="16"/>
      <c r="C1074"/>
      <c r="D1074" s="56"/>
      <c r="E1074"/>
      <c r="F1074"/>
      <c r="G1074"/>
      <c r="H1074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/>
      <c r="AU1074" s="56"/>
      <c r="AV1074" s="56"/>
      <c r="AW1074" s="56"/>
      <c r="AX1074" s="56"/>
      <c r="AY1074" s="56"/>
    </row>
    <row r="1075" spans="1:51" x14ac:dyDescent="0.25">
      <c r="A1075" s="16"/>
      <c r="C1075"/>
      <c r="D1075" s="56"/>
      <c r="E1075"/>
      <c r="F1075"/>
      <c r="G1075"/>
      <c r="H1075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/>
      <c r="AU1075" s="56"/>
      <c r="AV1075" s="56"/>
      <c r="AW1075" s="56"/>
      <c r="AX1075" s="56"/>
      <c r="AY1075" s="56"/>
    </row>
    <row r="1076" spans="1:51" x14ac:dyDescent="0.25">
      <c r="A1076" s="16"/>
      <c r="C1076"/>
      <c r="D1076" s="56"/>
      <c r="E1076"/>
      <c r="F1076"/>
      <c r="G1076"/>
      <c r="H107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/>
      <c r="AU1076" s="56"/>
      <c r="AV1076" s="56"/>
      <c r="AW1076" s="56"/>
      <c r="AX1076" s="56"/>
      <c r="AY1076" s="56"/>
    </row>
    <row r="1077" spans="1:51" x14ac:dyDescent="0.25">
      <c r="A1077" s="16"/>
      <c r="C1077"/>
      <c r="D1077" s="56"/>
      <c r="E1077"/>
      <c r="F1077"/>
      <c r="G1077"/>
      <c r="H1077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/>
      <c r="AU1077" s="56"/>
      <c r="AV1077" s="56"/>
      <c r="AW1077" s="56"/>
      <c r="AX1077" s="56"/>
      <c r="AY1077" s="56"/>
    </row>
    <row r="1078" spans="1:51" x14ac:dyDescent="0.25">
      <c r="A1078" s="16"/>
      <c r="C1078"/>
      <c r="D1078" s="56"/>
      <c r="E1078"/>
      <c r="F1078"/>
      <c r="G1078"/>
      <c r="H1078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/>
      <c r="AU1078" s="56"/>
      <c r="AV1078" s="56"/>
      <c r="AW1078" s="56"/>
      <c r="AX1078" s="56"/>
      <c r="AY1078" s="56"/>
    </row>
    <row r="1079" spans="1:51" x14ac:dyDescent="0.25">
      <c r="A1079" s="16"/>
      <c r="C1079"/>
      <c r="D1079" s="56"/>
      <c r="E1079"/>
      <c r="F1079"/>
      <c r="G1079"/>
      <c r="H1079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/>
      <c r="AU1079" s="56"/>
      <c r="AV1079" s="56"/>
      <c r="AW1079" s="56"/>
      <c r="AX1079" s="56"/>
      <c r="AY1079" s="56"/>
    </row>
    <row r="1080" spans="1:51" x14ac:dyDescent="0.25">
      <c r="A1080" s="16"/>
      <c r="C1080"/>
      <c r="D1080" s="56"/>
      <c r="E1080"/>
      <c r="F1080"/>
      <c r="G1080"/>
      <c r="H1080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/>
      <c r="AU1080" s="56"/>
      <c r="AV1080" s="56"/>
      <c r="AW1080" s="56"/>
      <c r="AX1080" s="56"/>
      <c r="AY1080" s="56"/>
    </row>
    <row r="1081" spans="1:51" x14ac:dyDescent="0.25">
      <c r="A1081" s="16"/>
      <c r="C1081"/>
      <c r="D1081" s="56"/>
      <c r="E1081"/>
      <c r="F1081"/>
      <c r="G1081"/>
      <c r="H1081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/>
      <c r="AU1081" s="56"/>
      <c r="AV1081" s="56"/>
      <c r="AW1081" s="56"/>
      <c r="AX1081" s="56"/>
      <c r="AY1081" s="56"/>
    </row>
    <row r="1082" spans="1:51" x14ac:dyDescent="0.25">
      <c r="A1082" s="16"/>
      <c r="C1082"/>
      <c r="D1082" s="56"/>
      <c r="E1082"/>
      <c r="F1082"/>
      <c r="G1082"/>
      <c r="H1082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/>
      <c r="AU1082" s="56"/>
      <c r="AV1082" s="56"/>
      <c r="AW1082" s="56"/>
      <c r="AX1082" s="56"/>
      <c r="AY1082" s="56"/>
    </row>
    <row r="1083" spans="1:51" x14ac:dyDescent="0.25">
      <c r="A1083" s="16"/>
      <c r="C1083"/>
      <c r="D1083" s="56"/>
      <c r="E1083"/>
      <c r="F1083"/>
      <c r="G1083"/>
      <c r="H1083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/>
      <c r="AU1083" s="56"/>
      <c r="AV1083" s="56"/>
      <c r="AW1083" s="56"/>
      <c r="AX1083" s="56"/>
      <c r="AY1083" s="56"/>
    </row>
    <row r="1084" spans="1:51" x14ac:dyDescent="0.25">
      <c r="A1084" s="16"/>
      <c r="C1084"/>
      <c r="D1084" s="56"/>
      <c r="E1084"/>
      <c r="F1084"/>
      <c r="G1084"/>
      <c r="H1084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/>
      <c r="AU1084" s="56"/>
      <c r="AV1084" s="56"/>
      <c r="AW1084" s="56"/>
      <c r="AX1084" s="56"/>
      <c r="AY1084" s="56"/>
    </row>
    <row r="1085" spans="1:51" x14ac:dyDescent="0.25">
      <c r="A1085" s="16"/>
      <c r="C1085"/>
      <c r="D1085" s="56"/>
      <c r="E1085"/>
      <c r="F1085"/>
      <c r="G1085"/>
      <c r="H1085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/>
      <c r="AU1085" s="56"/>
      <c r="AV1085" s="56"/>
      <c r="AW1085" s="56"/>
      <c r="AX1085" s="56"/>
      <c r="AY1085" s="56"/>
    </row>
    <row r="1086" spans="1:51" x14ac:dyDescent="0.25">
      <c r="A1086" s="16"/>
      <c r="C1086"/>
      <c r="D1086" s="56"/>
      <c r="E1086"/>
      <c r="F1086"/>
      <c r="G1086"/>
      <c r="H108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/>
      <c r="AU1086" s="56"/>
      <c r="AV1086" s="56"/>
      <c r="AW1086" s="56"/>
      <c r="AX1086" s="56"/>
      <c r="AY1086" s="56"/>
    </row>
    <row r="1087" spans="1:51" x14ac:dyDescent="0.25">
      <c r="A1087" s="16"/>
      <c r="C1087"/>
      <c r="D1087" s="56"/>
      <c r="E1087"/>
      <c r="F1087"/>
      <c r="G1087"/>
      <c r="H1087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/>
      <c r="AU1087" s="56"/>
      <c r="AV1087" s="56"/>
      <c r="AW1087" s="56"/>
      <c r="AX1087" s="56"/>
      <c r="AY1087" s="56"/>
    </row>
    <row r="1088" spans="1:51" x14ac:dyDescent="0.25">
      <c r="A1088" s="16"/>
      <c r="C1088"/>
      <c r="D1088" s="56"/>
      <c r="E1088"/>
      <c r="F1088"/>
      <c r="G1088"/>
      <c r="H1088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/>
      <c r="AU1088" s="56"/>
      <c r="AV1088" s="56"/>
      <c r="AW1088" s="56"/>
      <c r="AX1088" s="56"/>
      <c r="AY1088" s="56"/>
    </row>
    <row r="1089" spans="1:51" x14ac:dyDescent="0.25">
      <c r="A1089" s="16"/>
      <c r="C1089"/>
      <c r="D1089" s="56"/>
      <c r="E1089"/>
      <c r="F1089"/>
      <c r="G1089"/>
      <c r="H1089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/>
      <c r="AU1089" s="56"/>
      <c r="AV1089" s="56"/>
      <c r="AW1089" s="56"/>
      <c r="AX1089" s="56"/>
      <c r="AY1089" s="56"/>
    </row>
    <row r="1090" spans="1:51" x14ac:dyDescent="0.25">
      <c r="A1090" s="16"/>
      <c r="C1090"/>
      <c r="D1090" s="56"/>
      <c r="E1090"/>
      <c r="F1090"/>
      <c r="G1090"/>
      <c r="H1090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/>
      <c r="AU1090" s="56"/>
      <c r="AV1090" s="56"/>
      <c r="AW1090" s="56"/>
      <c r="AX1090" s="56"/>
      <c r="AY1090" s="56"/>
    </row>
    <row r="1091" spans="1:51" x14ac:dyDescent="0.25">
      <c r="A1091" s="16"/>
      <c r="C1091"/>
      <c r="D1091" s="56"/>
      <c r="E1091"/>
      <c r="F1091"/>
      <c r="G1091"/>
      <c r="H1091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/>
      <c r="AU1091" s="56"/>
      <c r="AV1091" s="56"/>
      <c r="AW1091" s="56"/>
      <c r="AX1091" s="56"/>
      <c r="AY1091" s="56"/>
    </row>
    <row r="1092" spans="1:51" x14ac:dyDescent="0.25">
      <c r="A1092" s="16"/>
      <c r="C1092"/>
      <c r="D1092" s="56"/>
      <c r="E1092"/>
      <c r="F1092"/>
      <c r="G1092"/>
      <c r="H1092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/>
      <c r="AU1092" s="56"/>
      <c r="AV1092" s="56"/>
      <c r="AW1092" s="56"/>
      <c r="AX1092" s="56"/>
      <c r="AY1092" s="56"/>
    </row>
    <row r="1093" spans="1:51" x14ac:dyDescent="0.25">
      <c r="A1093" s="16"/>
      <c r="C1093"/>
      <c r="D1093" s="56"/>
      <c r="E1093"/>
      <c r="F1093"/>
      <c r="G1093"/>
      <c r="H1093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/>
      <c r="AU1093" s="56"/>
      <c r="AV1093" s="56"/>
      <c r="AW1093" s="56"/>
      <c r="AX1093" s="56"/>
      <c r="AY1093" s="56"/>
    </row>
    <row r="1094" spans="1:51" x14ac:dyDescent="0.25">
      <c r="A1094" s="16"/>
      <c r="C1094"/>
      <c r="D1094" s="56"/>
      <c r="E1094"/>
      <c r="F1094"/>
      <c r="G1094"/>
      <c r="H1094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/>
      <c r="AU1094" s="56"/>
      <c r="AV1094" s="56"/>
      <c r="AW1094" s="56"/>
      <c r="AX1094" s="56"/>
      <c r="AY1094" s="56"/>
    </row>
    <row r="1095" spans="1:51" x14ac:dyDescent="0.25">
      <c r="A1095" s="16"/>
      <c r="C1095"/>
      <c r="D1095" s="56"/>
      <c r="E1095"/>
      <c r="F1095"/>
      <c r="G1095"/>
      <c r="H1095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/>
      <c r="AU1095" s="56"/>
      <c r="AV1095" s="56"/>
      <c r="AW1095" s="56"/>
      <c r="AX1095" s="56"/>
      <c r="AY1095" s="56"/>
    </row>
    <row r="1096" spans="1:51" x14ac:dyDescent="0.25">
      <c r="A1096" s="16"/>
      <c r="C1096"/>
      <c r="D1096" s="56"/>
      <c r="E1096"/>
      <c r="F1096"/>
      <c r="G1096"/>
      <c r="H109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/>
      <c r="AU1096" s="56"/>
      <c r="AV1096" s="56"/>
      <c r="AW1096" s="56"/>
      <c r="AX1096" s="56"/>
      <c r="AY1096" s="56"/>
    </row>
    <row r="1097" spans="1:51" x14ac:dyDescent="0.25">
      <c r="A1097" s="16"/>
      <c r="C1097"/>
      <c r="D1097" s="56"/>
      <c r="E1097"/>
      <c r="F1097"/>
      <c r="G1097"/>
      <c r="H1097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/>
      <c r="AU1097" s="56"/>
      <c r="AV1097" s="56"/>
      <c r="AW1097" s="56"/>
      <c r="AX1097" s="56"/>
      <c r="AY1097" s="56"/>
    </row>
    <row r="1098" spans="1:51" x14ac:dyDescent="0.25">
      <c r="A1098" s="16"/>
      <c r="C1098"/>
      <c r="D1098" s="56"/>
      <c r="E1098"/>
      <c r="F1098"/>
      <c r="G1098"/>
      <c r="H1098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/>
      <c r="AU1098" s="56"/>
      <c r="AV1098" s="56"/>
      <c r="AW1098" s="56"/>
      <c r="AX1098" s="56"/>
      <c r="AY1098" s="56"/>
    </row>
    <row r="1099" spans="1:51" x14ac:dyDescent="0.25">
      <c r="A1099" s="16"/>
      <c r="C1099"/>
      <c r="D1099" s="56"/>
      <c r="E1099"/>
      <c r="F1099"/>
      <c r="G1099"/>
      <c r="H1099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/>
      <c r="AU1099" s="56"/>
      <c r="AV1099" s="56"/>
      <c r="AW1099" s="56"/>
      <c r="AX1099" s="56"/>
      <c r="AY1099" s="56"/>
    </row>
    <row r="1100" spans="1:51" x14ac:dyDescent="0.25">
      <c r="A1100" s="16"/>
      <c r="C1100"/>
      <c r="D1100" s="56"/>
      <c r="E1100"/>
      <c r="F1100"/>
      <c r="G1100"/>
      <c r="H1100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/>
      <c r="AU1100" s="56"/>
      <c r="AV1100" s="56"/>
      <c r="AW1100" s="56"/>
      <c r="AX1100" s="56"/>
      <c r="AY1100" s="56"/>
    </row>
    <row r="1101" spans="1:51" x14ac:dyDescent="0.25">
      <c r="A1101" s="16"/>
      <c r="C1101"/>
      <c r="D1101" s="56"/>
      <c r="E1101"/>
      <c r="F1101"/>
      <c r="G1101"/>
      <c r="H1101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/>
      <c r="AU1101" s="56"/>
      <c r="AV1101" s="56"/>
      <c r="AW1101" s="56"/>
      <c r="AX1101" s="56"/>
      <c r="AY1101" s="56"/>
    </row>
    <row r="1102" spans="1:51" x14ac:dyDescent="0.25">
      <c r="A1102" s="16"/>
      <c r="C1102"/>
      <c r="D1102" s="56"/>
      <c r="E1102"/>
      <c r="F1102"/>
      <c r="G1102"/>
      <c r="H1102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/>
      <c r="AU1102" s="56"/>
      <c r="AV1102" s="56"/>
      <c r="AW1102" s="56"/>
      <c r="AX1102" s="56"/>
      <c r="AY1102" s="56"/>
    </row>
    <row r="1103" spans="1:51" x14ac:dyDescent="0.25">
      <c r="A1103" s="16"/>
      <c r="C1103"/>
      <c r="D1103" s="56"/>
      <c r="E1103"/>
      <c r="F1103"/>
      <c r="G1103"/>
      <c r="H1103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/>
      <c r="AU1103" s="56"/>
      <c r="AV1103" s="56"/>
      <c r="AW1103" s="56"/>
      <c r="AX1103" s="56"/>
      <c r="AY1103" s="56"/>
    </row>
    <row r="1104" spans="1:51" x14ac:dyDescent="0.25">
      <c r="A1104" s="16"/>
      <c r="C1104"/>
      <c r="D1104" s="56"/>
      <c r="E1104"/>
      <c r="F1104"/>
      <c r="G1104"/>
      <c r="H1104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/>
      <c r="AU1104" s="56"/>
      <c r="AV1104" s="56"/>
      <c r="AW1104" s="56"/>
      <c r="AX1104" s="56"/>
      <c r="AY1104" s="56"/>
    </row>
    <row r="1105" spans="1:51" x14ac:dyDescent="0.25">
      <c r="A1105" s="16"/>
      <c r="C1105"/>
      <c r="D1105" s="56"/>
      <c r="E1105"/>
      <c r="F1105"/>
      <c r="G1105"/>
      <c r="H1105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/>
      <c r="AU1105" s="56"/>
      <c r="AV1105" s="56"/>
      <c r="AW1105" s="56"/>
      <c r="AX1105" s="56"/>
      <c r="AY1105" s="56"/>
    </row>
    <row r="1106" spans="1:51" x14ac:dyDescent="0.25">
      <c r="A1106" s="16"/>
      <c r="C1106"/>
      <c r="D1106" s="56"/>
      <c r="E1106"/>
      <c r="F1106"/>
      <c r="G1106"/>
      <c r="H110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/>
      <c r="AU1106" s="56"/>
      <c r="AV1106" s="56"/>
      <c r="AW1106" s="56"/>
      <c r="AX1106" s="56"/>
      <c r="AY1106" s="56"/>
    </row>
    <row r="1107" spans="1:51" x14ac:dyDescent="0.25">
      <c r="A1107" s="16"/>
      <c r="C1107"/>
      <c r="D1107" s="56"/>
      <c r="E1107"/>
      <c r="F1107"/>
      <c r="G1107"/>
      <c r="H1107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/>
      <c r="AU1107" s="56"/>
      <c r="AV1107" s="56"/>
      <c r="AW1107" s="56"/>
      <c r="AX1107" s="56"/>
      <c r="AY1107" s="56"/>
    </row>
    <row r="1108" spans="1:51" x14ac:dyDescent="0.25">
      <c r="A1108" s="16"/>
      <c r="C1108"/>
      <c r="D1108" s="56"/>
      <c r="E1108"/>
      <c r="F1108"/>
      <c r="G1108"/>
      <c r="H1108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/>
      <c r="AU1108" s="56"/>
      <c r="AV1108" s="56"/>
      <c r="AW1108" s="56"/>
      <c r="AX1108" s="56"/>
      <c r="AY1108" s="56"/>
    </row>
    <row r="1109" spans="1:51" x14ac:dyDescent="0.25">
      <c r="A1109" s="16"/>
      <c r="C1109"/>
      <c r="D1109" s="56"/>
      <c r="E1109"/>
      <c r="F1109"/>
      <c r="G1109"/>
      <c r="H1109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/>
      <c r="AU1109" s="56"/>
      <c r="AV1109" s="56"/>
      <c r="AW1109" s="56"/>
      <c r="AX1109" s="56"/>
      <c r="AY1109" s="56"/>
    </row>
    <row r="1110" spans="1:51" x14ac:dyDescent="0.25">
      <c r="A1110" s="16"/>
      <c r="C1110"/>
      <c r="D1110" s="56"/>
      <c r="E1110"/>
      <c r="F1110"/>
      <c r="G1110"/>
      <c r="H1110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/>
      <c r="AU1110" s="56"/>
      <c r="AV1110" s="56"/>
      <c r="AW1110" s="56"/>
      <c r="AX1110" s="56"/>
      <c r="AY1110" s="56"/>
    </row>
    <row r="1111" spans="1:51" x14ac:dyDescent="0.25">
      <c r="A1111" s="16"/>
      <c r="C1111"/>
      <c r="D1111" s="56"/>
      <c r="E1111"/>
      <c r="F1111"/>
      <c r="G1111"/>
      <c r="H1111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/>
      <c r="AU1111" s="56"/>
      <c r="AV1111" s="56"/>
      <c r="AW1111" s="56"/>
      <c r="AX1111" s="56"/>
      <c r="AY1111" s="56"/>
    </row>
    <row r="1112" spans="1:51" x14ac:dyDescent="0.25">
      <c r="A1112" s="16"/>
      <c r="C1112"/>
      <c r="D1112" s="56"/>
      <c r="E1112"/>
      <c r="F1112"/>
      <c r="G1112"/>
      <c r="H1112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/>
      <c r="AU1112" s="56"/>
      <c r="AV1112" s="56"/>
      <c r="AW1112" s="56"/>
      <c r="AX1112" s="56"/>
      <c r="AY1112" s="56"/>
    </row>
    <row r="1113" spans="1:51" x14ac:dyDescent="0.25">
      <c r="A1113" s="16"/>
      <c r="C1113"/>
      <c r="D1113" s="56"/>
      <c r="E1113"/>
      <c r="F1113"/>
      <c r="G1113"/>
      <c r="H1113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/>
      <c r="AU1113" s="56"/>
      <c r="AV1113" s="56"/>
      <c r="AW1113" s="56"/>
      <c r="AX1113" s="56"/>
      <c r="AY1113" s="56"/>
    </row>
    <row r="1114" spans="1:51" x14ac:dyDescent="0.25">
      <c r="A1114" s="16"/>
      <c r="C1114"/>
      <c r="D1114" s="56"/>
      <c r="E1114"/>
      <c r="F1114"/>
      <c r="G1114"/>
      <c r="H1114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/>
      <c r="AU1114" s="56"/>
      <c r="AV1114" s="56"/>
      <c r="AW1114" s="56"/>
      <c r="AX1114" s="56"/>
      <c r="AY1114" s="56"/>
    </row>
    <row r="1115" spans="1:51" x14ac:dyDescent="0.25">
      <c r="A1115" s="16"/>
      <c r="C1115"/>
      <c r="D1115" s="56"/>
      <c r="E1115"/>
      <c r="F1115"/>
      <c r="G1115"/>
      <c r="H1115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/>
      <c r="AU1115" s="56"/>
      <c r="AV1115" s="56"/>
      <c r="AW1115" s="56"/>
      <c r="AX1115" s="56"/>
      <c r="AY1115" s="56"/>
    </row>
    <row r="1116" spans="1:51" x14ac:dyDescent="0.25">
      <c r="A1116" s="16"/>
      <c r="C1116"/>
      <c r="D1116" s="56"/>
      <c r="E1116"/>
      <c r="F1116"/>
      <c r="G1116"/>
      <c r="H111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/>
      <c r="AU1116" s="56"/>
      <c r="AV1116" s="56"/>
      <c r="AW1116" s="56"/>
      <c r="AX1116" s="56"/>
      <c r="AY1116" s="56"/>
    </row>
    <row r="1117" spans="1:51" x14ac:dyDescent="0.25">
      <c r="A1117" s="16"/>
      <c r="C1117"/>
      <c r="D1117" s="56"/>
      <c r="E1117"/>
      <c r="F1117"/>
      <c r="G1117"/>
      <c r="H1117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/>
      <c r="AU1117" s="56"/>
      <c r="AV1117" s="56"/>
      <c r="AW1117" s="56"/>
      <c r="AX1117" s="56"/>
      <c r="AY1117" s="56"/>
    </row>
    <row r="1118" spans="1:51" x14ac:dyDescent="0.25">
      <c r="A1118" s="16"/>
      <c r="C1118"/>
      <c r="D1118" s="56"/>
      <c r="E1118"/>
      <c r="F1118"/>
      <c r="G1118"/>
      <c r="H1118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/>
      <c r="AU1118" s="56"/>
      <c r="AV1118" s="56"/>
      <c r="AW1118" s="56"/>
      <c r="AX1118" s="56"/>
      <c r="AY1118" s="56"/>
    </row>
    <row r="1119" spans="1:51" x14ac:dyDescent="0.25">
      <c r="A1119" s="16"/>
      <c r="C1119"/>
      <c r="D1119" s="56"/>
      <c r="E1119"/>
      <c r="F1119"/>
      <c r="G1119"/>
      <c r="H1119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/>
      <c r="AU1119" s="56"/>
      <c r="AV1119" s="56"/>
      <c r="AW1119" s="56"/>
      <c r="AX1119" s="56"/>
      <c r="AY1119" s="56"/>
    </row>
    <row r="1120" spans="1:51" x14ac:dyDescent="0.25">
      <c r="A1120" s="16"/>
      <c r="C1120"/>
      <c r="D1120" s="56"/>
      <c r="E1120"/>
      <c r="F1120"/>
      <c r="G1120"/>
      <c r="H1120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/>
      <c r="AU1120" s="56"/>
      <c r="AV1120" s="56"/>
      <c r="AW1120" s="56"/>
      <c r="AX1120" s="56"/>
      <c r="AY1120" s="56"/>
    </row>
    <row r="1121" spans="1:51" x14ac:dyDescent="0.25">
      <c r="A1121" s="16"/>
      <c r="C1121"/>
      <c r="D1121" s="56"/>
      <c r="E1121"/>
      <c r="F1121"/>
      <c r="G1121"/>
      <c r="H1121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/>
      <c r="AU1121" s="56"/>
      <c r="AV1121" s="56"/>
      <c r="AW1121" s="56"/>
      <c r="AX1121" s="56"/>
      <c r="AY1121" s="56"/>
    </row>
    <row r="1122" spans="1:51" x14ac:dyDescent="0.25">
      <c r="A1122" s="16"/>
      <c r="C1122"/>
      <c r="D1122" s="56"/>
      <c r="E1122"/>
      <c r="F1122"/>
      <c r="G1122"/>
      <c r="H1122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/>
      <c r="AU1122" s="56"/>
      <c r="AV1122" s="56"/>
      <c r="AW1122" s="56"/>
      <c r="AX1122" s="56"/>
      <c r="AY1122" s="56"/>
    </row>
    <row r="1123" spans="1:51" x14ac:dyDescent="0.25">
      <c r="A1123" s="16"/>
      <c r="C1123"/>
      <c r="D1123" s="56"/>
      <c r="E1123"/>
      <c r="F1123"/>
      <c r="G1123"/>
      <c r="H1123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/>
      <c r="AU1123" s="56"/>
      <c r="AV1123" s="56"/>
      <c r="AW1123" s="56"/>
      <c r="AX1123" s="56"/>
      <c r="AY1123" s="56"/>
    </row>
    <row r="1124" spans="1:51" x14ac:dyDescent="0.25">
      <c r="A1124" s="16"/>
      <c r="C1124"/>
      <c r="D1124" s="56"/>
      <c r="E1124"/>
      <c r="F1124"/>
      <c r="G1124"/>
      <c r="H1124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/>
      <c r="AU1124" s="56"/>
      <c r="AV1124" s="56"/>
      <c r="AW1124" s="56"/>
      <c r="AX1124" s="56"/>
      <c r="AY1124" s="56"/>
    </row>
    <row r="1125" spans="1:51" x14ac:dyDescent="0.25">
      <c r="A1125" s="16"/>
      <c r="C1125"/>
      <c r="D1125" s="56"/>
      <c r="E1125"/>
      <c r="F1125"/>
      <c r="G1125"/>
      <c r="H1125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/>
      <c r="AU1125" s="56"/>
      <c r="AV1125" s="56"/>
      <c r="AW1125" s="56"/>
      <c r="AX1125" s="56"/>
      <c r="AY1125" s="56"/>
    </row>
    <row r="1126" spans="1:51" x14ac:dyDescent="0.25">
      <c r="A1126" s="16"/>
      <c r="C1126"/>
      <c r="D1126" s="56"/>
      <c r="E1126"/>
      <c r="F1126"/>
      <c r="G1126"/>
      <c r="H112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/>
      <c r="AU1126" s="56"/>
      <c r="AV1126" s="56"/>
      <c r="AW1126" s="56"/>
      <c r="AX1126" s="56"/>
      <c r="AY1126" s="56"/>
    </row>
    <row r="1127" spans="1:51" x14ac:dyDescent="0.25">
      <c r="A1127" s="16"/>
      <c r="C1127"/>
      <c r="D1127" s="56"/>
      <c r="E1127"/>
      <c r="F1127"/>
      <c r="G1127"/>
      <c r="H1127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/>
      <c r="AU1127" s="56"/>
      <c r="AV1127" s="56"/>
      <c r="AW1127" s="56"/>
      <c r="AX1127" s="56"/>
      <c r="AY1127" s="56"/>
    </row>
    <row r="1128" spans="1:51" x14ac:dyDescent="0.25">
      <c r="A1128" s="16"/>
      <c r="C1128"/>
      <c r="D1128" s="56"/>
      <c r="E1128"/>
      <c r="F1128"/>
      <c r="G1128"/>
      <c r="H1128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/>
      <c r="AU1128" s="56"/>
      <c r="AV1128" s="56"/>
      <c r="AW1128" s="56"/>
      <c r="AX1128" s="56"/>
      <c r="AY1128" s="56"/>
    </row>
    <row r="1129" spans="1:51" x14ac:dyDescent="0.25">
      <c r="A1129" s="16"/>
      <c r="C1129"/>
      <c r="D1129" s="56"/>
      <c r="E1129"/>
      <c r="F1129"/>
      <c r="G1129"/>
      <c r="H1129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/>
      <c r="AU1129" s="56"/>
      <c r="AV1129" s="56"/>
      <c r="AW1129" s="56"/>
      <c r="AX1129" s="56"/>
      <c r="AY1129" s="56"/>
    </row>
    <row r="1130" spans="1:51" x14ac:dyDescent="0.25">
      <c r="A1130" s="16"/>
      <c r="C1130"/>
      <c r="D1130" s="56"/>
      <c r="E1130"/>
      <c r="F1130"/>
      <c r="G1130"/>
      <c r="H1130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/>
      <c r="AU1130" s="56"/>
      <c r="AV1130" s="56"/>
      <c r="AW1130" s="56"/>
      <c r="AX1130" s="56"/>
      <c r="AY1130" s="56"/>
    </row>
    <row r="1131" spans="1:51" x14ac:dyDescent="0.25">
      <c r="A1131" s="16"/>
      <c r="C1131"/>
      <c r="D1131" s="56"/>
      <c r="E1131"/>
      <c r="F1131"/>
      <c r="G1131"/>
      <c r="H1131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/>
      <c r="AU1131" s="56"/>
      <c r="AV1131" s="56"/>
      <c r="AW1131" s="56"/>
      <c r="AX1131" s="56"/>
      <c r="AY1131" s="56"/>
    </row>
    <row r="1132" spans="1:51" x14ac:dyDescent="0.25">
      <c r="A1132" s="16"/>
      <c r="C1132"/>
      <c r="D1132" s="56"/>
      <c r="E1132"/>
      <c r="F1132"/>
      <c r="G1132"/>
      <c r="H1132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/>
      <c r="AU1132" s="56"/>
      <c r="AV1132" s="56"/>
      <c r="AW1132" s="56"/>
      <c r="AX1132" s="56"/>
      <c r="AY1132" s="56"/>
    </row>
    <row r="1133" spans="1:51" x14ac:dyDescent="0.25">
      <c r="A1133" s="16"/>
      <c r="C1133"/>
      <c r="D1133" s="56"/>
      <c r="E1133"/>
      <c r="F1133"/>
      <c r="G1133"/>
      <c r="H1133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/>
      <c r="AU1133" s="56"/>
      <c r="AV1133" s="56"/>
      <c r="AW1133" s="56"/>
      <c r="AX1133" s="56"/>
      <c r="AY1133" s="56"/>
    </row>
    <row r="1134" spans="1:51" x14ac:dyDescent="0.25">
      <c r="A1134" s="16"/>
      <c r="C1134"/>
      <c r="D1134" s="56"/>
      <c r="E1134"/>
      <c r="F1134"/>
      <c r="G1134"/>
      <c r="H1134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/>
      <c r="AU1134" s="56"/>
      <c r="AV1134" s="56"/>
      <c r="AW1134" s="56"/>
      <c r="AX1134" s="56"/>
      <c r="AY1134" s="56"/>
    </row>
    <row r="1135" spans="1:51" x14ac:dyDescent="0.25">
      <c r="A1135" s="16"/>
      <c r="C1135"/>
      <c r="D1135" s="56"/>
      <c r="E1135"/>
      <c r="F1135"/>
      <c r="G1135"/>
      <c r="H1135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/>
      <c r="AU1135" s="56"/>
      <c r="AV1135" s="56"/>
      <c r="AW1135" s="56"/>
      <c r="AX1135" s="56"/>
      <c r="AY1135" s="56"/>
    </row>
    <row r="1136" spans="1:51" x14ac:dyDescent="0.25">
      <c r="A1136" s="16"/>
      <c r="C1136"/>
      <c r="D1136" s="56"/>
      <c r="E1136"/>
      <c r="F1136"/>
      <c r="G1136"/>
      <c r="H113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/>
      <c r="AU1136" s="56"/>
      <c r="AV1136" s="56"/>
      <c r="AW1136" s="56"/>
      <c r="AX1136" s="56"/>
      <c r="AY1136" s="56"/>
    </row>
    <row r="1137" spans="1:51" x14ac:dyDescent="0.25">
      <c r="A1137" s="16"/>
      <c r="C1137"/>
      <c r="D1137" s="56"/>
      <c r="E1137"/>
      <c r="F1137"/>
      <c r="G1137"/>
      <c r="H1137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/>
      <c r="AU1137" s="56"/>
      <c r="AV1137" s="56"/>
      <c r="AW1137" s="56"/>
      <c r="AX1137" s="56"/>
      <c r="AY1137" s="56"/>
    </row>
    <row r="1138" spans="1:51" x14ac:dyDescent="0.25">
      <c r="A1138" s="16"/>
      <c r="C1138"/>
      <c r="D1138" s="56"/>
      <c r="E1138"/>
      <c r="F1138"/>
      <c r="G1138"/>
      <c r="H1138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/>
      <c r="AU1138" s="56"/>
      <c r="AV1138" s="56"/>
      <c r="AW1138" s="56"/>
      <c r="AX1138" s="56"/>
      <c r="AY1138" s="56"/>
    </row>
    <row r="1139" spans="1:51" x14ac:dyDescent="0.25">
      <c r="A1139" s="16"/>
      <c r="C1139"/>
      <c r="D1139" s="56"/>
      <c r="E1139"/>
      <c r="F1139"/>
      <c r="G1139"/>
      <c r="H1139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/>
      <c r="AU1139" s="56"/>
      <c r="AV1139" s="56"/>
      <c r="AW1139" s="56"/>
      <c r="AX1139" s="56"/>
      <c r="AY1139" s="56"/>
    </row>
    <row r="1140" spans="1:51" x14ac:dyDescent="0.25">
      <c r="A1140" s="16"/>
      <c r="C1140"/>
      <c r="D1140" s="56"/>
      <c r="E1140"/>
      <c r="F1140"/>
      <c r="G1140"/>
      <c r="H1140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/>
      <c r="AU1140" s="56"/>
      <c r="AV1140" s="56"/>
      <c r="AW1140" s="56"/>
      <c r="AX1140" s="56"/>
      <c r="AY1140" s="56"/>
    </row>
    <row r="1141" spans="1:51" x14ac:dyDescent="0.25">
      <c r="A1141" s="16"/>
      <c r="C1141"/>
      <c r="D1141" s="56"/>
      <c r="E1141"/>
      <c r="F1141"/>
      <c r="G1141"/>
      <c r="H1141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/>
      <c r="AU1141" s="56"/>
      <c r="AV1141" s="56"/>
      <c r="AW1141" s="56"/>
      <c r="AX1141" s="56"/>
      <c r="AY1141" s="56"/>
    </row>
    <row r="1142" spans="1:51" x14ac:dyDescent="0.25">
      <c r="A1142" s="16"/>
      <c r="C1142"/>
      <c r="D1142" s="56"/>
      <c r="E1142"/>
      <c r="F1142"/>
      <c r="G1142"/>
      <c r="H1142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/>
      <c r="AU1142" s="56"/>
      <c r="AV1142" s="56"/>
      <c r="AW1142" s="56"/>
      <c r="AX1142" s="56"/>
      <c r="AY1142" s="56"/>
    </row>
    <row r="1143" spans="1:51" x14ac:dyDescent="0.25">
      <c r="A1143" s="16"/>
      <c r="C1143"/>
      <c r="D1143" s="56"/>
      <c r="E1143"/>
      <c r="F1143"/>
      <c r="G1143"/>
      <c r="H1143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/>
      <c r="AU1143" s="56"/>
      <c r="AV1143" s="56"/>
      <c r="AW1143" s="56"/>
      <c r="AX1143" s="56"/>
      <c r="AY1143" s="56"/>
    </row>
    <row r="1144" spans="1:51" x14ac:dyDescent="0.25">
      <c r="A1144" s="16"/>
      <c r="C1144"/>
      <c r="D1144" s="56"/>
      <c r="E1144"/>
      <c r="F1144"/>
      <c r="G1144"/>
      <c r="H1144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/>
      <c r="AU1144" s="56"/>
      <c r="AV1144" s="56"/>
      <c r="AW1144" s="56"/>
      <c r="AX1144" s="56"/>
      <c r="AY1144" s="56"/>
    </row>
    <row r="1145" spans="1:51" x14ac:dyDescent="0.25">
      <c r="A1145" s="16"/>
      <c r="C1145"/>
      <c r="D1145" s="56"/>
      <c r="E1145"/>
      <c r="F1145"/>
      <c r="G1145"/>
      <c r="H1145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/>
      <c r="AU1145" s="56"/>
      <c r="AV1145" s="56"/>
      <c r="AW1145" s="56"/>
      <c r="AX1145" s="56"/>
      <c r="AY1145" s="56"/>
    </row>
    <row r="1146" spans="1:51" x14ac:dyDescent="0.25">
      <c r="A1146" s="16"/>
      <c r="C1146"/>
      <c r="D1146" s="56"/>
      <c r="E1146"/>
      <c r="F1146"/>
      <c r="G1146"/>
      <c r="H114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/>
      <c r="AU1146" s="56"/>
      <c r="AV1146" s="56"/>
      <c r="AW1146" s="56"/>
      <c r="AX1146" s="56"/>
      <c r="AY1146" s="56"/>
    </row>
    <row r="1147" spans="1:51" x14ac:dyDescent="0.25">
      <c r="A1147" s="16"/>
      <c r="C1147"/>
      <c r="D1147" s="56"/>
      <c r="E1147"/>
      <c r="F1147"/>
      <c r="G1147"/>
      <c r="H1147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/>
      <c r="AU1147" s="56"/>
      <c r="AV1147" s="56"/>
      <c r="AW1147" s="56"/>
      <c r="AX1147" s="56"/>
      <c r="AY1147" s="56"/>
    </row>
    <row r="1148" spans="1:51" x14ac:dyDescent="0.25">
      <c r="A1148" s="16"/>
      <c r="C1148"/>
      <c r="D1148" s="56"/>
      <c r="E1148"/>
      <c r="F1148"/>
      <c r="G1148"/>
      <c r="H1148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/>
      <c r="AU1148" s="56"/>
      <c r="AV1148" s="56"/>
      <c r="AW1148" s="56"/>
      <c r="AX1148" s="56"/>
      <c r="AY1148" s="56"/>
    </row>
    <row r="1149" spans="1:51" x14ac:dyDescent="0.25">
      <c r="A1149" s="16"/>
      <c r="C1149"/>
      <c r="D1149" s="56"/>
      <c r="E1149"/>
      <c r="F1149"/>
      <c r="G1149"/>
      <c r="H1149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/>
      <c r="AU1149" s="56"/>
      <c r="AV1149" s="56"/>
      <c r="AW1149" s="56"/>
      <c r="AX1149" s="56"/>
      <c r="AY1149" s="56"/>
    </row>
    <row r="1150" spans="1:51" x14ac:dyDescent="0.25">
      <c r="C1150"/>
      <c r="D1150" s="56"/>
      <c r="E1150"/>
      <c r="F1150"/>
      <c r="G1150"/>
      <c r="H1150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/>
      <c r="AU1150" s="56"/>
      <c r="AV1150" s="56"/>
      <c r="AW1150" s="56"/>
      <c r="AX1150" s="56"/>
      <c r="AY1150" s="56"/>
    </row>
    <row r="1151" spans="1:51" x14ac:dyDescent="0.25">
      <c r="C1151"/>
      <c r="D1151" s="56"/>
      <c r="E1151"/>
      <c r="F1151"/>
      <c r="G1151"/>
      <c r="H1151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/>
      <c r="AU1151" s="56"/>
      <c r="AV1151" s="56"/>
      <c r="AW1151" s="56"/>
      <c r="AX1151" s="56"/>
      <c r="AY1151" s="56"/>
    </row>
    <row r="1152" spans="1:51" x14ac:dyDescent="0.25">
      <c r="C1152"/>
      <c r="D1152" s="56"/>
      <c r="E1152"/>
      <c r="F1152"/>
      <c r="G1152"/>
      <c r="H1152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/>
      <c r="AU1152" s="56"/>
      <c r="AV1152" s="56"/>
      <c r="AW1152" s="56"/>
      <c r="AX1152" s="56"/>
      <c r="AY1152" s="56"/>
    </row>
    <row r="1153" spans="3:51" x14ac:dyDescent="0.25">
      <c r="C1153"/>
      <c r="D1153" s="56"/>
      <c r="E1153"/>
      <c r="F1153"/>
      <c r="G1153"/>
      <c r="H1153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/>
      <c r="AU1153" s="56"/>
      <c r="AV1153" s="56"/>
      <c r="AW1153" s="56"/>
      <c r="AX1153" s="56"/>
      <c r="AY1153" s="56"/>
    </row>
    <row r="1154" spans="3:51" x14ac:dyDescent="0.25">
      <c r="C1154"/>
      <c r="D1154" s="56"/>
      <c r="E1154"/>
      <c r="F1154"/>
      <c r="G1154"/>
      <c r="H1154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/>
      <c r="AU1154" s="56"/>
      <c r="AV1154" s="56"/>
      <c r="AW1154" s="56"/>
      <c r="AX1154" s="56"/>
      <c r="AY1154" s="56"/>
    </row>
  </sheetData>
  <mergeCells count="1">
    <mergeCell ref="A1:A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N1:AC37"/>
  <sheetViews>
    <sheetView showGridLines="0" showRowColHeaders="0" zoomScale="80" zoomScaleNormal="80" workbookViewId="0">
      <selection activeCell="O4" sqref="O4"/>
    </sheetView>
  </sheetViews>
  <sheetFormatPr defaultRowHeight="15" x14ac:dyDescent="0.25"/>
  <sheetData>
    <row r="1" spans="14:29" x14ac:dyDescent="0.25">
      <c r="N1" s="17" t="str">
        <f ca="1">"generated: "&amp;TEXT(NOW(),"mmmm d")</f>
        <v>generated: March 6</v>
      </c>
      <c r="O1" s="17" t="s">
        <v>28</v>
      </c>
      <c r="P1" s="17" t="s">
        <v>1517</v>
      </c>
      <c r="X1" s="21"/>
      <c r="Y1" s="22"/>
      <c r="Z1" s="17"/>
      <c r="AB1" s="72" t="s">
        <v>448</v>
      </c>
      <c r="AC1" s="72" t="s">
        <v>449</v>
      </c>
    </row>
    <row r="2" spans="14:29" x14ac:dyDescent="0.25">
      <c r="N2" s="17" t="str">
        <f>"Data Sources:  ICPI Fact View FY17Q4v2_1 [PSNU, PSNU by IM]"</f>
        <v>Data Sources:  ICPI Fact View FY17Q4v2_1 [PSNU, PSNU by IM]</v>
      </c>
      <c r="O2" s="17" t="str">
        <f>UPPER(O1)</f>
        <v>OU</v>
      </c>
      <c r="P2" s="17" t="s">
        <v>29</v>
      </c>
      <c r="X2" s="21"/>
      <c r="Y2" s="22"/>
      <c r="Z2" s="17"/>
      <c r="AB2" s="73" t="s">
        <v>450</v>
      </c>
      <c r="AC2" s="73" t="s">
        <v>451</v>
      </c>
    </row>
    <row r="3" spans="14:29" x14ac:dyDescent="0.25">
      <c r="O3" s="17" t="s">
        <v>1518</v>
      </c>
      <c r="X3" s="21"/>
      <c r="Y3" s="23"/>
      <c r="Z3" s="17"/>
      <c r="AB3" s="73" t="s">
        <v>452</v>
      </c>
      <c r="AC3" s="73" t="s">
        <v>453</v>
      </c>
    </row>
    <row r="4" spans="14:29" x14ac:dyDescent="0.25">
      <c r="O4" s="17" t="str">
        <f>IFERROR(INDEX(Home!$AC$2:$AC$36,MATCH(O1,Home!$AB$2:$AB$36,0)),"")</f>
        <v/>
      </c>
      <c r="X4" s="18"/>
      <c r="Y4" s="18"/>
      <c r="Z4" s="17"/>
      <c r="AB4" s="73" t="s">
        <v>34</v>
      </c>
      <c r="AC4" s="73" t="s">
        <v>454</v>
      </c>
    </row>
    <row r="5" spans="14:29" x14ac:dyDescent="0.25">
      <c r="X5" s="17"/>
      <c r="Y5" s="17"/>
      <c r="Z5" s="17"/>
      <c r="AB5" s="73" t="s">
        <v>455</v>
      </c>
      <c r="AC5" s="73" t="s">
        <v>456</v>
      </c>
    </row>
    <row r="6" spans="14:29" x14ac:dyDescent="0.25">
      <c r="X6" s="17"/>
      <c r="Y6" s="17"/>
      <c r="Z6" s="17"/>
      <c r="AB6" s="73" t="s">
        <v>35</v>
      </c>
      <c r="AC6" s="73" t="s">
        <v>457</v>
      </c>
    </row>
    <row r="7" spans="14:29" x14ac:dyDescent="0.25">
      <c r="X7" s="17"/>
      <c r="Y7" s="17"/>
      <c r="Z7" s="17"/>
      <c r="AB7" s="73" t="s">
        <v>458</v>
      </c>
      <c r="AC7" s="73" t="s">
        <v>459</v>
      </c>
    </row>
    <row r="8" spans="14:29" x14ac:dyDescent="0.25">
      <c r="X8" s="17"/>
      <c r="Y8" s="17"/>
      <c r="Z8" s="17"/>
      <c r="AB8" s="73" t="s">
        <v>37</v>
      </c>
      <c r="AC8" s="73" t="s">
        <v>460</v>
      </c>
    </row>
    <row r="9" spans="14:29" x14ac:dyDescent="0.25">
      <c r="X9" s="17"/>
      <c r="Y9" s="17"/>
      <c r="Z9" s="17"/>
      <c r="AB9" s="73" t="s">
        <v>461</v>
      </c>
      <c r="AC9" s="73" t="s">
        <v>462</v>
      </c>
    </row>
    <row r="10" spans="14:29" x14ac:dyDescent="0.25">
      <c r="AB10" s="73" t="s">
        <v>463</v>
      </c>
      <c r="AC10" s="73" t="s">
        <v>464</v>
      </c>
    </row>
    <row r="11" spans="14:29" x14ac:dyDescent="0.25">
      <c r="AB11" s="73" t="s">
        <v>465</v>
      </c>
      <c r="AC11" s="73" t="s">
        <v>466</v>
      </c>
    </row>
    <row r="12" spans="14:29" x14ac:dyDescent="0.25">
      <c r="AB12" s="73" t="s">
        <v>40</v>
      </c>
      <c r="AC12" s="73" t="s">
        <v>467</v>
      </c>
    </row>
    <row r="13" spans="14:29" x14ac:dyDescent="0.25">
      <c r="AB13" s="73" t="s">
        <v>41</v>
      </c>
      <c r="AC13" s="73" t="s">
        <v>468</v>
      </c>
    </row>
    <row r="14" spans="14:29" x14ac:dyDescent="0.25">
      <c r="AB14" s="73" t="s">
        <v>469</v>
      </c>
      <c r="AC14" s="73" t="s">
        <v>470</v>
      </c>
    </row>
    <row r="15" spans="14:29" x14ac:dyDescent="0.25">
      <c r="AB15" s="73" t="s">
        <v>43</v>
      </c>
      <c r="AC15" s="73" t="s">
        <v>471</v>
      </c>
    </row>
    <row r="16" spans="14:29" x14ac:dyDescent="0.25">
      <c r="AB16" s="73" t="s">
        <v>472</v>
      </c>
      <c r="AC16" s="73" t="s">
        <v>473</v>
      </c>
    </row>
    <row r="17" spans="28:29" x14ac:dyDescent="0.25">
      <c r="AB17" s="73" t="s">
        <v>45</v>
      </c>
      <c r="AC17" s="73" t="s">
        <v>474</v>
      </c>
    </row>
    <row r="18" spans="28:29" x14ac:dyDescent="0.25">
      <c r="AB18" s="73" t="s">
        <v>475</v>
      </c>
      <c r="AC18" s="73" t="s">
        <v>476</v>
      </c>
    </row>
    <row r="19" spans="28:29" x14ac:dyDescent="0.25">
      <c r="AB19" s="73" t="s">
        <v>477</v>
      </c>
      <c r="AC19" s="73" t="s">
        <v>478</v>
      </c>
    </row>
    <row r="20" spans="28:29" x14ac:dyDescent="0.25">
      <c r="AB20" s="73" t="s">
        <v>46</v>
      </c>
      <c r="AC20" s="73" t="s">
        <v>479</v>
      </c>
    </row>
    <row r="21" spans="28:29" x14ac:dyDescent="0.25">
      <c r="AB21" s="73" t="s">
        <v>47</v>
      </c>
      <c r="AC21" s="73" t="s">
        <v>480</v>
      </c>
    </row>
    <row r="22" spans="28:29" x14ac:dyDescent="0.25">
      <c r="AB22" s="73" t="s">
        <v>48</v>
      </c>
      <c r="AC22" s="73" t="s">
        <v>481</v>
      </c>
    </row>
    <row r="23" spans="28:29" x14ac:dyDescent="0.25">
      <c r="AB23" s="73" t="s">
        <v>49</v>
      </c>
      <c r="AC23" s="73" t="s">
        <v>482</v>
      </c>
    </row>
    <row r="24" spans="28:29" x14ac:dyDescent="0.25">
      <c r="AB24" s="73" t="s">
        <v>50</v>
      </c>
      <c r="AC24" s="73" t="s">
        <v>483</v>
      </c>
    </row>
    <row r="25" spans="28:29" x14ac:dyDescent="0.25">
      <c r="AB25" s="73" t="s">
        <v>51</v>
      </c>
      <c r="AC25" s="73" t="s">
        <v>484</v>
      </c>
    </row>
    <row r="26" spans="28:29" x14ac:dyDescent="0.25">
      <c r="AB26" s="73" t="s">
        <v>485</v>
      </c>
      <c r="AC26" s="73" t="s">
        <v>486</v>
      </c>
    </row>
    <row r="27" spans="28:29" x14ac:dyDescent="0.25">
      <c r="AB27" s="73" t="s">
        <v>52</v>
      </c>
      <c r="AC27" s="73" t="s">
        <v>487</v>
      </c>
    </row>
    <row r="28" spans="28:29" x14ac:dyDescent="0.25">
      <c r="AB28" s="73" t="s">
        <v>53</v>
      </c>
      <c r="AC28" s="73" t="s">
        <v>488</v>
      </c>
    </row>
    <row r="29" spans="28:29" x14ac:dyDescent="0.25">
      <c r="AB29" s="73" t="s">
        <v>54</v>
      </c>
      <c r="AC29" s="73" t="s">
        <v>489</v>
      </c>
    </row>
    <row r="30" spans="28:29" x14ac:dyDescent="0.25">
      <c r="AB30" s="73" t="s">
        <v>55</v>
      </c>
      <c r="AC30" s="73" t="s">
        <v>490</v>
      </c>
    </row>
    <row r="31" spans="28:29" x14ac:dyDescent="0.25">
      <c r="AB31" s="73" t="s">
        <v>56</v>
      </c>
      <c r="AC31" s="73" t="s">
        <v>491</v>
      </c>
    </row>
    <row r="32" spans="28:29" x14ac:dyDescent="0.25">
      <c r="AB32" s="73" t="s">
        <v>57</v>
      </c>
      <c r="AC32" s="73" t="s">
        <v>492</v>
      </c>
    </row>
    <row r="33" spans="28:29" x14ac:dyDescent="0.25">
      <c r="AB33" s="73" t="s">
        <v>58</v>
      </c>
      <c r="AC33" s="73" t="s">
        <v>493</v>
      </c>
    </row>
    <row r="34" spans="28:29" x14ac:dyDescent="0.25">
      <c r="AB34" s="73" t="s">
        <v>59</v>
      </c>
      <c r="AC34" s="73" t="s">
        <v>494</v>
      </c>
    </row>
    <row r="35" spans="28:29" x14ac:dyDescent="0.25">
      <c r="AB35" s="73" t="s">
        <v>60</v>
      </c>
      <c r="AC35" s="73" t="s">
        <v>495</v>
      </c>
    </row>
    <row r="36" spans="28:29" x14ac:dyDescent="0.25">
      <c r="AB36" s="73" t="s">
        <v>61</v>
      </c>
      <c r="AC36" s="73" t="s">
        <v>496</v>
      </c>
    </row>
    <row r="37" spans="28:29" x14ac:dyDescent="0.25">
      <c r="AB37" s="73"/>
      <c r="AC37" s="7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HX1154"/>
  <sheetViews>
    <sheetView showGridLines="0" workbookViewId="0">
      <pane xSplit="6" ySplit="4" topLeftCell="G5" activePane="bottomRight" state="frozen"/>
      <selection activeCell="AW7" sqref="J7:AW7"/>
      <selection pane="topRight" activeCell="AW7" sqref="J7:AW7"/>
      <selection pane="bottomLeft" activeCell="AW7" sqref="J7:AW7"/>
      <selection pane="bottomRight" activeCell="A7" sqref="A7"/>
    </sheetView>
  </sheetViews>
  <sheetFormatPr defaultRowHeight="15" x14ac:dyDescent="0.25"/>
  <cols>
    <col min="1" max="1" width="13.28515625" customWidth="1"/>
    <col min="2" max="2" width="13.42578125" style="18" bestFit="1" customWidth="1"/>
    <col min="3" max="4" width="22" style="1" customWidth="1"/>
    <col min="5" max="5" width="10.85546875" style="1" customWidth="1"/>
    <col min="6" max="6" width="7.140625" style="1" bestFit="1" customWidth="1"/>
    <col min="7" max="7" width="11.5703125" customWidth="1"/>
    <col min="8" max="8" width="11.5703125" style="56" customWidth="1"/>
    <col min="9" max="9" width="11.5703125" customWidth="1"/>
    <col min="10" max="10" width="11.5703125" style="56" customWidth="1"/>
    <col min="11" max="11" width="12.42578125" customWidth="1"/>
    <col min="12" max="12" width="12.42578125" style="56" customWidth="1"/>
    <col min="13" max="13" width="12.5703125" customWidth="1"/>
    <col min="14" max="14" width="12.5703125" style="56" customWidth="1"/>
    <col min="15" max="15" width="12.140625" customWidth="1"/>
    <col min="16" max="30" width="13" customWidth="1"/>
    <col min="31" max="35" width="11.5703125" customWidth="1"/>
    <col min="36" max="50" width="13" customWidth="1"/>
    <col min="122" max="122" width="9.140625" style="56"/>
    <col min="124" max="124" width="9.140625" style="56"/>
    <col min="126" max="126" width="9.140625" style="56"/>
    <col min="128" max="128" width="9.140625" style="56"/>
  </cols>
  <sheetData>
    <row r="1" spans="1:232" s="1" customFormat="1" ht="23.25" x14ac:dyDescent="0.35">
      <c r="A1" s="96" t="s">
        <v>389</v>
      </c>
      <c r="C1" s="2" t="s">
        <v>0</v>
      </c>
      <c r="G1" s="97" t="s">
        <v>70</v>
      </c>
      <c r="H1" s="98"/>
      <c r="I1" s="98"/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9"/>
      <c r="DP1" s="97" t="s">
        <v>71</v>
      </c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98"/>
      <c r="FB1" s="98"/>
      <c r="FC1" s="98"/>
      <c r="FD1" s="98"/>
      <c r="FE1" s="98"/>
      <c r="FF1" s="98"/>
      <c r="FG1" s="98"/>
      <c r="FH1" s="98"/>
      <c r="FI1" s="98"/>
      <c r="FJ1" s="98"/>
      <c r="FK1" s="98"/>
      <c r="FL1" s="98"/>
      <c r="FM1" s="98"/>
      <c r="FN1" s="98"/>
      <c r="FO1" s="98"/>
      <c r="FP1" s="98"/>
      <c r="FQ1" s="98"/>
      <c r="FR1" s="98"/>
      <c r="FS1" s="98"/>
      <c r="FT1" s="98"/>
      <c r="FU1" s="98"/>
      <c r="FV1" s="98"/>
      <c r="FW1" s="98"/>
      <c r="FX1" s="98"/>
      <c r="FY1" s="98"/>
      <c r="FZ1" s="98"/>
      <c r="GA1" s="98"/>
      <c r="GB1" s="98"/>
      <c r="GC1" s="98"/>
      <c r="GD1" s="98"/>
      <c r="GE1" s="98"/>
      <c r="GF1" s="98"/>
      <c r="GG1" s="98"/>
      <c r="GH1" s="98"/>
      <c r="GI1" s="98"/>
      <c r="GJ1" s="98"/>
      <c r="GK1" s="98"/>
      <c r="GL1" s="98"/>
      <c r="GM1" s="98"/>
      <c r="GN1" s="98"/>
      <c r="GO1" s="98"/>
      <c r="GP1" s="98"/>
      <c r="GQ1" s="98"/>
      <c r="GR1" s="98"/>
      <c r="GS1" s="98"/>
      <c r="GT1" s="98"/>
      <c r="GU1" s="98"/>
      <c r="GV1" s="98"/>
      <c r="GW1" s="98"/>
      <c r="GX1" s="98"/>
      <c r="GY1" s="98"/>
      <c r="GZ1" s="98"/>
      <c r="HA1" s="98"/>
      <c r="HB1" s="98"/>
      <c r="HC1" s="98"/>
      <c r="HD1" s="98"/>
      <c r="HE1" s="98"/>
      <c r="HF1" s="98"/>
      <c r="HG1" s="98"/>
      <c r="HH1" s="98"/>
      <c r="HI1" s="98"/>
      <c r="HJ1" s="98"/>
      <c r="HK1" s="98"/>
      <c r="HL1" s="98"/>
      <c r="HM1" s="98"/>
      <c r="HN1" s="98"/>
      <c r="HO1" s="98"/>
      <c r="HP1" s="98"/>
      <c r="HQ1" s="98"/>
      <c r="HR1" s="98"/>
      <c r="HS1" s="98"/>
      <c r="HT1" s="98"/>
      <c r="HU1" s="98"/>
      <c r="HV1" s="98"/>
      <c r="HW1" s="98"/>
      <c r="HX1" s="98"/>
    </row>
    <row r="2" spans="1:232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  <c r="CN2" s="2" t="s">
        <v>0</v>
      </c>
      <c r="CO2" s="2" t="s">
        <v>0</v>
      </c>
      <c r="CP2" s="2" t="s">
        <v>0</v>
      </c>
      <c r="CQ2" s="2" t="s">
        <v>0</v>
      </c>
      <c r="CR2" s="2" t="s">
        <v>0</v>
      </c>
      <c r="CS2" s="2" t="s">
        <v>0</v>
      </c>
      <c r="CT2" s="2" t="s">
        <v>0</v>
      </c>
      <c r="CU2" s="2" t="s">
        <v>0</v>
      </c>
      <c r="CV2" s="2" t="s">
        <v>0</v>
      </c>
      <c r="CW2" s="2" t="s">
        <v>0</v>
      </c>
      <c r="CX2" s="2" t="s">
        <v>0</v>
      </c>
      <c r="CY2" s="2" t="s">
        <v>0</v>
      </c>
      <c r="CZ2" s="2" t="s">
        <v>0</v>
      </c>
      <c r="DA2" s="2" t="s">
        <v>0</v>
      </c>
      <c r="DB2" s="2" t="s">
        <v>0</v>
      </c>
      <c r="DC2" s="2" t="s">
        <v>0</v>
      </c>
      <c r="DD2" s="2" t="s">
        <v>0</v>
      </c>
      <c r="DE2" s="2" t="s">
        <v>0</v>
      </c>
      <c r="DF2" s="2" t="s">
        <v>0</v>
      </c>
      <c r="DG2" s="2" t="s">
        <v>0</v>
      </c>
      <c r="DH2" s="2" t="s">
        <v>0</v>
      </c>
      <c r="DI2" s="2" t="s">
        <v>0</v>
      </c>
      <c r="DJ2" s="2" t="s">
        <v>0</v>
      </c>
      <c r="DK2" s="2" t="s">
        <v>0</v>
      </c>
      <c r="DL2" s="2" t="s">
        <v>0</v>
      </c>
      <c r="DM2" s="2" t="s">
        <v>0</v>
      </c>
      <c r="DN2" s="2" t="s">
        <v>0</v>
      </c>
      <c r="DO2" s="2" t="s">
        <v>0</v>
      </c>
      <c r="DP2" s="2" t="s">
        <v>0</v>
      </c>
      <c r="DQ2" s="2" t="s">
        <v>0</v>
      </c>
      <c r="DR2" s="2" t="s">
        <v>0</v>
      </c>
      <c r="DS2" s="2" t="s">
        <v>0</v>
      </c>
      <c r="DT2" s="2" t="s">
        <v>0</v>
      </c>
      <c r="DU2" s="2" t="s">
        <v>0</v>
      </c>
      <c r="DV2" s="2" t="s">
        <v>0</v>
      </c>
      <c r="DW2" s="2" t="s">
        <v>0</v>
      </c>
      <c r="DX2" s="2" t="s">
        <v>0</v>
      </c>
      <c r="DY2" s="2" t="s">
        <v>0</v>
      </c>
      <c r="DZ2" s="2" t="s">
        <v>0</v>
      </c>
      <c r="EA2" s="2" t="s">
        <v>0</v>
      </c>
      <c r="EB2" s="2" t="s">
        <v>0</v>
      </c>
      <c r="EC2" s="2" t="s">
        <v>0</v>
      </c>
      <c r="ED2" s="2" t="s">
        <v>0</v>
      </c>
      <c r="EE2" s="2" t="s">
        <v>0</v>
      </c>
      <c r="EF2" s="2" t="s">
        <v>0</v>
      </c>
      <c r="EG2" s="2" t="s">
        <v>0</v>
      </c>
      <c r="EH2" s="2" t="s">
        <v>0</v>
      </c>
      <c r="EI2" s="2" t="s">
        <v>0</v>
      </c>
      <c r="EJ2" s="2" t="s">
        <v>0</v>
      </c>
      <c r="EK2" s="2" t="s">
        <v>0</v>
      </c>
      <c r="EL2" s="2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  <c r="HK2" s="2" t="s">
        <v>0</v>
      </c>
      <c r="HL2" s="2" t="s">
        <v>0</v>
      </c>
      <c r="HM2" s="2" t="s">
        <v>0</v>
      </c>
      <c r="HN2" s="2" t="s">
        <v>0</v>
      </c>
      <c r="HO2" s="2" t="s">
        <v>0</v>
      </c>
      <c r="HP2" s="2" t="s">
        <v>0</v>
      </c>
      <c r="HQ2" s="2" t="s">
        <v>0</v>
      </c>
      <c r="HR2" s="2" t="s">
        <v>0</v>
      </c>
      <c r="HS2" s="2" t="s">
        <v>0</v>
      </c>
      <c r="HT2" s="2" t="s">
        <v>0</v>
      </c>
      <c r="HU2" s="2" t="s">
        <v>0</v>
      </c>
      <c r="HV2" s="2" t="s">
        <v>0</v>
      </c>
      <c r="HW2" s="2" t="s">
        <v>0</v>
      </c>
      <c r="HX2" s="2" t="s">
        <v>0</v>
      </c>
    </row>
    <row r="3" spans="1:232" s="4" customFormat="1" ht="105" customHeight="1" x14ac:dyDescent="0.25">
      <c r="A3" s="3"/>
      <c r="C3" s="2" t="s">
        <v>0</v>
      </c>
      <c r="D3" s="5"/>
      <c r="E3" s="5"/>
      <c r="F3" s="6"/>
      <c r="G3" s="58" t="s">
        <v>119</v>
      </c>
      <c r="H3" s="59" t="s">
        <v>122</v>
      </c>
      <c r="I3" s="59" t="s">
        <v>103</v>
      </c>
      <c r="J3" s="59" t="s">
        <v>123</v>
      </c>
      <c r="K3" s="59" t="s">
        <v>4</v>
      </c>
      <c r="L3" s="59" t="s">
        <v>116</v>
      </c>
      <c r="M3" s="59" t="s">
        <v>9</v>
      </c>
      <c r="N3" s="59" t="s">
        <v>117</v>
      </c>
      <c r="O3" s="59" t="s">
        <v>118</v>
      </c>
      <c r="P3" s="59" t="s">
        <v>115</v>
      </c>
      <c r="Q3" s="59" t="s">
        <v>19</v>
      </c>
      <c r="R3" s="59" t="s">
        <v>132</v>
      </c>
      <c r="S3" s="59" t="s">
        <v>133</v>
      </c>
      <c r="T3" s="59" t="s">
        <v>421</v>
      </c>
      <c r="U3" s="59" t="s">
        <v>76</v>
      </c>
      <c r="V3" s="59" t="s">
        <v>134</v>
      </c>
      <c r="W3" s="59" t="s">
        <v>135</v>
      </c>
      <c r="X3" s="59" t="s">
        <v>21</v>
      </c>
      <c r="Y3" s="59" t="s">
        <v>400</v>
      </c>
      <c r="Z3" s="59" t="s">
        <v>401</v>
      </c>
      <c r="AA3" s="59" t="s">
        <v>402</v>
      </c>
      <c r="AB3" s="59" t="s">
        <v>12</v>
      </c>
      <c r="AC3" s="59" t="s">
        <v>422</v>
      </c>
      <c r="AD3" s="59" t="s">
        <v>423</v>
      </c>
      <c r="AE3" s="59" t="s">
        <v>424</v>
      </c>
      <c r="AF3" s="59" t="s">
        <v>13</v>
      </c>
      <c r="AG3" s="59" t="s">
        <v>425</v>
      </c>
      <c r="AH3" s="59" t="s">
        <v>426</v>
      </c>
      <c r="AI3" s="59" t="s">
        <v>120</v>
      </c>
      <c r="AJ3" s="59" t="s">
        <v>136</v>
      </c>
      <c r="AK3" s="59" t="s">
        <v>79</v>
      </c>
      <c r="AL3" s="59" t="s">
        <v>427</v>
      </c>
      <c r="AM3" s="59" t="s">
        <v>403</v>
      </c>
      <c r="AN3" s="59" t="s">
        <v>404</v>
      </c>
      <c r="AO3" s="59" t="s">
        <v>428</v>
      </c>
      <c r="AP3" s="59" t="s">
        <v>137</v>
      </c>
      <c r="AQ3" s="59" t="s">
        <v>138</v>
      </c>
      <c r="AR3" s="59" t="s">
        <v>139</v>
      </c>
      <c r="AS3" s="59" t="s">
        <v>140</v>
      </c>
      <c r="AT3" s="59" t="s">
        <v>141</v>
      </c>
      <c r="AU3" s="59" t="s">
        <v>142</v>
      </c>
      <c r="AV3" s="59" t="s">
        <v>143</v>
      </c>
      <c r="AW3" s="59" t="s">
        <v>144</v>
      </c>
      <c r="AX3" s="59" t="s">
        <v>145</v>
      </c>
      <c r="AY3" s="59" t="s">
        <v>146</v>
      </c>
      <c r="AZ3" s="59" t="s">
        <v>147</v>
      </c>
      <c r="BA3" s="59" t="s">
        <v>148</v>
      </c>
      <c r="BB3" s="59" t="s">
        <v>149</v>
      </c>
      <c r="BC3" s="59" t="s">
        <v>150</v>
      </c>
      <c r="BD3" s="59" t="s">
        <v>151</v>
      </c>
      <c r="BE3" s="59" t="s">
        <v>152</v>
      </c>
      <c r="BF3" s="59" t="s">
        <v>153</v>
      </c>
      <c r="BG3" s="59" t="s">
        <v>154</v>
      </c>
      <c r="BH3" s="59" t="s">
        <v>155</v>
      </c>
      <c r="BI3" s="59" t="s">
        <v>156</v>
      </c>
      <c r="BJ3" s="59" t="s">
        <v>157</v>
      </c>
      <c r="BK3" s="59" t="s">
        <v>158</v>
      </c>
      <c r="BL3" s="59" t="s">
        <v>159</v>
      </c>
      <c r="BM3" s="59" t="s">
        <v>160</v>
      </c>
      <c r="BN3" s="59" t="s">
        <v>161</v>
      </c>
      <c r="BO3" s="59" t="s">
        <v>162</v>
      </c>
      <c r="BP3" s="59" t="s">
        <v>163</v>
      </c>
      <c r="BQ3" s="59" t="s">
        <v>164</v>
      </c>
      <c r="BR3" s="59" t="s">
        <v>165</v>
      </c>
      <c r="BS3" s="59" t="s">
        <v>166</v>
      </c>
      <c r="BT3" s="59" t="s">
        <v>167</v>
      </c>
      <c r="BU3" s="59" t="s">
        <v>168</v>
      </c>
      <c r="BV3" s="59" t="s">
        <v>169</v>
      </c>
      <c r="BW3" s="59" t="s">
        <v>170</v>
      </c>
      <c r="BX3" s="59" t="s">
        <v>171</v>
      </c>
      <c r="BY3" s="59" t="s">
        <v>172</v>
      </c>
      <c r="BZ3" s="59" t="s">
        <v>173</v>
      </c>
      <c r="CA3" s="59" t="s">
        <v>174</v>
      </c>
      <c r="CB3" s="59" t="s">
        <v>175</v>
      </c>
      <c r="CC3" s="59" t="s">
        <v>176</v>
      </c>
      <c r="CD3" s="59" t="s">
        <v>177</v>
      </c>
      <c r="CE3" s="59" t="s">
        <v>178</v>
      </c>
      <c r="CF3" s="59" t="s">
        <v>179</v>
      </c>
      <c r="CG3" s="59" t="s">
        <v>180</v>
      </c>
      <c r="CH3" s="59" t="s">
        <v>181</v>
      </c>
      <c r="CI3" s="59" t="s">
        <v>73</v>
      </c>
      <c r="CJ3" s="59" t="s">
        <v>14</v>
      </c>
      <c r="CK3" s="59" t="s">
        <v>121</v>
      </c>
      <c r="CL3" s="59" t="s">
        <v>17</v>
      </c>
      <c r="CM3" s="59" t="s">
        <v>182</v>
      </c>
      <c r="CN3" s="59" t="s">
        <v>183</v>
      </c>
      <c r="CO3" s="59" t="s">
        <v>109</v>
      </c>
      <c r="CP3" s="59" t="s">
        <v>75</v>
      </c>
      <c r="CQ3" s="59" t="s">
        <v>110</v>
      </c>
      <c r="CR3" s="59" t="s">
        <v>111</v>
      </c>
      <c r="CS3" s="59" t="s">
        <v>112</v>
      </c>
      <c r="CT3" s="59" t="s">
        <v>113</v>
      </c>
      <c r="CU3" s="59" t="s">
        <v>114</v>
      </c>
      <c r="CV3" s="59" t="s">
        <v>184</v>
      </c>
      <c r="CW3" s="59" t="s">
        <v>185</v>
      </c>
      <c r="CX3" s="59" t="s">
        <v>186</v>
      </c>
      <c r="CY3" s="59" t="s">
        <v>187</v>
      </c>
      <c r="CZ3" s="59" t="s">
        <v>188</v>
      </c>
      <c r="DA3" s="59" t="s">
        <v>189</v>
      </c>
      <c r="DB3" s="59" t="s">
        <v>190</v>
      </c>
      <c r="DC3" s="59" t="s">
        <v>191</v>
      </c>
      <c r="DD3" s="59" t="s">
        <v>192</v>
      </c>
      <c r="DE3" s="59" t="s">
        <v>193</v>
      </c>
      <c r="DF3" s="59" t="s">
        <v>194</v>
      </c>
      <c r="DG3" s="59" t="s">
        <v>195</v>
      </c>
      <c r="DH3" s="59" t="s">
        <v>196</v>
      </c>
      <c r="DI3" s="59" t="s">
        <v>197</v>
      </c>
      <c r="DJ3" s="59" t="s">
        <v>198</v>
      </c>
      <c r="DK3" s="59" t="s">
        <v>198</v>
      </c>
      <c r="DL3" s="59" t="s">
        <v>18</v>
      </c>
      <c r="DM3" s="59" t="s">
        <v>74</v>
      </c>
      <c r="DN3" s="59" t="s">
        <v>72</v>
      </c>
      <c r="DO3" s="59" t="s">
        <v>77</v>
      </c>
      <c r="DP3" s="58" t="s">
        <v>119</v>
      </c>
      <c r="DQ3" s="59" t="s">
        <v>122</v>
      </c>
      <c r="DR3" s="59" t="s">
        <v>103</v>
      </c>
      <c r="DS3" s="59" t="s">
        <v>123</v>
      </c>
      <c r="DT3" s="59" t="s">
        <v>4</v>
      </c>
      <c r="DU3" s="59" t="s">
        <v>116</v>
      </c>
      <c r="DV3" s="59" t="s">
        <v>9</v>
      </c>
      <c r="DW3" s="59" t="s">
        <v>117</v>
      </c>
      <c r="DX3" s="59" t="s">
        <v>118</v>
      </c>
      <c r="DY3" s="59" t="s">
        <v>115</v>
      </c>
      <c r="DZ3" s="59" t="s">
        <v>19</v>
      </c>
      <c r="EA3" s="59" t="s">
        <v>132</v>
      </c>
      <c r="EB3" s="59" t="s">
        <v>133</v>
      </c>
      <c r="EC3" s="59" t="s">
        <v>421</v>
      </c>
      <c r="ED3" s="59" t="s">
        <v>76</v>
      </c>
      <c r="EE3" s="59" t="s">
        <v>134</v>
      </c>
      <c r="EF3" s="59" t="s">
        <v>135</v>
      </c>
      <c r="EG3" s="59" t="s">
        <v>21</v>
      </c>
      <c r="EH3" s="59" t="s">
        <v>400</v>
      </c>
      <c r="EI3" s="59" t="s">
        <v>401</v>
      </c>
      <c r="EJ3" s="59" t="s">
        <v>402</v>
      </c>
      <c r="EK3" s="59" t="s">
        <v>12</v>
      </c>
      <c r="EL3" s="59" t="s">
        <v>422</v>
      </c>
      <c r="EM3" s="59" t="s">
        <v>423</v>
      </c>
      <c r="EN3" s="59" t="s">
        <v>424</v>
      </c>
      <c r="EO3" s="59" t="s">
        <v>13</v>
      </c>
      <c r="EP3" s="59" t="s">
        <v>425</v>
      </c>
      <c r="EQ3" s="59" t="s">
        <v>426</v>
      </c>
      <c r="ER3" s="59" t="s">
        <v>120</v>
      </c>
      <c r="ES3" s="59" t="s">
        <v>136</v>
      </c>
      <c r="ET3" s="59" t="s">
        <v>79</v>
      </c>
      <c r="EU3" s="59" t="s">
        <v>427</v>
      </c>
      <c r="EV3" s="59" t="s">
        <v>403</v>
      </c>
      <c r="EW3" s="59" t="s">
        <v>404</v>
      </c>
      <c r="EX3" s="59" t="s">
        <v>428</v>
      </c>
      <c r="EY3" s="59" t="s">
        <v>137</v>
      </c>
      <c r="EZ3" s="59" t="s">
        <v>138</v>
      </c>
      <c r="FA3" s="59" t="s">
        <v>139</v>
      </c>
      <c r="FB3" s="59" t="s">
        <v>140</v>
      </c>
      <c r="FC3" s="59" t="s">
        <v>141</v>
      </c>
      <c r="FD3" s="59" t="s">
        <v>142</v>
      </c>
      <c r="FE3" s="59" t="s">
        <v>143</v>
      </c>
      <c r="FF3" s="59" t="s">
        <v>144</v>
      </c>
      <c r="FG3" s="59" t="s">
        <v>145</v>
      </c>
      <c r="FH3" s="59" t="s">
        <v>146</v>
      </c>
      <c r="FI3" s="59" t="s">
        <v>147</v>
      </c>
      <c r="FJ3" s="59" t="s">
        <v>148</v>
      </c>
      <c r="FK3" s="59" t="s">
        <v>149</v>
      </c>
      <c r="FL3" s="59" t="s">
        <v>150</v>
      </c>
      <c r="FM3" s="59" t="s">
        <v>151</v>
      </c>
      <c r="FN3" s="59" t="s">
        <v>152</v>
      </c>
      <c r="FO3" s="59" t="s">
        <v>153</v>
      </c>
      <c r="FP3" s="59" t="s">
        <v>154</v>
      </c>
      <c r="FQ3" s="59" t="s">
        <v>155</v>
      </c>
      <c r="FR3" s="59" t="s">
        <v>156</v>
      </c>
      <c r="FS3" s="59" t="s">
        <v>157</v>
      </c>
      <c r="FT3" s="59" t="s">
        <v>158</v>
      </c>
      <c r="FU3" s="59" t="s">
        <v>159</v>
      </c>
      <c r="FV3" s="59" t="s">
        <v>160</v>
      </c>
      <c r="FW3" s="59" t="s">
        <v>161</v>
      </c>
      <c r="FX3" s="59" t="s">
        <v>162</v>
      </c>
      <c r="FY3" s="59" t="s">
        <v>163</v>
      </c>
      <c r="FZ3" s="59" t="s">
        <v>164</v>
      </c>
      <c r="GA3" s="59" t="s">
        <v>165</v>
      </c>
      <c r="GB3" s="59" t="s">
        <v>166</v>
      </c>
      <c r="GC3" s="59" t="s">
        <v>167</v>
      </c>
      <c r="GD3" s="59" t="s">
        <v>168</v>
      </c>
      <c r="GE3" s="59" t="s">
        <v>169</v>
      </c>
      <c r="GF3" s="59" t="s">
        <v>170</v>
      </c>
      <c r="GG3" s="59" t="s">
        <v>171</v>
      </c>
      <c r="GH3" s="59" t="s">
        <v>172</v>
      </c>
      <c r="GI3" s="59" t="s">
        <v>173</v>
      </c>
      <c r="GJ3" s="59" t="s">
        <v>174</v>
      </c>
      <c r="GK3" s="59" t="s">
        <v>175</v>
      </c>
      <c r="GL3" s="59" t="s">
        <v>176</v>
      </c>
      <c r="GM3" s="59" t="s">
        <v>177</v>
      </c>
      <c r="GN3" s="59" t="s">
        <v>178</v>
      </c>
      <c r="GO3" s="59" t="s">
        <v>179</v>
      </c>
      <c r="GP3" s="59" t="s">
        <v>180</v>
      </c>
      <c r="GQ3" s="59" t="s">
        <v>181</v>
      </c>
      <c r="GR3" s="59" t="s">
        <v>73</v>
      </c>
      <c r="GS3" s="59" t="s">
        <v>14</v>
      </c>
      <c r="GT3" s="59" t="s">
        <v>121</v>
      </c>
      <c r="GU3" s="59" t="s">
        <v>17</v>
      </c>
      <c r="GV3" s="59" t="s">
        <v>182</v>
      </c>
      <c r="GW3" s="59" t="s">
        <v>183</v>
      </c>
      <c r="GX3" s="59" t="s">
        <v>109</v>
      </c>
      <c r="GY3" s="59" t="s">
        <v>75</v>
      </c>
      <c r="GZ3" s="59" t="s">
        <v>110</v>
      </c>
      <c r="HA3" s="59" t="s">
        <v>111</v>
      </c>
      <c r="HB3" s="59" t="s">
        <v>112</v>
      </c>
      <c r="HC3" s="59" t="s">
        <v>113</v>
      </c>
      <c r="HD3" s="59" t="s">
        <v>114</v>
      </c>
      <c r="HE3" s="59" t="s">
        <v>184</v>
      </c>
      <c r="HF3" s="59" t="s">
        <v>185</v>
      </c>
      <c r="HG3" s="59" t="s">
        <v>186</v>
      </c>
      <c r="HH3" s="59" t="s">
        <v>187</v>
      </c>
      <c r="HI3" s="59" t="s">
        <v>188</v>
      </c>
      <c r="HJ3" s="59" t="s">
        <v>189</v>
      </c>
      <c r="HK3" s="59" t="s">
        <v>190</v>
      </c>
      <c r="HL3" s="59" t="s">
        <v>191</v>
      </c>
      <c r="HM3" s="59" t="s">
        <v>192</v>
      </c>
      <c r="HN3" s="59" t="s">
        <v>193</v>
      </c>
      <c r="HO3" s="59" t="s">
        <v>194</v>
      </c>
      <c r="HP3" s="59" t="s">
        <v>195</v>
      </c>
      <c r="HQ3" s="59" t="s">
        <v>196</v>
      </c>
      <c r="HR3" s="59" t="s">
        <v>197</v>
      </c>
      <c r="HS3" s="59" t="s">
        <v>198</v>
      </c>
      <c r="HT3" s="59" t="s">
        <v>198</v>
      </c>
      <c r="HU3" s="59" t="s">
        <v>18</v>
      </c>
      <c r="HV3" s="59" t="s">
        <v>74</v>
      </c>
      <c r="HW3" s="59" t="s">
        <v>72</v>
      </c>
      <c r="HX3" s="60" t="s">
        <v>77</v>
      </c>
    </row>
    <row r="4" spans="1:232" s="1" customFormat="1" ht="15" customHeight="1" x14ac:dyDescent="0.25">
      <c r="A4" s="3"/>
      <c r="B4" s="1" t="s">
        <v>443</v>
      </c>
      <c r="C4" s="7" t="s">
        <v>20</v>
      </c>
      <c r="D4" s="7" t="s">
        <v>66</v>
      </c>
      <c r="E4" s="7" t="s">
        <v>1</v>
      </c>
      <c r="F4" s="7" t="s">
        <v>2</v>
      </c>
      <c r="G4" s="10" t="s">
        <v>294</v>
      </c>
      <c r="H4" s="11" t="s">
        <v>396</v>
      </c>
      <c r="I4" s="11" t="s">
        <v>295</v>
      </c>
      <c r="J4" s="11" t="s">
        <v>397</v>
      </c>
      <c r="K4" s="11" t="s">
        <v>296</v>
      </c>
      <c r="L4" s="11" t="s">
        <v>398</v>
      </c>
      <c r="M4" s="11" t="s">
        <v>297</v>
      </c>
      <c r="N4" s="11" t="s">
        <v>399</v>
      </c>
      <c r="O4" s="11" t="s">
        <v>298</v>
      </c>
      <c r="P4" s="11" t="s">
        <v>299</v>
      </c>
      <c r="Q4" s="11" t="s">
        <v>300</v>
      </c>
      <c r="R4" s="11" t="s">
        <v>301</v>
      </c>
      <c r="S4" s="11" t="s">
        <v>302</v>
      </c>
      <c r="T4" s="11" t="s">
        <v>303</v>
      </c>
      <c r="U4" s="11" t="s">
        <v>304</v>
      </c>
      <c r="V4" s="11" t="s">
        <v>305</v>
      </c>
      <c r="W4" s="11" t="s">
        <v>306</v>
      </c>
      <c r="X4" s="11" t="s">
        <v>307</v>
      </c>
      <c r="Y4" s="11" t="s">
        <v>405</v>
      </c>
      <c r="Z4" s="11" t="s">
        <v>406</v>
      </c>
      <c r="AA4" s="11" t="s">
        <v>407</v>
      </c>
      <c r="AB4" s="11" t="s">
        <v>308</v>
      </c>
      <c r="AC4" s="11" t="s">
        <v>429</v>
      </c>
      <c r="AD4" s="11" t="s">
        <v>430</v>
      </c>
      <c r="AE4" s="11" t="s">
        <v>431</v>
      </c>
      <c r="AF4" s="11" t="s">
        <v>309</v>
      </c>
      <c r="AG4" s="11" t="s">
        <v>432</v>
      </c>
      <c r="AH4" s="11" t="s">
        <v>433</v>
      </c>
      <c r="AI4" s="11" t="s">
        <v>312</v>
      </c>
      <c r="AJ4" s="11" t="s">
        <v>310</v>
      </c>
      <c r="AK4" s="11" t="s">
        <v>311</v>
      </c>
      <c r="AL4" s="11" t="s">
        <v>434</v>
      </c>
      <c r="AM4" s="11" t="s">
        <v>408</v>
      </c>
      <c r="AN4" s="11" t="s">
        <v>409</v>
      </c>
      <c r="AO4" s="11" t="s">
        <v>410</v>
      </c>
      <c r="AP4" s="11" t="s">
        <v>313</v>
      </c>
      <c r="AQ4" s="11" t="s">
        <v>314</v>
      </c>
      <c r="AR4" s="11" t="s">
        <v>315</v>
      </c>
      <c r="AS4" s="11" t="s">
        <v>316</v>
      </c>
      <c r="AT4" s="11" t="s">
        <v>317</v>
      </c>
      <c r="AU4" s="11" t="s">
        <v>318</v>
      </c>
      <c r="AV4" s="11" t="s">
        <v>319</v>
      </c>
      <c r="AW4" s="11" t="s">
        <v>320</v>
      </c>
      <c r="AX4" s="11" t="s">
        <v>321</v>
      </c>
      <c r="AY4" s="11" t="s">
        <v>322</v>
      </c>
      <c r="AZ4" s="11" t="s">
        <v>323</v>
      </c>
      <c r="BA4" s="11" t="s">
        <v>324</v>
      </c>
      <c r="BB4" s="11" t="s">
        <v>325</v>
      </c>
      <c r="BC4" s="11" t="s">
        <v>326</v>
      </c>
      <c r="BD4" s="11" t="s">
        <v>327</v>
      </c>
      <c r="BE4" s="11" t="s">
        <v>328</v>
      </c>
      <c r="BF4" s="11" t="s">
        <v>329</v>
      </c>
      <c r="BG4" s="11" t="s">
        <v>330</v>
      </c>
      <c r="BH4" s="11" t="s">
        <v>331</v>
      </c>
      <c r="BI4" s="11" t="s">
        <v>332</v>
      </c>
      <c r="BJ4" s="11" t="s">
        <v>333</v>
      </c>
      <c r="BK4" s="11" t="s">
        <v>334</v>
      </c>
      <c r="BL4" s="11" t="s">
        <v>335</v>
      </c>
      <c r="BM4" s="11" t="s">
        <v>336</v>
      </c>
      <c r="BN4" s="11" t="s">
        <v>337</v>
      </c>
      <c r="BO4" s="11" t="s">
        <v>338</v>
      </c>
      <c r="BP4" s="11" t="s">
        <v>339</v>
      </c>
      <c r="BQ4" s="11" t="s">
        <v>340</v>
      </c>
      <c r="BR4" s="11" t="s">
        <v>341</v>
      </c>
      <c r="BS4" s="11" t="s">
        <v>342</v>
      </c>
      <c r="BT4" s="11" t="s">
        <v>343</v>
      </c>
      <c r="BU4" s="11" t="s">
        <v>344</v>
      </c>
      <c r="BV4" s="11" t="s">
        <v>345</v>
      </c>
      <c r="BW4" s="11" t="s">
        <v>346</v>
      </c>
      <c r="BX4" s="11" t="s">
        <v>347</v>
      </c>
      <c r="BY4" s="11" t="s">
        <v>348</v>
      </c>
      <c r="BZ4" s="11" t="s">
        <v>349</v>
      </c>
      <c r="CA4" s="11" t="s">
        <v>350</v>
      </c>
      <c r="CB4" s="11" t="s">
        <v>351</v>
      </c>
      <c r="CC4" s="11" t="s">
        <v>352</v>
      </c>
      <c r="CD4" s="11" t="s">
        <v>353</v>
      </c>
      <c r="CE4" s="11" t="s">
        <v>354</v>
      </c>
      <c r="CF4" s="11" t="s">
        <v>355</v>
      </c>
      <c r="CG4" s="11" t="s">
        <v>356</v>
      </c>
      <c r="CH4" s="11" t="s">
        <v>357</v>
      </c>
      <c r="CI4" s="11" t="s">
        <v>358</v>
      </c>
      <c r="CJ4" s="11" t="s">
        <v>359</v>
      </c>
      <c r="CK4" s="11" t="s">
        <v>411</v>
      </c>
      <c r="CL4" s="11" t="s">
        <v>360</v>
      </c>
      <c r="CM4" s="11" t="s">
        <v>361</v>
      </c>
      <c r="CN4" s="11" t="s">
        <v>362</v>
      </c>
      <c r="CO4" s="11" t="s">
        <v>363</v>
      </c>
      <c r="CP4" s="11" t="s">
        <v>364</v>
      </c>
      <c r="CQ4" s="11" t="s">
        <v>365</v>
      </c>
      <c r="CR4" s="11" t="s">
        <v>366</v>
      </c>
      <c r="CS4" s="11" t="s">
        <v>368</v>
      </c>
      <c r="CT4" s="11" t="s">
        <v>367</v>
      </c>
      <c r="CU4" s="11" t="s">
        <v>369</v>
      </c>
      <c r="CV4" s="11" t="s">
        <v>370</v>
      </c>
      <c r="CW4" s="11" t="s">
        <v>371</v>
      </c>
      <c r="CX4" s="11" t="s">
        <v>372</v>
      </c>
      <c r="CY4" s="11" t="s">
        <v>373</v>
      </c>
      <c r="CZ4" s="11" t="s">
        <v>374</v>
      </c>
      <c r="DA4" s="11" t="s">
        <v>375</v>
      </c>
      <c r="DB4" s="11" t="s">
        <v>376</v>
      </c>
      <c r="DC4" s="11" t="s">
        <v>377</v>
      </c>
      <c r="DD4" s="11" t="s">
        <v>378</v>
      </c>
      <c r="DE4" s="11" t="s">
        <v>379</v>
      </c>
      <c r="DF4" s="11" t="s">
        <v>380</v>
      </c>
      <c r="DG4" s="11" t="s">
        <v>381</v>
      </c>
      <c r="DH4" s="11" t="s">
        <v>382</v>
      </c>
      <c r="DI4" s="11" t="s">
        <v>383</v>
      </c>
      <c r="DJ4" s="11" t="s">
        <v>412</v>
      </c>
      <c r="DK4" s="11" t="s">
        <v>384</v>
      </c>
      <c r="DL4" s="11" t="s">
        <v>385</v>
      </c>
      <c r="DM4" s="11" t="s">
        <v>386</v>
      </c>
      <c r="DN4" s="11" t="s">
        <v>387</v>
      </c>
      <c r="DO4" s="11" t="s">
        <v>388</v>
      </c>
      <c r="DP4" s="10" t="s">
        <v>199</v>
      </c>
      <c r="DQ4" s="11" t="s">
        <v>395</v>
      </c>
      <c r="DR4" s="11" t="s">
        <v>200</v>
      </c>
      <c r="DS4" s="11" t="s">
        <v>393</v>
      </c>
      <c r="DT4" s="11" t="s">
        <v>201</v>
      </c>
      <c r="DU4" s="11" t="s">
        <v>394</v>
      </c>
      <c r="DV4" s="11" t="s">
        <v>202</v>
      </c>
      <c r="DW4" s="11" t="s">
        <v>392</v>
      </c>
      <c r="DX4" s="11" t="s">
        <v>203</v>
      </c>
      <c r="DY4" s="11" t="s">
        <v>204</v>
      </c>
      <c r="DZ4" s="11" t="s">
        <v>205</v>
      </c>
      <c r="EA4" s="11" t="s">
        <v>206</v>
      </c>
      <c r="EB4" s="11" t="s">
        <v>207</v>
      </c>
      <c r="EC4" s="11" t="s">
        <v>208</v>
      </c>
      <c r="ED4" s="11" t="s">
        <v>209</v>
      </c>
      <c r="EE4" s="11" t="s">
        <v>210</v>
      </c>
      <c r="EF4" s="11" t="s">
        <v>211</v>
      </c>
      <c r="EG4" s="11" t="s">
        <v>212</v>
      </c>
      <c r="EH4" s="11" t="s">
        <v>413</v>
      </c>
      <c r="EI4" s="11" t="s">
        <v>414</v>
      </c>
      <c r="EJ4" s="11" t="s">
        <v>415</v>
      </c>
      <c r="EK4" s="11" t="s">
        <v>213</v>
      </c>
      <c r="EL4" s="11" t="s">
        <v>435</v>
      </c>
      <c r="EM4" s="11" t="s">
        <v>436</v>
      </c>
      <c r="EN4" s="11" t="s">
        <v>437</v>
      </c>
      <c r="EO4" s="11" t="s">
        <v>214</v>
      </c>
      <c r="EP4" s="11" t="s">
        <v>438</v>
      </c>
      <c r="EQ4" s="11" t="s">
        <v>439</v>
      </c>
      <c r="ER4" s="11" t="s">
        <v>217</v>
      </c>
      <c r="ES4" s="11" t="s">
        <v>215</v>
      </c>
      <c r="ET4" s="11" t="s">
        <v>216</v>
      </c>
      <c r="EU4" s="11" t="s">
        <v>440</v>
      </c>
      <c r="EV4" s="11" t="s">
        <v>416</v>
      </c>
      <c r="EW4" s="11" t="s">
        <v>417</v>
      </c>
      <c r="EX4" s="11" t="s">
        <v>418</v>
      </c>
      <c r="EY4" s="11" t="s">
        <v>218</v>
      </c>
      <c r="EZ4" s="11" t="s">
        <v>219</v>
      </c>
      <c r="FA4" s="11" t="s">
        <v>220</v>
      </c>
      <c r="FB4" s="11" t="s">
        <v>221</v>
      </c>
      <c r="FC4" s="11" t="s">
        <v>222</v>
      </c>
      <c r="FD4" s="11" t="s">
        <v>223</v>
      </c>
      <c r="FE4" s="11" t="s">
        <v>224</v>
      </c>
      <c r="FF4" s="11" t="s">
        <v>225</v>
      </c>
      <c r="FG4" s="11" t="s">
        <v>226</v>
      </c>
      <c r="FH4" s="11" t="s">
        <v>227</v>
      </c>
      <c r="FI4" s="11" t="s">
        <v>228</v>
      </c>
      <c r="FJ4" s="11" t="s">
        <v>229</v>
      </c>
      <c r="FK4" s="11" t="s">
        <v>230</v>
      </c>
      <c r="FL4" s="11" t="s">
        <v>231</v>
      </c>
      <c r="FM4" s="11" t="s">
        <v>232</v>
      </c>
      <c r="FN4" s="11" t="s">
        <v>233</v>
      </c>
      <c r="FO4" s="11" t="s">
        <v>234</v>
      </c>
      <c r="FP4" s="11" t="s">
        <v>235</v>
      </c>
      <c r="FQ4" s="11" t="s">
        <v>236</v>
      </c>
      <c r="FR4" s="11" t="s">
        <v>237</v>
      </c>
      <c r="FS4" s="11" t="s">
        <v>238</v>
      </c>
      <c r="FT4" s="11" t="s">
        <v>239</v>
      </c>
      <c r="FU4" s="11" t="s">
        <v>240</v>
      </c>
      <c r="FV4" s="11" t="s">
        <v>241</v>
      </c>
      <c r="FW4" s="11" t="s">
        <v>242</v>
      </c>
      <c r="FX4" s="11" t="s">
        <v>243</v>
      </c>
      <c r="FY4" s="11" t="s">
        <v>244</v>
      </c>
      <c r="FZ4" s="11" t="s">
        <v>245</v>
      </c>
      <c r="GA4" s="11" t="s">
        <v>246</v>
      </c>
      <c r="GB4" s="11" t="s">
        <v>247</v>
      </c>
      <c r="GC4" s="11" t="s">
        <v>248</v>
      </c>
      <c r="GD4" s="11" t="s">
        <v>249</v>
      </c>
      <c r="GE4" s="11" t="s">
        <v>250</v>
      </c>
      <c r="GF4" s="11" t="s">
        <v>251</v>
      </c>
      <c r="GG4" s="11" t="s">
        <v>252</v>
      </c>
      <c r="GH4" s="11" t="s">
        <v>253</v>
      </c>
      <c r="GI4" s="11" t="s">
        <v>254</v>
      </c>
      <c r="GJ4" s="11" t="s">
        <v>255</v>
      </c>
      <c r="GK4" s="11" t="s">
        <v>256</v>
      </c>
      <c r="GL4" s="11" t="s">
        <v>257</v>
      </c>
      <c r="GM4" s="11" t="s">
        <v>258</v>
      </c>
      <c r="GN4" s="11" t="s">
        <v>259</v>
      </c>
      <c r="GO4" s="11" t="s">
        <v>260</v>
      </c>
      <c r="GP4" s="11" t="s">
        <v>261</v>
      </c>
      <c r="GQ4" s="11" t="s">
        <v>262</v>
      </c>
      <c r="GR4" s="11" t="s">
        <v>263</v>
      </c>
      <c r="GS4" s="11" t="s">
        <v>264</v>
      </c>
      <c r="GT4" s="11" t="s">
        <v>419</v>
      </c>
      <c r="GU4" s="11" t="s">
        <v>265</v>
      </c>
      <c r="GV4" s="11" t="s">
        <v>266</v>
      </c>
      <c r="GW4" s="11" t="s">
        <v>267</v>
      </c>
      <c r="GX4" s="11" t="s">
        <v>268</v>
      </c>
      <c r="GY4" s="11" t="s">
        <v>269</v>
      </c>
      <c r="GZ4" s="11" t="s">
        <v>270</v>
      </c>
      <c r="HA4" s="11" t="s">
        <v>271</v>
      </c>
      <c r="HB4" s="11" t="s">
        <v>273</v>
      </c>
      <c r="HC4" s="11" t="s">
        <v>272</v>
      </c>
      <c r="HD4" s="11" t="s">
        <v>274</v>
      </c>
      <c r="HE4" s="11" t="s">
        <v>275</v>
      </c>
      <c r="HF4" s="11" t="s">
        <v>276</v>
      </c>
      <c r="HG4" s="11" t="s">
        <v>277</v>
      </c>
      <c r="HH4" s="11" t="s">
        <v>278</v>
      </c>
      <c r="HI4" s="11" t="s">
        <v>279</v>
      </c>
      <c r="HJ4" s="11" t="s">
        <v>280</v>
      </c>
      <c r="HK4" s="11" t="s">
        <v>281</v>
      </c>
      <c r="HL4" s="11" t="s">
        <v>282</v>
      </c>
      <c r="HM4" s="11" t="s">
        <v>283</v>
      </c>
      <c r="HN4" s="11" t="s">
        <v>284</v>
      </c>
      <c r="HO4" s="11" t="s">
        <v>285</v>
      </c>
      <c r="HP4" s="11" t="s">
        <v>286</v>
      </c>
      <c r="HQ4" s="11" t="s">
        <v>287</v>
      </c>
      <c r="HR4" s="11" t="s">
        <v>288</v>
      </c>
      <c r="HS4" s="11" t="s">
        <v>420</v>
      </c>
      <c r="HT4" s="11" t="s">
        <v>289</v>
      </c>
      <c r="HU4" s="11" t="s">
        <v>290</v>
      </c>
      <c r="HV4" s="11" t="s">
        <v>291</v>
      </c>
      <c r="HW4" s="11" t="s">
        <v>292</v>
      </c>
      <c r="HX4" s="12" t="s">
        <v>293</v>
      </c>
    </row>
    <row r="5" spans="1:232" x14ac:dyDescent="0.25">
      <c r="A5" s="14"/>
      <c r="B5"/>
      <c r="C5" s="1" t="s">
        <v>390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HO5" s="56"/>
      <c r="HP5" s="56"/>
      <c r="HQ5" s="56"/>
      <c r="HR5" s="56"/>
      <c r="HS5" s="56"/>
      <c r="HT5" s="56"/>
      <c r="HU5" s="56"/>
      <c r="HV5" s="56"/>
      <c r="HW5" s="56"/>
      <c r="HX5" s="56"/>
    </row>
    <row r="6" spans="1:232" x14ac:dyDescent="0.25">
      <c r="A6" s="14"/>
      <c r="B6" s="25" t="s">
        <v>444</v>
      </c>
      <c r="C6" s="25" t="s">
        <v>65</v>
      </c>
      <c r="D6" s="25" t="s">
        <v>67</v>
      </c>
      <c r="E6" s="25" t="s">
        <v>68</v>
      </c>
      <c r="F6" s="25" t="s">
        <v>69</v>
      </c>
      <c r="G6" s="25" t="s">
        <v>294</v>
      </c>
      <c r="H6" s="25" t="s">
        <v>396</v>
      </c>
      <c r="I6" s="25" t="s">
        <v>295</v>
      </c>
      <c r="J6" s="25" t="s">
        <v>397</v>
      </c>
      <c r="K6" s="25" t="s">
        <v>296</v>
      </c>
      <c r="L6" s="25" t="s">
        <v>398</v>
      </c>
      <c r="M6" s="25" t="s">
        <v>297</v>
      </c>
      <c r="N6" s="25" t="s">
        <v>399</v>
      </c>
      <c r="O6" s="25" t="s">
        <v>298</v>
      </c>
      <c r="P6" s="25" t="s">
        <v>299</v>
      </c>
      <c r="Q6" s="25" t="s">
        <v>300</v>
      </c>
      <c r="R6" s="25" t="s">
        <v>301</v>
      </c>
      <c r="S6" s="25" t="s">
        <v>302</v>
      </c>
      <c r="T6" s="25" t="s">
        <v>303</v>
      </c>
      <c r="U6" s="25" t="s">
        <v>304</v>
      </c>
      <c r="V6" s="25" t="s">
        <v>305</v>
      </c>
      <c r="W6" s="25" t="s">
        <v>306</v>
      </c>
      <c r="X6" s="25" t="s">
        <v>307</v>
      </c>
      <c r="Y6" s="25" t="s">
        <v>405</v>
      </c>
      <c r="Z6" s="25" t="s">
        <v>406</v>
      </c>
      <c r="AA6" s="25" t="s">
        <v>407</v>
      </c>
      <c r="AB6" s="25" t="s">
        <v>308</v>
      </c>
      <c r="AC6" s="25" t="s">
        <v>429</v>
      </c>
      <c r="AD6" s="25" t="s">
        <v>430</v>
      </c>
      <c r="AE6" s="25" t="s">
        <v>431</v>
      </c>
      <c r="AF6" s="25" t="s">
        <v>309</v>
      </c>
      <c r="AG6" s="25" t="s">
        <v>432</v>
      </c>
      <c r="AH6" s="25" t="s">
        <v>433</v>
      </c>
      <c r="AI6" s="25" t="s">
        <v>312</v>
      </c>
      <c r="AJ6" s="25" t="s">
        <v>310</v>
      </c>
      <c r="AK6" s="25" t="s">
        <v>311</v>
      </c>
      <c r="AL6" s="25" t="s">
        <v>434</v>
      </c>
      <c r="AM6" s="25" t="s">
        <v>408</v>
      </c>
      <c r="AN6" s="25" t="s">
        <v>409</v>
      </c>
      <c r="AO6" s="25" t="s">
        <v>410</v>
      </c>
      <c r="AP6" s="25" t="s">
        <v>313</v>
      </c>
      <c r="AQ6" s="25" t="s">
        <v>314</v>
      </c>
      <c r="AR6" s="25" t="s">
        <v>315</v>
      </c>
      <c r="AS6" s="25" t="s">
        <v>316</v>
      </c>
      <c r="AT6" s="25" t="s">
        <v>317</v>
      </c>
      <c r="AU6" s="25" t="s">
        <v>318</v>
      </c>
      <c r="AV6" s="25" t="s">
        <v>319</v>
      </c>
      <c r="AW6" s="25" t="s">
        <v>320</v>
      </c>
      <c r="AX6" s="25" t="s">
        <v>321</v>
      </c>
      <c r="AY6" s="25" t="s">
        <v>322</v>
      </c>
      <c r="AZ6" s="25" t="s">
        <v>323</v>
      </c>
      <c r="BA6" s="25" t="s">
        <v>324</v>
      </c>
      <c r="BB6" s="25" t="s">
        <v>325</v>
      </c>
      <c r="BC6" s="25" t="s">
        <v>326</v>
      </c>
      <c r="BD6" s="25" t="s">
        <v>327</v>
      </c>
      <c r="BE6" s="25" t="s">
        <v>328</v>
      </c>
      <c r="BF6" s="25" t="s">
        <v>329</v>
      </c>
      <c r="BG6" s="25" t="s">
        <v>330</v>
      </c>
      <c r="BH6" s="25" t="s">
        <v>331</v>
      </c>
      <c r="BI6" s="25" t="s">
        <v>332</v>
      </c>
      <c r="BJ6" s="25" t="s">
        <v>333</v>
      </c>
      <c r="BK6" s="25" t="s">
        <v>334</v>
      </c>
      <c r="BL6" s="25" t="s">
        <v>335</v>
      </c>
      <c r="BM6" s="25" t="s">
        <v>336</v>
      </c>
      <c r="BN6" s="25" t="s">
        <v>337</v>
      </c>
      <c r="BO6" s="25" t="s">
        <v>338</v>
      </c>
      <c r="BP6" s="25" t="s">
        <v>339</v>
      </c>
      <c r="BQ6" s="25" t="s">
        <v>340</v>
      </c>
      <c r="BR6" s="25" t="s">
        <v>341</v>
      </c>
      <c r="BS6" s="25" t="s">
        <v>342</v>
      </c>
      <c r="BT6" s="25" t="s">
        <v>343</v>
      </c>
      <c r="BU6" s="25" t="s">
        <v>344</v>
      </c>
      <c r="BV6" s="25" t="s">
        <v>345</v>
      </c>
      <c r="BW6" s="25" t="s">
        <v>346</v>
      </c>
      <c r="BX6" s="25" t="s">
        <v>347</v>
      </c>
      <c r="BY6" s="25" t="s">
        <v>348</v>
      </c>
      <c r="BZ6" s="25" t="s">
        <v>349</v>
      </c>
      <c r="CA6" s="25" t="s">
        <v>350</v>
      </c>
      <c r="CB6" s="25" t="s">
        <v>351</v>
      </c>
      <c r="CC6" s="25" t="s">
        <v>352</v>
      </c>
      <c r="CD6" s="25" t="s">
        <v>353</v>
      </c>
      <c r="CE6" s="25" t="s">
        <v>354</v>
      </c>
      <c r="CF6" s="25" t="s">
        <v>355</v>
      </c>
      <c r="CG6" s="25" t="s">
        <v>356</v>
      </c>
      <c r="CH6" s="25" t="s">
        <v>357</v>
      </c>
      <c r="CI6" s="25" t="s">
        <v>358</v>
      </c>
      <c r="CJ6" s="25" t="s">
        <v>359</v>
      </c>
      <c r="CK6" s="25" t="s">
        <v>411</v>
      </c>
      <c r="CL6" s="25" t="s">
        <v>360</v>
      </c>
      <c r="CM6" s="25" t="s">
        <v>361</v>
      </c>
      <c r="CN6" s="25" t="s">
        <v>362</v>
      </c>
      <c r="CO6" s="25" t="s">
        <v>363</v>
      </c>
      <c r="CP6" s="25" t="s">
        <v>364</v>
      </c>
      <c r="CQ6" s="25" t="s">
        <v>365</v>
      </c>
      <c r="CR6" s="25" t="s">
        <v>366</v>
      </c>
      <c r="CS6" s="25" t="s">
        <v>368</v>
      </c>
      <c r="CT6" s="25" t="s">
        <v>367</v>
      </c>
      <c r="CU6" s="25" t="s">
        <v>369</v>
      </c>
      <c r="CV6" s="25" t="s">
        <v>370</v>
      </c>
      <c r="CW6" s="25" t="s">
        <v>371</v>
      </c>
      <c r="CX6" s="25" t="s">
        <v>372</v>
      </c>
      <c r="CY6" s="25" t="s">
        <v>373</v>
      </c>
      <c r="CZ6" s="25" t="s">
        <v>374</v>
      </c>
      <c r="DA6" s="25" t="s">
        <v>375</v>
      </c>
      <c r="DB6" s="25" t="s">
        <v>376</v>
      </c>
      <c r="DC6" s="25" t="s">
        <v>377</v>
      </c>
      <c r="DD6" s="25" t="s">
        <v>378</v>
      </c>
      <c r="DE6" s="25" t="s">
        <v>379</v>
      </c>
      <c r="DF6" s="25" t="s">
        <v>380</v>
      </c>
      <c r="DG6" s="25" t="s">
        <v>381</v>
      </c>
      <c r="DH6" s="25" t="s">
        <v>382</v>
      </c>
      <c r="DI6" s="25" t="s">
        <v>383</v>
      </c>
      <c r="DJ6" s="25" t="s">
        <v>412</v>
      </c>
      <c r="DK6" s="25" t="s">
        <v>384</v>
      </c>
      <c r="DL6" s="25" t="s">
        <v>385</v>
      </c>
      <c r="DM6" s="25" t="s">
        <v>386</v>
      </c>
      <c r="DN6" s="25" t="s">
        <v>387</v>
      </c>
      <c r="DO6" s="25" t="s">
        <v>388</v>
      </c>
      <c r="DP6" s="25" t="s">
        <v>199</v>
      </c>
      <c r="DQ6" s="25" t="s">
        <v>395</v>
      </c>
      <c r="DR6" s="25" t="s">
        <v>200</v>
      </c>
      <c r="DS6" s="25" t="s">
        <v>393</v>
      </c>
      <c r="DT6" s="25" t="s">
        <v>201</v>
      </c>
      <c r="DU6" s="25" t="s">
        <v>394</v>
      </c>
      <c r="DV6" s="25" t="s">
        <v>202</v>
      </c>
      <c r="DW6" s="25" t="s">
        <v>392</v>
      </c>
      <c r="DX6" s="25" t="s">
        <v>203</v>
      </c>
      <c r="DY6" s="25" t="s">
        <v>204</v>
      </c>
      <c r="DZ6" s="25" t="s">
        <v>205</v>
      </c>
      <c r="EA6" s="25" t="s">
        <v>206</v>
      </c>
      <c r="EB6" s="25" t="s">
        <v>207</v>
      </c>
      <c r="EC6" s="25" t="s">
        <v>208</v>
      </c>
      <c r="ED6" s="25" t="s">
        <v>209</v>
      </c>
      <c r="EE6" s="25" t="s">
        <v>210</v>
      </c>
      <c r="EF6" s="25" t="s">
        <v>211</v>
      </c>
      <c r="EG6" s="25" t="s">
        <v>212</v>
      </c>
      <c r="EH6" s="25" t="s">
        <v>413</v>
      </c>
      <c r="EI6" s="25" t="s">
        <v>414</v>
      </c>
      <c r="EJ6" s="25" t="s">
        <v>415</v>
      </c>
      <c r="EK6" s="25" t="s">
        <v>213</v>
      </c>
      <c r="EL6" s="25" t="s">
        <v>435</v>
      </c>
      <c r="EM6" s="25" t="s">
        <v>436</v>
      </c>
      <c r="EN6" s="25" t="s">
        <v>437</v>
      </c>
      <c r="EO6" s="25" t="s">
        <v>214</v>
      </c>
      <c r="EP6" s="25" t="s">
        <v>438</v>
      </c>
      <c r="EQ6" s="25" t="s">
        <v>439</v>
      </c>
      <c r="ER6" s="25" t="s">
        <v>217</v>
      </c>
      <c r="ES6" s="25" t="s">
        <v>215</v>
      </c>
      <c r="ET6" s="25" t="s">
        <v>216</v>
      </c>
      <c r="EU6" s="25" t="s">
        <v>440</v>
      </c>
      <c r="EV6" s="25" t="s">
        <v>416</v>
      </c>
      <c r="EW6" s="25" t="s">
        <v>417</v>
      </c>
      <c r="EX6" s="25" t="s">
        <v>418</v>
      </c>
      <c r="EY6" s="25" t="s">
        <v>218</v>
      </c>
      <c r="EZ6" s="25" t="s">
        <v>219</v>
      </c>
      <c r="FA6" s="25" t="s">
        <v>220</v>
      </c>
      <c r="FB6" s="25" t="s">
        <v>221</v>
      </c>
      <c r="FC6" s="25" t="s">
        <v>222</v>
      </c>
      <c r="FD6" s="25" t="s">
        <v>223</v>
      </c>
      <c r="FE6" s="25" t="s">
        <v>224</v>
      </c>
      <c r="FF6" s="25" t="s">
        <v>225</v>
      </c>
      <c r="FG6" s="25" t="s">
        <v>226</v>
      </c>
      <c r="FH6" s="25" t="s">
        <v>227</v>
      </c>
      <c r="FI6" s="25" t="s">
        <v>228</v>
      </c>
      <c r="FJ6" s="25" t="s">
        <v>229</v>
      </c>
      <c r="FK6" s="25" t="s">
        <v>230</v>
      </c>
      <c r="FL6" s="25" t="s">
        <v>231</v>
      </c>
      <c r="FM6" s="25" t="s">
        <v>232</v>
      </c>
      <c r="FN6" s="25" t="s">
        <v>233</v>
      </c>
      <c r="FO6" s="25" t="s">
        <v>234</v>
      </c>
      <c r="FP6" s="25" t="s">
        <v>235</v>
      </c>
      <c r="FQ6" s="25" t="s">
        <v>236</v>
      </c>
      <c r="FR6" s="25" t="s">
        <v>237</v>
      </c>
      <c r="FS6" s="25" t="s">
        <v>238</v>
      </c>
      <c r="FT6" s="25" t="s">
        <v>239</v>
      </c>
      <c r="FU6" s="25" t="s">
        <v>240</v>
      </c>
      <c r="FV6" s="25" t="s">
        <v>241</v>
      </c>
      <c r="FW6" s="25" t="s">
        <v>242</v>
      </c>
      <c r="FX6" s="25" t="s">
        <v>243</v>
      </c>
      <c r="FY6" s="25" t="s">
        <v>244</v>
      </c>
      <c r="FZ6" s="25" t="s">
        <v>245</v>
      </c>
      <c r="GA6" s="25" t="s">
        <v>246</v>
      </c>
      <c r="GB6" s="25" t="s">
        <v>247</v>
      </c>
      <c r="GC6" s="25" t="s">
        <v>248</v>
      </c>
      <c r="GD6" s="25" t="s">
        <v>249</v>
      </c>
      <c r="GE6" s="25" t="s">
        <v>250</v>
      </c>
      <c r="GF6" s="25" t="s">
        <v>251</v>
      </c>
      <c r="GG6" s="25" t="s">
        <v>252</v>
      </c>
      <c r="GH6" s="25" t="s">
        <v>253</v>
      </c>
      <c r="GI6" s="25" t="s">
        <v>254</v>
      </c>
      <c r="GJ6" s="25" t="s">
        <v>255</v>
      </c>
      <c r="GK6" s="25" t="s">
        <v>256</v>
      </c>
      <c r="GL6" s="25" t="s">
        <v>257</v>
      </c>
      <c r="GM6" s="25" t="s">
        <v>258</v>
      </c>
      <c r="GN6" s="25" t="s">
        <v>259</v>
      </c>
      <c r="GO6" s="25" t="s">
        <v>260</v>
      </c>
      <c r="GP6" s="25" t="s">
        <v>261</v>
      </c>
      <c r="GQ6" s="25" t="s">
        <v>262</v>
      </c>
      <c r="GR6" s="25" t="s">
        <v>263</v>
      </c>
      <c r="GS6" s="25" t="s">
        <v>264</v>
      </c>
      <c r="GT6" s="25" t="s">
        <v>419</v>
      </c>
      <c r="GU6" s="25" t="s">
        <v>265</v>
      </c>
      <c r="GV6" s="25" t="s">
        <v>266</v>
      </c>
      <c r="GW6" s="25" t="s">
        <v>267</v>
      </c>
      <c r="GX6" s="25" t="s">
        <v>268</v>
      </c>
      <c r="GY6" s="25" t="s">
        <v>269</v>
      </c>
      <c r="GZ6" s="25" t="s">
        <v>270</v>
      </c>
      <c r="HA6" s="25" t="s">
        <v>271</v>
      </c>
      <c r="HB6" s="25" t="s">
        <v>273</v>
      </c>
      <c r="HC6" s="25" t="s">
        <v>272</v>
      </c>
      <c r="HD6" s="25" t="s">
        <v>274</v>
      </c>
      <c r="HE6" s="25" t="s">
        <v>275</v>
      </c>
      <c r="HF6" s="25" t="s">
        <v>276</v>
      </c>
      <c r="HG6" s="25" t="s">
        <v>277</v>
      </c>
      <c r="HH6" s="25" t="s">
        <v>278</v>
      </c>
      <c r="HI6" s="25" t="s">
        <v>279</v>
      </c>
      <c r="HJ6" s="25" t="s">
        <v>280</v>
      </c>
      <c r="HK6" s="25" t="s">
        <v>281</v>
      </c>
      <c r="HL6" s="25" t="s">
        <v>282</v>
      </c>
      <c r="HM6" s="25" t="s">
        <v>283</v>
      </c>
      <c r="HN6" s="25" t="s">
        <v>284</v>
      </c>
      <c r="HO6" s="25" t="s">
        <v>285</v>
      </c>
      <c r="HP6" s="25" t="s">
        <v>286</v>
      </c>
      <c r="HQ6" s="25" t="s">
        <v>287</v>
      </c>
      <c r="HR6" s="25" t="s">
        <v>288</v>
      </c>
      <c r="HS6" s="25" t="s">
        <v>420</v>
      </c>
      <c r="HT6" s="25" t="s">
        <v>289</v>
      </c>
      <c r="HU6" s="25" t="s">
        <v>290</v>
      </c>
      <c r="HV6" s="25" t="s">
        <v>291</v>
      </c>
      <c r="HW6" s="25" t="s">
        <v>292</v>
      </c>
      <c r="HX6" s="25" t="s">
        <v>293</v>
      </c>
    </row>
    <row r="7" spans="1:232" x14ac:dyDescent="0.25">
      <c r="A7" s="15"/>
      <c r="B7" s="79" t="str">
        <f>targets[Dsnulist]&amp;" "&amp;targets[D_indicatortype]&amp;" "&amp;targets[D_mechanismid]</f>
        <v xml:space="preserve">Paste Data Pack Values here (starting in cell C7)  </v>
      </c>
      <c r="C7" s="39" t="s">
        <v>1639</v>
      </c>
      <c r="D7" s="39"/>
      <c r="E7" s="39"/>
      <c r="F7" s="39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</row>
    <row r="8" spans="1:232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</row>
    <row r="9" spans="1:232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</row>
    <row r="10" spans="1:232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232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</row>
    <row r="12" spans="1:232" x14ac:dyDescent="0.25">
      <c r="A12" s="16"/>
      <c r="C12"/>
      <c r="D12"/>
      <c r="E12"/>
      <c r="F12"/>
    </row>
    <row r="13" spans="1:232" x14ac:dyDescent="0.25">
      <c r="A13" s="16"/>
      <c r="C13"/>
      <c r="D13"/>
      <c r="E13"/>
      <c r="F13"/>
    </row>
    <row r="14" spans="1:232" x14ac:dyDescent="0.25">
      <c r="A14" s="16"/>
      <c r="C14"/>
      <c r="D14"/>
      <c r="E14"/>
      <c r="F14"/>
    </row>
    <row r="15" spans="1:232" x14ac:dyDescent="0.25">
      <c r="A15" s="16"/>
      <c r="C15"/>
      <c r="D15"/>
      <c r="E15"/>
      <c r="F15"/>
    </row>
    <row r="16" spans="1:232" x14ac:dyDescent="0.25">
      <c r="A16" s="16"/>
      <c r="C16"/>
      <c r="D16"/>
      <c r="E16"/>
      <c r="F16"/>
    </row>
    <row r="17" spans="1:6" x14ac:dyDescent="0.25">
      <c r="A17" s="16"/>
      <c r="C17"/>
      <c r="D17"/>
      <c r="E17"/>
      <c r="F17"/>
    </row>
    <row r="18" spans="1:6" x14ac:dyDescent="0.25">
      <c r="A18" s="16"/>
      <c r="C18"/>
      <c r="D18"/>
      <c r="E18"/>
      <c r="F18"/>
    </row>
    <row r="19" spans="1:6" x14ac:dyDescent="0.25">
      <c r="A19" s="16"/>
      <c r="C19"/>
      <c r="D19"/>
      <c r="E19"/>
      <c r="F19"/>
    </row>
    <row r="20" spans="1:6" x14ac:dyDescent="0.25">
      <c r="A20" s="16"/>
      <c r="C20"/>
      <c r="D20"/>
      <c r="E20"/>
      <c r="F20"/>
    </row>
    <row r="21" spans="1:6" x14ac:dyDescent="0.25">
      <c r="A21" s="16"/>
      <c r="C21"/>
      <c r="D21"/>
      <c r="E21"/>
      <c r="F21"/>
    </row>
    <row r="22" spans="1:6" x14ac:dyDescent="0.25">
      <c r="A22" s="16"/>
      <c r="C22"/>
      <c r="D22"/>
      <c r="E22"/>
      <c r="F22"/>
    </row>
    <row r="23" spans="1:6" x14ac:dyDescent="0.25">
      <c r="A23" s="16"/>
      <c r="C23"/>
      <c r="D23"/>
      <c r="E23"/>
      <c r="F23"/>
    </row>
    <row r="24" spans="1:6" x14ac:dyDescent="0.25">
      <c r="A24" s="16"/>
      <c r="C24"/>
      <c r="D24"/>
      <c r="E24"/>
      <c r="F24"/>
    </row>
    <row r="25" spans="1:6" x14ac:dyDescent="0.25">
      <c r="A25" s="16"/>
      <c r="C25"/>
      <c r="D25"/>
      <c r="E25"/>
      <c r="F25"/>
    </row>
    <row r="26" spans="1:6" x14ac:dyDescent="0.25">
      <c r="A26" s="16"/>
      <c r="C26"/>
      <c r="D26"/>
      <c r="E26"/>
      <c r="F26"/>
    </row>
    <row r="27" spans="1:6" x14ac:dyDescent="0.25">
      <c r="A27" s="16"/>
      <c r="C27"/>
      <c r="D27"/>
      <c r="E27"/>
      <c r="F27"/>
    </row>
    <row r="28" spans="1:6" x14ac:dyDescent="0.25">
      <c r="A28" s="16"/>
      <c r="C28"/>
      <c r="D28"/>
      <c r="E28"/>
      <c r="F28"/>
    </row>
    <row r="29" spans="1:6" x14ac:dyDescent="0.25">
      <c r="A29" s="16"/>
      <c r="C29"/>
      <c r="D29"/>
      <c r="E29"/>
      <c r="F29"/>
    </row>
    <row r="30" spans="1:6" x14ac:dyDescent="0.25">
      <c r="A30" s="16"/>
      <c r="C30"/>
      <c r="D30"/>
      <c r="E30"/>
      <c r="F30"/>
    </row>
    <row r="31" spans="1:6" x14ac:dyDescent="0.25">
      <c r="A31" s="16"/>
      <c r="C31"/>
      <c r="D31"/>
      <c r="E31"/>
      <c r="F31"/>
    </row>
    <row r="32" spans="1:6" x14ac:dyDescent="0.25">
      <c r="A32" s="16"/>
      <c r="C32"/>
      <c r="D32"/>
      <c r="E32"/>
      <c r="F32"/>
    </row>
    <row r="33" spans="1:6" x14ac:dyDescent="0.25">
      <c r="A33" s="16"/>
      <c r="C33"/>
      <c r="D33"/>
      <c r="E33"/>
      <c r="F33"/>
    </row>
    <row r="34" spans="1:6" x14ac:dyDescent="0.25">
      <c r="A34" s="16"/>
      <c r="C34"/>
      <c r="D34"/>
      <c r="E34"/>
      <c r="F34"/>
    </row>
    <row r="35" spans="1:6" x14ac:dyDescent="0.25">
      <c r="A35" s="16"/>
      <c r="C35"/>
      <c r="D35"/>
      <c r="E35"/>
      <c r="F35"/>
    </row>
    <row r="36" spans="1:6" x14ac:dyDescent="0.25">
      <c r="A36" s="16"/>
      <c r="C36"/>
      <c r="D36"/>
      <c r="E36"/>
      <c r="F36"/>
    </row>
    <row r="37" spans="1:6" x14ac:dyDescent="0.25">
      <c r="A37" s="16"/>
      <c r="C37"/>
      <c r="D37"/>
      <c r="E37"/>
      <c r="F37"/>
    </row>
    <row r="38" spans="1:6" x14ac:dyDescent="0.25">
      <c r="A38" s="16"/>
      <c r="C38"/>
      <c r="D38"/>
      <c r="E38"/>
      <c r="F38"/>
    </row>
    <row r="39" spans="1:6" x14ac:dyDescent="0.25">
      <c r="A39" s="16"/>
      <c r="C39"/>
      <c r="D39"/>
      <c r="E39"/>
      <c r="F39"/>
    </row>
    <row r="40" spans="1:6" x14ac:dyDescent="0.25">
      <c r="A40" s="16"/>
      <c r="C40"/>
      <c r="D40"/>
      <c r="E40"/>
      <c r="F40"/>
    </row>
    <row r="41" spans="1:6" x14ac:dyDescent="0.25">
      <c r="A41" s="16"/>
      <c r="C41"/>
      <c r="D41"/>
      <c r="E41"/>
      <c r="F41"/>
    </row>
    <row r="42" spans="1:6" x14ac:dyDescent="0.25">
      <c r="A42" s="16"/>
      <c r="C42"/>
      <c r="D42"/>
      <c r="E42"/>
      <c r="F42"/>
    </row>
    <row r="43" spans="1:6" x14ac:dyDescent="0.25">
      <c r="A43" s="16"/>
      <c r="C43"/>
      <c r="D43"/>
      <c r="E43"/>
      <c r="F43"/>
    </row>
    <row r="44" spans="1:6" x14ac:dyDescent="0.25">
      <c r="A44" s="16"/>
      <c r="C44"/>
      <c r="D44"/>
      <c r="E44"/>
      <c r="F44"/>
    </row>
    <row r="45" spans="1:6" x14ac:dyDescent="0.25">
      <c r="A45" s="16"/>
      <c r="C45"/>
      <c r="D45"/>
      <c r="E45"/>
      <c r="F45"/>
    </row>
    <row r="46" spans="1:6" x14ac:dyDescent="0.25">
      <c r="A46" s="16"/>
      <c r="C46"/>
      <c r="D46"/>
      <c r="E46"/>
      <c r="F46"/>
    </row>
    <row r="47" spans="1:6" x14ac:dyDescent="0.25">
      <c r="A47" s="16"/>
      <c r="C47"/>
      <c r="D47"/>
      <c r="E47"/>
      <c r="F47"/>
    </row>
    <row r="48" spans="1:6" x14ac:dyDescent="0.25">
      <c r="A48" s="16"/>
      <c r="C48"/>
      <c r="D48"/>
      <c r="E48"/>
      <c r="F48"/>
    </row>
    <row r="49" spans="1:6" x14ac:dyDescent="0.25">
      <c r="A49" s="16"/>
      <c r="C49"/>
      <c r="D49"/>
      <c r="E49"/>
      <c r="F49"/>
    </row>
    <row r="50" spans="1:6" x14ac:dyDescent="0.25">
      <c r="A50" s="16"/>
      <c r="C50"/>
      <c r="D50"/>
      <c r="E50"/>
      <c r="F50"/>
    </row>
    <row r="51" spans="1:6" x14ac:dyDescent="0.25">
      <c r="A51" s="16"/>
      <c r="C51"/>
      <c r="D51"/>
      <c r="E51"/>
      <c r="F51"/>
    </row>
    <row r="52" spans="1:6" x14ac:dyDescent="0.25">
      <c r="A52" s="16"/>
      <c r="C52"/>
      <c r="D52"/>
      <c r="E52"/>
      <c r="F52"/>
    </row>
    <row r="53" spans="1:6" x14ac:dyDescent="0.25">
      <c r="A53" s="16"/>
      <c r="C53"/>
      <c r="D53"/>
      <c r="E53"/>
      <c r="F53"/>
    </row>
    <row r="54" spans="1:6" x14ac:dyDescent="0.25">
      <c r="A54" s="16"/>
      <c r="C54"/>
      <c r="D54"/>
      <c r="E54"/>
      <c r="F54"/>
    </row>
    <row r="55" spans="1:6" x14ac:dyDescent="0.25">
      <c r="A55" s="16"/>
      <c r="C55"/>
      <c r="D55"/>
      <c r="E55"/>
      <c r="F55"/>
    </row>
    <row r="56" spans="1:6" x14ac:dyDescent="0.25">
      <c r="A56" s="16"/>
      <c r="C56"/>
      <c r="D56"/>
      <c r="E56"/>
      <c r="F56"/>
    </row>
    <row r="57" spans="1:6" x14ac:dyDescent="0.25">
      <c r="A57" s="16"/>
      <c r="C57"/>
      <c r="D57"/>
      <c r="E57"/>
      <c r="F57"/>
    </row>
    <row r="58" spans="1:6" x14ac:dyDescent="0.25">
      <c r="A58" s="16"/>
      <c r="C58"/>
      <c r="D58"/>
      <c r="E58"/>
      <c r="F58"/>
    </row>
    <row r="59" spans="1:6" x14ac:dyDescent="0.25">
      <c r="A59" s="16"/>
      <c r="C59"/>
      <c r="D59"/>
      <c r="E59"/>
      <c r="F59"/>
    </row>
    <row r="60" spans="1:6" x14ac:dyDescent="0.25">
      <c r="A60" s="16"/>
      <c r="C60"/>
      <c r="D60"/>
      <c r="E60"/>
      <c r="F60"/>
    </row>
    <row r="61" spans="1:6" x14ac:dyDescent="0.25">
      <c r="A61" s="16"/>
      <c r="C61"/>
      <c r="D61"/>
      <c r="E61"/>
      <c r="F61"/>
    </row>
    <row r="62" spans="1:6" x14ac:dyDescent="0.25">
      <c r="A62" s="16"/>
      <c r="C62"/>
      <c r="D62"/>
      <c r="E62"/>
      <c r="F62"/>
    </row>
    <row r="63" spans="1:6" x14ac:dyDescent="0.25">
      <c r="A63" s="16"/>
      <c r="C63"/>
      <c r="D63"/>
      <c r="E63"/>
      <c r="F63"/>
    </row>
    <row r="64" spans="1:6" x14ac:dyDescent="0.25">
      <c r="A64" s="16"/>
      <c r="C64"/>
      <c r="D64"/>
      <c r="E64"/>
      <c r="F64"/>
    </row>
    <row r="65" spans="1:6" x14ac:dyDescent="0.25">
      <c r="A65" s="16"/>
      <c r="C65"/>
      <c r="D65"/>
      <c r="E65"/>
      <c r="F65"/>
    </row>
    <row r="66" spans="1:6" x14ac:dyDescent="0.25">
      <c r="A66" s="16"/>
      <c r="C66"/>
      <c r="D66"/>
      <c r="E66"/>
      <c r="F66"/>
    </row>
    <row r="67" spans="1:6" x14ac:dyDescent="0.25">
      <c r="A67" s="16"/>
      <c r="C67"/>
      <c r="D67"/>
      <c r="E67"/>
      <c r="F67"/>
    </row>
    <row r="68" spans="1:6" x14ac:dyDescent="0.25">
      <c r="A68" s="16"/>
      <c r="C68"/>
      <c r="D68"/>
      <c r="E68"/>
      <c r="F68"/>
    </row>
    <row r="69" spans="1:6" x14ac:dyDescent="0.25">
      <c r="A69" s="16"/>
      <c r="C69"/>
      <c r="D69"/>
      <c r="E69"/>
      <c r="F69"/>
    </row>
    <row r="70" spans="1:6" x14ac:dyDescent="0.25">
      <c r="A70" s="16"/>
      <c r="C70"/>
      <c r="D70"/>
      <c r="E70"/>
      <c r="F70"/>
    </row>
    <row r="71" spans="1:6" x14ac:dyDescent="0.25">
      <c r="A71" s="16"/>
      <c r="C71"/>
      <c r="D71"/>
      <c r="E71"/>
      <c r="F71"/>
    </row>
    <row r="72" spans="1:6" x14ac:dyDescent="0.25">
      <c r="A72" s="16"/>
      <c r="C72"/>
      <c r="D72"/>
      <c r="E72"/>
      <c r="F72"/>
    </row>
    <row r="73" spans="1:6" x14ac:dyDescent="0.25">
      <c r="A73" s="16"/>
      <c r="C73"/>
      <c r="D73"/>
      <c r="E73"/>
      <c r="F73"/>
    </row>
    <row r="74" spans="1:6" x14ac:dyDescent="0.25">
      <c r="A74" s="16"/>
      <c r="C74"/>
      <c r="D74"/>
      <c r="E74"/>
      <c r="F74"/>
    </row>
    <row r="75" spans="1:6" x14ac:dyDescent="0.25">
      <c r="A75" s="16"/>
      <c r="C75"/>
      <c r="D75"/>
      <c r="E75"/>
      <c r="F75"/>
    </row>
    <row r="76" spans="1:6" x14ac:dyDescent="0.25">
      <c r="A76" s="16"/>
      <c r="C76"/>
      <c r="D76"/>
      <c r="E76"/>
      <c r="F76"/>
    </row>
    <row r="77" spans="1:6" x14ac:dyDescent="0.25">
      <c r="A77" s="16"/>
      <c r="C77"/>
      <c r="D77"/>
      <c r="E77"/>
      <c r="F77"/>
    </row>
    <row r="78" spans="1:6" x14ac:dyDescent="0.25">
      <c r="A78" s="16"/>
      <c r="C78"/>
      <c r="D78"/>
      <c r="E78"/>
      <c r="F78"/>
    </row>
    <row r="79" spans="1:6" x14ac:dyDescent="0.25">
      <c r="A79" s="16"/>
      <c r="C79"/>
      <c r="D79"/>
      <c r="E79"/>
      <c r="F79"/>
    </row>
    <row r="80" spans="1:6" x14ac:dyDescent="0.25">
      <c r="A80" s="16"/>
      <c r="C80"/>
      <c r="D80"/>
      <c r="E80"/>
      <c r="F80"/>
    </row>
    <row r="81" spans="1:6" x14ac:dyDescent="0.25">
      <c r="A81" s="16"/>
      <c r="C81"/>
      <c r="D81"/>
      <c r="E81"/>
      <c r="F81"/>
    </row>
    <row r="82" spans="1:6" x14ac:dyDescent="0.25">
      <c r="A82" s="16"/>
      <c r="C82"/>
      <c r="D82"/>
      <c r="E82"/>
      <c r="F82"/>
    </row>
    <row r="83" spans="1:6" x14ac:dyDescent="0.25">
      <c r="A83" s="16"/>
      <c r="C83"/>
      <c r="D83"/>
      <c r="E83"/>
      <c r="F83"/>
    </row>
    <row r="84" spans="1:6" x14ac:dyDescent="0.25">
      <c r="A84" s="16"/>
      <c r="C84"/>
      <c r="D84"/>
      <c r="E84"/>
      <c r="F84"/>
    </row>
    <row r="85" spans="1:6" x14ac:dyDescent="0.25">
      <c r="A85" s="16"/>
      <c r="C85"/>
      <c r="D85"/>
      <c r="E85"/>
      <c r="F85"/>
    </row>
    <row r="86" spans="1:6" x14ac:dyDescent="0.25">
      <c r="A86" s="16"/>
      <c r="C86"/>
      <c r="D86"/>
      <c r="E86"/>
      <c r="F86"/>
    </row>
    <row r="87" spans="1:6" x14ac:dyDescent="0.25">
      <c r="A87" s="16"/>
      <c r="C87"/>
      <c r="D87"/>
      <c r="E87"/>
      <c r="F87"/>
    </row>
    <row r="88" spans="1:6" x14ac:dyDescent="0.25">
      <c r="A88" s="16"/>
      <c r="C88"/>
      <c r="D88"/>
      <c r="E88"/>
      <c r="F88"/>
    </row>
    <row r="89" spans="1:6" x14ac:dyDescent="0.25">
      <c r="A89" s="16"/>
      <c r="C89"/>
      <c r="D89"/>
      <c r="E89"/>
      <c r="F89"/>
    </row>
    <row r="90" spans="1:6" x14ac:dyDescent="0.25">
      <c r="A90" s="16"/>
      <c r="C90"/>
      <c r="D90"/>
      <c r="E90"/>
      <c r="F90"/>
    </row>
    <row r="91" spans="1:6" x14ac:dyDescent="0.25">
      <c r="A91" s="16"/>
      <c r="C91"/>
      <c r="D91"/>
      <c r="E91"/>
      <c r="F91"/>
    </row>
    <row r="92" spans="1:6" x14ac:dyDescent="0.25">
      <c r="A92" s="16"/>
      <c r="C92"/>
      <c r="D92"/>
      <c r="E92"/>
      <c r="F92"/>
    </row>
    <row r="93" spans="1:6" x14ac:dyDescent="0.25">
      <c r="A93" s="16"/>
      <c r="C93"/>
      <c r="D93"/>
      <c r="E93"/>
      <c r="F93"/>
    </row>
    <row r="94" spans="1:6" x14ac:dyDescent="0.25">
      <c r="A94" s="16"/>
      <c r="C94"/>
      <c r="D94"/>
      <c r="E94"/>
      <c r="F94"/>
    </row>
    <row r="95" spans="1:6" x14ac:dyDescent="0.25">
      <c r="A95" s="16"/>
      <c r="C95"/>
      <c r="D95"/>
      <c r="E95"/>
      <c r="F95"/>
    </row>
    <row r="96" spans="1:6" x14ac:dyDescent="0.25">
      <c r="A96" s="16"/>
      <c r="C96"/>
      <c r="D96"/>
      <c r="E96"/>
      <c r="F96"/>
    </row>
    <row r="97" spans="1:6" x14ac:dyDescent="0.25">
      <c r="A97" s="16"/>
      <c r="C97"/>
      <c r="D97"/>
      <c r="E97"/>
      <c r="F97"/>
    </row>
    <row r="98" spans="1:6" x14ac:dyDescent="0.25">
      <c r="A98" s="16"/>
      <c r="C98"/>
      <c r="D98"/>
      <c r="E98"/>
      <c r="F98"/>
    </row>
    <row r="99" spans="1:6" x14ac:dyDescent="0.25">
      <c r="A99" s="16"/>
      <c r="C99"/>
      <c r="D99"/>
      <c r="E99"/>
      <c r="F99"/>
    </row>
    <row r="100" spans="1:6" x14ac:dyDescent="0.25">
      <c r="A100" s="16"/>
      <c r="C100"/>
      <c r="D100"/>
      <c r="E100"/>
      <c r="F100"/>
    </row>
    <row r="101" spans="1:6" x14ac:dyDescent="0.25">
      <c r="A101" s="16"/>
      <c r="C101"/>
      <c r="D101"/>
      <c r="E101"/>
      <c r="F101"/>
    </row>
    <row r="102" spans="1:6" x14ac:dyDescent="0.25">
      <c r="A102" s="16"/>
      <c r="C102"/>
      <c r="D102"/>
      <c r="E102"/>
      <c r="F102"/>
    </row>
    <row r="103" spans="1:6" x14ac:dyDescent="0.25">
      <c r="A103" s="16"/>
      <c r="C103"/>
      <c r="D103"/>
      <c r="E103"/>
      <c r="F103"/>
    </row>
    <row r="104" spans="1:6" x14ac:dyDescent="0.25">
      <c r="A104" s="16"/>
      <c r="C104"/>
      <c r="D104"/>
      <c r="E104"/>
      <c r="F104"/>
    </row>
    <row r="105" spans="1:6" x14ac:dyDescent="0.25">
      <c r="A105" s="16"/>
      <c r="C105"/>
      <c r="D105"/>
      <c r="E105"/>
      <c r="F105"/>
    </row>
    <row r="106" spans="1:6" x14ac:dyDescent="0.25">
      <c r="A106" s="16"/>
      <c r="C106"/>
      <c r="D106"/>
      <c r="E106"/>
      <c r="F106"/>
    </row>
    <row r="107" spans="1:6" x14ac:dyDescent="0.25">
      <c r="A107" s="16"/>
      <c r="C107"/>
      <c r="D107"/>
      <c r="E107"/>
      <c r="F107"/>
    </row>
    <row r="108" spans="1:6" x14ac:dyDescent="0.25">
      <c r="A108" s="16"/>
      <c r="C108"/>
      <c r="D108"/>
      <c r="E108"/>
      <c r="F108"/>
    </row>
    <row r="109" spans="1:6" x14ac:dyDescent="0.25">
      <c r="A109" s="16"/>
      <c r="C109"/>
      <c r="D109"/>
      <c r="E109"/>
      <c r="F109"/>
    </row>
    <row r="110" spans="1:6" x14ac:dyDescent="0.25">
      <c r="A110" s="16"/>
      <c r="C110"/>
      <c r="D110"/>
      <c r="E110"/>
      <c r="F110"/>
    </row>
    <row r="111" spans="1:6" x14ac:dyDescent="0.25">
      <c r="A111" s="16"/>
      <c r="C111"/>
      <c r="D111"/>
      <c r="E111"/>
      <c r="F111"/>
    </row>
    <row r="112" spans="1:6" x14ac:dyDescent="0.25">
      <c r="A112" s="16"/>
      <c r="C112"/>
      <c r="D112"/>
      <c r="E112"/>
      <c r="F112"/>
    </row>
    <row r="113" spans="1:6" x14ac:dyDescent="0.25">
      <c r="A113" s="16"/>
      <c r="C113"/>
      <c r="D113"/>
      <c r="E113"/>
      <c r="F113"/>
    </row>
    <row r="114" spans="1:6" x14ac:dyDescent="0.25">
      <c r="A114" s="16"/>
      <c r="C114"/>
      <c r="D114"/>
      <c r="E114"/>
      <c r="F114"/>
    </row>
    <row r="115" spans="1:6" x14ac:dyDescent="0.25">
      <c r="A115" s="16"/>
      <c r="C115"/>
      <c r="D115"/>
      <c r="E115"/>
      <c r="F115"/>
    </row>
    <row r="116" spans="1:6" x14ac:dyDescent="0.25">
      <c r="A116" s="16"/>
      <c r="C116"/>
      <c r="D116"/>
      <c r="E116"/>
      <c r="F116"/>
    </row>
    <row r="117" spans="1:6" x14ac:dyDescent="0.25">
      <c r="A117" s="16"/>
      <c r="C117"/>
      <c r="D117"/>
      <c r="E117"/>
      <c r="F117"/>
    </row>
    <row r="118" spans="1:6" x14ac:dyDescent="0.25">
      <c r="A118" s="16"/>
      <c r="C118"/>
      <c r="D118"/>
      <c r="E118"/>
      <c r="F118"/>
    </row>
    <row r="119" spans="1:6" x14ac:dyDescent="0.25">
      <c r="A119" s="16"/>
      <c r="C119"/>
      <c r="D119"/>
      <c r="E119"/>
      <c r="F119"/>
    </row>
    <row r="120" spans="1:6" x14ac:dyDescent="0.25">
      <c r="A120" s="16"/>
      <c r="C120"/>
      <c r="D120"/>
      <c r="E120"/>
      <c r="F120"/>
    </row>
    <row r="121" spans="1:6" x14ac:dyDescent="0.25">
      <c r="A121" s="16"/>
      <c r="C121"/>
      <c r="D121"/>
      <c r="E121"/>
      <c r="F121"/>
    </row>
    <row r="122" spans="1:6" x14ac:dyDescent="0.25">
      <c r="A122" s="16"/>
      <c r="C122"/>
      <c r="D122"/>
      <c r="E122"/>
      <c r="F122"/>
    </row>
    <row r="123" spans="1:6" x14ac:dyDescent="0.25">
      <c r="A123" s="16"/>
      <c r="C123"/>
      <c r="D123"/>
      <c r="E123"/>
      <c r="F123"/>
    </row>
    <row r="124" spans="1:6" x14ac:dyDescent="0.25">
      <c r="A124" s="16"/>
      <c r="C124"/>
      <c r="D124"/>
      <c r="E124"/>
      <c r="F124"/>
    </row>
    <row r="125" spans="1:6" x14ac:dyDescent="0.25">
      <c r="A125" s="16"/>
      <c r="C125"/>
      <c r="D125"/>
      <c r="E125"/>
      <c r="F125"/>
    </row>
    <row r="126" spans="1:6" x14ac:dyDescent="0.25">
      <c r="A126" s="16"/>
      <c r="C126"/>
      <c r="D126"/>
      <c r="E126"/>
      <c r="F126"/>
    </row>
    <row r="127" spans="1:6" x14ac:dyDescent="0.25">
      <c r="A127" s="16"/>
      <c r="C127"/>
      <c r="D127"/>
      <c r="E127"/>
      <c r="F127"/>
    </row>
    <row r="128" spans="1:6" x14ac:dyDescent="0.25">
      <c r="A128" s="16"/>
      <c r="C128"/>
      <c r="D128"/>
      <c r="E128"/>
      <c r="F128"/>
    </row>
    <row r="129" spans="1:6" x14ac:dyDescent="0.25">
      <c r="A129" s="16"/>
      <c r="C129"/>
      <c r="D129"/>
      <c r="E129"/>
      <c r="F129"/>
    </row>
    <row r="130" spans="1:6" x14ac:dyDescent="0.25">
      <c r="A130" s="16"/>
      <c r="C130"/>
      <c r="D130"/>
      <c r="E130"/>
      <c r="F130"/>
    </row>
    <row r="131" spans="1:6" x14ac:dyDescent="0.25">
      <c r="A131" s="16"/>
      <c r="C131"/>
      <c r="D131"/>
      <c r="E131"/>
      <c r="F131"/>
    </row>
    <row r="132" spans="1:6" x14ac:dyDescent="0.25">
      <c r="A132" s="16"/>
      <c r="C132"/>
      <c r="D132"/>
      <c r="E132"/>
      <c r="F132"/>
    </row>
    <row r="133" spans="1:6" x14ac:dyDescent="0.25">
      <c r="A133" s="16"/>
      <c r="C133"/>
      <c r="D133"/>
      <c r="E133"/>
      <c r="F133"/>
    </row>
    <row r="134" spans="1:6" x14ac:dyDescent="0.25">
      <c r="A134" s="16"/>
      <c r="C134"/>
      <c r="D134"/>
      <c r="E134"/>
      <c r="F134"/>
    </row>
    <row r="135" spans="1:6" x14ac:dyDescent="0.25">
      <c r="A135" s="16"/>
      <c r="C135"/>
      <c r="D135"/>
      <c r="E135"/>
      <c r="F135"/>
    </row>
    <row r="136" spans="1:6" x14ac:dyDescent="0.25">
      <c r="A136" s="16"/>
      <c r="C136"/>
      <c r="D136"/>
      <c r="E136"/>
      <c r="F136"/>
    </row>
    <row r="137" spans="1:6" x14ac:dyDescent="0.25">
      <c r="A137" s="16"/>
      <c r="C137"/>
      <c r="D137"/>
      <c r="E137"/>
      <c r="F137"/>
    </row>
    <row r="138" spans="1:6" x14ac:dyDescent="0.25">
      <c r="A138" s="16"/>
      <c r="C138"/>
      <c r="D138"/>
      <c r="E138"/>
      <c r="F138"/>
    </row>
    <row r="139" spans="1:6" x14ac:dyDescent="0.25">
      <c r="A139" s="16"/>
      <c r="C139"/>
      <c r="D139"/>
      <c r="E139"/>
      <c r="F139"/>
    </row>
    <row r="140" spans="1:6" x14ac:dyDescent="0.25">
      <c r="A140" s="16"/>
      <c r="C140"/>
      <c r="D140"/>
      <c r="E140"/>
      <c r="F140"/>
    </row>
    <row r="141" spans="1:6" x14ac:dyDescent="0.25">
      <c r="A141" s="16"/>
      <c r="C141"/>
      <c r="D141"/>
      <c r="E141"/>
      <c r="F141"/>
    </row>
    <row r="142" spans="1:6" x14ac:dyDescent="0.25">
      <c r="A142" s="16"/>
      <c r="C142"/>
      <c r="D142"/>
      <c r="E142"/>
      <c r="F142"/>
    </row>
    <row r="143" spans="1:6" x14ac:dyDescent="0.25">
      <c r="A143" s="16"/>
      <c r="C143"/>
      <c r="D143"/>
      <c r="E143"/>
      <c r="F143"/>
    </row>
    <row r="144" spans="1:6" x14ac:dyDescent="0.25">
      <c r="A144" s="16"/>
      <c r="C144"/>
      <c r="D144"/>
      <c r="E144"/>
      <c r="F144"/>
    </row>
    <row r="145" spans="1:6" x14ac:dyDescent="0.25">
      <c r="A145" s="16"/>
      <c r="C145"/>
      <c r="D145"/>
      <c r="E145"/>
      <c r="F145"/>
    </row>
    <row r="146" spans="1:6" x14ac:dyDescent="0.25">
      <c r="A146" s="16"/>
      <c r="C146"/>
      <c r="D146"/>
      <c r="E146"/>
      <c r="F146"/>
    </row>
    <row r="147" spans="1:6" x14ac:dyDescent="0.25">
      <c r="A147" s="16"/>
      <c r="C147"/>
      <c r="D147"/>
      <c r="E147"/>
      <c r="F147"/>
    </row>
    <row r="148" spans="1:6" x14ac:dyDescent="0.25">
      <c r="A148" s="16"/>
      <c r="C148"/>
      <c r="D148"/>
      <c r="E148"/>
      <c r="F148"/>
    </row>
    <row r="149" spans="1:6" x14ac:dyDescent="0.25">
      <c r="A149" s="16"/>
      <c r="C149"/>
      <c r="D149"/>
      <c r="E149"/>
      <c r="F149"/>
    </row>
    <row r="150" spans="1:6" x14ac:dyDescent="0.25">
      <c r="A150" s="16"/>
      <c r="C150"/>
      <c r="D150"/>
      <c r="E150"/>
      <c r="F150"/>
    </row>
    <row r="151" spans="1:6" x14ac:dyDescent="0.25">
      <c r="A151" s="16"/>
      <c r="C151"/>
      <c r="D151"/>
      <c r="E151"/>
      <c r="F151"/>
    </row>
    <row r="152" spans="1:6" x14ac:dyDescent="0.25">
      <c r="A152" s="16"/>
      <c r="C152"/>
      <c r="D152"/>
      <c r="E152"/>
      <c r="F152"/>
    </row>
    <row r="153" spans="1:6" x14ac:dyDescent="0.25">
      <c r="A153" s="16"/>
      <c r="C153"/>
      <c r="D153"/>
      <c r="E153"/>
      <c r="F153"/>
    </row>
    <row r="154" spans="1:6" x14ac:dyDescent="0.25">
      <c r="A154" s="16"/>
      <c r="C154"/>
      <c r="D154"/>
      <c r="E154"/>
      <c r="F154"/>
    </row>
    <row r="155" spans="1:6" x14ac:dyDescent="0.25">
      <c r="A155" s="16"/>
      <c r="C155"/>
      <c r="D155"/>
      <c r="E155"/>
      <c r="F155"/>
    </row>
    <row r="156" spans="1:6" x14ac:dyDescent="0.25">
      <c r="A156" s="16"/>
      <c r="C156"/>
      <c r="D156"/>
      <c r="E156"/>
      <c r="F156"/>
    </row>
    <row r="157" spans="1:6" x14ac:dyDescent="0.25">
      <c r="A157" s="16"/>
      <c r="C157"/>
      <c r="D157"/>
      <c r="E157"/>
      <c r="F157"/>
    </row>
    <row r="158" spans="1:6" x14ac:dyDescent="0.25">
      <c r="A158" s="16"/>
      <c r="C158"/>
      <c r="D158"/>
      <c r="E158"/>
      <c r="F158"/>
    </row>
    <row r="159" spans="1:6" x14ac:dyDescent="0.25">
      <c r="A159" s="16"/>
      <c r="C159"/>
      <c r="D159"/>
      <c r="E159"/>
      <c r="F159"/>
    </row>
    <row r="160" spans="1:6" x14ac:dyDescent="0.25">
      <c r="A160" s="16"/>
      <c r="C160"/>
      <c r="D160"/>
      <c r="E160"/>
      <c r="F160"/>
    </row>
    <row r="161" spans="1:6" x14ac:dyDescent="0.25">
      <c r="A161" s="16"/>
      <c r="C161"/>
      <c r="D161"/>
      <c r="E161"/>
      <c r="F161"/>
    </row>
    <row r="162" spans="1:6" x14ac:dyDescent="0.25">
      <c r="A162" s="16"/>
      <c r="C162"/>
      <c r="D162"/>
      <c r="E162"/>
      <c r="F162"/>
    </row>
    <row r="163" spans="1:6" x14ac:dyDescent="0.25">
      <c r="A163" s="16"/>
      <c r="C163"/>
      <c r="D163"/>
      <c r="E163"/>
      <c r="F163"/>
    </row>
    <row r="164" spans="1:6" x14ac:dyDescent="0.25">
      <c r="A164" s="16"/>
      <c r="C164"/>
      <c r="D164"/>
      <c r="E164"/>
      <c r="F164"/>
    </row>
    <row r="165" spans="1:6" x14ac:dyDescent="0.25">
      <c r="A165" s="16"/>
      <c r="C165"/>
      <c r="D165"/>
      <c r="E165"/>
      <c r="F165"/>
    </row>
    <row r="166" spans="1:6" x14ac:dyDescent="0.25">
      <c r="A166" s="16"/>
      <c r="C166"/>
      <c r="D166"/>
      <c r="E166"/>
      <c r="F166"/>
    </row>
    <row r="167" spans="1:6" x14ac:dyDescent="0.25">
      <c r="A167" s="16"/>
      <c r="C167"/>
      <c r="D167"/>
      <c r="E167"/>
      <c r="F167"/>
    </row>
    <row r="168" spans="1:6" x14ac:dyDescent="0.25">
      <c r="A168" s="16"/>
      <c r="C168"/>
      <c r="D168"/>
      <c r="E168"/>
      <c r="F168"/>
    </row>
    <row r="169" spans="1:6" x14ac:dyDescent="0.25">
      <c r="A169" s="16"/>
      <c r="C169"/>
      <c r="D169"/>
      <c r="E169"/>
      <c r="F169"/>
    </row>
    <row r="170" spans="1:6" x14ac:dyDescent="0.25">
      <c r="A170" s="16"/>
      <c r="C170"/>
      <c r="D170"/>
      <c r="E170"/>
      <c r="F170"/>
    </row>
    <row r="171" spans="1:6" x14ac:dyDescent="0.25">
      <c r="A171" s="16"/>
      <c r="C171"/>
      <c r="D171"/>
      <c r="E171"/>
      <c r="F171"/>
    </row>
    <row r="172" spans="1:6" x14ac:dyDescent="0.25">
      <c r="A172" s="16"/>
      <c r="C172"/>
      <c r="D172"/>
      <c r="E172"/>
      <c r="F172"/>
    </row>
    <row r="173" spans="1:6" x14ac:dyDescent="0.25">
      <c r="A173" s="16"/>
      <c r="C173"/>
      <c r="D173"/>
      <c r="E173"/>
      <c r="F173"/>
    </row>
    <row r="174" spans="1:6" x14ac:dyDescent="0.25">
      <c r="A174" s="16"/>
      <c r="C174"/>
      <c r="D174"/>
      <c r="E174"/>
      <c r="F174"/>
    </row>
    <row r="175" spans="1:6" x14ac:dyDescent="0.25">
      <c r="A175" s="16"/>
      <c r="C175"/>
      <c r="D175"/>
      <c r="E175"/>
      <c r="F175"/>
    </row>
    <row r="176" spans="1:6" x14ac:dyDescent="0.25">
      <c r="A176" s="16"/>
      <c r="C176"/>
      <c r="D176"/>
      <c r="E176"/>
      <c r="F176"/>
    </row>
    <row r="177" spans="1:6" x14ac:dyDescent="0.25">
      <c r="A177" s="16"/>
      <c r="C177"/>
      <c r="D177"/>
      <c r="E177"/>
      <c r="F177"/>
    </row>
    <row r="178" spans="1:6" x14ac:dyDescent="0.25">
      <c r="A178" s="16"/>
      <c r="C178"/>
      <c r="D178"/>
      <c r="E178"/>
      <c r="F178"/>
    </row>
    <row r="179" spans="1:6" x14ac:dyDescent="0.25">
      <c r="A179" s="16"/>
      <c r="C179"/>
      <c r="D179"/>
      <c r="E179"/>
      <c r="F179"/>
    </row>
    <row r="180" spans="1:6" x14ac:dyDescent="0.25">
      <c r="A180" s="16"/>
      <c r="C180"/>
      <c r="D180"/>
      <c r="E180"/>
      <c r="F180"/>
    </row>
    <row r="181" spans="1:6" x14ac:dyDescent="0.25">
      <c r="A181" s="16"/>
      <c r="C181"/>
      <c r="D181"/>
      <c r="E181"/>
      <c r="F181"/>
    </row>
    <row r="182" spans="1:6" x14ac:dyDescent="0.25">
      <c r="A182" s="16"/>
      <c r="C182"/>
      <c r="D182"/>
      <c r="E182"/>
      <c r="F182"/>
    </row>
    <row r="183" spans="1:6" x14ac:dyDescent="0.25">
      <c r="A183" s="16"/>
      <c r="C183"/>
      <c r="D183"/>
      <c r="E183"/>
      <c r="F183"/>
    </row>
    <row r="184" spans="1:6" x14ac:dyDescent="0.25">
      <c r="A184" s="16"/>
      <c r="C184"/>
      <c r="D184"/>
      <c r="E184"/>
      <c r="F184"/>
    </row>
    <row r="185" spans="1:6" x14ac:dyDescent="0.25">
      <c r="A185" s="16"/>
      <c r="C185"/>
      <c r="D185"/>
      <c r="E185"/>
      <c r="F185"/>
    </row>
    <row r="186" spans="1:6" x14ac:dyDescent="0.25">
      <c r="A186" s="16"/>
      <c r="C186"/>
      <c r="D186"/>
      <c r="E186"/>
      <c r="F186"/>
    </row>
    <row r="187" spans="1:6" x14ac:dyDescent="0.25">
      <c r="A187" s="16"/>
      <c r="C187"/>
      <c r="D187"/>
      <c r="E187"/>
      <c r="F187"/>
    </row>
    <row r="188" spans="1:6" x14ac:dyDescent="0.25">
      <c r="A188" s="16"/>
      <c r="C188"/>
      <c r="D188"/>
      <c r="E188"/>
      <c r="F188"/>
    </row>
    <row r="189" spans="1:6" x14ac:dyDescent="0.25">
      <c r="A189" s="16"/>
      <c r="C189"/>
      <c r="D189"/>
      <c r="E189"/>
      <c r="F189"/>
    </row>
    <row r="190" spans="1:6" x14ac:dyDescent="0.25">
      <c r="A190" s="16"/>
      <c r="C190"/>
      <c r="D190"/>
      <c r="E190"/>
      <c r="F190"/>
    </row>
    <row r="191" spans="1:6" x14ac:dyDescent="0.25">
      <c r="A191" s="16"/>
      <c r="C191"/>
      <c r="D191"/>
      <c r="E191"/>
      <c r="F191"/>
    </row>
    <row r="192" spans="1:6" x14ac:dyDescent="0.25">
      <c r="A192" s="16"/>
      <c r="C192"/>
      <c r="D192"/>
      <c r="E192"/>
      <c r="F192"/>
    </row>
    <row r="193" spans="1:6" x14ac:dyDescent="0.25">
      <c r="A193" s="16"/>
      <c r="C193"/>
      <c r="D193"/>
      <c r="E193"/>
      <c r="F193"/>
    </row>
    <row r="194" spans="1:6" x14ac:dyDescent="0.25">
      <c r="A194" s="16"/>
      <c r="C194"/>
      <c r="D194"/>
      <c r="E194"/>
      <c r="F194"/>
    </row>
    <row r="195" spans="1:6" x14ac:dyDescent="0.25">
      <c r="A195" s="16"/>
      <c r="C195"/>
      <c r="D195"/>
      <c r="E195"/>
      <c r="F195"/>
    </row>
    <row r="196" spans="1:6" x14ac:dyDescent="0.25">
      <c r="A196" s="16"/>
      <c r="C196"/>
      <c r="D196"/>
      <c r="E196"/>
      <c r="F196"/>
    </row>
    <row r="197" spans="1:6" x14ac:dyDescent="0.25">
      <c r="A197" s="16"/>
      <c r="C197"/>
      <c r="D197"/>
      <c r="E197"/>
      <c r="F197"/>
    </row>
    <row r="198" spans="1:6" x14ac:dyDescent="0.25">
      <c r="A198" s="16"/>
      <c r="C198"/>
      <c r="D198"/>
      <c r="E198"/>
      <c r="F198"/>
    </row>
    <row r="199" spans="1:6" x14ac:dyDescent="0.25">
      <c r="A199" s="16"/>
      <c r="C199"/>
      <c r="D199"/>
      <c r="E199"/>
      <c r="F199"/>
    </row>
    <row r="200" spans="1:6" x14ac:dyDescent="0.25">
      <c r="A200" s="16"/>
      <c r="C200"/>
      <c r="D200"/>
      <c r="E200"/>
      <c r="F200"/>
    </row>
    <row r="201" spans="1:6" x14ac:dyDescent="0.25">
      <c r="A201" s="16"/>
      <c r="C201"/>
      <c r="D201"/>
      <c r="E201"/>
      <c r="F201"/>
    </row>
    <row r="202" spans="1:6" x14ac:dyDescent="0.25">
      <c r="A202" s="16"/>
      <c r="C202"/>
      <c r="D202"/>
      <c r="E202"/>
      <c r="F202"/>
    </row>
    <row r="203" spans="1:6" x14ac:dyDescent="0.25">
      <c r="A203" s="16"/>
      <c r="C203"/>
      <c r="D203"/>
      <c r="E203"/>
      <c r="F203"/>
    </row>
    <row r="204" spans="1:6" x14ac:dyDescent="0.25">
      <c r="A204" s="16"/>
      <c r="C204"/>
      <c r="D204"/>
      <c r="E204"/>
      <c r="F204"/>
    </row>
    <row r="205" spans="1:6" x14ac:dyDescent="0.25">
      <c r="A205" s="16"/>
      <c r="C205"/>
      <c r="D205"/>
      <c r="E205"/>
      <c r="F205"/>
    </row>
    <row r="206" spans="1:6" x14ac:dyDescent="0.25">
      <c r="A206" s="16"/>
      <c r="C206"/>
      <c r="D206"/>
      <c r="E206"/>
      <c r="F206"/>
    </row>
    <row r="207" spans="1:6" x14ac:dyDescent="0.25">
      <c r="A207" s="16"/>
      <c r="C207"/>
      <c r="D207"/>
      <c r="E207"/>
      <c r="F207"/>
    </row>
    <row r="208" spans="1:6" x14ac:dyDescent="0.25">
      <c r="A208" s="16"/>
      <c r="C208"/>
      <c r="D208"/>
      <c r="E208"/>
      <c r="F208"/>
    </row>
    <row r="209" spans="1:6" x14ac:dyDescent="0.25">
      <c r="A209" s="16"/>
      <c r="C209"/>
      <c r="D209"/>
      <c r="E209"/>
      <c r="F209"/>
    </row>
    <row r="210" spans="1:6" x14ac:dyDescent="0.25">
      <c r="A210" s="16"/>
      <c r="C210"/>
      <c r="D210"/>
      <c r="E210"/>
      <c r="F210"/>
    </row>
    <row r="211" spans="1:6" x14ac:dyDescent="0.25">
      <c r="A211" s="16"/>
      <c r="C211"/>
      <c r="D211"/>
      <c r="E211"/>
      <c r="F211"/>
    </row>
    <row r="212" spans="1:6" x14ac:dyDescent="0.25">
      <c r="A212" s="16"/>
      <c r="C212"/>
      <c r="D212"/>
      <c r="E212"/>
      <c r="F212"/>
    </row>
    <row r="213" spans="1:6" x14ac:dyDescent="0.25">
      <c r="A213" s="16"/>
      <c r="C213"/>
      <c r="D213"/>
      <c r="E213"/>
      <c r="F213"/>
    </row>
    <row r="214" spans="1:6" x14ac:dyDescent="0.25">
      <c r="A214" s="16"/>
      <c r="C214"/>
      <c r="D214"/>
      <c r="E214"/>
      <c r="F214"/>
    </row>
    <row r="215" spans="1:6" x14ac:dyDescent="0.25">
      <c r="A215" s="16"/>
      <c r="C215"/>
      <c r="D215"/>
      <c r="E215"/>
      <c r="F215"/>
    </row>
    <row r="216" spans="1:6" x14ac:dyDescent="0.25">
      <c r="A216" s="16"/>
      <c r="C216"/>
      <c r="D216"/>
      <c r="E216"/>
      <c r="F216"/>
    </row>
    <row r="217" spans="1:6" x14ac:dyDescent="0.25">
      <c r="A217" s="16"/>
      <c r="C217"/>
      <c r="D217"/>
      <c r="E217"/>
      <c r="F217"/>
    </row>
    <row r="218" spans="1:6" x14ac:dyDescent="0.25">
      <c r="A218" s="16"/>
      <c r="C218"/>
      <c r="D218"/>
      <c r="E218"/>
      <c r="F218"/>
    </row>
    <row r="219" spans="1:6" x14ac:dyDescent="0.25">
      <c r="A219" s="16"/>
      <c r="C219"/>
      <c r="D219"/>
      <c r="E219"/>
      <c r="F219"/>
    </row>
    <row r="220" spans="1:6" x14ac:dyDescent="0.25">
      <c r="A220" s="16"/>
      <c r="C220"/>
      <c r="D220"/>
      <c r="E220"/>
      <c r="F220"/>
    </row>
    <row r="221" spans="1:6" x14ac:dyDescent="0.25">
      <c r="A221" s="16"/>
      <c r="C221"/>
      <c r="D221"/>
      <c r="E221"/>
      <c r="F221"/>
    </row>
    <row r="222" spans="1:6" x14ac:dyDescent="0.25">
      <c r="A222" s="16"/>
      <c r="C222"/>
      <c r="D222"/>
      <c r="E222"/>
      <c r="F222"/>
    </row>
    <row r="223" spans="1:6" x14ac:dyDescent="0.25">
      <c r="A223" s="16"/>
      <c r="C223"/>
      <c r="D223"/>
      <c r="E223"/>
      <c r="F223"/>
    </row>
    <row r="224" spans="1:6" x14ac:dyDescent="0.25">
      <c r="A224" s="16"/>
      <c r="C224"/>
      <c r="D224"/>
      <c r="E224"/>
      <c r="F224"/>
    </row>
    <row r="225" spans="1:6" x14ac:dyDescent="0.25">
      <c r="A225" s="16"/>
      <c r="C225"/>
      <c r="D225"/>
      <c r="E225"/>
      <c r="F225"/>
    </row>
    <row r="226" spans="1:6" x14ac:dyDescent="0.25">
      <c r="A226" s="16"/>
      <c r="C226"/>
      <c r="D226"/>
      <c r="E226"/>
      <c r="F226"/>
    </row>
    <row r="227" spans="1:6" x14ac:dyDescent="0.25">
      <c r="A227" s="16"/>
      <c r="C227"/>
      <c r="D227"/>
      <c r="E227"/>
      <c r="F227"/>
    </row>
    <row r="228" spans="1:6" x14ac:dyDescent="0.25">
      <c r="A228" s="16"/>
      <c r="C228"/>
      <c r="D228"/>
      <c r="E228"/>
      <c r="F228"/>
    </row>
    <row r="229" spans="1:6" x14ac:dyDescent="0.25">
      <c r="A229" s="16"/>
      <c r="C229"/>
      <c r="D229"/>
      <c r="E229"/>
      <c r="F229"/>
    </row>
    <row r="230" spans="1:6" x14ac:dyDescent="0.25">
      <c r="A230" s="16"/>
      <c r="C230"/>
      <c r="D230"/>
      <c r="E230"/>
      <c r="F230"/>
    </row>
    <row r="231" spans="1:6" x14ac:dyDescent="0.25">
      <c r="A231" s="16"/>
      <c r="C231"/>
      <c r="D231"/>
      <c r="E231"/>
      <c r="F231"/>
    </row>
    <row r="232" spans="1:6" x14ac:dyDescent="0.25">
      <c r="A232" s="16"/>
      <c r="C232"/>
      <c r="D232"/>
      <c r="E232"/>
      <c r="F232"/>
    </row>
    <row r="233" spans="1:6" x14ac:dyDescent="0.25">
      <c r="A233" s="16"/>
      <c r="C233"/>
      <c r="D233"/>
      <c r="E233"/>
      <c r="F233"/>
    </row>
    <row r="234" spans="1:6" x14ac:dyDescent="0.25">
      <c r="A234" s="16"/>
      <c r="C234"/>
      <c r="D234"/>
      <c r="E234"/>
      <c r="F234"/>
    </row>
    <row r="235" spans="1:6" x14ac:dyDescent="0.25">
      <c r="A235" s="16"/>
      <c r="C235"/>
      <c r="D235"/>
      <c r="E235"/>
      <c r="F235"/>
    </row>
    <row r="236" spans="1:6" x14ac:dyDescent="0.25">
      <c r="A236" s="16"/>
      <c r="C236"/>
      <c r="D236"/>
      <c r="E236"/>
      <c r="F236"/>
    </row>
    <row r="237" spans="1:6" x14ac:dyDescent="0.25">
      <c r="A237" s="16"/>
      <c r="C237"/>
      <c r="D237"/>
      <c r="E237"/>
      <c r="F237"/>
    </row>
    <row r="238" spans="1:6" x14ac:dyDescent="0.25">
      <c r="A238" s="16"/>
      <c r="C238"/>
      <c r="D238"/>
      <c r="E238"/>
      <c r="F238"/>
    </row>
    <row r="239" spans="1:6" x14ac:dyDescent="0.25">
      <c r="A239" s="16"/>
      <c r="C239"/>
      <c r="D239"/>
      <c r="E239"/>
      <c r="F239"/>
    </row>
    <row r="240" spans="1:6" x14ac:dyDescent="0.25">
      <c r="A240" s="16"/>
      <c r="C240"/>
      <c r="D240"/>
      <c r="E240"/>
      <c r="F240"/>
    </row>
    <row r="241" spans="1:6" x14ac:dyDescent="0.25">
      <c r="A241" s="16"/>
      <c r="C241"/>
      <c r="D241"/>
      <c r="E241"/>
      <c r="F241"/>
    </row>
    <row r="242" spans="1:6" x14ac:dyDescent="0.25">
      <c r="A242" s="16"/>
      <c r="C242"/>
      <c r="D242"/>
      <c r="E242"/>
      <c r="F242"/>
    </row>
    <row r="243" spans="1:6" x14ac:dyDescent="0.25">
      <c r="A243" s="16"/>
      <c r="C243"/>
      <c r="D243"/>
      <c r="E243"/>
      <c r="F243"/>
    </row>
    <row r="244" spans="1:6" x14ac:dyDescent="0.25">
      <c r="A244" s="16"/>
      <c r="C244"/>
      <c r="D244"/>
      <c r="E244"/>
      <c r="F244"/>
    </row>
    <row r="245" spans="1:6" x14ac:dyDescent="0.25">
      <c r="A245" s="16"/>
      <c r="C245"/>
      <c r="D245"/>
      <c r="E245"/>
      <c r="F245"/>
    </row>
    <row r="246" spans="1:6" x14ac:dyDescent="0.25">
      <c r="A246" s="16"/>
      <c r="C246"/>
      <c r="D246"/>
      <c r="E246"/>
      <c r="F246"/>
    </row>
    <row r="247" spans="1:6" x14ac:dyDescent="0.25">
      <c r="A247" s="16"/>
      <c r="C247"/>
      <c r="D247"/>
      <c r="E247"/>
      <c r="F247"/>
    </row>
    <row r="248" spans="1:6" x14ac:dyDescent="0.25">
      <c r="A248" s="16"/>
      <c r="C248"/>
      <c r="D248"/>
      <c r="E248"/>
      <c r="F248"/>
    </row>
    <row r="249" spans="1:6" x14ac:dyDescent="0.25">
      <c r="A249" s="16"/>
      <c r="C249"/>
      <c r="D249"/>
      <c r="E249"/>
      <c r="F249"/>
    </row>
    <row r="250" spans="1:6" x14ac:dyDescent="0.25">
      <c r="A250" s="16"/>
      <c r="C250"/>
      <c r="D250"/>
      <c r="E250"/>
      <c r="F250"/>
    </row>
    <row r="251" spans="1:6" x14ac:dyDescent="0.25">
      <c r="A251" s="16"/>
      <c r="C251"/>
      <c r="D251"/>
      <c r="E251"/>
      <c r="F251"/>
    </row>
    <row r="252" spans="1:6" x14ac:dyDescent="0.25">
      <c r="A252" s="16"/>
      <c r="C252"/>
      <c r="D252"/>
      <c r="E252"/>
      <c r="F252"/>
    </row>
    <row r="253" spans="1:6" x14ac:dyDescent="0.25">
      <c r="A253" s="16"/>
      <c r="C253"/>
      <c r="D253"/>
      <c r="E253"/>
      <c r="F253"/>
    </row>
    <row r="254" spans="1:6" x14ac:dyDescent="0.25">
      <c r="A254" s="16"/>
      <c r="C254"/>
      <c r="D254"/>
      <c r="E254"/>
      <c r="F254"/>
    </row>
    <row r="255" spans="1:6" x14ac:dyDescent="0.25">
      <c r="A255" s="16"/>
      <c r="C255"/>
      <c r="D255"/>
      <c r="E255"/>
      <c r="F255"/>
    </row>
    <row r="256" spans="1:6" x14ac:dyDescent="0.25">
      <c r="A256" s="16"/>
      <c r="C256"/>
      <c r="D256"/>
      <c r="E256"/>
      <c r="F256"/>
    </row>
    <row r="257" spans="1:6" x14ac:dyDescent="0.25">
      <c r="A257" s="16"/>
      <c r="C257"/>
      <c r="D257"/>
      <c r="E257"/>
      <c r="F257"/>
    </row>
    <row r="258" spans="1:6" x14ac:dyDescent="0.25">
      <c r="A258" s="16"/>
      <c r="C258"/>
      <c r="D258"/>
      <c r="E258"/>
      <c r="F258"/>
    </row>
    <row r="259" spans="1:6" x14ac:dyDescent="0.25">
      <c r="A259" s="16"/>
      <c r="C259"/>
      <c r="D259"/>
      <c r="E259"/>
      <c r="F259"/>
    </row>
    <row r="260" spans="1:6" x14ac:dyDescent="0.25">
      <c r="A260" s="16"/>
      <c r="C260"/>
      <c r="D260"/>
      <c r="E260"/>
      <c r="F260"/>
    </row>
    <row r="261" spans="1:6" x14ac:dyDescent="0.25">
      <c r="A261" s="16"/>
      <c r="C261"/>
      <c r="D261"/>
      <c r="E261"/>
      <c r="F261"/>
    </row>
    <row r="262" spans="1:6" x14ac:dyDescent="0.25">
      <c r="A262" s="16"/>
      <c r="C262"/>
      <c r="D262"/>
      <c r="E262"/>
      <c r="F262"/>
    </row>
    <row r="263" spans="1:6" x14ac:dyDescent="0.25">
      <c r="A263" s="16"/>
      <c r="C263"/>
      <c r="D263"/>
      <c r="E263"/>
      <c r="F263"/>
    </row>
    <row r="264" spans="1:6" x14ac:dyDescent="0.25">
      <c r="A264" s="16"/>
      <c r="C264"/>
      <c r="D264"/>
      <c r="E264"/>
      <c r="F264"/>
    </row>
    <row r="265" spans="1:6" x14ac:dyDescent="0.25">
      <c r="A265" s="16"/>
      <c r="C265"/>
      <c r="D265"/>
      <c r="E265"/>
      <c r="F265"/>
    </row>
    <row r="266" spans="1:6" x14ac:dyDescent="0.25">
      <c r="A266" s="16"/>
      <c r="C266"/>
      <c r="D266"/>
      <c r="E266"/>
      <c r="F266"/>
    </row>
    <row r="267" spans="1:6" x14ac:dyDescent="0.25">
      <c r="A267" s="16"/>
      <c r="C267"/>
      <c r="D267"/>
      <c r="E267"/>
      <c r="F267"/>
    </row>
    <row r="268" spans="1:6" x14ac:dyDescent="0.25">
      <c r="A268" s="16"/>
      <c r="C268"/>
      <c r="D268"/>
      <c r="E268"/>
      <c r="F268"/>
    </row>
    <row r="269" spans="1:6" x14ac:dyDescent="0.25">
      <c r="A269" s="16"/>
      <c r="C269"/>
      <c r="D269"/>
      <c r="E269"/>
      <c r="F269"/>
    </row>
    <row r="270" spans="1:6" x14ac:dyDescent="0.25">
      <c r="A270" s="16"/>
      <c r="C270"/>
      <c r="D270"/>
      <c r="E270"/>
      <c r="F270"/>
    </row>
    <row r="271" spans="1:6" x14ac:dyDescent="0.25">
      <c r="A271" s="16"/>
      <c r="C271"/>
      <c r="D271"/>
      <c r="E271"/>
      <c r="F271"/>
    </row>
    <row r="272" spans="1:6" x14ac:dyDescent="0.25">
      <c r="A272" s="16"/>
      <c r="C272"/>
      <c r="D272"/>
      <c r="E272"/>
      <c r="F272"/>
    </row>
    <row r="273" spans="1:6" x14ac:dyDescent="0.25">
      <c r="A273" s="16"/>
      <c r="C273"/>
      <c r="D273"/>
      <c r="E273"/>
      <c r="F273"/>
    </row>
    <row r="274" spans="1:6" x14ac:dyDescent="0.25">
      <c r="A274" s="16"/>
      <c r="C274"/>
      <c r="D274"/>
      <c r="E274"/>
      <c r="F274"/>
    </row>
    <row r="275" spans="1:6" x14ac:dyDescent="0.25">
      <c r="A275" s="16"/>
      <c r="C275"/>
      <c r="D275"/>
      <c r="E275"/>
      <c r="F275"/>
    </row>
    <row r="276" spans="1:6" x14ac:dyDescent="0.25">
      <c r="A276" s="16"/>
      <c r="C276"/>
      <c r="D276"/>
      <c r="E276"/>
      <c r="F276"/>
    </row>
    <row r="277" spans="1:6" x14ac:dyDescent="0.25">
      <c r="A277" s="16"/>
      <c r="C277"/>
      <c r="D277"/>
      <c r="E277"/>
      <c r="F277"/>
    </row>
    <row r="278" spans="1:6" x14ac:dyDescent="0.25">
      <c r="A278" s="16"/>
      <c r="C278"/>
      <c r="D278"/>
      <c r="E278"/>
      <c r="F278"/>
    </row>
    <row r="279" spans="1:6" x14ac:dyDescent="0.25">
      <c r="A279" s="16"/>
      <c r="C279"/>
      <c r="D279"/>
      <c r="E279"/>
      <c r="F279"/>
    </row>
    <row r="280" spans="1:6" x14ac:dyDescent="0.25">
      <c r="A280" s="16"/>
      <c r="C280"/>
      <c r="D280"/>
      <c r="E280"/>
      <c r="F280"/>
    </row>
    <row r="281" spans="1:6" x14ac:dyDescent="0.25">
      <c r="A281" s="16"/>
      <c r="C281"/>
      <c r="D281"/>
      <c r="E281"/>
      <c r="F281"/>
    </row>
    <row r="282" spans="1:6" x14ac:dyDescent="0.25">
      <c r="A282" s="16"/>
      <c r="C282"/>
      <c r="D282"/>
      <c r="E282"/>
      <c r="F282"/>
    </row>
    <row r="283" spans="1:6" x14ac:dyDescent="0.25">
      <c r="A283" s="16"/>
      <c r="C283"/>
      <c r="D283"/>
      <c r="E283"/>
      <c r="F283"/>
    </row>
    <row r="284" spans="1:6" x14ac:dyDescent="0.25">
      <c r="A284" s="16"/>
      <c r="C284"/>
      <c r="D284"/>
      <c r="E284"/>
      <c r="F284"/>
    </row>
    <row r="285" spans="1:6" x14ac:dyDescent="0.25">
      <c r="A285" s="16"/>
      <c r="C285"/>
      <c r="D285"/>
      <c r="E285"/>
      <c r="F285"/>
    </row>
    <row r="286" spans="1:6" x14ac:dyDescent="0.25">
      <c r="A286" s="16"/>
      <c r="C286"/>
      <c r="D286"/>
      <c r="E286"/>
      <c r="F286"/>
    </row>
    <row r="287" spans="1:6" x14ac:dyDescent="0.25">
      <c r="A287" s="16"/>
      <c r="C287"/>
      <c r="D287"/>
      <c r="E287"/>
      <c r="F287"/>
    </row>
    <row r="288" spans="1:6" x14ac:dyDescent="0.25">
      <c r="A288" s="16"/>
      <c r="C288"/>
      <c r="D288"/>
      <c r="E288"/>
      <c r="F288"/>
    </row>
    <row r="289" spans="1:6" x14ac:dyDescent="0.25">
      <c r="A289" s="16"/>
      <c r="C289"/>
      <c r="D289"/>
      <c r="E289"/>
      <c r="F289"/>
    </row>
    <row r="290" spans="1:6" x14ac:dyDescent="0.25">
      <c r="A290" s="16"/>
      <c r="C290"/>
      <c r="D290"/>
      <c r="E290"/>
      <c r="F290"/>
    </row>
    <row r="291" spans="1:6" x14ac:dyDescent="0.25">
      <c r="A291" s="16"/>
      <c r="C291"/>
      <c r="D291"/>
      <c r="E291"/>
      <c r="F291"/>
    </row>
    <row r="292" spans="1:6" x14ac:dyDescent="0.25">
      <c r="A292" s="16"/>
      <c r="C292"/>
      <c r="D292"/>
      <c r="E292"/>
      <c r="F292"/>
    </row>
    <row r="293" spans="1:6" x14ac:dyDescent="0.25">
      <c r="A293" s="16"/>
      <c r="C293"/>
      <c r="D293"/>
      <c r="E293"/>
      <c r="F293"/>
    </row>
    <row r="294" spans="1:6" x14ac:dyDescent="0.25">
      <c r="A294" s="16"/>
      <c r="C294"/>
      <c r="D294"/>
      <c r="E294"/>
      <c r="F294"/>
    </row>
    <row r="295" spans="1:6" x14ac:dyDescent="0.25">
      <c r="A295" s="16"/>
      <c r="C295"/>
      <c r="D295"/>
      <c r="E295"/>
      <c r="F295"/>
    </row>
    <row r="296" spans="1:6" x14ac:dyDescent="0.25">
      <c r="A296" s="16"/>
      <c r="C296"/>
      <c r="D296"/>
      <c r="E296"/>
      <c r="F296"/>
    </row>
    <row r="297" spans="1:6" x14ac:dyDescent="0.25">
      <c r="A297" s="16"/>
      <c r="C297"/>
      <c r="D297"/>
      <c r="E297"/>
      <c r="F297"/>
    </row>
    <row r="298" spans="1:6" x14ac:dyDescent="0.25">
      <c r="A298" s="16"/>
      <c r="C298"/>
      <c r="D298"/>
      <c r="E298"/>
      <c r="F298"/>
    </row>
    <row r="299" spans="1:6" x14ac:dyDescent="0.25">
      <c r="A299" s="16"/>
      <c r="C299"/>
      <c r="D299"/>
      <c r="E299"/>
      <c r="F299"/>
    </row>
    <row r="300" spans="1:6" x14ac:dyDescent="0.25">
      <c r="A300" s="16"/>
      <c r="C300"/>
      <c r="D300"/>
      <c r="E300"/>
      <c r="F300"/>
    </row>
    <row r="301" spans="1:6" x14ac:dyDescent="0.25">
      <c r="A301" s="16"/>
      <c r="C301"/>
      <c r="D301"/>
      <c r="E301"/>
      <c r="F301"/>
    </row>
    <row r="302" spans="1:6" x14ac:dyDescent="0.25">
      <c r="A302" s="16"/>
      <c r="C302"/>
      <c r="D302"/>
      <c r="E302"/>
      <c r="F302"/>
    </row>
    <row r="303" spans="1:6" x14ac:dyDescent="0.25">
      <c r="A303" s="16"/>
      <c r="C303"/>
      <c r="D303"/>
      <c r="E303"/>
      <c r="F303"/>
    </row>
    <row r="304" spans="1:6" x14ac:dyDescent="0.25">
      <c r="A304" s="16"/>
      <c r="C304"/>
      <c r="D304"/>
      <c r="E304"/>
      <c r="F304"/>
    </row>
    <row r="305" spans="1:6" x14ac:dyDescent="0.25">
      <c r="A305" s="16"/>
      <c r="C305"/>
      <c r="D305"/>
      <c r="E305"/>
      <c r="F305"/>
    </row>
    <row r="306" spans="1:6" x14ac:dyDescent="0.25">
      <c r="A306" s="16"/>
      <c r="C306"/>
      <c r="D306"/>
      <c r="E306"/>
      <c r="F306"/>
    </row>
    <row r="307" spans="1:6" x14ac:dyDescent="0.25">
      <c r="A307" s="16"/>
      <c r="C307"/>
      <c r="D307"/>
      <c r="E307"/>
      <c r="F307"/>
    </row>
    <row r="308" spans="1:6" x14ac:dyDescent="0.25">
      <c r="A308" s="16"/>
      <c r="C308"/>
      <c r="D308"/>
      <c r="E308"/>
      <c r="F308"/>
    </row>
    <row r="309" spans="1:6" x14ac:dyDescent="0.25">
      <c r="A309" s="16"/>
      <c r="C309"/>
      <c r="D309"/>
      <c r="E309"/>
      <c r="F309"/>
    </row>
    <row r="310" spans="1:6" x14ac:dyDescent="0.25">
      <c r="A310" s="16"/>
      <c r="C310"/>
      <c r="D310"/>
      <c r="E310"/>
      <c r="F310"/>
    </row>
    <row r="311" spans="1:6" x14ac:dyDescent="0.25">
      <c r="A311" s="16"/>
      <c r="C311"/>
      <c r="D311"/>
      <c r="E311"/>
      <c r="F311"/>
    </row>
    <row r="312" spans="1:6" x14ac:dyDescent="0.25">
      <c r="A312" s="16"/>
      <c r="C312"/>
      <c r="D312"/>
      <c r="E312"/>
      <c r="F312"/>
    </row>
    <row r="313" spans="1:6" x14ac:dyDescent="0.25">
      <c r="A313" s="16"/>
      <c r="C313"/>
      <c r="D313"/>
      <c r="E313"/>
      <c r="F313"/>
    </row>
    <row r="314" spans="1:6" x14ac:dyDescent="0.25">
      <c r="A314" s="16"/>
      <c r="C314"/>
      <c r="D314"/>
      <c r="E314"/>
      <c r="F314"/>
    </row>
    <row r="315" spans="1:6" x14ac:dyDescent="0.25">
      <c r="A315" s="16"/>
      <c r="C315"/>
      <c r="D315"/>
      <c r="E315"/>
      <c r="F315"/>
    </row>
    <row r="316" spans="1:6" x14ac:dyDescent="0.25">
      <c r="A316" s="16"/>
      <c r="C316"/>
      <c r="D316"/>
      <c r="E316"/>
      <c r="F316"/>
    </row>
    <row r="317" spans="1:6" x14ac:dyDescent="0.25">
      <c r="A317" s="16"/>
      <c r="C317"/>
      <c r="D317"/>
      <c r="E317"/>
      <c r="F317"/>
    </row>
    <row r="318" spans="1:6" x14ac:dyDescent="0.25">
      <c r="A318" s="16"/>
      <c r="C318"/>
      <c r="D318"/>
      <c r="E318"/>
      <c r="F318"/>
    </row>
    <row r="319" spans="1:6" x14ac:dyDescent="0.25">
      <c r="A319" s="16"/>
      <c r="C319"/>
      <c r="D319"/>
      <c r="E319"/>
      <c r="F319"/>
    </row>
    <row r="320" spans="1:6" x14ac:dyDescent="0.25">
      <c r="A320" s="16"/>
      <c r="C320"/>
      <c r="D320"/>
      <c r="E320"/>
      <c r="F320"/>
    </row>
    <row r="321" spans="1:6" x14ac:dyDescent="0.25">
      <c r="A321" s="16"/>
      <c r="C321"/>
      <c r="D321"/>
      <c r="E321"/>
      <c r="F321"/>
    </row>
    <row r="322" spans="1:6" x14ac:dyDescent="0.25">
      <c r="A322" s="16"/>
      <c r="C322"/>
      <c r="D322"/>
      <c r="E322"/>
      <c r="F322"/>
    </row>
    <row r="323" spans="1:6" x14ac:dyDescent="0.25">
      <c r="A323" s="16"/>
      <c r="C323"/>
      <c r="D323"/>
      <c r="E323"/>
      <c r="F323"/>
    </row>
    <row r="324" spans="1:6" x14ac:dyDescent="0.25">
      <c r="A324" s="16"/>
      <c r="C324"/>
      <c r="D324"/>
      <c r="E324"/>
      <c r="F324"/>
    </row>
    <row r="325" spans="1:6" x14ac:dyDescent="0.25">
      <c r="A325" s="16"/>
      <c r="C325"/>
      <c r="D325"/>
      <c r="E325"/>
      <c r="F325"/>
    </row>
    <row r="326" spans="1:6" x14ac:dyDescent="0.25">
      <c r="A326" s="16"/>
      <c r="C326"/>
      <c r="D326"/>
      <c r="E326"/>
      <c r="F326"/>
    </row>
    <row r="327" spans="1:6" x14ac:dyDescent="0.25">
      <c r="A327" s="16"/>
      <c r="C327"/>
      <c r="D327"/>
      <c r="E327"/>
      <c r="F327"/>
    </row>
    <row r="328" spans="1:6" x14ac:dyDescent="0.25">
      <c r="A328" s="16"/>
      <c r="C328"/>
      <c r="D328"/>
      <c r="E328"/>
      <c r="F328"/>
    </row>
    <row r="329" spans="1:6" x14ac:dyDescent="0.25">
      <c r="A329" s="16"/>
      <c r="C329"/>
      <c r="D329"/>
      <c r="E329"/>
      <c r="F329"/>
    </row>
    <row r="330" spans="1:6" x14ac:dyDescent="0.25">
      <c r="A330" s="16"/>
      <c r="C330"/>
      <c r="D330"/>
      <c r="E330"/>
      <c r="F330"/>
    </row>
    <row r="331" spans="1:6" x14ac:dyDescent="0.25">
      <c r="A331" s="16"/>
      <c r="C331"/>
      <c r="D331"/>
      <c r="E331"/>
      <c r="F331"/>
    </row>
    <row r="332" spans="1:6" x14ac:dyDescent="0.25">
      <c r="A332" s="16"/>
      <c r="C332"/>
      <c r="D332"/>
      <c r="E332"/>
      <c r="F332"/>
    </row>
    <row r="333" spans="1:6" x14ac:dyDescent="0.25">
      <c r="A333" s="16"/>
      <c r="C333"/>
      <c r="D333"/>
      <c r="E333"/>
      <c r="F333"/>
    </row>
    <row r="334" spans="1:6" x14ac:dyDescent="0.25">
      <c r="A334" s="16"/>
      <c r="C334"/>
      <c r="D334"/>
      <c r="E334"/>
      <c r="F334"/>
    </row>
    <row r="335" spans="1:6" x14ac:dyDescent="0.25">
      <c r="A335" s="16"/>
      <c r="C335"/>
      <c r="D335"/>
      <c r="E335"/>
      <c r="F335"/>
    </row>
    <row r="336" spans="1:6" x14ac:dyDescent="0.25">
      <c r="A336" s="16"/>
      <c r="C336"/>
      <c r="D336"/>
      <c r="E336"/>
      <c r="F336"/>
    </row>
    <row r="337" spans="1:6" x14ac:dyDescent="0.25">
      <c r="A337" s="16"/>
      <c r="C337"/>
      <c r="D337"/>
      <c r="E337"/>
      <c r="F337"/>
    </row>
    <row r="338" spans="1:6" x14ac:dyDescent="0.25">
      <c r="A338" s="16"/>
      <c r="C338"/>
      <c r="D338"/>
      <c r="E338"/>
      <c r="F338"/>
    </row>
    <row r="339" spans="1:6" x14ac:dyDescent="0.25">
      <c r="A339" s="16"/>
      <c r="C339"/>
      <c r="D339"/>
      <c r="E339"/>
      <c r="F339"/>
    </row>
    <row r="340" spans="1:6" x14ac:dyDescent="0.25">
      <c r="A340" s="16"/>
      <c r="C340"/>
      <c r="D340"/>
      <c r="E340"/>
      <c r="F340"/>
    </row>
    <row r="341" spans="1:6" x14ac:dyDescent="0.25">
      <c r="A341" s="16"/>
      <c r="C341"/>
      <c r="D341"/>
      <c r="E341"/>
      <c r="F341"/>
    </row>
    <row r="342" spans="1:6" x14ac:dyDescent="0.25">
      <c r="A342" s="16"/>
      <c r="C342"/>
      <c r="D342"/>
      <c r="E342"/>
      <c r="F342"/>
    </row>
    <row r="343" spans="1:6" x14ac:dyDescent="0.25">
      <c r="A343" s="16"/>
      <c r="C343"/>
      <c r="D343"/>
      <c r="E343"/>
      <c r="F343"/>
    </row>
    <row r="344" spans="1:6" x14ac:dyDescent="0.25">
      <c r="A344" s="16"/>
      <c r="C344"/>
      <c r="D344"/>
      <c r="E344"/>
      <c r="F344"/>
    </row>
    <row r="345" spans="1:6" x14ac:dyDescent="0.25">
      <c r="A345" s="16"/>
      <c r="C345"/>
      <c r="D345"/>
      <c r="E345"/>
      <c r="F345"/>
    </row>
    <row r="346" spans="1:6" x14ac:dyDescent="0.25">
      <c r="A346" s="16"/>
      <c r="C346"/>
      <c r="D346"/>
      <c r="E346"/>
      <c r="F346"/>
    </row>
    <row r="347" spans="1:6" x14ac:dyDescent="0.25">
      <c r="A347" s="16"/>
      <c r="C347"/>
      <c r="D347"/>
      <c r="E347"/>
      <c r="F347"/>
    </row>
    <row r="348" spans="1:6" x14ac:dyDescent="0.25">
      <c r="A348" s="16"/>
      <c r="C348"/>
      <c r="D348"/>
      <c r="E348"/>
      <c r="F348"/>
    </row>
    <row r="349" spans="1:6" x14ac:dyDescent="0.25">
      <c r="A349" s="16"/>
      <c r="C349"/>
      <c r="D349"/>
      <c r="E349"/>
      <c r="F349"/>
    </row>
    <row r="350" spans="1:6" x14ac:dyDescent="0.25">
      <c r="A350" s="16"/>
      <c r="C350"/>
      <c r="D350"/>
      <c r="E350"/>
      <c r="F350"/>
    </row>
    <row r="351" spans="1:6" x14ac:dyDescent="0.25">
      <c r="A351" s="16"/>
      <c r="C351"/>
      <c r="D351"/>
      <c r="E351"/>
      <c r="F351"/>
    </row>
    <row r="352" spans="1:6" x14ac:dyDescent="0.25">
      <c r="A352" s="16"/>
      <c r="C352"/>
      <c r="D352"/>
      <c r="E352"/>
      <c r="F352"/>
    </row>
    <row r="353" spans="1:6" x14ac:dyDescent="0.25">
      <c r="A353" s="16"/>
      <c r="C353"/>
      <c r="D353"/>
      <c r="E353"/>
      <c r="F353"/>
    </row>
    <row r="354" spans="1:6" x14ac:dyDescent="0.25">
      <c r="A354" s="16"/>
      <c r="C354"/>
      <c r="D354"/>
      <c r="E354"/>
      <c r="F354"/>
    </row>
    <row r="355" spans="1:6" x14ac:dyDescent="0.25">
      <c r="A355" s="16"/>
      <c r="C355"/>
      <c r="D355"/>
      <c r="E355"/>
      <c r="F355"/>
    </row>
    <row r="356" spans="1:6" x14ac:dyDescent="0.25">
      <c r="A356" s="16"/>
      <c r="C356"/>
      <c r="D356"/>
      <c r="E356"/>
      <c r="F356"/>
    </row>
    <row r="357" spans="1:6" x14ac:dyDescent="0.25">
      <c r="A357" s="16"/>
      <c r="C357"/>
      <c r="D357"/>
      <c r="E357"/>
      <c r="F357"/>
    </row>
    <row r="358" spans="1:6" x14ac:dyDescent="0.25">
      <c r="A358" s="16"/>
      <c r="C358"/>
      <c r="D358"/>
      <c r="E358"/>
      <c r="F358"/>
    </row>
    <row r="359" spans="1:6" x14ac:dyDescent="0.25">
      <c r="A359" s="16"/>
      <c r="C359"/>
      <c r="D359"/>
      <c r="E359"/>
      <c r="F359"/>
    </row>
    <row r="360" spans="1:6" x14ac:dyDescent="0.25">
      <c r="A360" s="16"/>
      <c r="C360"/>
      <c r="D360"/>
      <c r="E360"/>
      <c r="F360"/>
    </row>
    <row r="361" spans="1:6" x14ac:dyDescent="0.25">
      <c r="A361" s="16"/>
      <c r="C361"/>
      <c r="D361"/>
      <c r="E361"/>
      <c r="F361"/>
    </row>
    <row r="362" spans="1:6" x14ac:dyDescent="0.25">
      <c r="A362" s="16"/>
      <c r="C362"/>
      <c r="D362"/>
      <c r="E362"/>
      <c r="F362"/>
    </row>
    <row r="363" spans="1:6" x14ac:dyDescent="0.25">
      <c r="A363" s="16"/>
      <c r="C363"/>
      <c r="D363"/>
      <c r="E363"/>
      <c r="F363"/>
    </row>
    <row r="364" spans="1:6" x14ac:dyDescent="0.25">
      <c r="A364" s="16"/>
      <c r="C364"/>
      <c r="D364"/>
      <c r="E364"/>
      <c r="F364"/>
    </row>
    <row r="365" spans="1:6" x14ac:dyDescent="0.25">
      <c r="A365" s="16"/>
      <c r="C365"/>
      <c r="D365"/>
      <c r="E365"/>
      <c r="F365"/>
    </row>
    <row r="366" spans="1:6" x14ac:dyDescent="0.25">
      <c r="A366" s="16"/>
      <c r="C366"/>
      <c r="D366"/>
      <c r="E366"/>
      <c r="F366"/>
    </row>
    <row r="367" spans="1:6" x14ac:dyDescent="0.25">
      <c r="A367" s="16"/>
      <c r="C367"/>
      <c r="D367"/>
      <c r="E367"/>
      <c r="F367"/>
    </row>
    <row r="368" spans="1:6" x14ac:dyDescent="0.25">
      <c r="A368" s="16"/>
      <c r="C368"/>
      <c r="D368"/>
      <c r="E368"/>
      <c r="F368"/>
    </row>
    <row r="369" spans="1:6" x14ac:dyDescent="0.25">
      <c r="A369" s="16"/>
      <c r="C369"/>
      <c r="D369"/>
      <c r="E369"/>
      <c r="F369"/>
    </row>
    <row r="370" spans="1:6" x14ac:dyDescent="0.25">
      <c r="A370" s="16"/>
      <c r="C370"/>
      <c r="D370"/>
      <c r="E370"/>
      <c r="F370"/>
    </row>
    <row r="371" spans="1:6" x14ac:dyDescent="0.25">
      <c r="A371" s="16"/>
      <c r="C371"/>
      <c r="D371"/>
      <c r="E371"/>
      <c r="F371"/>
    </row>
    <row r="372" spans="1:6" x14ac:dyDescent="0.25">
      <c r="A372" s="16"/>
      <c r="C372"/>
      <c r="D372"/>
      <c r="E372"/>
      <c r="F372"/>
    </row>
    <row r="373" spans="1:6" x14ac:dyDescent="0.25">
      <c r="A373" s="16"/>
      <c r="C373"/>
      <c r="D373"/>
      <c r="E373"/>
      <c r="F373"/>
    </row>
    <row r="374" spans="1:6" x14ac:dyDescent="0.25">
      <c r="A374" s="16"/>
      <c r="C374"/>
      <c r="D374"/>
      <c r="E374"/>
      <c r="F374"/>
    </row>
    <row r="375" spans="1:6" x14ac:dyDescent="0.25">
      <c r="A375" s="16"/>
      <c r="C375"/>
      <c r="D375"/>
      <c r="E375"/>
      <c r="F375"/>
    </row>
    <row r="376" spans="1:6" x14ac:dyDescent="0.25">
      <c r="A376" s="16"/>
      <c r="C376"/>
      <c r="D376"/>
      <c r="E376"/>
      <c r="F376"/>
    </row>
    <row r="377" spans="1:6" x14ac:dyDescent="0.25">
      <c r="A377" s="16"/>
      <c r="C377"/>
      <c r="D377"/>
      <c r="E377"/>
      <c r="F377"/>
    </row>
    <row r="378" spans="1:6" x14ac:dyDescent="0.25">
      <c r="A378" s="16"/>
      <c r="C378"/>
      <c r="D378"/>
      <c r="E378"/>
      <c r="F378"/>
    </row>
    <row r="379" spans="1:6" x14ac:dyDescent="0.25">
      <c r="A379" s="16"/>
      <c r="C379"/>
      <c r="D379"/>
      <c r="E379"/>
      <c r="F379"/>
    </row>
    <row r="380" spans="1:6" x14ac:dyDescent="0.25">
      <c r="A380" s="16"/>
      <c r="C380"/>
      <c r="D380"/>
      <c r="E380"/>
      <c r="F380"/>
    </row>
    <row r="381" spans="1:6" x14ac:dyDescent="0.25">
      <c r="A381" s="16"/>
      <c r="C381"/>
      <c r="D381"/>
      <c r="E381"/>
      <c r="F381"/>
    </row>
    <row r="382" spans="1:6" x14ac:dyDescent="0.25">
      <c r="A382" s="16"/>
      <c r="C382"/>
      <c r="D382"/>
      <c r="E382"/>
      <c r="F382"/>
    </row>
    <row r="383" spans="1:6" x14ac:dyDescent="0.25">
      <c r="A383" s="16"/>
      <c r="C383"/>
      <c r="D383"/>
      <c r="E383"/>
      <c r="F383"/>
    </row>
    <row r="384" spans="1:6" x14ac:dyDescent="0.25">
      <c r="A384" s="16"/>
      <c r="C384"/>
      <c r="D384"/>
      <c r="E384"/>
      <c r="F384"/>
    </row>
    <row r="385" spans="1:6" x14ac:dyDescent="0.25">
      <c r="A385" s="16"/>
      <c r="C385"/>
      <c r="D385"/>
      <c r="E385"/>
      <c r="F385"/>
    </row>
    <row r="386" spans="1:6" x14ac:dyDescent="0.25">
      <c r="A386" s="16"/>
      <c r="C386"/>
      <c r="D386"/>
      <c r="E386"/>
      <c r="F386"/>
    </row>
    <row r="387" spans="1:6" x14ac:dyDescent="0.25">
      <c r="A387" s="16"/>
      <c r="C387"/>
      <c r="D387"/>
      <c r="E387"/>
      <c r="F387"/>
    </row>
    <row r="388" spans="1:6" x14ac:dyDescent="0.25">
      <c r="A388" s="16"/>
      <c r="C388"/>
      <c r="D388"/>
      <c r="E388"/>
      <c r="F388"/>
    </row>
    <row r="389" spans="1:6" x14ac:dyDescent="0.25">
      <c r="A389" s="16"/>
      <c r="C389"/>
      <c r="D389"/>
      <c r="E389"/>
      <c r="F389"/>
    </row>
    <row r="390" spans="1:6" x14ac:dyDescent="0.25">
      <c r="A390" s="16"/>
      <c r="C390"/>
      <c r="D390"/>
      <c r="E390"/>
      <c r="F390"/>
    </row>
    <row r="391" spans="1:6" x14ac:dyDescent="0.25">
      <c r="A391" s="16"/>
      <c r="C391"/>
      <c r="D391"/>
      <c r="E391"/>
      <c r="F391"/>
    </row>
    <row r="392" spans="1:6" x14ac:dyDescent="0.25">
      <c r="A392" s="16"/>
      <c r="C392"/>
      <c r="D392"/>
      <c r="E392"/>
      <c r="F392"/>
    </row>
    <row r="393" spans="1:6" x14ac:dyDescent="0.25">
      <c r="A393" s="16"/>
      <c r="C393"/>
      <c r="D393"/>
      <c r="E393"/>
      <c r="F393"/>
    </row>
    <row r="394" spans="1:6" x14ac:dyDescent="0.25">
      <c r="A394" s="16"/>
      <c r="C394"/>
      <c r="D394"/>
      <c r="E394"/>
      <c r="F394"/>
    </row>
    <row r="395" spans="1:6" x14ac:dyDescent="0.25">
      <c r="A395" s="16"/>
      <c r="C395"/>
      <c r="D395"/>
      <c r="E395"/>
      <c r="F395"/>
    </row>
    <row r="396" spans="1:6" x14ac:dyDescent="0.25">
      <c r="A396" s="16"/>
      <c r="C396"/>
      <c r="D396"/>
      <c r="E396"/>
      <c r="F396"/>
    </row>
    <row r="397" spans="1:6" x14ac:dyDescent="0.25">
      <c r="A397" s="16"/>
      <c r="C397"/>
      <c r="D397"/>
      <c r="E397"/>
      <c r="F397"/>
    </row>
    <row r="398" spans="1:6" x14ac:dyDescent="0.25">
      <c r="A398" s="16"/>
      <c r="C398"/>
      <c r="D398"/>
      <c r="E398"/>
      <c r="F398"/>
    </row>
    <row r="399" spans="1:6" x14ac:dyDescent="0.25">
      <c r="A399" s="16"/>
      <c r="C399"/>
      <c r="D399"/>
      <c r="E399"/>
      <c r="F399"/>
    </row>
    <row r="400" spans="1:6" x14ac:dyDescent="0.25">
      <c r="A400" s="16"/>
      <c r="C400"/>
      <c r="D400"/>
      <c r="E400"/>
      <c r="F400"/>
    </row>
    <row r="401" spans="1:6" x14ac:dyDescent="0.25">
      <c r="A401" s="16"/>
      <c r="C401"/>
      <c r="D401"/>
      <c r="E401"/>
      <c r="F401"/>
    </row>
    <row r="402" spans="1:6" x14ac:dyDescent="0.25">
      <c r="A402" s="16"/>
      <c r="C402"/>
      <c r="D402"/>
      <c r="E402"/>
      <c r="F402"/>
    </row>
    <row r="403" spans="1:6" x14ac:dyDescent="0.25">
      <c r="A403" s="16"/>
      <c r="C403"/>
      <c r="D403"/>
      <c r="E403"/>
      <c r="F403"/>
    </row>
    <row r="404" spans="1:6" x14ac:dyDescent="0.25">
      <c r="A404" s="16"/>
      <c r="C404"/>
      <c r="D404"/>
      <c r="E404"/>
      <c r="F404"/>
    </row>
    <row r="405" spans="1:6" x14ac:dyDescent="0.25">
      <c r="A405" s="16"/>
      <c r="C405"/>
      <c r="D405"/>
      <c r="E405"/>
      <c r="F405"/>
    </row>
    <row r="406" spans="1:6" x14ac:dyDescent="0.25">
      <c r="A406" s="16"/>
      <c r="C406"/>
      <c r="D406"/>
      <c r="E406"/>
      <c r="F406"/>
    </row>
    <row r="407" spans="1:6" x14ac:dyDescent="0.25">
      <c r="A407" s="16"/>
      <c r="C407"/>
      <c r="D407"/>
      <c r="E407"/>
      <c r="F407"/>
    </row>
    <row r="408" spans="1:6" x14ac:dyDescent="0.25">
      <c r="A408" s="16"/>
      <c r="C408"/>
      <c r="D408"/>
      <c r="E408"/>
      <c r="F408"/>
    </row>
    <row r="409" spans="1:6" x14ac:dyDescent="0.25">
      <c r="A409" s="16"/>
      <c r="C409"/>
      <c r="D409"/>
      <c r="E409"/>
      <c r="F409"/>
    </row>
    <row r="410" spans="1:6" x14ac:dyDescent="0.25">
      <c r="A410" s="16"/>
      <c r="C410"/>
      <c r="D410"/>
      <c r="E410"/>
      <c r="F410"/>
    </row>
    <row r="411" spans="1:6" x14ac:dyDescent="0.25">
      <c r="A411" s="16"/>
      <c r="C411"/>
      <c r="D411"/>
      <c r="E411"/>
      <c r="F411"/>
    </row>
    <row r="412" spans="1:6" x14ac:dyDescent="0.25">
      <c r="A412" s="16"/>
      <c r="C412"/>
      <c r="D412"/>
      <c r="E412"/>
      <c r="F412"/>
    </row>
    <row r="413" spans="1:6" x14ac:dyDescent="0.25">
      <c r="A413" s="16"/>
      <c r="C413"/>
      <c r="D413"/>
      <c r="E413"/>
      <c r="F413"/>
    </row>
    <row r="414" spans="1:6" x14ac:dyDescent="0.25">
      <c r="A414" s="16"/>
      <c r="C414"/>
      <c r="D414"/>
      <c r="E414"/>
      <c r="F414"/>
    </row>
    <row r="415" spans="1:6" x14ac:dyDescent="0.25">
      <c r="A415" s="16"/>
      <c r="C415"/>
      <c r="D415"/>
      <c r="E415"/>
      <c r="F415"/>
    </row>
    <row r="416" spans="1:6" x14ac:dyDescent="0.25">
      <c r="A416" s="16"/>
      <c r="C416"/>
      <c r="D416"/>
      <c r="E416"/>
      <c r="F416"/>
    </row>
    <row r="417" spans="1:6" x14ac:dyDescent="0.25">
      <c r="A417" s="16"/>
      <c r="C417"/>
      <c r="D417"/>
      <c r="E417"/>
      <c r="F417"/>
    </row>
    <row r="418" spans="1:6" x14ac:dyDescent="0.25">
      <c r="A418" s="16"/>
      <c r="C418"/>
      <c r="D418"/>
      <c r="E418"/>
      <c r="F418"/>
    </row>
    <row r="419" spans="1:6" x14ac:dyDescent="0.25">
      <c r="A419" s="16"/>
      <c r="C419"/>
      <c r="D419"/>
      <c r="E419"/>
      <c r="F419"/>
    </row>
    <row r="420" spans="1:6" x14ac:dyDescent="0.25">
      <c r="A420" s="16"/>
      <c r="C420"/>
      <c r="D420"/>
      <c r="E420"/>
      <c r="F420"/>
    </row>
    <row r="421" spans="1:6" x14ac:dyDescent="0.25">
      <c r="A421" s="16"/>
      <c r="C421"/>
      <c r="D421"/>
      <c r="E421"/>
      <c r="F421"/>
    </row>
    <row r="422" spans="1:6" x14ac:dyDescent="0.25">
      <c r="A422" s="16"/>
      <c r="C422"/>
      <c r="D422"/>
      <c r="E422"/>
      <c r="F422"/>
    </row>
    <row r="423" spans="1:6" x14ac:dyDescent="0.25">
      <c r="A423" s="16"/>
      <c r="C423"/>
      <c r="D423"/>
      <c r="E423"/>
      <c r="F423"/>
    </row>
    <row r="424" spans="1:6" x14ac:dyDescent="0.25">
      <c r="A424" s="16"/>
      <c r="C424"/>
      <c r="D424"/>
      <c r="E424"/>
      <c r="F424"/>
    </row>
    <row r="425" spans="1:6" x14ac:dyDescent="0.25">
      <c r="A425" s="16"/>
      <c r="C425"/>
      <c r="D425"/>
      <c r="E425"/>
      <c r="F425"/>
    </row>
    <row r="426" spans="1:6" x14ac:dyDescent="0.25">
      <c r="A426" s="16"/>
      <c r="C426"/>
      <c r="D426"/>
      <c r="E426"/>
      <c r="F426"/>
    </row>
    <row r="427" spans="1:6" x14ac:dyDescent="0.25">
      <c r="A427" s="16"/>
      <c r="C427"/>
      <c r="D427"/>
      <c r="E427"/>
      <c r="F427"/>
    </row>
    <row r="428" spans="1:6" x14ac:dyDescent="0.25">
      <c r="A428" s="16"/>
      <c r="C428"/>
      <c r="D428"/>
      <c r="E428"/>
      <c r="F428"/>
    </row>
    <row r="429" spans="1:6" x14ac:dyDescent="0.25">
      <c r="A429" s="16"/>
      <c r="C429"/>
      <c r="D429"/>
      <c r="E429"/>
      <c r="F429"/>
    </row>
    <row r="430" spans="1:6" x14ac:dyDescent="0.25">
      <c r="A430" s="16"/>
      <c r="C430"/>
      <c r="D430"/>
      <c r="E430"/>
      <c r="F430"/>
    </row>
    <row r="431" spans="1:6" x14ac:dyDescent="0.25">
      <c r="A431" s="16"/>
      <c r="C431"/>
      <c r="D431"/>
      <c r="E431"/>
      <c r="F431"/>
    </row>
    <row r="432" spans="1:6" x14ac:dyDescent="0.25">
      <c r="A432" s="16"/>
      <c r="C432"/>
      <c r="D432"/>
      <c r="E432"/>
      <c r="F432"/>
    </row>
    <row r="433" spans="1:6" x14ac:dyDescent="0.25">
      <c r="A433" s="16"/>
      <c r="C433"/>
      <c r="D433"/>
      <c r="E433"/>
      <c r="F433"/>
    </row>
    <row r="434" spans="1:6" x14ac:dyDescent="0.25">
      <c r="A434" s="16"/>
      <c r="C434"/>
      <c r="D434"/>
      <c r="E434"/>
      <c r="F434"/>
    </row>
    <row r="435" spans="1:6" x14ac:dyDescent="0.25">
      <c r="A435" s="16"/>
      <c r="C435"/>
      <c r="D435"/>
      <c r="E435"/>
      <c r="F435"/>
    </row>
    <row r="436" spans="1:6" x14ac:dyDescent="0.25">
      <c r="A436" s="16"/>
      <c r="C436"/>
      <c r="D436"/>
      <c r="E436"/>
      <c r="F436"/>
    </row>
    <row r="437" spans="1:6" x14ac:dyDescent="0.25">
      <c r="A437" s="16"/>
      <c r="C437"/>
      <c r="D437"/>
      <c r="E437"/>
      <c r="F437"/>
    </row>
    <row r="438" spans="1:6" x14ac:dyDescent="0.25">
      <c r="A438" s="16"/>
      <c r="C438"/>
      <c r="D438"/>
      <c r="E438"/>
      <c r="F438"/>
    </row>
    <row r="439" spans="1:6" x14ac:dyDescent="0.25">
      <c r="A439" s="16"/>
      <c r="C439"/>
      <c r="D439"/>
      <c r="E439"/>
      <c r="F439"/>
    </row>
    <row r="440" spans="1:6" x14ac:dyDescent="0.25">
      <c r="A440" s="16"/>
      <c r="C440"/>
      <c r="D440"/>
      <c r="E440"/>
      <c r="F440"/>
    </row>
    <row r="441" spans="1:6" x14ac:dyDescent="0.25">
      <c r="A441" s="16"/>
      <c r="C441"/>
      <c r="D441"/>
      <c r="E441"/>
      <c r="F441"/>
    </row>
    <row r="442" spans="1:6" x14ac:dyDescent="0.25">
      <c r="A442" s="16"/>
      <c r="C442"/>
      <c r="D442"/>
      <c r="E442"/>
      <c r="F442"/>
    </row>
    <row r="443" spans="1:6" x14ac:dyDescent="0.25">
      <c r="A443" s="16"/>
      <c r="C443"/>
      <c r="D443"/>
      <c r="E443"/>
      <c r="F443"/>
    </row>
    <row r="444" spans="1:6" x14ac:dyDescent="0.25">
      <c r="A444" s="16"/>
      <c r="C444"/>
      <c r="D444"/>
      <c r="E444"/>
      <c r="F444"/>
    </row>
    <row r="445" spans="1:6" x14ac:dyDescent="0.25">
      <c r="A445" s="16"/>
      <c r="C445"/>
      <c r="D445"/>
      <c r="E445"/>
      <c r="F445"/>
    </row>
    <row r="446" spans="1:6" x14ac:dyDescent="0.25">
      <c r="A446" s="16"/>
      <c r="C446"/>
      <c r="D446"/>
      <c r="E446"/>
      <c r="F446"/>
    </row>
    <row r="447" spans="1:6" x14ac:dyDescent="0.25">
      <c r="A447" s="16"/>
      <c r="C447"/>
      <c r="D447"/>
      <c r="E447"/>
      <c r="F447"/>
    </row>
    <row r="448" spans="1:6" x14ac:dyDescent="0.25">
      <c r="A448" s="16"/>
      <c r="C448"/>
      <c r="D448"/>
      <c r="E448"/>
      <c r="F448"/>
    </row>
    <row r="449" spans="1:6" x14ac:dyDescent="0.25">
      <c r="A449" s="16"/>
      <c r="C449"/>
      <c r="D449"/>
      <c r="E449"/>
      <c r="F449"/>
    </row>
    <row r="450" spans="1:6" x14ac:dyDescent="0.25">
      <c r="A450" s="16"/>
      <c r="C450"/>
      <c r="D450"/>
      <c r="E450"/>
      <c r="F450"/>
    </row>
    <row r="451" spans="1:6" x14ac:dyDescent="0.25">
      <c r="A451" s="16"/>
      <c r="C451"/>
      <c r="D451"/>
      <c r="E451"/>
      <c r="F451"/>
    </row>
    <row r="452" spans="1:6" x14ac:dyDescent="0.25">
      <c r="A452" s="16"/>
      <c r="C452"/>
      <c r="D452"/>
      <c r="E452"/>
      <c r="F452"/>
    </row>
    <row r="453" spans="1:6" x14ac:dyDescent="0.25">
      <c r="A453" s="16"/>
      <c r="C453"/>
      <c r="D453"/>
      <c r="E453"/>
      <c r="F453"/>
    </row>
    <row r="454" spans="1:6" x14ac:dyDescent="0.25">
      <c r="A454" s="16"/>
      <c r="C454"/>
      <c r="D454"/>
      <c r="E454"/>
      <c r="F454"/>
    </row>
    <row r="455" spans="1:6" x14ac:dyDescent="0.25">
      <c r="A455" s="16"/>
      <c r="C455"/>
      <c r="D455"/>
      <c r="E455"/>
      <c r="F455"/>
    </row>
    <row r="456" spans="1:6" x14ac:dyDescent="0.25">
      <c r="A456" s="16"/>
      <c r="C456"/>
      <c r="D456"/>
      <c r="E456"/>
      <c r="F456"/>
    </row>
    <row r="457" spans="1:6" x14ac:dyDescent="0.25">
      <c r="A457" s="16"/>
      <c r="C457"/>
      <c r="D457"/>
      <c r="E457"/>
      <c r="F457"/>
    </row>
    <row r="458" spans="1:6" x14ac:dyDescent="0.25">
      <c r="A458" s="16"/>
      <c r="C458"/>
      <c r="D458"/>
      <c r="E458"/>
      <c r="F458"/>
    </row>
    <row r="459" spans="1:6" x14ac:dyDescent="0.25">
      <c r="A459" s="16"/>
      <c r="C459"/>
      <c r="D459"/>
      <c r="E459"/>
      <c r="F459"/>
    </row>
    <row r="460" spans="1:6" x14ac:dyDescent="0.25">
      <c r="A460" s="16"/>
      <c r="C460"/>
      <c r="D460"/>
      <c r="E460"/>
      <c r="F460"/>
    </row>
    <row r="461" spans="1:6" x14ac:dyDescent="0.25">
      <c r="A461" s="16"/>
      <c r="C461"/>
      <c r="D461"/>
      <c r="E461"/>
      <c r="F461"/>
    </row>
    <row r="462" spans="1:6" x14ac:dyDescent="0.25">
      <c r="A462" s="16"/>
      <c r="C462"/>
      <c r="D462"/>
      <c r="E462"/>
      <c r="F462"/>
    </row>
    <row r="463" spans="1:6" x14ac:dyDescent="0.25">
      <c r="A463" s="16"/>
      <c r="C463"/>
      <c r="D463"/>
      <c r="E463"/>
      <c r="F463"/>
    </row>
    <row r="464" spans="1:6" x14ac:dyDescent="0.25">
      <c r="A464" s="16"/>
      <c r="C464"/>
      <c r="D464"/>
      <c r="E464"/>
      <c r="F464"/>
    </row>
    <row r="465" spans="1:6" x14ac:dyDescent="0.25">
      <c r="A465" s="16"/>
      <c r="C465"/>
      <c r="D465"/>
      <c r="E465"/>
      <c r="F465"/>
    </row>
    <row r="466" spans="1:6" x14ac:dyDescent="0.25">
      <c r="A466" s="16"/>
      <c r="C466"/>
      <c r="D466"/>
      <c r="E466"/>
      <c r="F466"/>
    </row>
    <row r="467" spans="1:6" x14ac:dyDescent="0.25">
      <c r="A467" s="16"/>
      <c r="C467"/>
      <c r="D467"/>
      <c r="E467"/>
      <c r="F467"/>
    </row>
    <row r="468" spans="1:6" x14ac:dyDescent="0.25">
      <c r="A468" s="16"/>
      <c r="C468"/>
      <c r="D468"/>
      <c r="E468"/>
      <c r="F468"/>
    </row>
    <row r="469" spans="1:6" x14ac:dyDescent="0.25">
      <c r="A469" s="16"/>
      <c r="C469"/>
      <c r="D469"/>
      <c r="E469"/>
      <c r="F469"/>
    </row>
    <row r="470" spans="1:6" x14ac:dyDescent="0.25">
      <c r="A470" s="16"/>
      <c r="C470"/>
      <c r="D470"/>
      <c r="E470"/>
      <c r="F470"/>
    </row>
    <row r="471" spans="1:6" x14ac:dyDescent="0.25">
      <c r="A471" s="16"/>
      <c r="C471"/>
      <c r="D471"/>
      <c r="E471"/>
      <c r="F471"/>
    </row>
    <row r="472" spans="1:6" x14ac:dyDescent="0.25">
      <c r="A472" s="16"/>
      <c r="C472"/>
      <c r="D472"/>
      <c r="E472"/>
      <c r="F472"/>
    </row>
    <row r="473" spans="1:6" x14ac:dyDescent="0.25">
      <c r="A473" s="16"/>
      <c r="C473"/>
      <c r="D473"/>
      <c r="E473"/>
      <c r="F473"/>
    </row>
    <row r="474" spans="1:6" x14ac:dyDescent="0.25">
      <c r="A474" s="16"/>
      <c r="C474"/>
      <c r="D474"/>
      <c r="E474"/>
      <c r="F474"/>
    </row>
    <row r="475" spans="1:6" x14ac:dyDescent="0.25">
      <c r="A475" s="16"/>
      <c r="C475"/>
      <c r="D475"/>
      <c r="E475"/>
      <c r="F475"/>
    </row>
    <row r="476" spans="1:6" x14ac:dyDescent="0.25">
      <c r="A476" s="16"/>
      <c r="C476"/>
      <c r="D476"/>
      <c r="E476"/>
      <c r="F476"/>
    </row>
    <row r="477" spans="1:6" x14ac:dyDescent="0.25">
      <c r="A477" s="16"/>
      <c r="C477"/>
      <c r="D477"/>
      <c r="E477"/>
      <c r="F477"/>
    </row>
    <row r="478" spans="1:6" x14ac:dyDescent="0.25">
      <c r="A478" s="16"/>
      <c r="C478"/>
      <c r="D478"/>
      <c r="E478"/>
      <c r="F478"/>
    </row>
    <row r="479" spans="1:6" x14ac:dyDescent="0.25">
      <c r="A479" s="16"/>
      <c r="C479"/>
      <c r="D479"/>
      <c r="E479"/>
      <c r="F479"/>
    </row>
    <row r="480" spans="1:6" x14ac:dyDescent="0.25">
      <c r="A480" s="16"/>
      <c r="C480"/>
      <c r="D480"/>
      <c r="E480"/>
      <c r="F480"/>
    </row>
    <row r="481" spans="1:6" x14ac:dyDescent="0.25">
      <c r="A481" s="16"/>
      <c r="C481"/>
      <c r="D481"/>
      <c r="E481"/>
      <c r="F481"/>
    </row>
    <row r="482" spans="1:6" x14ac:dyDescent="0.25">
      <c r="A482" s="16"/>
      <c r="C482"/>
      <c r="D482"/>
      <c r="E482"/>
      <c r="F482"/>
    </row>
    <row r="483" spans="1:6" x14ac:dyDescent="0.25">
      <c r="A483" s="16"/>
      <c r="C483"/>
      <c r="D483"/>
      <c r="E483"/>
      <c r="F483"/>
    </row>
    <row r="484" spans="1:6" x14ac:dyDescent="0.25">
      <c r="A484" s="16"/>
      <c r="C484"/>
      <c r="D484"/>
      <c r="E484"/>
      <c r="F484"/>
    </row>
    <row r="485" spans="1:6" x14ac:dyDescent="0.25">
      <c r="A485" s="16"/>
      <c r="C485"/>
      <c r="D485"/>
      <c r="E485"/>
      <c r="F485"/>
    </row>
    <row r="486" spans="1:6" x14ac:dyDescent="0.25">
      <c r="A486" s="16"/>
      <c r="C486"/>
      <c r="D486"/>
      <c r="E486"/>
      <c r="F486"/>
    </row>
    <row r="487" spans="1:6" x14ac:dyDescent="0.25">
      <c r="A487" s="16"/>
      <c r="C487"/>
      <c r="D487"/>
      <c r="E487"/>
      <c r="F487"/>
    </row>
    <row r="488" spans="1:6" x14ac:dyDescent="0.25">
      <c r="A488" s="16"/>
      <c r="C488"/>
      <c r="D488"/>
      <c r="E488"/>
      <c r="F488"/>
    </row>
    <row r="489" spans="1:6" x14ac:dyDescent="0.25">
      <c r="A489" s="16"/>
      <c r="C489"/>
      <c r="D489"/>
      <c r="E489"/>
      <c r="F489"/>
    </row>
    <row r="490" spans="1:6" x14ac:dyDescent="0.25">
      <c r="A490" s="16"/>
      <c r="C490"/>
      <c r="D490"/>
      <c r="E490"/>
      <c r="F490"/>
    </row>
    <row r="491" spans="1:6" x14ac:dyDescent="0.25">
      <c r="A491" s="16"/>
      <c r="C491"/>
      <c r="D491"/>
      <c r="E491"/>
      <c r="F491"/>
    </row>
    <row r="492" spans="1:6" x14ac:dyDescent="0.25">
      <c r="A492" s="16"/>
      <c r="C492"/>
      <c r="D492"/>
      <c r="E492"/>
      <c r="F492"/>
    </row>
    <row r="493" spans="1:6" x14ac:dyDescent="0.25">
      <c r="A493" s="16"/>
      <c r="C493"/>
      <c r="D493"/>
      <c r="E493"/>
      <c r="F493"/>
    </row>
    <row r="494" spans="1:6" x14ac:dyDescent="0.25">
      <c r="A494" s="16"/>
      <c r="C494"/>
      <c r="D494"/>
      <c r="E494"/>
      <c r="F494"/>
    </row>
    <row r="495" spans="1:6" x14ac:dyDescent="0.25">
      <c r="A495" s="16"/>
      <c r="C495"/>
      <c r="D495"/>
      <c r="E495"/>
      <c r="F495"/>
    </row>
    <row r="496" spans="1:6" x14ac:dyDescent="0.25">
      <c r="A496" s="16"/>
      <c r="C496"/>
      <c r="D496"/>
      <c r="E496"/>
      <c r="F496"/>
    </row>
    <row r="497" spans="1:6" x14ac:dyDescent="0.25">
      <c r="A497" s="16"/>
      <c r="C497"/>
      <c r="D497"/>
      <c r="E497"/>
      <c r="F497"/>
    </row>
    <row r="498" spans="1:6" x14ac:dyDescent="0.25">
      <c r="A498" s="16"/>
      <c r="C498"/>
      <c r="D498"/>
      <c r="E498"/>
      <c r="F498"/>
    </row>
    <row r="499" spans="1:6" x14ac:dyDescent="0.25">
      <c r="A499" s="16"/>
      <c r="C499"/>
      <c r="D499"/>
      <c r="E499"/>
      <c r="F499"/>
    </row>
    <row r="500" spans="1:6" x14ac:dyDescent="0.25">
      <c r="A500" s="16"/>
      <c r="C500"/>
      <c r="D500"/>
      <c r="E500"/>
      <c r="F500"/>
    </row>
    <row r="501" spans="1:6" x14ac:dyDescent="0.25">
      <c r="A501" s="16"/>
      <c r="C501"/>
      <c r="D501"/>
      <c r="E501"/>
      <c r="F501"/>
    </row>
    <row r="502" spans="1:6" x14ac:dyDescent="0.25">
      <c r="A502" s="16"/>
      <c r="C502"/>
      <c r="D502"/>
      <c r="E502"/>
      <c r="F502"/>
    </row>
    <row r="503" spans="1:6" x14ac:dyDescent="0.25">
      <c r="A503" s="16"/>
      <c r="C503"/>
      <c r="D503"/>
      <c r="E503"/>
      <c r="F503"/>
    </row>
    <row r="504" spans="1:6" x14ac:dyDescent="0.25">
      <c r="A504" s="16"/>
      <c r="C504"/>
      <c r="D504"/>
      <c r="E504"/>
      <c r="F504"/>
    </row>
    <row r="505" spans="1:6" x14ac:dyDescent="0.25">
      <c r="A505" s="16"/>
      <c r="C505"/>
      <c r="D505"/>
      <c r="E505"/>
      <c r="F505"/>
    </row>
    <row r="506" spans="1:6" x14ac:dyDescent="0.25">
      <c r="A506" s="16"/>
      <c r="C506"/>
      <c r="D506"/>
      <c r="E506"/>
      <c r="F506"/>
    </row>
    <row r="507" spans="1:6" x14ac:dyDescent="0.25">
      <c r="A507" s="16"/>
      <c r="C507"/>
      <c r="D507"/>
      <c r="E507"/>
      <c r="F507"/>
    </row>
    <row r="508" spans="1:6" x14ac:dyDescent="0.25">
      <c r="A508" s="16"/>
      <c r="C508"/>
      <c r="D508"/>
      <c r="E508"/>
      <c r="F508"/>
    </row>
    <row r="509" spans="1:6" x14ac:dyDescent="0.25">
      <c r="A509" s="16"/>
      <c r="C509"/>
      <c r="D509"/>
      <c r="E509"/>
      <c r="F509"/>
    </row>
    <row r="510" spans="1:6" x14ac:dyDescent="0.25">
      <c r="A510" s="16"/>
      <c r="C510"/>
      <c r="D510"/>
      <c r="E510"/>
      <c r="F510"/>
    </row>
    <row r="511" spans="1:6" x14ac:dyDescent="0.25">
      <c r="A511" s="16"/>
      <c r="C511"/>
      <c r="D511"/>
      <c r="E511"/>
      <c r="F511"/>
    </row>
    <row r="512" spans="1:6" x14ac:dyDescent="0.25">
      <c r="A512" s="16"/>
      <c r="C512"/>
      <c r="D512"/>
      <c r="E512"/>
      <c r="F512"/>
    </row>
    <row r="513" spans="1:6" x14ac:dyDescent="0.25">
      <c r="A513" s="16"/>
      <c r="C513"/>
      <c r="D513"/>
      <c r="E513"/>
      <c r="F513"/>
    </row>
    <row r="514" spans="1:6" x14ac:dyDescent="0.25">
      <c r="A514" s="16"/>
      <c r="C514"/>
      <c r="D514"/>
      <c r="E514"/>
      <c r="F514"/>
    </row>
    <row r="515" spans="1:6" x14ac:dyDescent="0.25">
      <c r="A515" s="16"/>
      <c r="C515"/>
      <c r="D515"/>
      <c r="E515"/>
      <c r="F515"/>
    </row>
    <row r="516" spans="1:6" x14ac:dyDescent="0.25">
      <c r="A516" s="16"/>
      <c r="C516"/>
      <c r="D516"/>
      <c r="E516"/>
      <c r="F516"/>
    </row>
    <row r="517" spans="1:6" x14ac:dyDescent="0.25">
      <c r="A517" s="16"/>
      <c r="C517"/>
      <c r="D517"/>
      <c r="E517"/>
      <c r="F517"/>
    </row>
    <row r="518" spans="1:6" x14ac:dyDescent="0.25">
      <c r="A518" s="16"/>
      <c r="C518"/>
      <c r="D518"/>
      <c r="E518"/>
      <c r="F518"/>
    </row>
    <row r="519" spans="1:6" x14ac:dyDescent="0.25">
      <c r="A519" s="16"/>
      <c r="C519"/>
      <c r="D519"/>
      <c r="E519"/>
      <c r="F519"/>
    </row>
    <row r="520" spans="1:6" x14ac:dyDescent="0.25">
      <c r="A520" s="16"/>
      <c r="C520"/>
      <c r="D520"/>
      <c r="E520"/>
      <c r="F520"/>
    </row>
    <row r="521" spans="1:6" x14ac:dyDescent="0.25">
      <c r="A521" s="16"/>
      <c r="C521"/>
      <c r="D521"/>
      <c r="E521"/>
      <c r="F521"/>
    </row>
    <row r="522" spans="1:6" x14ac:dyDescent="0.25">
      <c r="A522" s="16"/>
      <c r="C522"/>
      <c r="D522"/>
      <c r="E522"/>
      <c r="F522"/>
    </row>
    <row r="523" spans="1:6" x14ac:dyDescent="0.25">
      <c r="A523" s="16"/>
      <c r="C523"/>
      <c r="D523"/>
      <c r="E523"/>
      <c r="F523"/>
    </row>
    <row r="524" spans="1:6" x14ac:dyDescent="0.25">
      <c r="A524" s="16"/>
      <c r="C524"/>
      <c r="D524"/>
      <c r="E524"/>
      <c r="F524"/>
    </row>
    <row r="525" spans="1:6" x14ac:dyDescent="0.25">
      <c r="A525" s="16"/>
      <c r="C525"/>
      <c r="D525"/>
      <c r="E525"/>
      <c r="F525"/>
    </row>
    <row r="526" spans="1:6" x14ac:dyDescent="0.25">
      <c r="A526" s="16"/>
      <c r="C526"/>
      <c r="D526"/>
      <c r="E526"/>
      <c r="F526"/>
    </row>
    <row r="527" spans="1:6" x14ac:dyDescent="0.25">
      <c r="A527" s="16"/>
      <c r="C527"/>
      <c r="D527"/>
      <c r="E527"/>
      <c r="F527"/>
    </row>
    <row r="528" spans="1:6" x14ac:dyDescent="0.25">
      <c r="A528" s="16"/>
      <c r="C528"/>
      <c r="D528"/>
      <c r="E528"/>
      <c r="F528"/>
    </row>
    <row r="529" spans="1:6" x14ac:dyDescent="0.25">
      <c r="A529" s="16"/>
      <c r="C529"/>
      <c r="D529"/>
      <c r="E529"/>
      <c r="F529"/>
    </row>
    <row r="530" spans="1:6" x14ac:dyDescent="0.25">
      <c r="A530" s="16"/>
      <c r="C530"/>
      <c r="D530"/>
      <c r="E530"/>
      <c r="F530"/>
    </row>
    <row r="531" spans="1:6" x14ac:dyDescent="0.25">
      <c r="A531" s="16"/>
      <c r="C531"/>
      <c r="D531"/>
      <c r="E531"/>
      <c r="F531"/>
    </row>
    <row r="532" spans="1:6" x14ac:dyDescent="0.25">
      <c r="A532" s="16"/>
      <c r="C532"/>
      <c r="D532"/>
      <c r="E532"/>
      <c r="F532"/>
    </row>
    <row r="533" spans="1:6" x14ac:dyDescent="0.25">
      <c r="A533" s="16"/>
      <c r="C533"/>
      <c r="D533"/>
      <c r="E533"/>
      <c r="F533"/>
    </row>
    <row r="534" spans="1:6" x14ac:dyDescent="0.25">
      <c r="A534" s="16"/>
      <c r="C534"/>
      <c r="D534"/>
      <c r="E534"/>
      <c r="F534"/>
    </row>
    <row r="535" spans="1:6" x14ac:dyDescent="0.25">
      <c r="A535" s="16"/>
      <c r="C535"/>
      <c r="D535"/>
      <c r="E535"/>
      <c r="F535"/>
    </row>
    <row r="536" spans="1:6" x14ac:dyDescent="0.25">
      <c r="A536" s="16"/>
      <c r="C536"/>
      <c r="D536"/>
      <c r="E536"/>
      <c r="F536"/>
    </row>
    <row r="537" spans="1:6" x14ac:dyDescent="0.25">
      <c r="A537" s="16"/>
      <c r="C537"/>
      <c r="D537"/>
      <c r="E537"/>
      <c r="F537"/>
    </row>
    <row r="538" spans="1:6" x14ac:dyDescent="0.25">
      <c r="A538" s="16"/>
      <c r="C538"/>
      <c r="D538"/>
      <c r="E538"/>
      <c r="F538"/>
    </row>
    <row r="539" spans="1:6" x14ac:dyDescent="0.25">
      <c r="A539" s="16"/>
      <c r="C539"/>
      <c r="D539"/>
      <c r="E539"/>
      <c r="F539"/>
    </row>
    <row r="540" spans="1:6" x14ac:dyDescent="0.25">
      <c r="A540" s="16"/>
      <c r="C540"/>
      <c r="D540"/>
      <c r="E540"/>
      <c r="F540"/>
    </row>
    <row r="541" spans="1:6" x14ac:dyDescent="0.25">
      <c r="A541" s="16"/>
      <c r="C541"/>
      <c r="D541"/>
      <c r="E541"/>
      <c r="F541"/>
    </row>
    <row r="542" spans="1:6" x14ac:dyDescent="0.25">
      <c r="A542" s="16"/>
      <c r="C542"/>
      <c r="D542"/>
      <c r="E542"/>
      <c r="F542"/>
    </row>
    <row r="543" spans="1:6" x14ac:dyDescent="0.25">
      <c r="A543" s="16"/>
      <c r="C543"/>
      <c r="D543"/>
      <c r="E543"/>
      <c r="F543"/>
    </row>
    <row r="544" spans="1:6" x14ac:dyDescent="0.25">
      <c r="A544" s="16"/>
      <c r="C544"/>
      <c r="D544"/>
      <c r="E544"/>
      <c r="F544"/>
    </row>
    <row r="545" spans="1:6" x14ac:dyDescent="0.25">
      <c r="A545" s="16"/>
      <c r="C545"/>
      <c r="D545"/>
      <c r="E545"/>
      <c r="F545"/>
    </row>
    <row r="546" spans="1:6" x14ac:dyDescent="0.25">
      <c r="A546" s="16"/>
      <c r="C546"/>
      <c r="D546"/>
      <c r="E546"/>
      <c r="F546"/>
    </row>
    <row r="547" spans="1:6" x14ac:dyDescent="0.25">
      <c r="A547" s="16"/>
      <c r="C547"/>
      <c r="D547"/>
      <c r="E547"/>
      <c r="F547"/>
    </row>
    <row r="548" spans="1:6" x14ac:dyDescent="0.25">
      <c r="A548" s="16"/>
      <c r="C548"/>
      <c r="D548"/>
      <c r="E548"/>
      <c r="F548"/>
    </row>
    <row r="549" spans="1:6" x14ac:dyDescent="0.25">
      <c r="A549" s="16"/>
      <c r="C549"/>
      <c r="D549"/>
      <c r="E549"/>
      <c r="F549"/>
    </row>
    <row r="550" spans="1:6" x14ac:dyDescent="0.25">
      <c r="A550" s="16"/>
      <c r="C550"/>
      <c r="D550"/>
      <c r="E550"/>
      <c r="F550"/>
    </row>
    <row r="551" spans="1:6" x14ac:dyDescent="0.25">
      <c r="A551" s="16"/>
      <c r="C551"/>
      <c r="D551"/>
      <c r="E551"/>
      <c r="F551"/>
    </row>
    <row r="552" spans="1:6" x14ac:dyDescent="0.25">
      <c r="A552" s="16"/>
      <c r="C552"/>
      <c r="D552"/>
      <c r="E552"/>
      <c r="F552"/>
    </row>
    <row r="553" spans="1:6" x14ac:dyDescent="0.25">
      <c r="A553" s="16"/>
      <c r="C553"/>
      <c r="D553"/>
      <c r="E553"/>
      <c r="F553"/>
    </row>
    <row r="554" spans="1:6" x14ac:dyDescent="0.25">
      <c r="A554" s="16"/>
      <c r="C554"/>
      <c r="D554"/>
      <c r="E554"/>
      <c r="F554"/>
    </row>
    <row r="555" spans="1:6" x14ac:dyDescent="0.25">
      <c r="A555" s="16"/>
      <c r="C555"/>
      <c r="D555"/>
      <c r="E555"/>
      <c r="F555"/>
    </row>
    <row r="556" spans="1:6" x14ac:dyDescent="0.25">
      <c r="A556" s="16"/>
      <c r="C556"/>
      <c r="D556"/>
      <c r="E556"/>
      <c r="F556"/>
    </row>
    <row r="557" spans="1:6" x14ac:dyDescent="0.25">
      <c r="A557" s="16"/>
      <c r="C557"/>
      <c r="D557"/>
      <c r="E557"/>
      <c r="F557"/>
    </row>
    <row r="558" spans="1:6" x14ac:dyDescent="0.25">
      <c r="A558" s="16"/>
      <c r="C558"/>
      <c r="D558"/>
      <c r="E558"/>
      <c r="F558"/>
    </row>
    <row r="559" spans="1:6" x14ac:dyDescent="0.25">
      <c r="A559" s="16"/>
      <c r="C559"/>
      <c r="D559"/>
      <c r="E559"/>
      <c r="F559"/>
    </row>
    <row r="560" spans="1:6" x14ac:dyDescent="0.25">
      <c r="A560" s="16"/>
      <c r="C560"/>
      <c r="D560"/>
      <c r="E560"/>
      <c r="F560"/>
    </row>
    <row r="561" spans="1:6" x14ac:dyDescent="0.25">
      <c r="A561" s="16"/>
      <c r="C561"/>
      <c r="D561"/>
      <c r="E561"/>
      <c r="F561"/>
    </row>
    <row r="562" spans="1:6" x14ac:dyDescent="0.25">
      <c r="A562" s="16"/>
      <c r="C562"/>
      <c r="D562"/>
      <c r="E562"/>
      <c r="F562"/>
    </row>
    <row r="563" spans="1:6" x14ac:dyDescent="0.25">
      <c r="A563" s="16"/>
      <c r="C563"/>
      <c r="D563"/>
      <c r="E563"/>
      <c r="F563"/>
    </row>
    <row r="564" spans="1:6" x14ac:dyDescent="0.25">
      <c r="A564" s="16"/>
      <c r="C564"/>
      <c r="D564"/>
      <c r="E564"/>
      <c r="F564"/>
    </row>
    <row r="565" spans="1:6" x14ac:dyDescent="0.25">
      <c r="A565" s="16"/>
      <c r="C565"/>
      <c r="D565"/>
      <c r="E565"/>
      <c r="F565"/>
    </row>
    <row r="566" spans="1:6" x14ac:dyDescent="0.25">
      <c r="A566" s="16"/>
      <c r="C566"/>
      <c r="D566"/>
      <c r="E566"/>
      <c r="F566"/>
    </row>
    <row r="567" spans="1:6" x14ac:dyDescent="0.25">
      <c r="A567" s="16"/>
      <c r="C567"/>
      <c r="D567"/>
      <c r="E567"/>
      <c r="F567"/>
    </row>
    <row r="568" spans="1:6" x14ac:dyDescent="0.25">
      <c r="A568" s="16"/>
      <c r="C568"/>
      <c r="D568"/>
      <c r="E568"/>
      <c r="F568"/>
    </row>
    <row r="569" spans="1:6" x14ac:dyDescent="0.25">
      <c r="A569" s="16"/>
      <c r="C569"/>
      <c r="D569"/>
      <c r="E569"/>
      <c r="F569"/>
    </row>
    <row r="570" spans="1:6" x14ac:dyDescent="0.25">
      <c r="A570" s="16"/>
      <c r="C570"/>
      <c r="D570"/>
      <c r="E570"/>
      <c r="F570"/>
    </row>
    <row r="571" spans="1:6" x14ac:dyDescent="0.25">
      <c r="A571" s="16"/>
      <c r="C571"/>
      <c r="D571"/>
      <c r="E571"/>
      <c r="F571"/>
    </row>
    <row r="572" spans="1:6" x14ac:dyDescent="0.25">
      <c r="A572" s="16"/>
      <c r="C572"/>
      <c r="D572"/>
      <c r="E572"/>
      <c r="F572"/>
    </row>
    <row r="573" spans="1:6" x14ac:dyDescent="0.25">
      <c r="A573" s="16"/>
      <c r="C573"/>
      <c r="D573"/>
      <c r="E573"/>
      <c r="F573"/>
    </row>
    <row r="574" spans="1:6" x14ac:dyDescent="0.25">
      <c r="A574" s="16"/>
      <c r="C574"/>
      <c r="D574"/>
      <c r="E574"/>
      <c r="F574"/>
    </row>
    <row r="575" spans="1:6" x14ac:dyDescent="0.25">
      <c r="A575" s="16"/>
      <c r="C575"/>
      <c r="D575"/>
      <c r="E575"/>
      <c r="F575"/>
    </row>
    <row r="576" spans="1:6" x14ac:dyDescent="0.25">
      <c r="A576" s="16"/>
      <c r="C576"/>
      <c r="D576"/>
      <c r="E576"/>
      <c r="F576"/>
    </row>
    <row r="577" spans="1:6" x14ac:dyDescent="0.25">
      <c r="A577" s="16"/>
      <c r="C577"/>
      <c r="D577"/>
      <c r="E577"/>
      <c r="F577"/>
    </row>
    <row r="578" spans="1:6" x14ac:dyDescent="0.25">
      <c r="A578" s="16"/>
      <c r="C578"/>
      <c r="D578"/>
      <c r="E578"/>
      <c r="F578"/>
    </row>
    <row r="579" spans="1:6" x14ac:dyDescent="0.25">
      <c r="A579" s="16"/>
      <c r="C579"/>
      <c r="D579"/>
      <c r="E579"/>
      <c r="F579"/>
    </row>
    <row r="580" spans="1:6" x14ac:dyDescent="0.25">
      <c r="A580" s="16"/>
      <c r="C580"/>
      <c r="D580"/>
      <c r="E580"/>
      <c r="F580"/>
    </row>
    <row r="581" spans="1:6" x14ac:dyDescent="0.25">
      <c r="A581" s="16"/>
      <c r="C581"/>
      <c r="D581"/>
      <c r="E581"/>
      <c r="F581"/>
    </row>
    <row r="582" spans="1:6" x14ac:dyDescent="0.25">
      <c r="A582" s="16"/>
      <c r="C582"/>
      <c r="D582"/>
      <c r="E582"/>
      <c r="F582"/>
    </row>
    <row r="583" spans="1:6" x14ac:dyDescent="0.25">
      <c r="A583" s="16"/>
      <c r="C583"/>
      <c r="D583"/>
      <c r="E583"/>
      <c r="F583"/>
    </row>
    <row r="584" spans="1:6" x14ac:dyDescent="0.25">
      <c r="A584" s="16"/>
      <c r="C584"/>
      <c r="D584"/>
      <c r="E584"/>
      <c r="F584"/>
    </row>
    <row r="585" spans="1:6" x14ac:dyDescent="0.25">
      <c r="A585" s="16"/>
      <c r="C585"/>
      <c r="D585"/>
      <c r="E585"/>
      <c r="F585"/>
    </row>
    <row r="586" spans="1:6" x14ac:dyDescent="0.25">
      <c r="A586" s="16"/>
      <c r="C586"/>
      <c r="D586"/>
      <c r="E586"/>
      <c r="F586"/>
    </row>
    <row r="587" spans="1:6" x14ac:dyDescent="0.25">
      <c r="A587" s="16"/>
      <c r="C587"/>
      <c r="D587"/>
      <c r="E587"/>
      <c r="F587"/>
    </row>
    <row r="588" spans="1:6" x14ac:dyDescent="0.25">
      <c r="A588" s="16"/>
      <c r="C588"/>
      <c r="D588"/>
      <c r="E588"/>
      <c r="F588"/>
    </row>
    <row r="589" spans="1:6" x14ac:dyDescent="0.25">
      <c r="A589" s="16"/>
      <c r="C589"/>
      <c r="D589"/>
      <c r="E589"/>
      <c r="F589"/>
    </row>
    <row r="590" spans="1:6" x14ac:dyDescent="0.25">
      <c r="A590" s="16"/>
      <c r="C590"/>
      <c r="D590"/>
      <c r="E590"/>
      <c r="F590"/>
    </row>
    <row r="591" spans="1:6" x14ac:dyDescent="0.25">
      <c r="A591" s="16"/>
      <c r="C591"/>
      <c r="D591"/>
      <c r="E591"/>
      <c r="F591"/>
    </row>
    <row r="592" spans="1:6" x14ac:dyDescent="0.25">
      <c r="A592" s="16"/>
      <c r="C592"/>
      <c r="D592"/>
      <c r="E592"/>
      <c r="F592"/>
    </row>
    <row r="593" spans="1:6" x14ac:dyDescent="0.25">
      <c r="A593" s="16"/>
      <c r="C593"/>
      <c r="D593"/>
      <c r="E593"/>
      <c r="F593"/>
    </row>
    <row r="594" spans="1:6" x14ac:dyDescent="0.25">
      <c r="A594" s="16"/>
      <c r="C594"/>
      <c r="D594"/>
      <c r="E594"/>
      <c r="F594"/>
    </row>
    <row r="595" spans="1:6" x14ac:dyDescent="0.25">
      <c r="A595" s="16"/>
      <c r="C595"/>
      <c r="D595"/>
      <c r="E595"/>
      <c r="F595"/>
    </row>
    <row r="596" spans="1:6" x14ac:dyDescent="0.25">
      <c r="A596" s="16"/>
      <c r="C596"/>
      <c r="D596"/>
      <c r="E596"/>
      <c r="F596"/>
    </row>
    <row r="597" spans="1:6" x14ac:dyDescent="0.25">
      <c r="A597" s="16"/>
      <c r="C597"/>
      <c r="D597"/>
      <c r="E597"/>
      <c r="F597"/>
    </row>
    <row r="598" spans="1:6" x14ac:dyDescent="0.25">
      <c r="A598" s="16"/>
      <c r="C598"/>
      <c r="D598"/>
      <c r="E598"/>
      <c r="F598"/>
    </row>
    <row r="599" spans="1:6" x14ac:dyDescent="0.25">
      <c r="A599" s="16"/>
      <c r="C599"/>
      <c r="D599"/>
      <c r="E599"/>
      <c r="F599"/>
    </row>
    <row r="600" spans="1:6" x14ac:dyDescent="0.25">
      <c r="A600" s="16"/>
      <c r="C600"/>
      <c r="D600"/>
      <c r="E600"/>
      <c r="F600"/>
    </row>
    <row r="601" spans="1:6" x14ac:dyDescent="0.25">
      <c r="A601" s="16"/>
      <c r="C601"/>
      <c r="D601"/>
      <c r="E601"/>
      <c r="F601"/>
    </row>
    <row r="602" spans="1:6" x14ac:dyDescent="0.25">
      <c r="A602" s="16"/>
      <c r="C602"/>
      <c r="D602"/>
      <c r="E602"/>
      <c r="F602"/>
    </row>
    <row r="603" spans="1:6" x14ac:dyDescent="0.25">
      <c r="A603" s="16"/>
      <c r="C603"/>
      <c r="D603"/>
      <c r="E603"/>
      <c r="F603"/>
    </row>
    <row r="604" spans="1:6" x14ac:dyDescent="0.25">
      <c r="A604" s="16"/>
      <c r="C604"/>
      <c r="D604"/>
      <c r="E604"/>
      <c r="F604"/>
    </row>
    <row r="605" spans="1:6" x14ac:dyDescent="0.25">
      <c r="A605" s="16"/>
      <c r="C605"/>
      <c r="D605"/>
      <c r="E605"/>
      <c r="F605"/>
    </row>
    <row r="606" spans="1:6" x14ac:dyDescent="0.25">
      <c r="A606" s="16"/>
      <c r="C606"/>
      <c r="D606"/>
      <c r="E606"/>
      <c r="F606"/>
    </row>
    <row r="607" spans="1:6" x14ac:dyDescent="0.25">
      <c r="A607" s="16"/>
      <c r="C607"/>
      <c r="D607"/>
      <c r="E607"/>
      <c r="F607"/>
    </row>
    <row r="608" spans="1:6" x14ac:dyDescent="0.25">
      <c r="A608" s="16"/>
      <c r="C608"/>
      <c r="D608"/>
      <c r="E608"/>
      <c r="F608"/>
    </row>
    <row r="609" spans="1:6" x14ac:dyDescent="0.25">
      <c r="A609" s="16"/>
      <c r="C609"/>
      <c r="D609"/>
      <c r="E609"/>
      <c r="F609"/>
    </row>
    <row r="610" spans="1:6" x14ac:dyDescent="0.25">
      <c r="A610" s="16"/>
      <c r="C610"/>
      <c r="D610"/>
      <c r="E610"/>
      <c r="F610"/>
    </row>
    <row r="611" spans="1:6" x14ac:dyDescent="0.25">
      <c r="A611" s="16"/>
      <c r="C611"/>
      <c r="D611"/>
      <c r="E611"/>
      <c r="F611"/>
    </row>
    <row r="612" spans="1:6" x14ac:dyDescent="0.25">
      <c r="A612" s="16"/>
      <c r="C612"/>
      <c r="D612"/>
      <c r="E612"/>
      <c r="F612"/>
    </row>
    <row r="613" spans="1:6" x14ac:dyDescent="0.25">
      <c r="A613" s="16"/>
      <c r="C613"/>
      <c r="D613"/>
      <c r="E613"/>
      <c r="F613"/>
    </row>
    <row r="614" spans="1:6" x14ac:dyDescent="0.25">
      <c r="A614" s="16"/>
      <c r="C614"/>
      <c r="D614"/>
      <c r="E614"/>
      <c r="F614"/>
    </row>
    <row r="615" spans="1:6" x14ac:dyDescent="0.25">
      <c r="A615" s="16"/>
      <c r="C615"/>
      <c r="D615"/>
      <c r="E615"/>
      <c r="F615"/>
    </row>
    <row r="616" spans="1:6" x14ac:dyDescent="0.25">
      <c r="A616" s="16"/>
      <c r="C616"/>
      <c r="D616"/>
      <c r="E616"/>
      <c r="F616"/>
    </row>
    <row r="617" spans="1:6" x14ac:dyDescent="0.25">
      <c r="A617" s="16"/>
      <c r="C617"/>
      <c r="D617"/>
      <c r="E617"/>
      <c r="F617"/>
    </row>
    <row r="618" spans="1:6" x14ac:dyDescent="0.25">
      <c r="A618" s="16"/>
      <c r="C618"/>
      <c r="D618"/>
      <c r="E618"/>
      <c r="F618"/>
    </row>
    <row r="619" spans="1:6" x14ac:dyDescent="0.25">
      <c r="A619" s="16"/>
      <c r="C619"/>
      <c r="D619"/>
      <c r="E619"/>
      <c r="F619"/>
    </row>
    <row r="620" spans="1:6" x14ac:dyDescent="0.25">
      <c r="A620" s="16"/>
      <c r="C620"/>
      <c r="D620"/>
      <c r="E620"/>
      <c r="F620"/>
    </row>
    <row r="621" spans="1:6" x14ac:dyDescent="0.25">
      <c r="A621" s="16"/>
      <c r="C621"/>
      <c r="D621"/>
      <c r="E621"/>
      <c r="F621"/>
    </row>
    <row r="622" spans="1:6" x14ac:dyDescent="0.25">
      <c r="A622" s="16"/>
      <c r="C622"/>
      <c r="D622"/>
      <c r="E622"/>
      <c r="F622"/>
    </row>
    <row r="623" spans="1:6" x14ac:dyDescent="0.25">
      <c r="A623" s="16"/>
      <c r="C623"/>
      <c r="D623"/>
      <c r="E623"/>
      <c r="F623"/>
    </row>
    <row r="624" spans="1:6" x14ac:dyDescent="0.25">
      <c r="A624" s="16"/>
      <c r="C624"/>
      <c r="D624"/>
      <c r="E624"/>
      <c r="F624"/>
    </row>
    <row r="625" spans="1:6" x14ac:dyDescent="0.25">
      <c r="A625" s="16"/>
      <c r="C625"/>
      <c r="D625"/>
      <c r="E625"/>
      <c r="F625"/>
    </row>
    <row r="626" spans="1:6" x14ac:dyDescent="0.25">
      <c r="A626" s="16"/>
      <c r="C626"/>
      <c r="D626"/>
      <c r="E626"/>
      <c r="F626"/>
    </row>
    <row r="627" spans="1:6" x14ac:dyDescent="0.25">
      <c r="A627" s="16"/>
      <c r="C627"/>
      <c r="D627"/>
      <c r="E627"/>
      <c r="F627"/>
    </row>
    <row r="628" spans="1:6" x14ac:dyDescent="0.25">
      <c r="A628" s="16"/>
      <c r="C628"/>
      <c r="D628"/>
      <c r="E628"/>
      <c r="F628"/>
    </row>
    <row r="629" spans="1:6" x14ac:dyDescent="0.25">
      <c r="A629" s="16"/>
      <c r="C629"/>
      <c r="D629"/>
      <c r="E629"/>
      <c r="F629"/>
    </row>
    <row r="630" spans="1:6" x14ac:dyDescent="0.25">
      <c r="A630" s="16"/>
      <c r="C630"/>
      <c r="D630"/>
      <c r="E630"/>
      <c r="F630"/>
    </row>
    <row r="631" spans="1:6" x14ac:dyDescent="0.25">
      <c r="A631" s="16"/>
      <c r="C631"/>
      <c r="D631"/>
      <c r="E631"/>
      <c r="F631"/>
    </row>
    <row r="632" spans="1:6" x14ac:dyDescent="0.25">
      <c r="A632" s="16"/>
      <c r="C632"/>
      <c r="D632"/>
      <c r="E632"/>
      <c r="F632"/>
    </row>
    <row r="633" spans="1:6" x14ac:dyDescent="0.25">
      <c r="A633" s="16"/>
      <c r="C633"/>
      <c r="D633"/>
      <c r="E633"/>
      <c r="F633"/>
    </row>
    <row r="634" spans="1:6" x14ac:dyDescent="0.25">
      <c r="A634" s="16"/>
      <c r="C634"/>
      <c r="D634"/>
      <c r="E634"/>
      <c r="F634"/>
    </row>
    <row r="635" spans="1:6" x14ac:dyDescent="0.25">
      <c r="A635" s="16"/>
      <c r="C635"/>
      <c r="D635"/>
      <c r="E635"/>
      <c r="F635"/>
    </row>
    <row r="636" spans="1:6" x14ac:dyDescent="0.25">
      <c r="A636" s="16"/>
      <c r="C636"/>
      <c r="D636"/>
      <c r="E636"/>
      <c r="F636"/>
    </row>
    <row r="637" spans="1:6" x14ac:dyDescent="0.25">
      <c r="A637" s="16"/>
      <c r="C637"/>
      <c r="D637"/>
      <c r="E637"/>
      <c r="F637"/>
    </row>
    <row r="638" spans="1:6" x14ac:dyDescent="0.25">
      <c r="A638" s="16"/>
      <c r="C638"/>
      <c r="D638"/>
      <c r="E638"/>
      <c r="F638"/>
    </row>
    <row r="639" spans="1:6" x14ac:dyDescent="0.25">
      <c r="A639" s="16"/>
      <c r="C639"/>
      <c r="D639"/>
      <c r="E639"/>
      <c r="F639"/>
    </row>
    <row r="640" spans="1:6" x14ac:dyDescent="0.25">
      <c r="A640" s="16"/>
      <c r="C640"/>
      <c r="D640"/>
      <c r="E640"/>
      <c r="F640"/>
    </row>
    <row r="641" spans="1:6" x14ac:dyDescent="0.25">
      <c r="A641" s="16"/>
      <c r="C641"/>
      <c r="D641"/>
      <c r="E641"/>
      <c r="F641"/>
    </row>
    <row r="642" spans="1:6" x14ac:dyDescent="0.25">
      <c r="A642" s="16"/>
      <c r="C642"/>
      <c r="D642"/>
      <c r="E642"/>
      <c r="F642"/>
    </row>
    <row r="643" spans="1:6" x14ac:dyDescent="0.25">
      <c r="A643" s="16"/>
      <c r="C643"/>
      <c r="D643"/>
      <c r="E643"/>
      <c r="F643"/>
    </row>
    <row r="644" spans="1:6" x14ac:dyDescent="0.25">
      <c r="A644" s="16"/>
      <c r="C644"/>
      <c r="D644"/>
      <c r="E644"/>
      <c r="F644"/>
    </row>
    <row r="645" spans="1:6" x14ac:dyDescent="0.25">
      <c r="A645" s="16"/>
      <c r="C645"/>
      <c r="D645"/>
      <c r="E645"/>
      <c r="F645"/>
    </row>
    <row r="646" spans="1:6" x14ac:dyDescent="0.25">
      <c r="A646" s="16"/>
      <c r="C646"/>
      <c r="D646"/>
      <c r="E646"/>
      <c r="F646"/>
    </row>
    <row r="647" spans="1:6" x14ac:dyDescent="0.25">
      <c r="A647" s="16"/>
      <c r="C647"/>
      <c r="D647"/>
      <c r="E647"/>
      <c r="F647"/>
    </row>
    <row r="648" spans="1:6" x14ac:dyDescent="0.25">
      <c r="A648" s="16"/>
      <c r="C648"/>
      <c r="D648"/>
      <c r="E648"/>
      <c r="F648"/>
    </row>
    <row r="649" spans="1:6" x14ac:dyDescent="0.25">
      <c r="A649" s="16"/>
      <c r="C649"/>
      <c r="D649"/>
      <c r="E649"/>
      <c r="F649"/>
    </row>
    <row r="650" spans="1:6" x14ac:dyDescent="0.25">
      <c r="A650" s="16"/>
      <c r="C650"/>
      <c r="D650"/>
      <c r="E650"/>
      <c r="F650"/>
    </row>
    <row r="651" spans="1:6" x14ac:dyDescent="0.25">
      <c r="A651" s="16"/>
      <c r="C651"/>
      <c r="D651"/>
      <c r="E651"/>
      <c r="F651"/>
    </row>
    <row r="652" spans="1:6" x14ac:dyDescent="0.25">
      <c r="A652" s="16"/>
      <c r="C652"/>
      <c r="D652"/>
      <c r="E652"/>
      <c r="F652"/>
    </row>
    <row r="653" spans="1:6" x14ac:dyDescent="0.25">
      <c r="A653" s="16"/>
      <c r="C653"/>
      <c r="D653"/>
      <c r="E653"/>
      <c r="F653"/>
    </row>
    <row r="654" spans="1:6" x14ac:dyDescent="0.25">
      <c r="A654" s="16"/>
      <c r="C654"/>
      <c r="D654"/>
      <c r="E654"/>
      <c r="F654"/>
    </row>
    <row r="655" spans="1:6" x14ac:dyDescent="0.25">
      <c r="A655" s="16"/>
      <c r="C655"/>
      <c r="D655"/>
      <c r="E655"/>
      <c r="F655"/>
    </row>
    <row r="656" spans="1:6" x14ac:dyDescent="0.25">
      <c r="A656" s="16"/>
      <c r="C656"/>
      <c r="D656"/>
      <c r="E656"/>
      <c r="F656"/>
    </row>
    <row r="657" spans="1:6" x14ac:dyDescent="0.25">
      <c r="A657" s="16"/>
      <c r="C657"/>
      <c r="D657"/>
      <c r="E657"/>
      <c r="F657"/>
    </row>
    <row r="658" spans="1:6" x14ac:dyDescent="0.25">
      <c r="A658" s="16"/>
      <c r="C658"/>
      <c r="D658"/>
      <c r="E658"/>
      <c r="F658"/>
    </row>
    <row r="659" spans="1:6" x14ac:dyDescent="0.25">
      <c r="A659" s="16"/>
      <c r="C659"/>
      <c r="D659"/>
      <c r="E659"/>
      <c r="F659"/>
    </row>
    <row r="660" spans="1:6" x14ac:dyDescent="0.25">
      <c r="A660" s="16"/>
      <c r="C660"/>
      <c r="D660"/>
      <c r="E660"/>
      <c r="F660"/>
    </row>
    <row r="661" spans="1:6" x14ac:dyDescent="0.25">
      <c r="A661" s="16"/>
      <c r="C661"/>
      <c r="D661"/>
      <c r="E661"/>
      <c r="F661"/>
    </row>
    <row r="662" spans="1:6" x14ac:dyDescent="0.25">
      <c r="A662" s="16"/>
      <c r="C662"/>
      <c r="D662"/>
      <c r="E662"/>
      <c r="F662"/>
    </row>
    <row r="663" spans="1:6" x14ac:dyDescent="0.25">
      <c r="A663" s="16"/>
      <c r="C663"/>
      <c r="D663"/>
      <c r="E663"/>
      <c r="F663"/>
    </row>
    <row r="664" spans="1:6" x14ac:dyDescent="0.25">
      <c r="A664" s="16"/>
      <c r="C664"/>
      <c r="D664"/>
      <c r="E664"/>
      <c r="F664"/>
    </row>
    <row r="665" spans="1:6" x14ac:dyDescent="0.25">
      <c r="A665" s="16"/>
      <c r="C665"/>
      <c r="D665"/>
      <c r="E665"/>
      <c r="F665"/>
    </row>
    <row r="666" spans="1:6" x14ac:dyDescent="0.25">
      <c r="A666" s="16"/>
      <c r="C666"/>
      <c r="D666"/>
      <c r="E666"/>
      <c r="F666"/>
    </row>
    <row r="667" spans="1:6" x14ac:dyDescent="0.25">
      <c r="A667" s="16"/>
      <c r="C667"/>
      <c r="D667"/>
      <c r="E667"/>
      <c r="F667"/>
    </row>
    <row r="668" spans="1:6" x14ac:dyDescent="0.25">
      <c r="A668" s="16"/>
      <c r="C668"/>
      <c r="D668"/>
      <c r="E668"/>
      <c r="F668"/>
    </row>
    <row r="669" spans="1:6" x14ac:dyDescent="0.25">
      <c r="A669" s="16"/>
      <c r="C669"/>
      <c r="D669"/>
      <c r="E669"/>
      <c r="F669"/>
    </row>
    <row r="670" spans="1:6" x14ac:dyDescent="0.25">
      <c r="A670" s="16"/>
      <c r="C670"/>
      <c r="D670"/>
      <c r="E670"/>
      <c r="F670"/>
    </row>
    <row r="671" spans="1:6" x14ac:dyDescent="0.25">
      <c r="A671" s="16"/>
      <c r="C671"/>
      <c r="D671"/>
      <c r="E671"/>
      <c r="F671"/>
    </row>
    <row r="672" spans="1:6" x14ac:dyDescent="0.25">
      <c r="A672" s="16"/>
      <c r="C672"/>
      <c r="D672"/>
      <c r="E672"/>
      <c r="F672"/>
    </row>
    <row r="673" spans="1:6" x14ac:dyDescent="0.25">
      <c r="A673" s="16"/>
      <c r="C673"/>
      <c r="D673"/>
      <c r="E673"/>
      <c r="F673"/>
    </row>
    <row r="674" spans="1:6" x14ac:dyDescent="0.25">
      <c r="A674" s="16"/>
      <c r="C674"/>
      <c r="D674"/>
      <c r="E674"/>
      <c r="F674"/>
    </row>
    <row r="675" spans="1:6" x14ac:dyDescent="0.25">
      <c r="A675" s="16"/>
      <c r="C675"/>
      <c r="D675"/>
      <c r="E675"/>
      <c r="F675"/>
    </row>
    <row r="676" spans="1:6" x14ac:dyDescent="0.25">
      <c r="A676" s="16"/>
      <c r="C676"/>
      <c r="D676"/>
      <c r="E676"/>
      <c r="F676"/>
    </row>
    <row r="677" spans="1:6" x14ac:dyDescent="0.25">
      <c r="A677" s="16"/>
      <c r="C677"/>
      <c r="D677"/>
      <c r="E677"/>
      <c r="F677"/>
    </row>
    <row r="678" spans="1:6" x14ac:dyDescent="0.25">
      <c r="A678" s="16"/>
      <c r="C678"/>
      <c r="D678"/>
      <c r="E678"/>
      <c r="F678"/>
    </row>
    <row r="679" spans="1:6" x14ac:dyDescent="0.25">
      <c r="A679" s="16"/>
      <c r="C679"/>
      <c r="D679"/>
      <c r="E679"/>
      <c r="F679"/>
    </row>
    <row r="680" spans="1:6" x14ac:dyDescent="0.25">
      <c r="A680" s="16"/>
      <c r="C680"/>
      <c r="D680"/>
      <c r="E680"/>
      <c r="F680"/>
    </row>
    <row r="681" spans="1:6" x14ac:dyDescent="0.25">
      <c r="A681" s="16"/>
      <c r="C681"/>
      <c r="D681"/>
      <c r="E681"/>
      <c r="F681"/>
    </row>
    <row r="682" spans="1:6" x14ac:dyDescent="0.25">
      <c r="A682" s="16"/>
      <c r="C682"/>
      <c r="D682"/>
      <c r="E682"/>
      <c r="F682"/>
    </row>
    <row r="683" spans="1:6" x14ac:dyDescent="0.25">
      <c r="A683" s="16"/>
      <c r="C683"/>
      <c r="D683"/>
      <c r="E683"/>
      <c r="F683"/>
    </row>
    <row r="684" spans="1:6" x14ac:dyDescent="0.25">
      <c r="A684" s="16"/>
      <c r="C684"/>
      <c r="D684"/>
      <c r="E684"/>
      <c r="F684"/>
    </row>
    <row r="685" spans="1:6" x14ac:dyDescent="0.25">
      <c r="A685" s="16"/>
      <c r="C685"/>
      <c r="D685"/>
      <c r="E685"/>
      <c r="F685"/>
    </row>
    <row r="686" spans="1:6" x14ac:dyDescent="0.25">
      <c r="A686" s="16"/>
      <c r="C686"/>
      <c r="D686"/>
      <c r="E686"/>
      <c r="F686"/>
    </row>
    <row r="687" spans="1:6" x14ac:dyDescent="0.25">
      <c r="A687" s="16"/>
      <c r="C687"/>
      <c r="D687"/>
      <c r="E687"/>
      <c r="F687"/>
    </row>
    <row r="688" spans="1:6" x14ac:dyDescent="0.25">
      <c r="A688" s="16"/>
      <c r="C688"/>
      <c r="D688"/>
      <c r="E688"/>
      <c r="F688"/>
    </row>
    <row r="689" spans="1:6" x14ac:dyDescent="0.25">
      <c r="A689" s="16"/>
      <c r="C689"/>
      <c r="D689"/>
      <c r="E689"/>
      <c r="F689"/>
    </row>
    <row r="690" spans="1:6" x14ac:dyDescent="0.25">
      <c r="A690" s="16"/>
      <c r="C690"/>
      <c r="D690"/>
      <c r="E690"/>
      <c r="F690"/>
    </row>
    <row r="691" spans="1:6" x14ac:dyDescent="0.25">
      <c r="A691" s="16"/>
      <c r="C691"/>
      <c r="D691"/>
      <c r="E691"/>
      <c r="F691"/>
    </row>
    <row r="692" spans="1:6" x14ac:dyDescent="0.25">
      <c r="A692" s="16"/>
      <c r="C692"/>
      <c r="D692"/>
      <c r="E692"/>
      <c r="F692"/>
    </row>
    <row r="693" spans="1:6" x14ac:dyDescent="0.25">
      <c r="A693" s="16"/>
      <c r="C693"/>
      <c r="D693"/>
      <c r="E693"/>
      <c r="F693"/>
    </row>
    <row r="694" spans="1:6" x14ac:dyDescent="0.25">
      <c r="A694" s="16"/>
      <c r="C694"/>
      <c r="D694"/>
      <c r="E694"/>
      <c r="F694"/>
    </row>
    <row r="695" spans="1:6" x14ac:dyDescent="0.25">
      <c r="A695" s="16"/>
      <c r="C695"/>
      <c r="D695"/>
      <c r="E695"/>
      <c r="F695"/>
    </row>
    <row r="696" spans="1:6" x14ac:dyDescent="0.25">
      <c r="A696" s="16"/>
      <c r="C696"/>
      <c r="D696"/>
      <c r="E696"/>
      <c r="F696"/>
    </row>
    <row r="697" spans="1:6" x14ac:dyDescent="0.25">
      <c r="A697" s="16"/>
      <c r="C697"/>
      <c r="D697"/>
      <c r="E697"/>
      <c r="F697"/>
    </row>
    <row r="698" spans="1:6" x14ac:dyDescent="0.25">
      <c r="A698" s="16"/>
      <c r="C698"/>
      <c r="D698"/>
      <c r="E698"/>
      <c r="F698"/>
    </row>
    <row r="699" spans="1:6" x14ac:dyDescent="0.25">
      <c r="A699" s="16"/>
      <c r="C699"/>
      <c r="D699"/>
      <c r="E699"/>
      <c r="F699"/>
    </row>
    <row r="700" spans="1:6" x14ac:dyDescent="0.25">
      <c r="A700" s="16"/>
      <c r="C700"/>
      <c r="D700"/>
      <c r="E700"/>
      <c r="F700"/>
    </row>
    <row r="701" spans="1:6" x14ac:dyDescent="0.25">
      <c r="A701" s="16"/>
      <c r="C701"/>
      <c r="D701"/>
      <c r="E701"/>
      <c r="F701"/>
    </row>
    <row r="702" spans="1:6" x14ac:dyDescent="0.25">
      <c r="A702" s="16"/>
      <c r="C702"/>
      <c r="D702"/>
      <c r="E702"/>
      <c r="F702"/>
    </row>
    <row r="703" spans="1:6" x14ac:dyDescent="0.25">
      <c r="A703" s="16"/>
      <c r="C703"/>
      <c r="D703"/>
      <c r="E703"/>
      <c r="F703"/>
    </row>
    <row r="704" spans="1:6" x14ac:dyDescent="0.25">
      <c r="A704" s="16"/>
      <c r="C704"/>
      <c r="D704"/>
      <c r="E704"/>
      <c r="F704"/>
    </row>
    <row r="705" spans="1:6" x14ac:dyDescent="0.25">
      <c r="A705" s="16"/>
      <c r="C705"/>
      <c r="D705"/>
      <c r="E705"/>
      <c r="F705"/>
    </row>
    <row r="706" spans="1:6" x14ac:dyDescent="0.25">
      <c r="A706" s="16"/>
      <c r="C706"/>
      <c r="D706"/>
      <c r="E706"/>
      <c r="F706"/>
    </row>
    <row r="707" spans="1:6" x14ac:dyDescent="0.25">
      <c r="A707" s="16"/>
      <c r="C707"/>
      <c r="D707"/>
      <c r="E707"/>
      <c r="F707"/>
    </row>
    <row r="708" spans="1:6" x14ac:dyDescent="0.25">
      <c r="A708" s="16"/>
      <c r="C708"/>
      <c r="D708"/>
      <c r="E708"/>
      <c r="F708"/>
    </row>
    <row r="709" spans="1:6" x14ac:dyDescent="0.25">
      <c r="A709" s="16"/>
      <c r="C709"/>
      <c r="D709"/>
      <c r="E709"/>
      <c r="F709"/>
    </row>
    <row r="710" spans="1:6" x14ac:dyDescent="0.25">
      <c r="A710" s="16"/>
      <c r="C710"/>
      <c r="D710"/>
      <c r="E710"/>
      <c r="F710"/>
    </row>
    <row r="711" spans="1:6" x14ac:dyDescent="0.25">
      <c r="A711" s="16"/>
      <c r="C711"/>
      <c r="D711"/>
      <c r="E711"/>
      <c r="F711"/>
    </row>
    <row r="712" spans="1:6" x14ac:dyDescent="0.25">
      <c r="A712" s="16"/>
      <c r="C712"/>
      <c r="D712"/>
      <c r="E712"/>
      <c r="F712"/>
    </row>
    <row r="713" spans="1:6" x14ac:dyDescent="0.25">
      <c r="A713" s="16"/>
      <c r="C713"/>
      <c r="D713"/>
      <c r="E713"/>
      <c r="F713"/>
    </row>
    <row r="714" spans="1:6" x14ac:dyDescent="0.25">
      <c r="A714" s="16"/>
      <c r="C714"/>
      <c r="D714"/>
      <c r="E714"/>
      <c r="F714"/>
    </row>
    <row r="715" spans="1:6" x14ac:dyDescent="0.25">
      <c r="A715" s="16"/>
      <c r="C715"/>
      <c r="D715"/>
      <c r="E715"/>
      <c r="F715"/>
    </row>
    <row r="716" spans="1:6" x14ac:dyDescent="0.25">
      <c r="A716" s="16"/>
      <c r="C716"/>
      <c r="D716"/>
      <c r="E716"/>
      <c r="F716"/>
    </row>
    <row r="717" spans="1:6" x14ac:dyDescent="0.25">
      <c r="A717" s="16"/>
      <c r="C717"/>
      <c r="D717"/>
      <c r="E717"/>
      <c r="F717"/>
    </row>
    <row r="718" spans="1:6" x14ac:dyDescent="0.25">
      <c r="A718" s="16"/>
      <c r="C718"/>
      <c r="D718"/>
      <c r="E718"/>
      <c r="F718"/>
    </row>
    <row r="719" spans="1:6" x14ac:dyDescent="0.25">
      <c r="A719" s="16"/>
      <c r="C719"/>
      <c r="D719"/>
      <c r="E719"/>
      <c r="F719"/>
    </row>
    <row r="720" spans="1:6" x14ac:dyDescent="0.25">
      <c r="A720" s="16"/>
      <c r="C720"/>
      <c r="D720"/>
      <c r="E720"/>
      <c r="F720"/>
    </row>
    <row r="721" spans="1:6" x14ac:dyDescent="0.25">
      <c r="A721" s="16"/>
      <c r="C721"/>
      <c r="D721"/>
      <c r="E721"/>
      <c r="F721"/>
    </row>
    <row r="722" spans="1:6" x14ac:dyDescent="0.25">
      <c r="A722" s="16"/>
      <c r="C722"/>
      <c r="D722"/>
      <c r="E722"/>
      <c r="F722"/>
    </row>
    <row r="723" spans="1:6" x14ac:dyDescent="0.25">
      <c r="A723" s="16"/>
      <c r="C723"/>
      <c r="D723"/>
      <c r="E723"/>
      <c r="F723"/>
    </row>
    <row r="724" spans="1:6" x14ac:dyDescent="0.25">
      <c r="A724" s="16"/>
      <c r="C724"/>
      <c r="D724"/>
      <c r="E724"/>
      <c r="F724"/>
    </row>
    <row r="725" spans="1:6" x14ac:dyDescent="0.25">
      <c r="A725" s="16"/>
      <c r="C725"/>
      <c r="D725"/>
      <c r="E725"/>
      <c r="F725"/>
    </row>
    <row r="726" spans="1:6" x14ac:dyDescent="0.25">
      <c r="A726" s="16"/>
      <c r="C726"/>
      <c r="D726"/>
      <c r="E726"/>
      <c r="F726"/>
    </row>
    <row r="727" spans="1:6" x14ac:dyDescent="0.25">
      <c r="A727" s="16"/>
      <c r="C727"/>
      <c r="D727"/>
      <c r="E727"/>
      <c r="F727"/>
    </row>
    <row r="728" spans="1:6" x14ac:dyDescent="0.25">
      <c r="A728" s="16"/>
      <c r="C728"/>
      <c r="D728"/>
      <c r="E728"/>
      <c r="F728"/>
    </row>
    <row r="729" spans="1:6" x14ac:dyDescent="0.25">
      <c r="A729" s="16"/>
      <c r="C729"/>
      <c r="D729"/>
      <c r="E729"/>
      <c r="F729"/>
    </row>
    <row r="730" spans="1:6" x14ac:dyDescent="0.25">
      <c r="A730" s="16"/>
      <c r="C730"/>
      <c r="D730"/>
      <c r="E730"/>
      <c r="F730"/>
    </row>
    <row r="731" spans="1:6" x14ac:dyDescent="0.25">
      <c r="A731" s="16"/>
      <c r="C731"/>
      <c r="D731"/>
      <c r="E731"/>
      <c r="F731"/>
    </row>
    <row r="732" spans="1:6" x14ac:dyDescent="0.25">
      <c r="A732" s="16"/>
      <c r="C732"/>
      <c r="D732"/>
      <c r="E732"/>
      <c r="F732"/>
    </row>
    <row r="733" spans="1:6" x14ac:dyDescent="0.25">
      <c r="A733" s="16"/>
      <c r="C733"/>
      <c r="D733"/>
      <c r="E733"/>
      <c r="F733"/>
    </row>
    <row r="734" spans="1:6" x14ac:dyDescent="0.25">
      <c r="A734" s="16"/>
      <c r="C734"/>
      <c r="D734"/>
      <c r="E734"/>
      <c r="F734"/>
    </row>
    <row r="735" spans="1:6" x14ac:dyDescent="0.25">
      <c r="A735" s="16"/>
      <c r="C735"/>
      <c r="D735"/>
      <c r="E735"/>
      <c r="F735"/>
    </row>
    <row r="736" spans="1:6" x14ac:dyDescent="0.25">
      <c r="A736" s="16"/>
      <c r="C736"/>
      <c r="D736"/>
      <c r="E736"/>
      <c r="F736"/>
    </row>
    <row r="737" spans="1:6" x14ac:dyDescent="0.25">
      <c r="A737" s="16"/>
      <c r="C737"/>
      <c r="D737"/>
      <c r="E737"/>
      <c r="F737"/>
    </row>
    <row r="738" spans="1:6" x14ac:dyDescent="0.25">
      <c r="A738" s="16"/>
      <c r="C738"/>
      <c r="D738"/>
      <c r="E738"/>
      <c r="F738"/>
    </row>
    <row r="739" spans="1:6" x14ac:dyDescent="0.25">
      <c r="A739" s="16"/>
      <c r="C739"/>
      <c r="D739"/>
      <c r="E739"/>
      <c r="F739"/>
    </row>
    <row r="740" spans="1:6" x14ac:dyDescent="0.25">
      <c r="A740" s="16"/>
      <c r="C740"/>
      <c r="D740"/>
      <c r="E740"/>
      <c r="F740"/>
    </row>
    <row r="741" spans="1:6" x14ac:dyDescent="0.25">
      <c r="A741" s="16"/>
      <c r="C741"/>
      <c r="D741"/>
      <c r="E741"/>
      <c r="F741"/>
    </row>
    <row r="742" spans="1:6" x14ac:dyDescent="0.25">
      <c r="A742" s="16"/>
      <c r="C742"/>
      <c r="D742"/>
      <c r="E742"/>
      <c r="F742"/>
    </row>
    <row r="743" spans="1:6" x14ac:dyDescent="0.25">
      <c r="A743" s="16"/>
      <c r="C743"/>
      <c r="D743"/>
      <c r="E743"/>
      <c r="F743"/>
    </row>
    <row r="744" spans="1:6" x14ac:dyDescent="0.25">
      <c r="A744" s="16"/>
      <c r="C744"/>
      <c r="D744"/>
      <c r="E744"/>
      <c r="F744"/>
    </row>
    <row r="745" spans="1:6" x14ac:dyDescent="0.25">
      <c r="A745" s="16"/>
      <c r="C745"/>
      <c r="D745"/>
      <c r="E745"/>
      <c r="F745"/>
    </row>
    <row r="746" spans="1:6" x14ac:dyDescent="0.25">
      <c r="A746" s="16"/>
      <c r="C746"/>
      <c r="D746"/>
      <c r="E746"/>
      <c r="F746"/>
    </row>
    <row r="747" spans="1:6" x14ac:dyDescent="0.25">
      <c r="A747" s="16"/>
      <c r="C747"/>
      <c r="D747"/>
      <c r="E747"/>
      <c r="F747"/>
    </row>
    <row r="748" spans="1:6" x14ac:dyDescent="0.25">
      <c r="A748" s="16"/>
      <c r="C748"/>
      <c r="D748"/>
      <c r="E748"/>
      <c r="F748"/>
    </row>
    <row r="749" spans="1:6" x14ac:dyDescent="0.25">
      <c r="A749" s="16"/>
      <c r="C749"/>
      <c r="D749"/>
      <c r="E749"/>
      <c r="F749"/>
    </row>
    <row r="750" spans="1:6" x14ac:dyDescent="0.25">
      <c r="A750" s="16"/>
      <c r="C750"/>
      <c r="D750"/>
      <c r="E750"/>
      <c r="F750"/>
    </row>
    <row r="751" spans="1:6" x14ac:dyDescent="0.25">
      <c r="A751" s="16"/>
      <c r="C751"/>
      <c r="D751"/>
      <c r="E751"/>
      <c r="F751"/>
    </row>
    <row r="752" spans="1:6" x14ac:dyDescent="0.25">
      <c r="A752" s="16"/>
      <c r="C752"/>
      <c r="D752"/>
      <c r="E752"/>
      <c r="F752"/>
    </row>
    <row r="753" spans="1:6" x14ac:dyDescent="0.25">
      <c r="A753" s="16"/>
      <c r="C753"/>
      <c r="D753"/>
      <c r="E753"/>
      <c r="F753"/>
    </row>
    <row r="754" spans="1:6" x14ac:dyDescent="0.25">
      <c r="A754" s="16"/>
      <c r="C754"/>
      <c r="D754"/>
      <c r="E754"/>
      <c r="F754"/>
    </row>
    <row r="755" spans="1:6" x14ac:dyDescent="0.25">
      <c r="A755" s="16"/>
      <c r="C755"/>
      <c r="D755"/>
      <c r="E755"/>
      <c r="F755"/>
    </row>
    <row r="756" spans="1:6" x14ac:dyDescent="0.25">
      <c r="A756" s="16"/>
      <c r="C756"/>
      <c r="D756"/>
      <c r="E756"/>
      <c r="F756"/>
    </row>
    <row r="757" spans="1:6" x14ac:dyDescent="0.25">
      <c r="A757" s="16"/>
      <c r="C757"/>
      <c r="D757"/>
      <c r="E757"/>
      <c r="F757"/>
    </row>
    <row r="758" spans="1:6" x14ac:dyDescent="0.25">
      <c r="A758" s="16"/>
      <c r="C758"/>
      <c r="D758"/>
      <c r="E758"/>
      <c r="F758"/>
    </row>
    <row r="759" spans="1:6" x14ac:dyDescent="0.25">
      <c r="A759" s="16"/>
      <c r="C759"/>
      <c r="D759"/>
      <c r="E759"/>
      <c r="F759"/>
    </row>
    <row r="760" spans="1:6" x14ac:dyDescent="0.25">
      <c r="A760" s="16"/>
      <c r="C760"/>
      <c r="D760"/>
      <c r="E760"/>
      <c r="F760"/>
    </row>
    <row r="761" spans="1:6" x14ac:dyDescent="0.25">
      <c r="A761" s="16"/>
      <c r="C761"/>
      <c r="D761"/>
      <c r="E761"/>
      <c r="F761"/>
    </row>
    <row r="762" spans="1:6" x14ac:dyDescent="0.25">
      <c r="A762" s="16"/>
      <c r="C762"/>
      <c r="D762"/>
      <c r="E762"/>
      <c r="F762"/>
    </row>
    <row r="763" spans="1:6" x14ac:dyDescent="0.25">
      <c r="A763" s="16"/>
      <c r="C763"/>
      <c r="D763"/>
      <c r="E763"/>
      <c r="F763"/>
    </row>
    <row r="764" spans="1:6" x14ac:dyDescent="0.25">
      <c r="A764" s="16"/>
      <c r="C764"/>
      <c r="D764"/>
      <c r="E764"/>
      <c r="F764"/>
    </row>
    <row r="765" spans="1:6" x14ac:dyDescent="0.25">
      <c r="A765" s="16"/>
      <c r="C765"/>
      <c r="D765"/>
      <c r="E765"/>
      <c r="F765"/>
    </row>
    <row r="766" spans="1:6" x14ac:dyDescent="0.25">
      <c r="A766" s="16"/>
      <c r="C766"/>
      <c r="D766"/>
      <c r="E766"/>
      <c r="F766"/>
    </row>
    <row r="767" spans="1:6" x14ac:dyDescent="0.25">
      <c r="A767" s="16"/>
      <c r="C767"/>
      <c r="D767"/>
      <c r="E767"/>
      <c r="F767"/>
    </row>
    <row r="768" spans="1:6" x14ac:dyDescent="0.25">
      <c r="A768" s="16"/>
      <c r="C768"/>
      <c r="D768"/>
      <c r="E768"/>
      <c r="F768"/>
    </row>
    <row r="769" spans="1:6" x14ac:dyDescent="0.25">
      <c r="A769" s="16"/>
      <c r="C769"/>
      <c r="D769"/>
      <c r="E769"/>
      <c r="F769"/>
    </row>
    <row r="770" spans="1:6" x14ac:dyDescent="0.25">
      <c r="A770" s="16"/>
      <c r="C770"/>
      <c r="D770"/>
      <c r="E770"/>
      <c r="F770"/>
    </row>
    <row r="771" spans="1:6" x14ac:dyDescent="0.25">
      <c r="A771" s="16"/>
      <c r="C771"/>
      <c r="D771"/>
      <c r="E771"/>
      <c r="F771"/>
    </row>
    <row r="772" spans="1:6" x14ac:dyDescent="0.25">
      <c r="A772" s="16"/>
      <c r="C772"/>
      <c r="D772"/>
      <c r="E772"/>
      <c r="F772"/>
    </row>
    <row r="773" spans="1:6" x14ac:dyDescent="0.25">
      <c r="A773" s="16"/>
      <c r="C773"/>
      <c r="D773"/>
      <c r="E773"/>
      <c r="F773"/>
    </row>
    <row r="774" spans="1:6" x14ac:dyDescent="0.25">
      <c r="A774" s="16"/>
      <c r="C774"/>
      <c r="D774"/>
      <c r="E774"/>
      <c r="F774"/>
    </row>
    <row r="775" spans="1:6" x14ac:dyDescent="0.25">
      <c r="A775" s="16"/>
      <c r="C775"/>
      <c r="D775"/>
      <c r="E775"/>
      <c r="F775"/>
    </row>
    <row r="776" spans="1:6" x14ac:dyDescent="0.25">
      <c r="A776" s="16"/>
      <c r="C776"/>
      <c r="D776"/>
      <c r="E776"/>
      <c r="F776"/>
    </row>
    <row r="777" spans="1:6" x14ac:dyDescent="0.25">
      <c r="A777" s="16"/>
      <c r="C777"/>
      <c r="D777"/>
      <c r="E777"/>
      <c r="F777"/>
    </row>
    <row r="778" spans="1:6" x14ac:dyDescent="0.25">
      <c r="A778" s="16"/>
      <c r="C778"/>
      <c r="D778"/>
      <c r="E778"/>
      <c r="F778"/>
    </row>
    <row r="779" spans="1:6" x14ac:dyDescent="0.25">
      <c r="A779" s="16"/>
      <c r="C779"/>
      <c r="D779"/>
      <c r="E779"/>
      <c r="F779"/>
    </row>
    <row r="780" spans="1:6" x14ac:dyDescent="0.25">
      <c r="A780" s="16"/>
      <c r="C780"/>
      <c r="D780"/>
      <c r="E780"/>
      <c r="F780"/>
    </row>
    <row r="781" spans="1:6" x14ac:dyDescent="0.25">
      <c r="A781" s="16"/>
      <c r="C781"/>
      <c r="D781"/>
      <c r="E781"/>
      <c r="F781"/>
    </row>
    <row r="782" spans="1:6" x14ac:dyDescent="0.25">
      <c r="A782" s="16"/>
      <c r="C782"/>
      <c r="D782"/>
      <c r="E782"/>
      <c r="F782"/>
    </row>
    <row r="783" spans="1:6" x14ac:dyDescent="0.25">
      <c r="A783" s="16"/>
      <c r="C783"/>
      <c r="D783"/>
      <c r="E783"/>
      <c r="F783"/>
    </row>
    <row r="784" spans="1:6" x14ac:dyDescent="0.25">
      <c r="A784" s="16"/>
      <c r="C784"/>
      <c r="D784"/>
      <c r="E784"/>
      <c r="F784"/>
    </row>
    <row r="785" spans="1:6" x14ac:dyDescent="0.25">
      <c r="A785" s="16"/>
      <c r="C785"/>
      <c r="D785"/>
      <c r="E785"/>
      <c r="F785"/>
    </row>
    <row r="786" spans="1:6" x14ac:dyDescent="0.25">
      <c r="A786" s="16"/>
      <c r="C786"/>
      <c r="D786"/>
      <c r="E786"/>
      <c r="F786"/>
    </row>
    <row r="787" spans="1:6" x14ac:dyDescent="0.25">
      <c r="A787" s="16"/>
      <c r="C787"/>
      <c r="D787"/>
      <c r="E787"/>
      <c r="F787"/>
    </row>
    <row r="788" spans="1:6" x14ac:dyDescent="0.25">
      <c r="A788" s="16"/>
      <c r="C788"/>
      <c r="D788"/>
      <c r="E788"/>
      <c r="F788"/>
    </row>
    <row r="789" spans="1:6" x14ac:dyDescent="0.25">
      <c r="A789" s="16"/>
      <c r="C789"/>
      <c r="D789"/>
      <c r="E789"/>
      <c r="F789"/>
    </row>
    <row r="790" spans="1:6" x14ac:dyDescent="0.25">
      <c r="A790" s="16"/>
      <c r="C790"/>
      <c r="D790"/>
      <c r="E790"/>
      <c r="F790"/>
    </row>
    <row r="791" spans="1:6" x14ac:dyDescent="0.25">
      <c r="A791" s="16"/>
      <c r="C791"/>
      <c r="D791"/>
      <c r="E791"/>
      <c r="F791"/>
    </row>
    <row r="792" spans="1:6" x14ac:dyDescent="0.25">
      <c r="A792" s="16"/>
      <c r="C792"/>
      <c r="D792"/>
      <c r="E792"/>
      <c r="F792"/>
    </row>
    <row r="793" spans="1:6" x14ac:dyDescent="0.25">
      <c r="A793" s="16"/>
      <c r="C793"/>
      <c r="D793"/>
      <c r="E793"/>
      <c r="F793"/>
    </row>
    <row r="794" spans="1:6" x14ac:dyDescent="0.25">
      <c r="A794" s="16"/>
      <c r="C794"/>
      <c r="D794"/>
      <c r="E794"/>
      <c r="F794"/>
    </row>
    <row r="795" spans="1:6" x14ac:dyDescent="0.25">
      <c r="A795" s="16"/>
      <c r="C795"/>
      <c r="D795"/>
      <c r="E795"/>
      <c r="F795"/>
    </row>
    <row r="796" spans="1:6" x14ac:dyDescent="0.25">
      <c r="A796" s="16"/>
      <c r="C796"/>
      <c r="D796"/>
      <c r="E796"/>
      <c r="F796"/>
    </row>
    <row r="797" spans="1:6" x14ac:dyDescent="0.25">
      <c r="A797" s="16"/>
      <c r="C797"/>
      <c r="D797"/>
      <c r="E797"/>
      <c r="F797"/>
    </row>
    <row r="798" spans="1:6" x14ac:dyDescent="0.25">
      <c r="A798" s="16"/>
      <c r="C798"/>
      <c r="D798"/>
      <c r="E798"/>
      <c r="F798"/>
    </row>
    <row r="799" spans="1:6" x14ac:dyDescent="0.25">
      <c r="A799" s="16"/>
      <c r="C799"/>
      <c r="D799"/>
      <c r="E799"/>
      <c r="F799"/>
    </row>
    <row r="800" spans="1:6" x14ac:dyDescent="0.25">
      <c r="A800" s="16"/>
      <c r="C800"/>
      <c r="D800"/>
      <c r="E800"/>
      <c r="F800"/>
    </row>
    <row r="801" spans="1:6" x14ac:dyDescent="0.25">
      <c r="A801" s="19"/>
      <c r="C801"/>
      <c r="D801"/>
      <c r="E801"/>
      <c r="F801"/>
    </row>
    <row r="802" spans="1:6" x14ac:dyDescent="0.25">
      <c r="A802" s="19"/>
      <c r="C802"/>
      <c r="D802"/>
      <c r="E802"/>
      <c r="F802"/>
    </row>
    <row r="803" spans="1:6" x14ac:dyDescent="0.25">
      <c r="A803" s="19"/>
      <c r="C803"/>
      <c r="D803"/>
      <c r="E803"/>
      <c r="F803"/>
    </row>
    <row r="804" spans="1:6" x14ac:dyDescent="0.25">
      <c r="A804" s="19"/>
      <c r="C804"/>
      <c r="D804"/>
      <c r="E804"/>
      <c r="F804"/>
    </row>
    <row r="805" spans="1:6" x14ac:dyDescent="0.25">
      <c r="A805" s="19"/>
      <c r="C805"/>
      <c r="D805"/>
      <c r="E805"/>
      <c r="F805"/>
    </row>
    <row r="806" spans="1:6" x14ac:dyDescent="0.25">
      <c r="A806" s="19"/>
      <c r="C806"/>
      <c r="D806"/>
      <c r="E806"/>
      <c r="F806"/>
    </row>
    <row r="807" spans="1:6" x14ac:dyDescent="0.25">
      <c r="A807" s="19"/>
      <c r="C807"/>
      <c r="D807"/>
      <c r="E807"/>
      <c r="F807"/>
    </row>
    <row r="808" spans="1:6" x14ac:dyDescent="0.25">
      <c r="A808" s="19"/>
      <c r="C808"/>
      <c r="D808"/>
      <c r="E808"/>
      <c r="F808"/>
    </row>
    <row r="809" spans="1:6" x14ac:dyDescent="0.25">
      <c r="A809" s="19"/>
      <c r="C809"/>
      <c r="D809"/>
      <c r="E809"/>
      <c r="F809"/>
    </row>
    <row r="810" spans="1:6" x14ac:dyDescent="0.25">
      <c r="A810" s="19"/>
      <c r="C810"/>
      <c r="D810"/>
      <c r="E810"/>
      <c r="F810"/>
    </row>
    <row r="811" spans="1:6" x14ac:dyDescent="0.25">
      <c r="A811" s="19"/>
      <c r="C811"/>
      <c r="D811"/>
      <c r="E811"/>
      <c r="F811"/>
    </row>
    <row r="812" spans="1:6" x14ac:dyDescent="0.25">
      <c r="A812" s="19"/>
      <c r="C812"/>
      <c r="D812"/>
      <c r="E812"/>
      <c r="F812"/>
    </row>
    <row r="813" spans="1:6" x14ac:dyDescent="0.25">
      <c r="A813" s="19"/>
      <c r="C813"/>
      <c r="D813"/>
      <c r="E813"/>
      <c r="F813"/>
    </row>
    <row r="814" spans="1:6" x14ac:dyDescent="0.25">
      <c r="A814" s="19"/>
      <c r="C814"/>
      <c r="D814"/>
      <c r="E814"/>
      <c r="F814"/>
    </row>
    <row r="815" spans="1:6" x14ac:dyDescent="0.25">
      <c r="A815" s="19"/>
      <c r="C815"/>
      <c r="D815"/>
      <c r="E815"/>
      <c r="F815"/>
    </row>
    <row r="816" spans="1:6" x14ac:dyDescent="0.25">
      <c r="A816" s="19"/>
      <c r="C816"/>
      <c r="D816"/>
      <c r="E816"/>
      <c r="F816"/>
    </row>
    <row r="817" spans="1:6" x14ac:dyDescent="0.25">
      <c r="A817" s="19"/>
      <c r="C817"/>
      <c r="D817"/>
      <c r="E817"/>
      <c r="F817"/>
    </row>
    <row r="818" spans="1:6" x14ac:dyDescent="0.25">
      <c r="A818" s="19"/>
      <c r="C818"/>
      <c r="D818"/>
      <c r="E818"/>
      <c r="F818"/>
    </row>
    <row r="819" spans="1:6" x14ac:dyDescent="0.25">
      <c r="A819" s="19"/>
      <c r="C819"/>
      <c r="D819"/>
      <c r="E819"/>
      <c r="F819"/>
    </row>
    <row r="820" spans="1:6" x14ac:dyDescent="0.25">
      <c r="A820" s="19"/>
      <c r="C820"/>
      <c r="D820"/>
      <c r="E820"/>
      <c r="F820"/>
    </row>
    <row r="821" spans="1:6" x14ac:dyDescent="0.25">
      <c r="A821" s="19"/>
      <c r="C821"/>
      <c r="D821"/>
      <c r="E821"/>
      <c r="F821"/>
    </row>
    <row r="822" spans="1:6" x14ac:dyDescent="0.25">
      <c r="A822" s="19"/>
      <c r="C822"/>
      <c r="D822"/>
      <c r="E822"/>
      <c r="F822"/>
    </row>
    <row r="823" spans="1:6" x14ac:dyDescent="0.25">
      <c r="A823" s="19"/>
      <c r="C823"/>
      <c r="D823"/>
      <c r="E823"/>
      <c r="F823"/>
    </row>
    <row r="824" spans="1:6" x14ac:dyDescent="0.25">
      <c r="A824" s="19"/>
      <c r="C824"/>
      <c r="D824"/>
      <c r="E824"/>
      <c r="F824"/>
    </row>
    <row r="825" spans="1:6" x14ac:dyDescent="0.25">
      <c r="A825" s="19"/>
      <c r="C825"/>
      <c r="D825"/>
      <c r="E825"/>
      <c r="F825"/>
    </row>
    <row r="826" spans="1:6" x14ac:dyDescent="0.25">
      <c r="A826" s="19"/>
      <c r="C826"/>
      <c r="D826"/>
      <c r="E826"/>
      <c r="F826"/>
    </row>
    <row r="827" spans="1:6" x14ac:dyDescent="0.25">
      <c r="A827" s="19"/>
      <c r="C827"/>
      <c r="D827"/>
      <c r="E827"/>
      <c r="F827"/>
    </row>
    <row r="828" spans="1:6" x14ac:dyDescent="0.25">
      <c r="A828" s="19"/>
      <c r="C828"/>
      <c r="D828"/>
      <c r="E828"/>
      <c r="F828"/>
    </row>
    <row r="829" spans="1:6" x14ac:dyDescent="0.25">
      <c r="A829" s="19"/>
      <c r="C829"/>
      <c r="D829"/>
      <c r="E829"/>
      <c r="F829"/>
    </row>
    <row r="830" spans="1:6" x14ac:dyDescent="0.25">
      <c r="A830" s="19"/>
      <c r="C830"/>
      <c r="D830"/>
      <c r="E830"/>
      <c r="F830"/>
    </row>
    <row r="831" spans="1:6" x14ac:dyDescent="0.25">
      <c r="A831" s="19"/>
      <c r="C831"/>
      <c r="D831"/>
      <c r="E831"/>
      <c r="F831"/>
    </row>
    <row r="832" spans="1:6" x14ac:dyDescent="0.25">
      <c r="A832" s="19"/>
      <c r="C832"/>
      <c r="D832"/>
      <c r="E832"/>
      <c r="F832"/>
    </row>
    <row r="833" spans="1:6" x14ac:dyDescent="0.25">
      <c r="A833" s="19"/>
      <c r="C833"/>
      <c r="D833"/>
      <c r="E833"/>
      <c r="F833"/>
    </row>
    <row r="834" spans="1:6" x14ac:dyDescent="0.25">
      <c r="A834" s="19"/>
      <c r="C834"/>
      <c r="D834"/>
      <c r="E834"/>
      <c r="F834"/>
    </row>
    <row r="835" spans="1:6" x14ac:dyDescent="0.25">
      <c r="A835" s="19"/>
      <c r="C835"/>
      <c r="D835"/>
      <c r="E835"/>
      <c r="F835"/>
    </row>
    <row r="836" spans="1:6" x14ac:dyDescent="0.25">
      <c r="A836" s="19"/>
      <c r="C836"/>
      <c r="D836"/>
      <c r="E836"/>
      <c r="F836"/>
    </row>
    <row r="837" spans="1:6" x14ac:dyDescent="0.25">
      <c r="A837" s="19"/>
      <c r="C837"/>
      <c r="D837"/>
      <c r="E837"/>
      <c r="F837"/>
    </row>
    <row r="838" spans="1:6" x14ac:dyDescent="0.25">
      <c r="A838" s="19"/>
      <c r="C838"/>
      <c r="D838"/>
      <c r="E838"/>
      <c r="F838"/>
    </row>
    <row r="839" spans="1:6" x14ac:dyDescent="0.25">
      <c r="A839" s="19"/>
      <c r="C839"/>
      <c r="D839"/>
      <c r="E839"/>
      <c r="F839"/>
    </row>
    <row r="840" spans="1:6" x14ac:dyDescent="0.25">
      <c r="A840" s="19"/>
      <c r="C840"/>
      <c r="D840"/>
      <c r="E840"/>
      <c r="F840"/>
    </row>
    <row r="841" spans="1:6" x14ac:dyDescent="0.25">
      <c r="A841" s="19"/>
      <c r="C841"/>
      <c r="D841"/>
      <c r="E841"/>
      <c r="F841"/>
    </row>
    <row r="842" spans="1:6" x14ac:dyDescent="0.25">
      <c r="A842" s="19"/>
      <c r="C842"/>
      <c r="D842"/>
      <c r="E842"/>
      <c r="F842"/>
    </row>
    <row r="843" spans="1:6" x14ac:dyDescent="0.25">
      <c r="A843" s="19"/>
      <c r="C843"/>
      <c r="D843"/>
      <c r="E843"/>
      <c r="F843"/>
    </row>
    <row r="844" spans="1:6" x14ac:dyDescent="0.25">
      <c r="A844" s="19"/>
      <c r="C844"/>
      <c r="D844"/>
      <c r="E844"/>
      <c r="F844"/>
    </row>
    <row r="845" spans="1:6" x14ac:dyDescent="0.25">
      <c r="A845" s="19"/>
      <c r="C845"/>
      <c r="D845"/>
      <c r="E845"/>
      <c r="F845"/>
    </row>
    <row r="846" spans="1:6" x14ac:dyDescent="0.25">
      <c r="A846" s="19"/>
      <c r="C846"/>
      <c r="D846"/>
      <c r="E846"/>
      <c r="F846"/>
    </row>
    <row r="847" spans="1:6" x14ac:dyDescent="0.25">
      <c r="A847" s="19"/>
      <c r="C847"/>
      <c r="D847"/>
      <c r="E847"/>
      <c r="F847"/>
    </row>
    <row r="848" spans="1:6" x14ac:dyDescent="0.25">
      <c r="A848" s="19"/>
      <c r="C848"/>
      <c r="D848"/>
      <c r="E848"/>
      <c r="F848"/>
    </row>
    <row r="849" spans="1:6" x14ac:dyDescent="0.25">
      <c r="A849" s="19"/>
      <c r="C849"/>
      <c r="D849"/>
      <c r="E849"/>
      <c r="F849"/>
    </row>
    <row r="850" spans="1:6" x14ac:dyDescent="0.25">
      <c r="A850" s="19"/>
      <c r="C850"/>
      <c r="D850"/>
      <c r="E850"/>
      <c r="F850"/>
    </row>
    <row r="851" spans="1:6" x14ac:dyDescent="0.25">
      <c r="A851" s="19"/>
      <c r="C851"/>
      <c r="D851"/>
      <c r="E851"/>
      <c r="F851"/>
    </row>
    <row r="852" spans="1:6" x14ac:dyDescent="0.25">
      <c r="A852" s="19"/>
      <c r="C852"/>
      <c r="D852"/>
      <c r="E852"/>
      <c r="F852"/>
    </row>
    <row r="853" spans="1:6" x14ac:dyDescent="0.25">
      <c r="A853" s="19"/>
      <c r="C853"/>
      <c r="D853"/>
      <c r="E853"/>
      <c r="F853"/>
    </row>
    <row r="854" spans="1:6" x14ac:dyDescent="0.25">
      <c r="A854" s="19"/>
      <c r="C854"/>
      <c r="D854"/>
      <c r="E854"/>
      <c r="F854"/>
    </row>
    <row r="855" spans="1:6" x14ac:dyDescent="0.25">
      <c r="A855" s="19"/>
      <c r="C855"/>
      <c r="D855"/>
      <c r="E855"/>
      <c r="F855"/>
    </row>
    <row r="856" spans="1:6" x14ac:dyDescent="0.25">
      <c r="A856" s="19"/>
      <c r="C856"/>
      <c r="D856"/>
      <c r="E856"/>
      <c r="F856"/>
    </row>
    <row r="857" spans="1:6" x14ac:dyDescent="0.25">
      <c r="A857" s="19"/>
      <c r="C857"/>
      <c r="D857"/>
      <c r="E857"/>
      <c r="F857"/>
    </row>
    <row r="858" spans="1:6" x14ac:dyDescent="0.25">
      <c r="A858" s="19"/>
      <c r="C858"/>
      <c r="D858"/>
      <c r="E858"/>
      <c r="F858"/>
    </row>
    <row r="859" spans="1:6" x14ac:dyDescent="0.25">
      <c r="A859" s="19"/>
      <c r="C859"/>
      <c r="D859"/>
      <c r="E859"/>
      <c r="F859"/>
    </row>
    <row r="860" spans="1:6" x14ac:dyDescent="0.25">
      <c r="A860" s="19"/>
      <c r="C860"/>
      <c r="D860"/>
      <c r="E860"/>
      <c r="F860"/>
    </row>
    <row r="861" spans="1:6" x14ac:dyDescent="0.25">
      <c r="A861" s="19"/>
      <c r="C861"/>
      <c r="D861"/>
      <c r="E861"/>
      <c r="F861"/>
    </row>
    <row r="862" spans="1:6" x14ac:dyDescent="0.25">
      <c r="A862" s="19"/>
      <c r="C862"/>
      <c r="D862"/>
      <c r="E862"/>
      <c r="F862"/>
    </row>
    <row r="863" spans="1:6" x14ac:dyDescent="0.25">
      <c r="A863" s="19"/>
      <c r="C863"/>
      <c r="D863"/>
      <c r="E863"/>
      <c r="F863"/>
    </row>
    <row r="864" spans="1:6" x14ac:dyDescent="0.25">
      <c r="A864" s="19"/>
      <c r="C864"/>
      <c r="D864"/>
      <c r="E864"/>
      <c r="F864"/>
    </row>
    <row r="865" spans="1:6" x14ac:dyDescent="0.25">
      <c r="A865" s="19"/>
      <c r="C865"/>
      <c r="D865"/>
      <c r="E865"/>
      <c r="F865"/>
    </row>
    <row r="866" spans="1:6" x14ac:dyDescent="0.25">
      <c r="A866" s="19"/>
      <c r="C866"/>
      <c r="D866"/>
      <c r="E866"/>
      <c r="F866"/>
    </row>
    <row r="867" spans="1:6" x14ac:dyDescent="0.25">
      <c r="A867" s="19"/>
      <c r="C867"/>
      <c r="D867"/>
      <c r="E867"/>
      <c r="F867"/>
    </row>
    <row r="868" spans="1:6" x14ac:dyDescent="0.25">
      <c r="A868" s="19"/>
      <c r="C868"/>
      <c r="D868"/>
      <c r="E868"/>
      <c r="F868"/>
    </row>
    <row r="869" spans="1:6" x14ac:dyDescent="0.25">
      <c r="A869" s="19"/>
      <c r="C869"/>
      <c r="D869"/>
      <c r="E869"/>
      <c r="F869"/>
    </row>
    <row r="870" spans="1:6" x14ac:dyDescent="0.25">
      <c r="A870" s="19"/>
      <c r="C870"/>
      <c r="D870"/>
      <c r="E870"/>
      <c r="F870"/>
    </row>
    <row r="871" spans="1:6" x14ac:dyDescent="0.25">
      <c r="A871" s="19"/>
      <c r="C871"/>
      <c r="D871"/>
      <c r="E871"/>
      <c r="F871"/>
    </row>
    <row r="872" spans="1:6" x14ac:dyDescent="0.25">
      <c r="A872" s="19"/>
      <c r="C872"/>
      <c r="D872"/>
      <c r="E872"/>
      <c r="F872"/>
    </row>
    <row r="873" spans="1:6" x14ac:dyDescent="0.25">
      <c r="A873" s="19"/>
      <c r="C873"/>
      <c r="D873"/>
      <c r="E873"/>
      <c r="F873"/>
    </row>
    <row r="874" spans="1:6" x14ac:dyDescent="0.25">
      <c r="A874" s="19"/>
      <c r="C874"/>
      <c r="D874"/>
      <c r="E874"/>
      <c r="F874"/>
    </row>
    <row r="875" spans="1:6" x14ac:dyDescent="0.25">
      <c r="A875" s="19"/>
      <c r="C875"/>
      <c r="D875"/>
      <c r="E875"/>
      <c r="F875"/>
    </row>
    <row r="876" spans="1:6" x14ac:dyDescent="0.25">
      <c r="A876" s="19"/>
      <c r="C876"/>
      <c r="D876"/>
      <c r="E876"/>
      <c r="F876"/>
    </row>
    <row r="877" spans="1:6" x14ac:dyDescent="0.25">
      <c r="A877" s="19"/>
      <c r="C877"/>
      <c r="D877"/>
      <c r="E877"/>
      <c r="F877"/>
    </row>
    <row r="878" spans="1:6" x14ac:dyDescent="0.25">
      <c r="A878" s="19"/>
      <c r="C878"/>
      <c r="D878"/>
      <c r="E878"/>
      <c r="F878"/>
    </row>
    <row r="879" spans="1:6" x14ac:dyDescent="0.25">
      <c r="A879" s="19"/>
      <c r="C879"/>
      <c r="D879"/>
      <c r="E879"/>
      <c r="F879"/>
    </row>
    <row r="880" spans="1:6" x14ac:dyDescent="0.25">
      <c r="A880" s="19"/>
      <c r="C880"/>
      <c r="D880"/>
      <c r="E880"/>
      <c r="F880"/>
    </row>
    <row r="881" spans="1:6" x14ac:dyDescent="0.25">
      <c r="A881" s="19"/>
      <c r="C881"/>
      <c r="D881"/>
      <c r="E881"/>
      <c r="F881"/>
    </row>
    <row r="882" spans="1:6" x14ac:dyDescent="0.25">
      <c r="A882" s="19"/>
      <c r="C882"/>
      <c r="D882"/>
      <c r="E882"/>
      <c r="F882"/>
    </row>
    <row r="883" spans="1:6" x14ac:dyDescent="0.25">
      <c r="A883" s="19"/>
      <c r="C883"/>
      <c r="D883"/>
      <c r="E883"/>
      <c r="F883"/>
    </row>
    <row r="884" spans="1:6" x14ac:dyDescent="0.25">
      <c r="A884" s="19"/>
      <c r="C884"/>
      <c r="D884"/>
      <c r="E884"/>
      <c r="F884"/>
    </row>
    <row r="885" spans="1:6" x14ac:dyDescent="0.25">
      <c r="A885" s="19"/>
      <c r="C885"/>
      <c r="D885"/>
      <c r="E885"/>
      <c r="F885"/>
    </row>
    <row r="886" spans="1:6" x14ac:dyDescent="0.25">
      <c r="A886" s="19"/>
      <c r="C886"/>
      <c r="D886"/>
      <c r="E886"/>
      <c r="F886"/>
    </row>
    <row r="887" spans="1:6" x14ac:dyDescent="0.25">
      <c r="A887" s="19"/>
      <c r="C887"/>
      <c r="D887"/>
      <c r="E887"/>
      <c r="F887"/>
    </row>
    <row r="888" spans="1:6" x14ac:dyDescent="0.25">
      <c r="A888" s="19"/>
      <c r="C888"/>
      <c r="D888"/>
      <c r="E888"/>
      <c r="F888"/>
    </row>
    <row r="889" spans="1:6" x14ac:dyDescent="0.25">
      <c r="A889" s="19"/>
      <c r="C889"/>
      <c r="D889"/>
      <c r="E889"/>
      <c r="F889"/>
    </row>
    <row r="890" spans="1:6" x14ac:dyDescent="0.25">
      <c r="A890" s="19"/>
      <c r="C890"/>
      <c r="D890"/>
      <c r="E890"/>
      <c r="F890"/>
    </row>
    <row r="891" spans="1:6" x14ac:dyDescent="0.25">
      <c r="A891" s="19"/>
      <c r="C891"/>
      <c r="D891"/>
      <c r="E891"/>
      <c r="F891"/>
    </row>
    <row r="892" spans="1:6" x14ac:dyDescent="0.25">
      <c r="A892" s="19"/>
      <c r="C892"/>
      <c r="D892"/>
      <c r="E892"/>
      <c r="F892"/>
    </row>
    <row r="893" spans="1:6" x14ac:dyDescent="0.25">
      <c r="A893" s="19"/>
      <c r="C893"/>
      <c r="D893"/>
      <c r="E893"/>
      <c r="F893"/>
    </row>
    <row r="894" spans="1:6" x14ac:dyDescent="0.25">
      <c r="A894" s="19"/>
      <c r="C894"/>
      <c r="D894"/>
      <c r="E894"/>
      <c r="F894"/>
    </row>
    <row r="895" spans="1:6" x14ac:dyDescent="0.25">
      <c r="A895" s="19"/>
      <c r="C895"/>
      <c r="D895"/>
      <c r="E895"/>
      <c r="F895"/>
    </row>
    <row r="896" spans="1:6" x14ac:dyDescent="0.25">
      <c r="A896" s="19"/>
      <c r="C896"/>
      <c r="D896"/>
      <c r="E896"/>
      <c r="F896"/>
    </row>
    <row r="897" spans="1:6" x14ac:dyDescent="0.25">
      <c r="A897" s="19"/>
      <c r="C897"/>
      <c r="D897"/>
      <c r="E897"/>
      <c r="F897"/>
    </row>
    <row r="898" spans="1:6" x14ac:dyDescent="0.25">
      <c r="A898" s="19"/>
      <c r="C898"/>
      <c r="D898"/>
      <c r="E898"/>
      <c r="F898"/>
    </row>
    <row r="899" spans="1:6" x14ac:dyDescent="0.25">
      <c r="A899" s="19"/>
      <c r="C899"/>
      <c r="D899"/>
      <c r="E899"/>
      <c r="F899"/>
    </row>
    <row r="900" spans="1:6" x14ac:dyDescent="0.25">
      <c r="A900" s="19"/>
      <c r="C900"/>
      <c r="D900"/>
      <c r="E900"/>
      <c r="F900"/>
    </row>
    <row r="901" spans="1:6" x14ac:dyDescent="0.25">
      <c r="A901" s="19"/>
      <c r="C901"/>
      <c r="D901"/>
      <c r="E901"/>
      <c r="F901"/>
    </row>
    <row r="902" spans="1:6" x14ac:dyDescent="0.25">
      <c r="A902" s="19"/>
      <c r="C902"/>
      <c r="D902"/>
      <c r="E902"/>
      <c r="F902"/>
    </row>
    <row r="903" spans="1:6" x14ac:dyDescent="0.25">
      <c r="A903" s="19"/>
      <c r="C903"/>
      <c r="D903"/>
      <c r="E903"/>
      <c r="F903"/>
    </row>
    <row r="904" spans="1:6" x14ac:dyDescent="0.25">
      <c r="A904" s="19"/>
      <c r="C904"/>
      <c r="D904"/>
      <c r="E904"/>
      <c r="F904"/>
    </row>
    <row r="905" spans="1:6" x14ac:dyDescent="0.25">
      <c r="A905" s="19"/>
      <c r="C905"/>
      <c r="D905"/>
      <c r="E905"/>
      <c r="F905"/>
    </row>
    <row r="906" spans="1:6" x14ac:dyDescent="0.25">
      <c r="A906" s="19"/>
      <c r="C906"/>
      <c r="D906"/>
      <c r="E906"/>
      <c r="F906"/>
    </row>
    <row r="907" spans="1:6" x14ac:dyDescent="0.25">
      <c r="A907" s="19"/>
      <c r="C907"/>
      <c r="D907"/>
      <c r="E907"/>
      <c r="F907"/>
    </row>
    <row r="908" spans="1:6" x14ac:dyDescent="0.25">
      <c r="A908" s="19"/>
      <c r="C908"/>
      <c r="D908"/>
      <c r="E908"/>
      <c r="F908"/>
    </row>
    <row r="909" spans="1:6" x14ac:dyDescent="0.25">
      <c r="A909" s="19"/>
      <c r="C909"/>
      <c r="D909"/>
      <c r="E909"/>
      <c r="F909"/>
    </row>
    <row r="910" spans="1:6" x14ac:dyDescent="0.25">
      <c r="A910" s="19"/>
      <c r="C910"/>
      <c r="D910"/>
      <c r="E910"/>
      <c r="F910"/>
    </row>
    <row r="911" spans="1:6" x14ac:dyDescent="0.25">
      <c r="A911" s="19"/>
      <c r="C911"/>
      <c r="D911"/>
      <c r="E911"/>
      <c r="F911"/>
    </row>
    <row r="912" spans="1:6" x14ac:dyDescent="0.25">
      <c r="A912" s="19"/>
      <c r="C912"/>
      <c r="D912"/>
      <c r="E912"/>
      <c r="F912"/>
    </row>
    <row r="913" spans="1:6" x14ac:dyDescent="0.25">
      <c r="A913" s="19"/>
      <c r="C913"/>
      <c r="D913"/>
      <c r="E913"/>
      <c r="F913"/>
    </row>
    <row r="914" spans="1:6" x14ac:dyDescent="0.25">
      <c r="A914" s="19"/>
      <c r="C914"/>
      <c r="D914"/>
      <c r="E914"/>
      <c r="F914"/>
    </row>
    <row r="915" spans="1:6" x14ac:dyDescent="0.25">
      <c r="A915" s="19"/>
      <c r="C915"/>
      <c r="D915"/>
      <c r="E915"/>
      <c r="F915"/>
    </row>
    <row r="916" spans="1:6" x14ac:dyDescent="0.25">
      <c r="A916" s="19"/>
      <c r="C916"/>
      <c r="D916"/>
      <c r="E916"/>
      <c r="F916"/>
    </row>
    <row r="917" spans="1:6" x14ac:dyDescent="0.25">
      <c r="A917" s="19"/>
      <c r="C917"/>
      <c r="D917"/>
      <c r="E917"/>
      <c r="F917"/>
    </row>
    <row r="918" spans="1:6" x14ac:dyDescent="0.25">
      <c r="A918" s="19"/>
      <c r="C918"/>
      <c r="D918"/>
      <c r="E918"/>
      <c r="F918"/>
    </row>
    <row r="919" spans="1:6" x14ac:dyDescent="0.25">
      <c r="A919" s="19"/>
      <c r="C919"/>
      <c r="D919"/>
      <c r="E919"/>
      <c r="F919"/>
    </row>
    <row r="920" spans="1:6" x14ac:dyDescent="0.25">
      <c r="A920" s="19"/>
      <c r="C920"/>
      <c r="D920"/>
      <c r="E920"/>
      <c r="F920"/>
    </row>
    <row r="921" spans="1:6" x14ac:dyDescent="0.25">
      <c r="A921" s="19"/>
      <c r="C921"/>
      <c r="D921"/>
      <c r="E921"/>
      <c r="F921"/>
    </row>
    <row r="922" spans="1:6" x14ac:dyDescent="0.25">
      <c r="A922" s="19"/>
      <c r="C922"/>
      <c r="D922"/>
      <c r="E922"/>
      <c r="F922"/>
    </row>
    <row r="923" spans="1:6" x14ac:dyDescent="0.25">
      <c r="A923" s="19"/>
      <c r="C923"/>
      <c r="D923"/>
      <c r="E923"/>
      <c r="F923"/>
    </row>
    <row r="924" spans="1:6" x14ac:dyDescent="0.25">
      <c r="A924" s="19"/>
      <c r="C924"/>
      <c r="D924"/>
      <c r="E924"/>
      <c r="F924"/>
    </row>
    <row r="925" spans="1:6" x14ac:dyDescent="0.25">
      <c r="A925" s="19"/>
      <c r="C925"/>
      <c r="D925"/>
      <c r="E925"/>
      <c r="F925"/>
    </row>
    <row r="926" spans="1:6" x14ac:dyDescent="0.25">
      <c r="A926" s="19"/>
      <c r="C926"/>
      <c r="D926"/>
      <c r="E926"/>
      <c r="F926"/>
    </row>
    <row r="927" spans="1:6" x14ac:dyDescent="0.25">
      <c r="A927" s="19"/>
      <c r="C927"/>
      <c r="D927"/>
      <c r="E927"/>
      <c r="F927"/>
    </row>
    <row r="928" spans="1:6" x14ac:dyDescent="0.25">
      <c r="A928" s="19"/>
      <c r="C928"/>
      <c r="D928"/>
      <c r="E928"/>
      <c r="F928"/>
    </row>
    <row r="929" spans="1:6" x14ac:dyDescent="0.25">
      <c r="A929" s="19"/>
      <c r="C929"/>
      <c r="D929"/>
      <c r="E929"/>
      <c r="F929"/>
    </row>
    <row r="930" spans="1:6" x14ac:dyDescent="0.25">
      <c r="A930" s="19"/>
      <c r="C930"/>
      <c r="D930"/>
      <c r="E930"/>
      <c r="F930"/>
    </row>
    <row r="931" spans="1:6" x14ac:dyDescent="0.25">
      <c r="A931" s="19"/>
      <c r="C931"/>
      <c r="D931"/>
      <c r="E931"/>
      <c r="F931"/>
    </row>
    <row r="932" spans="1:6" x14ac:dyDescent="0.25">
      <c r="A932" s="19"/>
      <c r="C932"/>
      <c r="D932"/>
      <c r="E932"/>
      <c r="F932"/>
    </row>
    <row r="933" spans="1:6" x14ac:dyDescent="0.25">
      <c r="A933" s="19"/>
      <c r="C933"/>
      <c r="D933"/>
      <c r="E933"/>
      <c r="F933"/>
    </row>
    <row r="934" spans="1:6" x14ac:dyDescent="0.25">
      <c r="A934" s="19"/>
      <c r="C934"/>
      <c r="D934"/>
      <c r="E934"/>
      <c r="F934"/>
    </row>
    <row r="935" spans="1:6" x14ac:dyDescent="0.25">
      <c r="A935" s="19"/>
      <c r="C935"/>
      <c r="D935"/>
      <c r="E935"/>
      <c r="F935"/>
    </row>
    <row r="936" spans="1:6" x14ac:dyDescent="0.25">
      <c r="A936" s="19"/>
      <c r="C936"/>
      <c r="D936"/>
      <c r="E936"/>
      <c r="F936"/>
    </row>
    <row r="937" spans="1:6" x14ac:dyDescent="0.25">
      <c r="A937" s="19"/>
      <c r="C937"/>
      <c r="D937"/>
      <c r="E937"/>
      <c r="F937"/>
    </row>
    <row r="938" spans="1:6" x14ac:dyDescent="0.25">
      <c r="A938" s="19"/>
      <c r="C938"/>
      <c r="D938"/>
      <c r="E938"/>
      <c r="F938"/>
    </row>
    <row r="939" spans="1:6" x14ac:dyDescent="0.25">
      <c r="A939" s="19"/>
      <c r="C939"/>
      <c r="D939"/>
      <c r="E939"/>
      <c r="F939"/>
    </row>
    <row r="940" spans="1:6" x14ac:dyDescent="0.25">
      <c r="A940" s="19"/>
      <c r="C940"/>
      <c r="D940"/>
      <c r="E940"/>
      <c r="F940"/>
    </row>
    <row r="941" spans="1:6" x14ac:dyDescent="0.25">
      <c r="A941" s="19"/>
      <c r="C941"/>
      <c r="D941"/>
      <c r="E941"/>
      <c r="F941"/>
    </row>
    <row r="942" spans="1:6" x14ac:dyDescent="0.25">
      <c r="A942" s="19"/>
      <c r="C942"/>
      <c r="D942"/>
      <c r="E942"/>
      <c r="F942"/>
    </row>
    <row r="943" spans="1:6" x14ac:dyDescent="0.25">
      <c r="A943" s="19"/>
      <c r="C943"/>
      <c r="D943"/>
      <c r="E943"/>
      <c r="F943"/>
    </row>
    <row r="944" spans="1:6" x14ac:dyDescent="0.25">
      <c r="A944" s="19"/>
      <c r="C944"/>
      <c r="D944"/>
      <c r="E944"/>
      <c r="F944"/>
    </row>
    <row r="945" spans="1:6" x14ac:dyDescent="0.25">
      <c r="A945" s="19"/>
      <c r="C945"/>
      <c r="D945"/>
      <c r="E945"/>
      <c r="F945"/>
    </row>
    <row r="946" spans="1:6" x14ac:dyDescent="0.25">
      <c r="A946" s="19"/>
      <c r="C946"/>
      <c r="D946"/>
      <c r="E946"/>
      <c r="F946"/>
    </row>
    <row r="947" spans="1:6" x14ac:dyDescent="0.25">
      <c r="A947" s="19"/>
      <c r="C947"/>
      <c r="D947"/>
      <c r="E947"/>
      <c r="F947"/>
    </row>
    <row r="948" spans="1:6" x14ac:dyDescent="0.25">
      <c r="A948" s="19"/>
      <c r="C948"/>
      <c r="D948"/>
      <c r="E948"/>
      <c r="F948"/>
    </row>
    <row r="949" spans="1:6" x14ac:dyDescent="0.25">
      <c r="A949" s="19"/>
      <c r="C949"/>
      <c r="D949"/>
      <c r="E949"/>
      <c r="F949"/>
    </row>
    <row r="950" spans="1:6" x14ac:dyDescent="0.25">
      <c r="A950" s="19"/>
      <c r="C950"/>
      <c r="D950"/>
      <c r="E950"/>
      <c r="F950"/>
    </row>
    <row r="951" spans="1:6" x14ac:dyDescent="0.25">
      <c r="A951" s="19"/>
      <c r="C951"/>
      <c r="D951"/>
      <c r="E951"/>
      <c r="F951"/>
    </row>
    <row r="952" spans="1:6" x14ac:dyDescent="0.25">
      <c r="A952" s="19"/>
      <c r="C952"/>
      <c r="D952"/>
      <c r="E952"/>
      <c r="F952"/>
    </row>
    <row r="953" spans="1:6" x14ac:dyDescent="0.25">
      <c r="A953" s="19"/>
      <c r="C953"/>
      <c r="D953"/>
      <c r="E953"/>
      <c r="F953"/>
    </row>
    <row r="954" spans="1:6" x14ac:dyDescent="0.25">
      <c r="A954" s="19"/>
      <c r="C954"/>
      <c r="D954"/>
      <c r="E954"/>
      <c r="F954"/>
    </row>
    <row r="955" spans="1:6" x14ac:dyDescent="0.25">
      <c r="A955" s="19"/>
      <c r="C955"/>
      <c r="D955"/>
      <c r="E955"/>
      <c r="F955"/>
    </row>
    <row r="956" spans="1:6" x14ac:dyDescent="0.25">
      <c r="A956" s="19"/>
      <c r="C956"/>
      <c r="D956"/>
      <c r="E956"/>
      <c r="F956"/>
    </row>
    <row r="957" spans="1:6" x14ac:dyDescent="0.25">
      <c r="A957" s="19"/>
      <c r="C957"/>
      <c r="D957"/>
      <c r="E957"/>
      <c r="F957"/>
    </row>
    <row r="958" spans="1:6" x14ac:dyDescent="0.25">
      <c r="A958" s="19"/>
      <c r="C958"/>
      <c r="D958"/>
      <c r="E958"/>
      <c r="F958"/>
    </row>
    <row r="959" spans="1:6" x14ac:dyDescent="0.25">
      <c r="A959" s="19"/>
      <c r="C959"/>
      <c r="D959"/>
      <c r="E959"/>
      <c r="F959"/>
    </row>
    <row r="960" spans="1:6" x14ac:dyDescent="0.25">
      <c r="A960" s="19"/>
      <c r="C960"/>
      <c r="D960"/>
      <c r="E960"/>
      <c r="F960"/>
    </row>
    <row r="961" spans="1:6" x14ac:dyDescent="0.25">
      <c r="A961" s="19"/>
      <c r="C961"/>
      <c r="D961"/>
      <c r="E961"/>
      <c r="F961"/>
    </row>
    <row r="962" spans="1:6" x14ac:dyDescent="0.25">
      <c r="A962" s="19"/>
      <c r="C962"/>
      <c r="D962"/>
      <c r="E962"/>
      <c r="F962"/>
    </row>
    <row r="963" spans="1:6" x14ac:dyDescent="0.25">
      <c r="A963" s="19"/>
      <c r="C963"/>
      <c r="D963"/>
      <c r="E963"/>
      <c r="F963"/>
    </row>
    <row r="964" spans="1:6" x14ac:dyDescent="0.25">
      <c r="A964" s="19"/>
      <c r="C964"/>
      <c r="D964"/>
      <c r="E964"/>
      <c r="F964"/>
    </row>
    <row r="965" spans="1:6" x14ac:dyDescent="0.25">
      <c r="A965" s="19"/>
      <c r="C965"/>
      <c r="D965"/>
      <c r="E965"/>
      <c r="F965"/>
    </row>
    <row r="966" spans="1:6" x14ac:dyDescent="0.25">
      <c r="A966" s="19"/>
      <c r="C966"/>
      <c r="D966"/>
      <c r="E966"/>
      <c r="F966"/>
    </row>
    <row r="967" spans="1:6" x14ac:dyDescent="0.25">
      <c r="A967" s="19"/>
      <c r="C967"/>
      <c r="D967"/>
      <c r="E967"/>
      <c r="F967"/>
    </row>
    <row r="968" spans="1:6" x14ac:dyDescent="0.25">
      <c r="A968" s="19"/>
      <c r="C968"/>
      <c r="D968"/>
      <c r="E968"/>
      <c r="F968"/>
    </row>
    <row r="969" spans="1:6" x14ac:dyDescent="0.25">
      <c r="A969" s="19"/>
      <c r="C969"/>
      <c r="D969"/>
      <c r="E969"/>
      <c r="F969"/>
    </row>
    <row r="970" spans="1:6" x14ac:dyDescent="0.25">
      <c r="A970" s="19"/>
      <c r="C970"/>
      <c r="D970"/>
      <c r="E970"/>
      <c r="F970"/>
    </row>
    <row r="971" spans="1:6" x14ac:dyDescent="0.25">
      <c r="A971" s="19"/>
      <c r="C971"/>
      <c r="D971"/>
      <c r="E971"/>
      <c r="F971"/>
    </row>
    <row r="972" spans="1:6" x14ac:dyDescent="0.25">
      <c r="A972" s="19"/>
      <c r="C972"/>
      <c r="D972"/>
      <c r="E972"/>
      <c r="F972"/>
    </row>
    <row r="973" spans="1:6" x14ac:dyDescent="0.25">
      <c r="A973" s="19"/>
      <c r="C973"/>
      <c r="D973"/>
      <c r="E973"/>
      <c r="F973"/>
    </row>
    <row r="974" spans="1:6" x14ac:dyDescent="0.25">
      <c r="A974" s="19"/>
      <c r="C974"/>
      <c r="D974"/>
      <c r="E974"/>
      <c r="F974"/>
    </row>
    <row r="975" spans="1:6" x14ac:dyDescent="0.25">
      <c r="A975" s="19"/>
      <c r="C975"/>
      <c r="D975"/>
      <c r="E975"/>
      <c r="F975"/>
    </row>
    <row r="976" spans="1:6" x14ac:dyDescent="0.25">
      <c r="A976" s="19"/>
      <c r="C976"/>
      <c r="D976"/>
      <c r="E976"/>
      <c r="F976"/>
    </row>
    <row r="977" spans="1:6" x14ac:dyDescent="0.25">
      <c r="A977" s="19"/>
      <c r="C977"/>
      <c r="D977"/>
      <c r="E977"/>
      <c r="F977"/>
    </row>
    <row r="978" spans="1:6" x14ac:dyDescent="0.25">
      <c r="A978" s="19"/>
      <c r="C978"/>
      <c r="D978"/>
      <c r="E978"/>
      <c r="F978"/>
    </row>
    <row r="979" spans="1:6" x14ac:dyDescent="0.25">
      <c r="A979" s="19"/>
      <c r="C979"/>
      <c r="D979"/>
      <c r="E979"/>
      <c r="F979"/>
    </row>
    <row r="980" spans="1:6" x14ac:dyDescent="0.25">
      <c r="A980" s="19"/>
      <c r="C980"/>
      <c r="D980"/>
      <c r="E980"/>
      <c r="F980"/>
    </row>
    <row r="981" spans="1:6" x14ac:dyDescent="0.25">
      <c r="A981" s="19"/>
      <c r="C981"/>
      <c r="D981"/>
      <c r="E981"/>
      <c r="F981"/>
    </row>
    <row r="982" spans="1:6" x14ac:dyDescent="0.25">
      <c r="A982" s="19"/>
      <c r="C982"/>
      <c r="D982"/>
      <c r="E982"/>
      <c r="F982"/>
    </row>
    <row r="983" spans="1:6" x14ac:dyDescent="0.25">
      <c r="A983" s="19"/>
      <c r="C983"/>
      <c r="D983"/>
      <c r="E983"/>
      <c r="F983"/>
    </row>
    <row r="984" spans="1:6" x14ac:dyDescent="0.25">
      <c r="A984" s="19"/>
      <c r="C984"/>
      <c r="D984"/>
      <c r="E984"/>
      <c r="F984"/>
    </row>
    <row r="985" spans="1:6" x14ac:dyDescent="0.25">
      <c r="A985" s="19"/>
      <c r="C985"/>
      <c r="D985"/>
      <c r="E985"/>
      <c r="F985"/>
    </row>
    <row r="986" spans="1:6" x14ac:dyDescent="0.25">
      <c r="A986" s="19"/>
      <c r="C986"/>
      <c r="D986"/>
      <c r="E986"/>
      <c r="F986"/>
    </row>
    <row r="987" spans="1:6" x14ac:dyDescent="0.25">
      <c r="A987" s="19"/>
      <c r="C987"/>
      <c r="D987"/>
      <c r="E987"/>
      <c r="F987"/>
    </row>
    <row r="988" spans="1:6" x14ac:dyDescent="0.25">
      <c r="A988" s="19"/>
      <c r="C988"/>
      <c r="D988"/>
      <c r="E988"/>
      <c r="F988"/>
    </row>
    <row r="989" spans="1:6" x14ac:dyDescent="0.25">
      <c r="A989" s="19"/>
      <c r="C989"/>
      <c r="D989"/>
      <c r="E989"/>
      <c r="F989"/>
    </row>
    <row r="990" spans="1:6" x14ac:dyDescent="0.25">
      <c r="A990" s="19"/>
      <c r="C990"/>
      <c r="D990"/>
      <c r="E990"/>
      <c r="F990"/>
    </row>
    <row r="991" spans="1:6" x14ac:dyDescent="0.25">
      <c r="A991" s="19"/>
      <c r="C991"/>
      <c r="D991"/>
      <c r="E991"/>
      <c r="F991"/>
    </row>
    <row r="992" spans="1:6" x14ac:dyDescent="0.25">
      <c r="A992" s="19"/>
      <c r="C992"/>
      <c r="D992"/>
      <c r="E992"/>
      <c r="F992"/>
    </row>
    <row r="993" spans="1:6" x14ac:dyDescent="0.25">
      <c r="A993" s="19"/>
      <c r="C993"/>
      <c r="D993"/>
      <c r="E993"/>
      <c r="F993"/>
    </row>
    <row r="994" spans="1:6" x14ac:dyDescent="0.25">
      <c r="A994" s="19"/>
      <c r="C994"/>
      <c r="D994"/>
      <c r="E994"/>
      <c r="F994"/>
    </row>
    <row r="995" spans="1:6" x14ac:dyDescent="0.25">
      <c r="A995" s="19"/>
      <c r="C995"/>
      <c r="D995"/>
      <c r="E995"/>
      <c r="F995"/>
    </row>
    <row r="996" spans="1:6" x14ac:dyDescent="0.25">
      <c r="A996" s="19"/>
      <c r="C996"/>
      <c r="D996"/>
      <c r="E996"/>
      <c r="F996"/>
    </row>
    <row r="997" spans="1:6" x14ac:dyDescent="0.25">
      <c r="A997" s="19"/>
      <c r="C997"/>
      <c r="D997"/>
      <c r="E997"/>
      <c r="F997"/>
    </row>
    <row r="998" spans="1:6" x14ac:dyDescent="0.25">
      <c r="A998" s="19"/>
      <c r="C998"/>
      <c r="D998"/>
      <c r="E998"/>
      <c r="F998"/>
    </row>
    <row r="999" spans="1:6" x14ac:dyDescent="0.25">
      <c r="A999" s="19"/>
      <c r="C999"/>
      <c r="D999"/>
      <c r="E999"/>
      <c r="F999"/>
    </row>
    <row r="1000" spans="1:6" x14ac:dyDescent="0.25">
      <c r="A1000" s="19"/>
      <c r="C1000"/>
      <c r="D1000"/>
      <c r="E1000"/>
      <c r="F1000"/>
    </row>
    <row r="1001" spans="1:6" x14ac:dyDescent="0.25">
      <c r="A1001" s="19"/>
      <c r="C1001"/>
      <c r="D1001"/>
      <c r="E1001"/>
      <c r="F1001"/>
    </row>
    <row r="1002" spans="1:6" x14ac:dyDescent="0.25">
      <c r="A1002" s="19"/>
      <c r="C1002"/>
      <c r="D1002"/>
      <c r="E1002"/>
      <c r="F1002"/>
    </row>
    <row r="1003" spans="1:6" x14ac:dyDescent="0.25">
      <c r="A1003" s="19"/>
      <c r="C1003"/>
      <c r="D1003"/>
      <c r="E1003"/>
      <c r="F1003"/>
    </row>
    <row r="1004" spans="1:6" x14ac:dyDescent="0.25">
      <c r="A1004" s="19"/>
      <c r="C1004"/>
      <c r="D1004"/>
      <c r="E1004"/>
      <c r="F1004"/>
    </row>
    <row r="1005" spans="1:6" x14ac:dyDescent="0.25">
      <c r="A1005" s="19"/>
      <c r="C1005"/>
      <c r="D1005"/>
      <c r="E1005"/>
      <c r="F1005"/>
    </row>
    <row r="1006" spans="1:6" x14ac:dyDescent="0.25">
      <c r="A1006" s="19"/>
      <c r="C1006"/>
      <c r="D1006"/>
      <c r="E1006"/>
      <c r="F1006"/>
    </row>
    <row r="1007" spans="1:6" x14ac:dyDescent="0.25">
      <c r="A1007" s="19"/>
      <c r="C1007"/>
      <c r="D1007"/>
      <c r="E1007"/>
      <c r="F1007"/>
    </row>
    <row r="1008" spans="1:6" x14ac:dyDescent="0.25">
      <c r="A1008" s="19"/>
      <c r="C1008"/>
      <c r="D1008"/>
      <c r="E1008"/>
      <c r="F1008"/>
    </row>
    <row r="1009" spans="1:6" x14ac:dyDescent="0.25">
      <c r="A1009" s="19"/>
      <c r="C1009"/>
      <c r="D1009"/>
      <c r="E1009"/>
      <c r="F1009"/>
    </row>
    <row r="1010" spans="1:6" x14ac:dyDescent="0.25">
      <c r="A1010" s="19"/>
      <c r="C1010"/>
      <c r="D1010"/>
      <c r="E1010"/>
      <c r="F1010"/>
    </row>
    <row r="1011" spans="1:6" x14ac:dyDescent="0.25">
      <c r="A1011" s="19"/>
      <c r="C1011"/>
      <c r="D1011"/>
      <c r="E1011"/>
      <c r="F1011"/>
    </row>
    <row r="1012" spans="1:6" x14ac:dyDescent="0.25">
      <c r="A1012" s="19"/>
      <c r="C1012"/>
      <c r="D1012"/>
      <c r="E1012"/>
      <c r="F1012"/>
    </row>
    <row r="1013" spans="1:6" x14ac:dyDescent="0.25">
      <c r="A1013" s="19"/>
      <c r="C1013"/>
      <c r="D1013"/>
      <c r="E1013"/>
      <c r="F1013"/>
    </row>
    <row r="1014" spans="1:6" x14ac:dyDescent="0.25">
      <c r="A1014" s="19"/>
      <c r="C1014"/>
      <c r="D1014"/>
      <c r="E1014"/>
      <c r="F1014"/>
    </row>
    <row r="1015" spans="1:6" x14ac:dyDescent="0.25">
      <c r="A1015" s="19"/>
      <c r="C1015"/>
      <c r="D1015"/>
      <c r="E1015"/>
      <c r="F1015"/>
    </row>
    <row r="1016" spans="1:6" x14ac:dyDescent="0.25">
      <c r="A1016" s="19"/>
      <c r="C1016"/>
      <c r="D1016"/>
      <c r="E1016"/>
      <c r="F1016"/>
    </row>
    <row r="1017" spans="1:6" x14ac:dyDescent="0.25">
      <c r="A1017" s="19"/>
      <c r="C1017"/>
      <c r="D1017"/>
      <c r="E1017"/>
      <c r="F1017"/>
    </row>
    <row r="1018" spans="1:6" x14ac:dyDescent="0.25">
      <c r="A1018" s="19"/>
      <c r="C1018"/>
      <c r="D1018"/>
      <c r="E1018"/>
      <c r="F1018"/>
    </row>
    <row r="1019" spans="1:6" x14ac:dyDescent="0.25">
      <c r="A1019" s="19"/>
      <c r="C1019"/>
      <c r="D1019"/>
      <c r="E1019"/>
      <c r="F1019"/>
    </row>
    <row r="1020" spans="1:6" x14ac:dyDescent="0.25">
      <c r="A1020" s="19"/>
      <c r="C1020"/>
      <c r="D1020"/>
      <c r="E1020"/>
      <c r="F1020"/>
    </row>
    <row r="1021" spans="1:6" x14ac:dyDescent="0.25">
      <c r="A1021" s="19"/>
      <c r="C1021"/>
      <c r="D1021"/>
      <c r="E1021"/>
      <c r="F1021"/>
    </row>
    <row r="1022" spans="1:6" x14ac:dyDescent="0.25">
      <c r="A1022" s="19"/>
      <c r="C1022"/>
      <c r="D1022"/>
      <c r="E1022"/>
      <c r="F1022"/>
    </row>
    <row r="1023" spans="1:6" x14ac:dyDescent="0.25">
      <c r="A1023" s="19"/>
      <c r="C1023"/>
      <c r="D1023"/>
      <c r="E1023"/>
      <c r="F1023"/>
    </row>
    <row r="1024" spans="1:6" x14ac:dyDescent="0.25">
      <c r="A1024" s="19"/>
      <c r="C1024"/>
      <c r="D1024"/>
      <c r="E1024"/>
      <c r="F1024"/>
    </row>
    <row r="1025" spans="1:6" x14ac:dyDescent="0.25">
      <c r="A1025" s="19"/>
      <c r="C1025"/>
      <c r="D1025"/>
      <c r="E1025"/>
      <c r="F1025"/>
    </row>
    <row r="1026" spans="1:6" x14ac:dyDescent="0.25">
      <c r="A1026" s="19"/>
      <c r="C1026"/>
      <c r="D1026"/>
      <c r="E1026"/>
      <c r="F1026"/>
    </row>
    <row r="1027" spans="1:6" x14ac:dyDescent="0.25">
      <c r="A1027" s="19"/>
      <c r="C1027"/>
      <c r="D1027"/>
      <c r="E1027"/>
      <c r="F1027"/>
    </row>
    <row r="1028" spans="1:6" x14ac:dyDescent="0.25">
      <c r="A1028" s="19"/>
      <c r="C1028"/>
      <c r="D1028"/>
      <c r="E1028"/>
      <c r="F1028"/>
    </row>
    <row r="1029" spans="1:6" x14ac:dyDescent="0.25">
      <c r="A1029" s="19"/>
      <c r="C1029"/>
      <c r="D1029"/>
      <c r="E1029"/>
      <c r="F1029"/>
    </row>
    <row r="1030" spans="1:6" x14ac:dyDescent="0.25">
      <c r="A1030" s="19"/>
      <c r="C1030"/>
      <c r="D1030"/>
      <c r="E1030"/>
      <c r="F1030"/>
    </row>
    <row r="1031" spans="1:6" x14ac:dyDescent="0.25">
      <c r="A1031" s="19"/>
      <c r="C1031"/>
      <c r="D1031"/>
      <c r="E1031"/>
      <c r="F1031"/>
    </row>
    <row r="1032" spans="1:6" x14ac:dyDescent="0.25">
      <c r="A1032" s="19"/>
      <c r="C1032"/>
      <c r="D1032"/>
      <c r="E1032"/>
      <c r="F1032"/>
    </row>
    <row r="1033" spans="1:6" x14ac:dyDescent="0.25">
      <c r="A1033" s="19"/>
      <c r="C1033"/>
      <c r="D1033"/>
      <c r="E1033"/>
      <c r="F1033"/>
    </row>
    <row r="1034" spans="1:6" x14ac:dyDescent="0.25">
      <c r="A1034" s="19"/>
      <c r="C1034"/>
      <c r="D1034"/>
      <c r="E1034"/>
      <c r="F1034"/>
    </row>
    <row r="1035" spans="1:6" x14ac:dyDescent="0.25">
      <c r="A1035" s="19"/>
      <c r="C1035"/>
      <c r="D1035"/>
      <c r="E1035"/>
      <c r="F1035"/>
    </row>
    <row r="1036" spans="1:6" x14ac:dyDescent="0.25">
      <c r="A1036" s="19"/>
      <c r="C1036"/>
      <c r="D1036"/>
      <c r="E1036"/>
      <c r="F1036"/>
    </row>
    <row r="1037" spans="1:6" x14ac:dyDescent="0.25">
      <c r="A1037" s="19"/>
      <c r="C1037"/>
      <c r="D1037"/>
      <c r="E1037"/>
      <c r="F1037"/>
    </row>
    <row r="1038" spans="1:6" x14ac:dyDescent="0.25">
      <c r="A1038" s="19"/>
      <c r="C1038"/>
      <c r="D1038"/>
      <c r="E1038"/>
      <c r="F1038"/>
    </row>
    <row r="1039" spans="1:6" x14ac:dyDescent="0.25">
      <c r="A1039" s="19"/>
      <c r="C1039"/>
      <c r="D1039"/>
      <c r="E1039"/>
      <c r="F1039"/>
    </row>
    <row r="1040" spans="1:6" x14ac:dyDescent="0.25">
      <c r="A1040" s="19"/>
      <c r="C1040"/>
      <c r="D1040"/>
      <c r="E1040"/>
      <c r="F1040"/>
    </row>
    <row r="1041" spans="1:6" x14ac:dyDescent="0.25">
      <c r="A1041" s="19"/>
      <c r="C1041"/>
      <c r="D1041"/>
      <c r="E1041"/>
      <c r="F1041"/>
    </row>
    <row r="1042" spans="1:6" x14ac:dyDescent="0.25">
      <c r="A1042" s="19"/>
      <c r="C1042"/>
      <c r="D1042"/>
      <c r="E1042"/>
      <c r="F1042"/>
    </row>
    <row r="1043" spans="1:6" x14ac:dyDescent="0.25">
      <c r="A1043" s="19"/>
      <c r="C1043"/>
      <c r="D1043"/>
      <c r="E1043"/>
      <c r="F1043"/>
    </row>
    <row r="1044" spans="1:6" x14ac:dyDescent="0.25">
      <c r="A1044" s="19"/>
      <c r="C1044"/>
      <c r="D1044"/>
      <c r="E1044"/>
      <c r="F1044"/>
    </row>
    <row r="1045" spans="1:6" x14ac:dyDescent="0.25">
      <c r="A1045" s="19"/>
      <c r="C1045"/>
      <c r="D1045"/>
      <c r="E1045"/>
      <c r="F1045"/>
    </row>
    <row r="1046" spans="1:6" x14ac:dyDescent="0.25">
      <c r="A1046" s="19"/>
      <c r="C1046"/>
      <c r="D1046"/>
      <c r="E1046"/>
      <c r="F1046"/>
    </row>
    <row r="1047" spans="1:6" x14ac:dyDescent="0.25">
      <c r="A1047" s="19"/>
      <c r="C1047"/>
      <c r="D1047"/>
      <c r="E1047"/>
      <c r="F1047"/>
    </row>
    <row r="1048" spans="1:6" x14ac:dyDescent="0.25">
      <c r="A1048" s="19"/>
      <c r="C1048"/>
      <c r="D1048"/>
      <c r="E1048"/>
      <c r="F1048"/>
    </row>
    <row r="1049" spans="1:6" x14ac:dyDescent="0.25">
      <c r="A1049" s="19"/>
      <c r="C1049"/>
      <c r="D1049"/>
      <c r="E1049"/>
      <c r="F1049"/>
    </row>
    <row r="1050" spans="1:6" x14ac:dyDescent="0.25">
      <c r="A1050" s="19"/>
      <c r="C1050"/>
      <c r="D1050"/>
      <c r="E1050"/>
      <c r="F1050"/>
    </row>
    <row r="1051" spans="1:6" x14ac:dyDescent="0.25">
      <c r="A1051" s="19"/>
      <c r="C1051"/>
      <c r="D1051"/>
      <c r="E1051"/>
      <c r="F1051"/>
    </row>
    <row r="1052" spans="1:6" x14ac:dyDescent="0.25">
      <c r="A1052" s="19"/>
      <c r="C1052"/>
      <c r="D1052"/>
      <c r="E1052"/>
      <c r="F1052"/>
    </row>
    <row r="1053" spans="1:6" x14ac:dyDescent="0.25">
      <c r="A1053" s="19"/>
      <c r="C1053"/>
      <c r="D1053"/>
      <c r="E1053"/>
      <c r="F1053"/>
    </row>
    <row r="1054" spans="1:6" x14ac:dyDescent="0.25">
      <c r="A1054" s="19"/>
      <c r="C1054"/>
      <c r="D1054"/>
      <c r="E1054"/>
      <c r="F1054"/>
    </row>
    <row r="1055" spans="1:6" x14ac:dyDescent="0.25">
      <c r="A1055" s="19"/>
      <c r="C1055"/>
      <c r="D1055"/>
      <c r="E1055"/>
      <c r="F1055"/>
    </row>
    <row r="1056" spans="1:6" x14ac:dyDescent="0.25">
      <c r="A1056" s="19"/>
      <c r="C1056"/>
      <c r="D1056"/>
      <c r="E1056"/>
      <c r="F1056"/>
    </row>
    <row r="1057" spans="1:6" x14ac:dyDescent="0.25">
      <c r="A1057" s="19"/>
      <c r="C1057"/>
      <c r="D1057"/>
      <c r="E1057"/>
      <c r="F1057"/>
    </row>
    <row r="1058" spans="1:6" x14ac:dyDescent="0.25">
      <c r="A1058" s="19"/>
      <c r="C1058"/>
      <c r="D1058"/>
      <c r="E1058"/>
      <c r="F1058"/>
    </row>
    <row r="1059" spans="1:6" x14ac:dyDescent="0.25">
      <c r="A1059" s="19"/>
      <c r="C1059"/>
      <c r="D1059"/>
      <c r="E1059"/>
      <c r="F1059"/>
    </row>
    <row r="1060" spans="1:6" x14ac:dyDescent="0.25">
      <c r="A1060" s="19"/>
      <c r="C1060"/>
      <c r="D1060"/>
      <c r="E1060"/>
      <c r="F1060"/>
    </row>
    <row r="1061" spans="1:6" x14ac:dyDescent="0.25">
      <c r="A1061" s="19"/>
      <c r="C1061"/>
      <c r="D1061"/>
      <c r="E1061"/>
      <c r="F1061"/>
    </row>
    <row r="1062" spans="1:6" x14ac:dyDescent="0.25">
      <c r="A1062" s="19"/>
      <c r="C1062"/>
      <c r="D1062"/>
      <c r="E1062"/>
      <c r="F1062"/>
    </row>
    <row r="1063" spans="1:6" x14ac:dyDescent="0.25">
      <c r="A1063" s="19"/>
      <c r="C1063"/>
      <c r="D1063"/>
      <c r="E1063"/>
      <c r="F1063"/>
    </row>
    <row r="1064" spans="1:6" x14ac:dyDescent="0.25">
      <c r="A1064" s="19"/>
      <c r="C1064"/>
      <c r="D1064"/>
      <c r="E1064"/>
      <c r="F1064"/>
    </row>
    <row r="1065" spans="1:6" x14ac:dyDescent="0.25">
      <c r="A1065" s="19"/>
      <c r="C1065"/>
      <c r="D1065"/>
      <c r="E1065"/>
      <c r="F1065"/>
    </row>
    <row r="1066" spans="1:6" x14ac:dyDescent="0.25">
      <c r="A1066" s="19"/>
      <c r="C1066"/>
      <c r="D1066"/>
      <c r="E1066"/>
      <c r="F1066"/>
    </row>
    <row r="1067" spans="1:6" x14ac:dyDescent="0.25">
      <c r="A1067" s="19"/>
      <c r="C1067"/>
      <c r="D1067"/>
      <c r="E1067"/>
      <c r="F1067"/>
    </row>
    <row r="1068" spans="1:6" x14ac:dyDescent="0.25">
      <c r="A1068" s="19"/>
      <c r="C1068"/>
      <c r="D1068"/>
      <c r="E1068"/>
      <c r="F1068"/>
    </row>
    <row r="1069" spans="1:6" x14ac:dyDescent="0.25">
      <c r="A1069" s="19"/>
      <c r="C1069"/>
      <c r="D1069"/>
      <c r="E1069"/>
      <c r="F1069"/>
    </row>
    <row r="1070" spans="1:6" x14ac:dyDescent="0.25">
      <c r="A1070" s="19"/>
      <c r="C1070"/>
      <c r="D1070"/>
      <c r="E1070"/>
      <c r="F1070"/>
    </row>
    <row r="1071" spans="1:6" x14ac:dyDescent="0.25">
      <c r="A1071" s="19"/>
      <c r="C1071"/>
      <c r="D1071"/>
      <c r="E1071"/>
      <c r="F1071"/>
    </row>
    <row r="1072" spans="1:6" x14ac:dyDescent="0.25">
      <c r="A1072" s="19"/>
      <c r="C1072"/>
      <c r="D1072"/>
      <c r="E1072"/>
      <c r="F1072"/>
    </row>
    <row r="1073" spans="1:6" x14ac:dyDescent="0.25">
      <c r="A1073" s="19"/>
      <c r="C1073"/>
      <c r="D1073"/>
      <c r="E1073"/>
      <c r="F1073"/>
    </row>
    <row r="1074" spans="1:6" x14ac:dyDescent="0.25">
      <c r="A1074" s="19"/>
      <c r="C1074"/>
      <c r="D1074"/>
      <c r="E1074"/>
      <c r="F1074"/>
    </row>
    <row r="1075" spans="1:6" x14ac:dyDescent="0.25">
      <c r="A1075" s="19"/>
      <c r="C1075"/>
      <c r="D1075"/>
      <c r="E1075"/>
      <c r="F1075"/>
    </row>
    <row r="1076" spans="1:6" x14ac:dyDescent="0.25">
      <c r="A1076" s="19"/>
      <c r="C1076"/>
      <c r="D1076"/>
      <c r="E1076"/>
      <c r="F1076"/>
    </row>
    <row r="1077" spans="1:6" x14ac:dyDescent="0.25">
      <c r="A1077" s="19"/>
      <c r="C1077"/>
      <c r="D1077"/>
      <c r="E1077"/>
      <c r="F1077"/>
    </row>
    <row r="1078" spans="1:6" x14ac:dyDescent="0.25">
      <c r="A1078" s="19"/>
      <c r="C1078"/>
      <c r="D1078"/>
      <c r="E1078"/>
      <c r="F1078"/>
    </row>
    <row r="1079" spans="1:6" x14ac:dyDescent="0.25">
      <c r="A1079" s="19"/>
      <c r="C1079"/>
      <c r="D1079"/>
      <c r="E1079"/>
      <c r="F1079"/>
    </row>
    <row r="1080" spans="1:6" x14ac:dyDescent="0.25">
      <c r="A1080" s="19"/>
      <c r="C1080"/>
      <c r="D1080"/>
      <c r="E1080"/>
      <c r="F1080"/>
    </row>
    <row r="1081" spans="1:6" x14ac:dyDescent="0.25">
      <c r="A1081" s="19"/>
      <c r="C1081"/>
      <c r="D1081"/>
      <c r="E1081"/>
      <c r="F1081"/>
    </row>
    <row r="1082" spans="1:6" x14ac:dyDescent="0.25">
      <c r="A1082" s="19"/>
      <c r="C1082"/>
      <c r="D1082"/>
      <c r="E1082"/>
      <c r="F1082"/>
    </row>
    <row r="1083" spans="1:6" x14ac:dyDescent="0.25">
      <c r="A1083" s="19"/>
      <c r="C1083"/>
      <c r="D1083"/>
      <c r="E1083"/>
      <c r="F1083"/>
    </row>
    <row r="1084" spans="1:6" x14ac:dyDescent="0.25">
      <c r="A1084" s="19"/>
      <c r="C1084"/>
      <c r="D1084"/>
      <c r="E1084"/>
      <c r="F1084"/>
    </row>
    <row r="1085" spans="1:6" x14ac:dyDescent="0.25">
      <c r="A1085" s="19"/>
      <c r="C1085"/>
      <c r="D1085"/>
      <c r="E1085"/>
      <c r="F1085"/>
    </row>
    <row r="1086" spans="1:6" x14ac:dyDescent="0.25">
      <c r="A1086" s="19"/>
      <c r="C1086"/>
      <c r="D1086"/>
      <c r="E1086"/>
      <c r="F1086"/>
    </row>
    <row r="1087" spans="1:6" x14ac:dyDescent="0.25">
      <c r="A1087" s="19"/>
      <c r="C1087"/>
      <c r="D1087"/>
      <c r="E1087"/>
      <c r="F1087"/>
    </row>
    <row r="1088" spans="1:6" x14ac:dyDescent="0.25">
      <c r="A1088" s="19"/>
      <c r="C1088"/>
      <c r="D1088"/>
      <c r="E1088"/>
      <c r="F1088"/>
    </row>
    <row r="1089" spans="1:6" x14ac:dyDescent="0.25">
      <c r="A1089" s="19"/>
      <c r="C1089"/>
      <c r="D1089"/>
      <c r="E1089"/>
      <c r="F1089"/>
    </row>
    <row r="1090" spans="1:6" x14ac:dyDescent="0.25">
      <c r="A1090" s="19"/>
      <c r="C1090"/>
      <c r="D1090"/>
      <c r="E1090"/>
      <c r="F1090"/>
    </row>
    <row r="1091" spans="1:6" x14ac:dyDescent="0.25">
      <c r="A1091" s="19"/>
      <c r="C1091"/>
      <c r="D1091"/>
      <c r="E1091"/>
      <c r="F1091"/>
    </row>
    <row r="1092" spans="1:6" x14ac:dyDescent="0.25">
      <c r="A1092" s="19"/>
      <c r="C1092"/>
      <c r="D1092"/>
      <c r="E1092"/>
      <c r="F1092"/>
    </row>
    <row r="1093" spans="1:6" x14ac:dyDescent="0.25">
      <c r="A1093" s="19"/>
      <c r="C1093"/>
      <c r="D1093"/>
      <c r="E1093"/>
      <c r="F1093"/>
    </row>
    <row r="1094" spans="1:6" x14ac:dyDescent="0.25">
      <c r="A1094" s="19"/>
      <c r="C1094"/>
      <c r="D1094"/>
      <c r="E1094"/>
      <c r="F1094"/>
    </row>
    <row r="1095" spans="1:6" x14ac:dyDescent="0.25">
      <c r="A1095" s="19"/>
      <c r="C1095"/>
      <c r="D1095"/>
      <c r="E1095"/>
      <c r="F1095"/>
    </row>
    <row r="1096" spans="1:6" x14ac:dyDescent="0.25">
      <c r="A1096" s="19"/>
      <c r="C1096"/>
      <c r="D1096"/>
      <c r="E1096"/>
      <c r="F1096"/>
    </row>
    <row r="1097" spans="1:6" x14ac:dyDescent="0.25">
      <c r="A1097" s="19"/>
      <c r="C1097"/>
      <c r="D1097"/>
      <c r="E1097"/>
      <c r="F1097"/>
    </row>
    <row r="1098" spans="1:6" x14ac:dyDescent="0.25">
      <c r="A1098" s="19"/>
      <c r="C1098"/>
      <c r="D1098"/>
      <c r="E1098"/>
      <c r="F1098"/>
    </row>
    <row r="1099" spans="1:6" x14ac:dyDescent="0.25">
      <c r="A1099" s="19"/>
      <c r="C1099"/>
      <c r="D1099"/>
      <c r="E1099"/>
      <c r="F1099"/>
    </row>
    <row r="1100" spans="1:6" x14ac:dyDescent="0.25">
      <c r="A1100" s="19"/>
      <c r="C1100"/>
      <c r="D1100"/>
      <c r="E1100"/>
      <c r="F1100"/>
    </row>
    <row r="1101" spans="1:6" x14ac:dyDescent="0.25">
      <c r="A1101" s="19"/>
      <c r="C1101"/>
      <c r="D1101"/>
      <c r="E1101"/>
      <c r="F1101"/>
    </row>
    <row r="1102" spans="1:6" x14ac:dyDescent="0.25">
      <c r="A1102" s="19"/>
      <c r="C1102"/>
      <c r="D1102"/>
      <c r="E1102"/>
      <c r="F1102"/>
    </row>
    <row r="1103" spans="1:6" x14ac:dyDescent="0.25">
      <c r="A1103" s="19"/>
      <c r="C1103"/>
      <c r="D1103"/>
      <c r="E1103"/>
      <c r="F1103"/>
    </row>
    <row r="1104" spans="1:6" x14ac:dyDescent="0.25">
      <c r="A1104" s="19"/>
      <c r="C1104"/>
      <c r="D1104"/>
      <c r="E1104"/>
      <c r="F1104"/>
    </row>
    <row r="1105" spans="1:6" x14ac:dyDescent="0.25">
      <c r="A1105" s="19"/>
      <c r="C1105"/>
      <c r="D1105"/>
      <c r="E1105"/>
      <c r="F1105"/>
    </row>
    <row r="1106" spans="1:6" x14ac:dyDescent="0.25">
      <c r="A1106" s="19"/>
      <c r="C1106"/>
      <c r="D1106"/>
      <c r="E1106"/>
      <c r="F1106"/>
    </row>
    <row r="1107" spans="1:6" x14ac:dyDescent="0.25">
      <c r="A1107" s="19"/>
      <c r="C1107"/>
      <c r="D1107"/>
      <c r="E1107"/>
      <c r="F1107"/>
    </row>
    <row r="1108" spans="1:6" x14ac:dyDescent="0.25">
      <c r="A1108" s="19"/>
      <c r="C1108"/>
      <c r="D1108"/>
      <c r="E1108"/>
      <c r="F1108"/>
    </row>
    <row r="1109" spans="1:6" x14ac:dyDescent="0.25">
      <c r="A1109" s="19"/>
      <c r="C1109"/>
      <c r="D1109"/>
      <c r="E1109"/>
      <c r="F1109"/>
    </row>
    <row r="1110" spans="1:6" x14ac:dyDescent="0.25">
      <c r="A1110" s="19"/>
      <c r="C1110"/>
      <c r="D1110"/>
      <c r="E1110"/>
      <c r="F1110"/>
    </row>
    <row r="1111" spans="1:6" x14ac:dyDescent="0.25">
      <c r="A1111" s="19"/>
      <c r="C1111"/>
      <c r="D1111"/>
      <c r="E1111"/>
      <c r="F1111"/>
    </row>
    <row r="1112" spans="1:6" x14ac:dyDescent="0.25">
      <c r="A1112" s="19"/>
      <c r="C1112"/>
      <c r="D1112"/>
      <c r="E1112"/>
      <c r="F1112"/>
    </row>
    <row r="1113" spans="1:6" x14ac:dyDescent="0.25">
      <c r="A1113" s="19"/>
      <c r="C1113"/>
      <c r="D1113"/>
      <c r="E1113"/>
      <c r="F1113"/>
    </row>
    <row r="1114" spans="1:6" x14ac:dyDescent="0.25">
      <c r="A1114" s="19"/>
      <c r="C1114"/>
      <c r="D1114"/>
      <c r="E1114"/>
      <c r="F1114"/>
    </row>
    <row r="1115" spans="1:6" x14ac:dyDescent="0.25">
      <c r="A1115" s="19"/>
      <c r="C1115"/>
      <c r="D1115"/>
      <c r="E1115"/>
      <c r="F1115"/>
    </row>
    <row r="1116" spans="1:6" x14ac:dyDescent="0.25">
      <c r="A1116" s="19"/>
      <c r="C1116"/>
      <c r="D1116"/>
      <c r="E1116"/>
      <c r="F1116"/>
    </row>
    <row r="1117" spans="1:6" x14ac:dyDescent="0.25">
      <c r="A1117" s="19"/>
      <c r="C1117"/>
      <c r="D1117"/>
      <c r="E1117"/>
      <c r="F1117"/>
    </row>
    <row r="1118" spans="1:6" x14ac:dyDescent="0.25">
      <c r="A1118" s="19"/>
      <c r="C1118"/>
      <c r="D1118"/>
      <c r="E1118"/>
      <c r="F1118"/>
    </row>
    <row r="1119" spans="1:6" x14ac:dyDescent="0.25">
      <c r="A1119" s="19"/>
      <c r="C1119"/>
      <c r="D1119"/>
      <c r="E1119"/>
      <c r="F1119"/>
    </row>
    <row r="1120" spans="1:6" x14ac:dyDescent="0.25">
      <c r="A1120" s="19"/>
      <c r="C1120"/>
      <c r="D1120"/>
      <c r="E1120"/>
      <c r="F1120"/>
    </row>
    <row r="1121" spans="1:6" x14ac:dyDescent="0.25">
      <c r="A1121" s="19"/>
      <c r="C1121"/>
      <c r="D1121"/>
      <c r="E1121"/>
      <c r="F1121"/>
    </row>
    <row r="1122" spans="1:6" x14ac:dyDescent="0.25">
      <c r="A1122" s="19"/>
      <c r="C1122"/>
      <c r="D1122"/>
      <c r="E1122"/>
      <c r="F1122"/>
    </row>
    <row r="1123" spans="1:6" x14ac:dyDescent="0.25">
      <c r="A1123" s="19"/>
      <c r="C1123"/>
      <c r="D1123"/>
      <c r="E1123"/>
      <c r="F1123"/>
    </row>
    <row r="1124" spans="1:6" x14ac:dyDescent="0.25">
      <c r="A1124" s="19"/>
      <c r="C1124"/>
      <c r="D1124"/>
      <c r="E1124"/>
      <c r="F1124"/>
    </row>
    <row r="1125" spans="1:6" x14ac:dyDescent="0.25">
      <c r="A1125" s="19"/>
      <c r="C1125"/>
      <c r="D1125"/>
      <c r="E1125"/>
      <c r="F1125"/>
    </row>
    <row r="1126" spans="1:6" x14ac:dyDescent="0.25">
      <c r="A1126" s="19"/>
      <c r="C1126"/>
      <c r="D1126"/>
      <c r="E1126"/>
      <c r="F1126"/>
    </row>
    <row r="1127" spans="1:6" x14ac:dyDescent="0.25">
      <c r="A1127" s="19"/>
      <c r="C1127"/>
      <c r="D1127"/>
      <c r="E1127"/>
      <c r="F1127"/>
    </row>
    <row r="1128" spans="1:6" x14ac:dyDescent="0.25">
      <c r="A1128" s="19"/>
      <c r="C1128"/>
      <c r="D1128"/>
      <c r="E1128"/>
      <c r="F1128"/>
    </row>
    <row r="1129" spans="1:6" x14ac:dyDescent="0.25">
      <c r="A1129" s="19"/>
      <c r="C1129"/>
      <c r="D1129"/>
      <c r="E1129"/>
      <c r="F1129"/>
    </row>
    <row r="1130" spans="1:6" x14ac:dyDescent="0.25">
      <c r="A1130" s="19"/>
      <c r="C1130"/>
      <c r="D1130"/>
      <c r="E1130"/>
      <c r="F1130"/>
    </row>
    <row r="1131" spans="1:6" x14ac:dyDescent="0.25">
      <c r="A1131" s="19"/>
      <c r="C1131"/>
      <c r="D1131"/>
      <c r="E1131"/>
      <c r="F1131"/>
    </row>
    <row r="1132" spans="1:6" x14ac:dyDescent="0.25">
      <c r="A1132" s="19"/>
      <c r="C1132"/>
      <c r="D1132"/>
      <c r="E1132"/>
      <c r="F1132"/>
    </row>
    <row r="1133" spans="1:6" x14ac:dyDescent="0.25">
      <c r="A1133" s="19"/>
      <c r="C1133"/>
      <c r="D1133"/>
      <c r="E1133"/>
      <c r="F1133"/>
    </row>
    <row r="1134" spans="1:6" x14ac:dyDescent="0.25">
      <c r="A1134" s="19"/>
      <c r="C1134"/>
      <c r="D1134"/>
      <c r="E1134"/>
      <c r="F1134"/>
    </row>
    <row r="1135" spans="1:6" x14ac:dyDescent="0.25">
      <c r="A1135" s="19"/>
      <c r="C1135"/>
      <c r="D1135"/>
      <c r="E1135"/>
      <c r="F1135"/>
    </row>
    <row r="1136" spans="1:6" x14ac:dyDescent="0.25">
      <c r="A1136" s="19"/>
      <c r="C1136"/>
      <c r="D1136"/>
      <c r="E1136"/>
      <c r="F1136"/>
    </row>
    <row r="1137" spans="1:6" x14ac:dyDescent="0.25">
      <c r="A1137" s="19"/>
      <c r="C1137"/>
      <c r="D1137"/>
      <c r="E1137"/>
      <c r="F1137"/>
    </row>
    <row r="1138" spans="1:6" x14ac:dyDescent="0.25">
      <c r="A1138" s="19"/>
      <c r="C1138"/>
      <c r="D1138"/>
      <c r="E1138"/>
      <c r="F1138"/>
    </row>
    <row r="1139" spans="1:6" x14ac:dyDescent="0.25">
      <c r="A1139" s="19"/>
      <c r="C1139"/>
      <c r="D1139"/>
      <c r="E1139"/>
      <c r="F1139"/>
    </row>
    <row r="1140" spans="1:6" x14ac:dyDescent="0.25">
      <c r="A1140" s="19"/>
      <c r="C1140"/>
      <c r="D1140"/>
      <c r="E1140"/>
      <c r="F1140"/>
    </row>
    <row r="1141" spans="1:6" x14ac:dyDescent="0.25">
      <c r="A1141" s="19"/>
      <c r="C1141"/>
      <c r="D1141"/>
      <c r="E1141"/>
      <c r="F1141"/>
    </row>
    <row r="1142" spans="1:6" x14ac:dyDescent="0.25">
      <c r="A1142" s="19"/>
      <c r="C1142"/>
      <c r="D1142"/>
      <c r="E1142"/>
      <c r="F1142"/>
    </row>
    <row r="1143" spans="1:6" x14ac:dyDescent="0.25">
      <c r="A1143" s="19"/>
      <c r="C1143"/>
      <c r="D1143"/>
      <c r="E1143"/>
      <c r="F1143"/>
    </row>
    <row r="1144" spans="1:6" x14ac:dyDescent="0.25">
      <c r="A1144" s="19"/>
      <c r="C1144"/>
      <c r="D1144"/>
      <c r="E1144"/>
      <c r="F1144"/>
    </row>
    <row r="1145" spans="1:6" x14ac:dyDescent="0.25">
      <c r="A1145" s="19"/>
      <c r="C1145"/>
      <c r="D1145"/>
      <c r="E1145"/>
      <c r="F1145"/>
    </row>
    <row r="1146" spans="1:6" x14ac:dyDescent="0.25">
      <c r="A1146" s="19"/>
      <c r="C1146"/>
      <c r="D1146"/>
      <c r="E1146"/>
      <c r="F1146"/>
    </row>
    <row r="1147" spans="1:6" x14ac:dyDescent="0.25">
      <c r="A1147" s="19"/>
      <c r="C1147"/>
      <c r="D1147"/>
      <c r="E1147"/>
      <c r="F1147"/>
    </row>
    <row r="1148" spans="1:6" x14ac:dyDescent="0.25">
      <c r="A1148" s="19"/>
      <c r="C1148"/>
      <c r="D1148"/>
      <c r="E1148"/>
      <c r="F1148"/>
    </row>
    <row r="1149" spans="1:6" x14ac:dyDescent="0.25">
      <c r="A1149" s="19"/>
      <c r="C1149"/>
      <c r="D1149"/>
      <c r="E1149"/>
      <c r="F1149"/>
    </row>
    <row r="1150" spans="1:6" x14ac:dyDescent="0.25">
      <c r="C1150"/>
      <c r="D1150"/>
      <c r="E1150"/>
      <c r="F1150"/>
    </row>
    <row r="1151" spans="1:6" x14ac:dyDescent="0.25">
      <c r="C1151"/>
      <c r="D1151"/>
      <c r="E1151"/>
      <c r="F1151"/>
    </row>
    <row r="1152" spans="1:6" x14ac:dyDescent="0.25">
      <c r="C1152"/>
      <c r="D1152"/>
      <c r="E1152"/>
      <c r="F1152"/>
    </row>
    <row r="1153" spans="3:6" x14ac:dyDescent="0.25">
      <c r="C1153"/>
      <c r="D1153"/>
      <c r="E1153"/>
      <c r="F1153"/>
    </row>
    <row r="1154" spans="3:6" x14ac:dyDescent="0.25">
      <c r="C1154"/>
      <c r="D1154"/>
      <c r="E1154"/>
      <c r="F1154"/>
    </row>
  </sheetData>
  <mergeCells count="3">
    <mergeCell ref="A1:A2"/>
    <mergeCell ref="DP1:HX1"/>
    <mergeCell ref="G1:DO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9"/>
  <dimension ref="A1:CM1154"/>
  <sheetViews>
    <sheetView showGridLines="0" zoomScale="70" zoomScaleNormal="70" workbookViewId="0">
      <pane ySplit="4" topLeftCell="A5" activePane="bottomLeft" state="frozen"/>
      <selection activeCell="E3" sqref="E3"/>
      <selection pane="bottomLeft" activeCell="A7" sqref="A7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608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SUBTOTAL(109,indexmod_T[hts_tst_indexmod_u1_unk_pos])</f>
        <v>0</v>
      </c>
      <c r="BE5" s="47">
        <f>SUBTOTAL(109,indexmod_T[hts_tst_indexmod_0109_unk_pos])</f>
        <v>0</v>
      </c>
      <c r="BF5" s="47">
        <f>SUBTOTAL(109,indexmod_T[hts_tst_indexmod_1014_f_pos])</f>
        <v>0</v>
      </c>
      <c r="BG5" s="47">
        <f>SUBTOTAL(109,indexmod_T[hts_tst_indexmod_1014_m_pos])</f>
        <v>0</v>
      </c>
      <c r="BH5" s="47">
        <f>SUBTOTAL(109,indexmod_T[hts_tst_indexmod_u1_unk_neg])</f>
        <v>0</v>
      </c>
      <c r="BI5" s="47">
        <f>SUBTOTAL(109,indexmod_T[hts_tst_indexmod_0109_unk_neg])</f>
        <v>0</v>
      </c>
      <c r="BJ5" s="47">
        <f>SUBTOTAL(109,indexmod_T[hts_tst_indexmod_1014_f_neg])</f>
        <v>0</v>
      </c>
      <c r="BK5" s="47">
        <f>SUBTOTAL(109,indexmod_T[hts_tst_indexmod_1014_m_neg])</f>
        <v>0</v>
      </c>
      <c r="BL5" s="47">
        <f>SUBTOTAL(109,indexmod_T[hts_tst_indexmod_1519_f_pos])</f>
        <v>0</v>
      </c>
      <c r="BM5" s="47">
        <f>SUBTOTAL(109,indexmod_T[hts_tst_indexmod_1519_m_pos])</f>
        <v>0</v>
      </c>
      <c r="BN5" s="47">
        <f>SUBTOTAL(109,indexmod_T[hts_tst_indexmod_2024_f_pos])</f>
        <v>0</v>
      </c>
      <c r="BO5" s="47">
        <f>SUBTOTAL(109,indexmod_T[hts_tst_indexmod_2024_m_pos])</f>
        <v>0</v>
      </c>
      <c r="BP5" s="47">
        <f>SUBTOTAL(109,indexmod_T[hts_tst_indexmod_2529_f_pos])</f>
        <v>0</v>
      </c>
      <c r="BQ5" s="47">
        <f>SUBTOTAL(109,indexmod_T[hts_tst_indexmod_2529_m_pos])</f>
        <v>0</v>
      </c>
      <c r="BR5" s="47">
        <f>SUBTOTAL(109,indexmod_T[hts_tst_indexmod_3034_f_pos])</f>
        <v>0</v>
      </c>
      <c r="BS5" s="47">
        <f>SUBTOTAL(109,indexmod_T[hts_tst_indexmod_3034_m_pos])</f>
        <v>0</v>
      </c>
      <c r="BT5" s="47">
        <f>SUBTOTAL(109,indexmod_T[hts_tst_indexmod_3539_f_pos])</f>
        <v>0</v>
      </c>
      <c r="BU5" s="47">
        <f>SUBTOTAL(109,indexmod_T[hts_tst_indexmod_3539_m_pos])</f>
        <v>0</v>
      </c>
      <c r="BV5" s="47">
        <f>SUBTOTAL(109,indexmod_T[hts_tst_indexmod_4049_f_pos])</f>
        <v>0</v>
      </c>
      <c r="BW5" s="47">
        <f>SUBTOTAL(109,indexmod_T[hts_tst_indexmod_4049_m_pos])</f>
        <v>0</v>
      </c>
      <c r="BX5" s="47">
        <f>SUBTOTAL(109,indexmod_T[hts_tst_indexmod_o50_f_pos])</f>
        <v>0</v>
      </c>
      <c r="BY5" s="47">
        <f>SUBTOTAL(109,indexmod_T[hts_tst_indexmod_o50_m_pos])</f>
        <v>0</v>
      </c>
      <c r="BZ5" s="47">
        <f>SUBTOTAL(109,indexmod_T[hts_tst_indexmod_1519_f_neg])</f>
        <v>0</v>
      </c>
      <c r="CA5" s="47">
        <f>SUBTOTAL(109,indexmod_T[hts_tst_indexmod_1519_m_neg])</f>
        <v>0</v>
      </c>
      <c r="CB5" s="47">
        <f>SUBTOTAL(109,indexmod_T[hts_tst_indexmod_2024_f_neg])</f>
        <v>0</v>
      </c>
      <c r="CC5" s="47">
        <f>SUBTOTAL(109,indexmod_T[hts_tst_indexmod_2024_m_neg])</f>
        <v>0</v>
      </c>
      <c r="CD5" s="47">
        <f>SUBTOTAL(109,indexmod_T[hts_tst_indexmod_2529_f_neg])</f>
        <v>0</v>
      </c>
      <c r="CE5" s="47">
        <f>SUBTOTAL(109,indexmod_T[hts_tst_indexmod_2529_m_neg])</f>
        <v>0</v>
      </c>
      <c r="CF5" s="47">
        <f>SUBTOTAL(109,indexmod_T[hts_tst_indexmod_3034_f_neg])</f>
        <v>0</v>
      </c>
      <c r="CG5" s="47">
        <f>SUBTOTAL(109,indexmod_T[hts_tst_indexmod_3034_m_neg])</f>
        <v>0</v>
      </c>
      <c r="CH5" s="47">
        <f>SUBTOTAL(109,indexmod_T[hts_tst_indexmod_3539_f_neg])</f>
        <v>0</v>
      </c>
      <c r="CI5" s="47">
        <f>SUBTOTAL(109,indexmod_T[hts_tst_indexmod_3539_m_neg])</f>
        <v>0</v>
      </c>
      <c r="CJ5" s="47">
        <f>SUBTOTAL(109,indexmod_T[hts_tst_indexmod_4049_f_neg])</f>
        <v>0</v>
      </c>
      <c r="CK5" s="47">
        <f>SUBTOTAL(109,indexmod_T[hts_tst_indexmod_4049_m_neg])</f>
        <v>0</v>
      </c>
      <c r="CL5" s="47">
        <f>SUBTOTAL(109,indexmod_T[hts_tst_indexmod_o50_f_neg])</f>
        <v>0</v>
      </c>
      <c r="CM5" s="47">
        <f>SUBTOTAL(109,indexmod_T[hts_tst_indexmod_o50_m_neg])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609</v>
      </c>
      <c r="K6" s="25" t="s">
        <v>610</v>
      </c>
      <c r="L6" s="25" t="s">
        <v>611</v>
      </c>
      <c r="M6" s="25" t="s">
        <v>612</v>
      </c>
      <c r="N6" s="25" t="s">
        <v>613</v>
      </c>
      <c r="O6" s="25" t="s">
        <v>614</v>
      </c>
      <c r="P6" s="25" t="s">
        <v>615</v>
      </c>
      <c r="Q6" s="25" t="s">
        <v>616</v>
      </c>
      <c r="R6" s="25" t="s">
        <v>617</v>
      </c>
      <c r="S6" s="25" t="s">
        <v>618</v>
      </c>
      <c r="T6" s="25" t="s">
        <v>619</v>
      </c>
      <c r="U6" s="25" t="s">
        <v>620</v>
      </c>
      <c r="V6" s="25" t="s">
        <v>621</v>
      </c>
      <c r="W6" s="25" t="s">
        <v>622</v>
      </c>
      <c r="X6" s="25" t="s">
        <v>623</v>
      </c>
      <c r="Y6" s="25" t="s">
        <v>624</v>
      </c>
      <c r="Z6" s="25" t="s">
        <v>625</v>
      </c>
      <c r="AA6" s="25" t="s">
        <v>626</v>
      </c>
      <c r="AB6" s="25" t="s">
        <v>627</v>
      </c>
      <c r="AC6" s="25" t="s">
        <v>628</v>
      </c>
      <c r="AD6" s="25" t="s">
        <v>629</v>
      </c>
      <c r="AE6" s="25" t="s">
        <v>630</v>
      </c>
      <c r="AF6" s="25" t="s">
        <v>631</v>
      </c>
      <c r="AG6" s="25" t="s">
        <v>632</v>
      </c>
      <c r="AH6" s="25" t="s">
        <v>633</v>
      </c>
      <c r="AI6" s="25" t="s">
        <v>634</v>
      </c>
      <c r="AJ6" s="25" t="s">
        <v>635</v>
      </c>
      <c r="AK6" s="25" t="s">
        <v>636</v>
      </c>
      <c r="AL6" s="25" t="s">
        <v>637</v>
      </c>
      <c r="AM6" s="25" t="s">
        <v>638</v>
      </c>
      <c r="AN6" s="25" t="s">
        <v>639</v>
      </c>
      <c r="AO6" s="25" t="s">
        <v>640</v>
      </c>
      <c r="AP6" s="25" t="s">
        <v>641</v>
      </c>
      <c r="AQ6" s="25" t="s">
        <v>642</v>
      </c>
      <c r="AR6" s="25" t="s">
        <v>643</v>
      </c>
      <c r="AS6" s="25" t="s">
        <v>644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238</v>
      </c>
      <c r="AY6" s="25" t="s">
        <v>250</v>
      </c>
      <c r="AZ6" s="25" t="s">
        <v>503</v>
      </c>
      <c r="BA6" s="25" t="s">
        <v>218</v>
      </c>
      <c r="BB6" s="25" t="s">
        <v>228</v>
      </c>
      <c r="BC6" s="25" t="s">
        <v>504</v>
      </c>
      <c r="BD6" s="25" t="s">
        <v>646</v>
      </c>
      <c r="BE6" s="25" t="s">
        <v>645</v>
      </c>
      <c r="BF6" s="25" t="s">
        <v>647</v>
      </c>
      <c r="BG6" s="25" t="s">
        <v>648</v>
      </c>
      <c r="BH6" s="25" t="s">
        <v>649</v>
      </c>
      <c r="BI6" s="25" t="s">
        <v>650</v>
      </c>
      <c r="BJ6" s="25" t="s">
        <v>651</v>
      </c>
      <c r="BK6" s="25" t="s">
        <v>652</v>
      </c>
      <c r="BL6" s="25" t="s">
        <v>653</v>
      </c>
      <c r="BM6" s="25" t="s">
        <v>654</v>
      </c>
      <c r="BN6" s="25" t="s">
        <v>655</v>
      </c>
      <c r="BO6" s="25" t="s">
        <v>656</v>
      </c>
      <c r="BP6" s="25" t="s">
        <v>657</v>
      </c>
      <c r="BQ6" s="25" t="s">
        <v>658</v>
      </c>
      <c r="BR6" s="25" t="s">
        <v>659</v>
      </c>
      <c r="BS6" s="25" t="s">
        <v>679</v>
      </c>
      <c r="BT6" s="25" t="s">
        <v>660</v>
      </c>
      <c r="BU6" s="25" t="s">
        <v>680</v>
      </c>
      <c r="BV6" s="25" t="s">
        <v>661</v>
      </c>
      <c r="BW6" s="25" t="s">
        <v>662</v>
      </c>
      <c r="BX6" s="25" t="s">
        <v>663</v>
      </c>
      <c r="BY6" s="25" t="s">
        <v>664</v>
      </c>
      <c r="BZ6" s="25" t="s">
        <v>665</v>
      </c>
      <c r="CA6" s="25" t="s">
        <v>666</v>
      </c>
      <c r="CB6" s="25" t="s">
        <v>667</v>
      </c>
      <c r="CC6" s="25" t="s">
        <v>668</v>
      </c>
      <c r="CD6" s="25" t="s">
        <v>669</v>
      </c>
      <c r="CE6" s="25" t="s">
        <v>670</v>
      </c>
      <c r="CF6" s="25" t="s">
        <v>671</v>
      </c>
      <c r="CG6" s="25" t="s">
        <v>672</v>
      </c>
      <c r="CH6" s="25" t="s">
        <v>673</v>
      </c>
      <c r="CI6" s="25" t="s">
        <v>674</v>
      </c>
      <c r="CJ6" s="25" t="s">
        <v>675</v>
      </c>
      <c r="CK6" s="25" t="s">
        <v>676</v>
      </c>
      <c r="CL6" s="25" t="s">
        <v>677</v>
      </c>
      <c r="CM6" s="25" t="s">
        <v>678</v>
      </c>
    </row>
    <row r="7" spans="1:91" x14ac:dyDescent="0.25">
      <c r="A7" s="14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SUM(indexmod_T[[#This Row],[A_hts_tst_indexmod_u1_unk_pos]:[A_hts_tst_indexmod_1014_m_pos]])</f>
        <v>0</v>
      </c>
      <c r="AU7" s="94">
        <f>SUM(indexmod_T[[#This Row],[A_hts_tst_indexmod_u1_unk_neg]:[A_hts_tst_indexmod_1014_m_neg]])</f>
        <v>0</v>
      </c>
      <c r="AV7" s="94">
        <f>SUM(indexmod_T[[#This Row],[A_hts_tst_indexmod_1519_f_pos]:[A_hts_tst_indexmod_o50_m_pos]])</f>
        <v>0</v>
      </c>
      <c r="AW7" s="94">
        <f>SUM(indexmod_T[[#This Row],[A_hts_tst_indexmod_1519_f_neg]:[A_hts_tst_indexmod_o50_m_neg]])</f>
        <v>0</v>
      </c>
      <c r="AX7" s="41"/>
      <c r="AY7" s="41"/>
      <c r="AZ7" s="41"/>
      <c r="BA7" s="41"/>
      <c r="BB7" s="41"/>
      <c r="BC7" s="41"/>
      <c r="BD7" s="41">
        <f>indexmod_T[[D_hts_tst_pos_indexmod_u15_fy19]:[D_hts_tst_pos_indexmod_u15_fy19]]*indexmod_T[A_hts_tst_indexmod_u1_unk_pos]</f>
        <v>0</v>
      </c>
      <c r="BE7" s="41">
        <f>indexmod_T[[D_hts_tst_pos_indexmod_u15_fy19]:[D_hts_tst_pos_indexmod_u15_fy19]]*indexmod_T[A_hts_tst_indexmod_0109_unk_pos]</f>
        <v>0</v>
      </c>
      <c r="BF7" s="41">
        <f>indexmod_T[[D_hts_tst_pos_indexmod_u15_fy19]:[D_hts_tst_pos_indexmod_u15_fy19]]*indexmod_T[A_hts_tst_indexmod_1014_f_pos]</f>
        <v>0</v>
      </c>
      <c r="BG7" s="41">
        <f>indexmod_T[[D_hts_tst_pos_indexmod_u15_fy19]:[D_hts_tst_pos_indexmod_u15_fy19]]*indexmod_T[A_hts_tst_indexmod_1014_m_pos]</f>
        <v>0</v>
      </c>
      <c r="BH7" s="41">
        <f>indexmod_T[[D_hts_tst_neg_indexmod_u15_fy19]:[D_hts_tst_neg_indexmod_u15_fy19]]*indexmod_T[A_hts_tst_indexmod_u1_unk_neg]</f>
        <v>0</v>
      </c>
      <c r="BI7" s="41">
        <f>indexmod_T[[D_hts_tst_neg_indexmod_u15_fy19]:[D_hts_tst_neg_indexmod_u15_fy19]]*indexmod_T[A_hts_tst_indexmod_0109_unk_neg]</f>
        <v>0</v>
      </c>
      <c r="BJ7" s="41">
        <f>indexmod_T[[D_hts_tst_neg_indexmod_u15_fy19]:[D_hts_tst_neg_indexmod_u15_fy19]]*indexmod_T[A_hts_tst_indexmod_1014_f_neg]</f>
        <v>0</v>
      </c>
      <c r="BK7" s="41">
        <f>indexmod_T[[D_hts_tst_neg_indexmod_u15_fy19]:[D_hts_tst_neg_indexmod_u15_fy19]]*indexmod_T[A_hts_tst_indexmod_1014_m_neg]</f>
        <v>0</v>
      </c>
      <c r="BL7" s="41">
        <f>indexmod_T[[D_hts_tst_pos_indexmod_o15_fy19]:[D_hts_tst_pos_indexmod_o15_fy19]]*indexmod_T[A_hts_tst_indexmod_1519_f_pos]</f>
        <v>0</v>
      </c>
      <c r="BM7" s="41">
        <f>indexmod_T[[D_hts_tst_pos_indexmod_o15_fy19]:[D_hts_tst_pos_indexmod_o15_fy19]]*indexmod_T[A_hts_tst_indexmod_1519_m_pos]</f>
        <v>0</v>
      </c>
      <c r="BN7" s="41">
        <f>indexmod_T[[D_hts_tst_pos_indexmod_o15_fy19]:[D_hts_tst_pos_indexmod_o15_fy19]]*indexmod_T[A_hts_tst_indexmod_2024_f_pos]</f>
        <v>0</v>
      </c>
      <c r="BO7" s="41">
        <f>indexmod_T[[D_hts_tst_pos_indexmod_o15_fy19]:[D_hts_tst_pos_indexmod_o15_fy19]]*indexmod_T[A_hts_tst_indexmod_2024_m_pos]</f>
        <v>0</v>
      </c>
      <c r="BP7" s="41">
        <f>indexmod_T[[D_hts_tst_pos_indexmod_o15_fy19]:[D_hts_tst_pos_indexmod_o15_fy19]]*indexmod_T[A_hts_tst_indexmod_2529_f_pos]</f>
        <v>0</v>
      </c>
      <c r="BQ7" s="41">
        <f>indexmod_T[[D_hts_tst_pos_indexmod_o15_fy19]:[D_hts_tst_pos_indexmod_o15_fy19]]*indexmod_T[A_hts_tst_indexmod_2529_m_pos]</f>
        <v>0</v>
      </c>
      <c r="BR7" s="41">
        <f>indexmod_T[[D_hts_tst_pos_indexmod_o15_fy19]:[D_hts_tst_pos_indexmod_o15_fy19]]*indexmod_T[A_hts_tst_indexmod_3034_f_pos]</f>
        <v>0</v>
      </c>
      <c r="BS7" s="41">
        <f>indexmod_T[[D_hts_tst_pos_indexmod_o15_fy19]:[D_hts_tst_pos_indexmod_o15_fy19]]*indexmod_T[A_hts_tst_indexmod_3034_m__pos]</f>
        <v>0</v>
      </c>
      <c r="BT7" s="41">
        <f>indexmod_T[[D_hts_tst_pos_indexmod_o15_fy19]:[D_hts_tst_pos_indexmod_o15_fy19]]*indexmod_T[A_hts_tst_indexmod_3539_f_pos]</f>
        <v>0</v>
      </c>
      <c r="BU7" s="41">
        <f>indexmod_T[[D_hts_tst_pos_indexmod_o15_fy19]:[D_hts_tst_pos_indexmod_o15_fy19]]*indexmod_T[A_hts_tst_indexmod_3539_m__pos]</f>
        <v>0</v>
      </c>
      <c r="BV7" s="41">
        <f>indexmod_T[[D_hts_tst_pos_indexmod_o15_fy19]:[D_hts_tst_pos_indexmod_o15_fy19]]*indexmod_T[A_hts_tst_indexmod_4049_f_pos]</f>
        <v>0</v>
      </c>
      <c r="BW7" s="41">
        <f>indexmod_T[[D_hts_tst_pos_indexmod_o15_fy19]:[D_hts_tst_pos_indexmod_o15_fy19]]*indexmod_T[A_hts_tst_indexmod_4049_m_pos]</f>
        <v>0</v>
      </c>
      <c r="BX7" s="41">
        <f>indexmod_T[[D_hts_tst_pos_indexmod_o15_fy19]:[D_hts_tst_pos_indexmod_o15_fy19]]*indexmod_T[A_hts_tst_indexmod_o50_f_pos]</f>
        <v>0</v>
      </c>
      <c r="BY7" s="41">
        <f>indexmod_T[[D_hts_tst_pos_indexmod_o15_fy19]:[D_hts_tst_pos_indexmod_o15_fy19]]*indexmod_T[A_hts_tst_indexmod_o50_m_pos]</f>
        <v>0</v>
      </c>
      <c r="BZ7" s="41">
        <f>indexmod_T[[D_hts_tst_neg_indexmod_o15_fy19]:[D_hts_tst_neg_indexmod_o15_fy19]]*indexmod_T[A_hts_tst_indexmod_1519_f_neg]</f>
        <v>0</v>
      </c>
      <c r="CA7" s="41">
        <f>indexmod_T[[D_hts_tst_neg_indexmod_o15_fy19]:[D_hts_tst_neg_indexmod_o15_fy19]]*indexmod_T[A_hts_tst_indexmod_1519_m_neg]</f>
        <v>0</v>
      </c>
      <c r="CB7" s="41">
        <f>indexmod_T[[D_hts_tst_neg_indexmod_o15_fy19]:[D_hts_tst_neg_indexmod_o15_fy19]]*indexmod_T[A_hts_tst_indexmod_2024_f_neg]</f>
        <v>0</v>
      </c>
      <c r="CC7" s="41">
        <f>indexmod_T[[D_hts_tst_neg_indexmod_o15_fy19]:[D_hts_tst_neg_indexmod_o15_fy19]]*indexmod_T[A_hts_tst_indexmod_2024_m_neg]</f>
        <v>0</v>
      </c>
      <c r="CD7" s="41">
        <f>indexmod_T[[D_hts_tst_neg_indexmod_o15_fy19]:[D_hts_tst_neg_indexmod_o15_fy19]]*indexmod_T[A_hts_tst_indexmod_2529_f_neg]</f>
        <v>0</v>
      </c>
      <c r="CE7" s="41">
        <f>indexmod_T[[D_hts_tst_neg_indexmod_o15_fy19]:[D_hts_tst_neg_indexmod_o15_fy19]]*indexmod_T[A_hts_tst_indexmod_2529_m_neg]</f>
        <v>0</v>
      </c>
      <c r="CF7" s="41">
        <f>indexmod_T[[D_hts_tst_neg_indexmod_o15_fy19]:[D_hts_tst_neg_indexmod_o15_fy19]]*indexmod_T[A_hts_tst_indexmod_3034_f_neg]</f>
        <v>0</v>
      </c>
      <c r="CG7" s="41">
        <f>indexmod_T[[D_hts_tst_neg_indexmod_o15_fy19]:[D_hts_tst_neg_indexmod_o15_fy19]]*indexmod_T[A_hts_tst_indexmod_3034_m_neg]</f>
        <v>0</v>
      </c>
      <c r="CH7" s="41">
        <f>indexmod_T[[D_hts_tst_neg_indexmod_o15_fy19]:[D_hts_tst_neg_indexmod_o15_fy19]]*indexmod_T[A_hts_tst_indexmod_3539_f_neg]</f>
        <v>0</v>
      </c>
      <c r="CI7" s="41">
        <f>indexmod_T[[D_hts_tst_neg_indexmod_o15_fy19]:[D_hts_tst_neg_indexmod_o15_fy19]]*indexmod_T[A_hts_tst_indexmod_3539_m_neg]</f>
        <v>0</v>
      </c>
      <c r="CJ7" s="41">
        <f>indexmod_T[[D_hts_tst_neg_indexmod_o15_fy19]:[D_hts_tst_neg_indexmod_o15_fy19]]*indexmod_T[A_hts_tst_indexmod_4049_f_neg]</f>
        <v>0</v>
      </c>
      <c r="CK7" s="41">
        <f>indexmod_T[[D_hts_tst_neg_indexmod_o15_fy19]:[D_hts_tst_neg_indexmod_o15_fy19]]*indexmod_T[A_hts_tst_indexmod_4049_m_neg]</f>
        <v>0</v>
      </c>
      <c r="CL7" s="41">
        <f>indexmod_T[[D_hts_tst_neg_indexmod_o15_fy19]:[D_hts_tst_neg_indexmod_o15_fy19]]*indexmod_T[A_hts_tst_indexmod_o50_f_neg]</f>
        <v>0</v>
      </c>
      <c r="CM7" s="41">
        <f>indexmod_T[[D_hts_tst_neg_indexmod_o15_fy19]:[D_hts_tst_neg_indexmod_o15_fy19]]*indexmod_T[A_hts_tst_indexmod_o50_m_neg]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1172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0"/>
  <dimension ref="A1:CM1154"/>
  <sheetViews>
    <sheetView showGridLines="0" zoomScale="85" zoomScaleNormal="85" workbookViewId="0">
      <pane ySplit="4" topLeftCell="A5" activePane="bottomLeft" state="frozen"/>
      <selection activeCell="C48" sqref="C48"/>
      <selection pane="bottomLeft" activeCell="C4" sqref="C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681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SUBTOTAL(109,mobilemod_T[hts_tst_mobilemod_u1_unk_pos])</f>
        <v>0</v>
      </c>
      <c r="BE5" s="47">
        <f>SUBTOTAL(109,mobilemod_T[hts_tst_mobilemod_0109_unk_pos])</f>
        <v>0</v>
      </c>
      <c r="BF5" s="47">
        <f>SUBTOTAL(109,mobilemod_T[hts_tst_mobilemod_1014_f_pos])</f>
        <v>0</v>
      </c>
      <c r="BG5" s="47">
        <f>SUBTOTAL(109,mobilemod_T[hts_tst_mobilemod_1014_m_pos])</f>
        <v>0</v>
      </c>
      <c r="BH5" s="47">
        <f>SUBTOTAL(109,mobilemod_T[hts_tst_mobilemod_u1_unk_neg])</f>
        <v>0</v>
      </c>
      <c r="BI5" s="47">
        <f>SUBTOTAL(109,mobilemod_T[hts_tst_mobilemod_0109_unk_neg])</f>
        <v>0</v>
      </c>
      <c r="BJ5" s="47">
        <f>SUBTOTAL(109,mobilemod_T[hts_tst_mobilemod_1014_f_neg])</f>
        <v>0</v>
      </c>
      <c r="BK5" s="47">
        <f>SUBTOTAL(109,mobilemod_T[hts_tst_mobilemod_1014_m_neg])</f>
        <v>0</v>
      </c>
      <c r="BL5" s="47">
        <f>SUBTOTAL(109,mobilemod_T[hts_tst_mobilemod_1519_f_pos])</f>
        <v>0</v>
      </c>
      <c r="BM5" s="47">
        <f>SUBTOTAL(109,mobilemod_T[hts_tst_mobilemod_1519_m_pos])</f>
        <v>0</v>
      </c>
      <c r="BN5" s="47">
        <f>SUBTOTAL(109,mobilemod_T[hts_tst_mobilemod_2024_f_pos])</f>
        <v>0</v>
      </c>
      <c r="BO5" s="47">
        <f>SUBTOTAL(109,mobilemod_T[hts_tst_mobilemod_2024_m_pos])</f>
        <v>0</v>
      </c>
      <c r="BP5" s="47">
        <f>SUBTOTAL(109,mobilemod_T[hts_tst_mobilemod_2529_f_pos])</f>
        <v>0</v>
      </c>
      <c r="BQ5" s="47">
        <f>SUBTOTAL(109,mobilemod_T[hts_tst_mobilemod_2529_m_pos])</f>
        <v>0</v>
      </c>
      <c r="BR5" s="47">
        <f>SUBTOTAL(109,mobilemod_T[hts_tst_mobilemod_3034_f_pos])</f>
        <v>0</v>
      </c>
      <c r="BS5" s="47">
        <f>SUBTOTAL(109,mobilemod_T[hts_tst_mobilemod_3034_m_pos])</f>
        <v>0</v>
      </c>
      <c r="BT5" s="47">
        <f>SUBTOTAL(109,mobilemod_T[hts_tst_mobilemod_3539_f_pos])</f>
        <v>0</v>
      </c>
      <c r="BU5" s="47">
        <f>SUBTOTAL(109,mobilemod_T[hts_tst_mobilemod_3539_m_pos])</f>
        <v>0</v>
      </c>
      <c r="BV5" s="47">
        <f>SUBTOTAL(109,mobilemod_T[hts_tst_mobilemod_4049_f_pos])</f>
        <v>0</v>
      </c>
      <c r="BW5" s="47">
        <f>SUBTOTAL(109,mobilemod_T[hts_tst_mobilemod_4049_m_pos])</f>
        <v>0</v>
      </c>
      <c r="BX5" s="47">
        <f>SUBTOTAL(109,mobilemod_T[hts_tst_mobilemod_o50_f_pos])</f>
        <v>0</v>
      </c>
      <c r="BY5" s="47">
        <f>SUBTOTAL(109,mobilemod_T[hts_tst_mobilemod_o50_m_pos])</f>
        <v>0</v>
      </c>
      <c r="BZ5" s="47">
        <f>SUBTOTAL(109,mobilemod_T[hts_tst_mobilemod_1519_f_neg])</f>
        <v>0</v>
      </c>
      <c r="CA5" s="47">
        <f>SUBTOTAL(109,mobilemod_T[hts_tst_mobilemod_1519_m_neg])</f>
        <v>0</v>
      </c>
      <c r="CB5" s="47">
        <f>SUBTOTAL(109,mobilemod_T[hts_tst_mobilemod_2024_f_neg])</f>
        <v>0</v>
      </c>
      <c r="CC5" s="47">
        <f>SUBTOTAL(109,mobilemod_T[hts_tst_mobilemod_2024_m_neg])</f>
        <v>0</v>
      </c>
      <c r="CD5" s="47">
        <f>SUBTOTAL(109,mobilemod_T[hts_tst_mobilemod_2529_f_neg])</f>
        <v>0</v>
      </c>
      <c r="CE5" s="47">
        <f>SUBTOTAL(109,mobilemod_T[hts_tst_mobilemod_2529_m_neg])</f>
        <v>0</v>
      </c>
      <c r="CF5" s="47">
        <f>SUBTOTAL(109,mobilemod_T[hts_tst_mobilemod_3034_f_neg])</f>
        <v>0</v>
      </c>
      <c r="CG5" s="47">
        <f>SUBTOTAL(109,mobilemod_T[hts_tst_mobilemod_3034_m_neg])</f>
        <v>0</v>
      </c>
      <c r="CH5" s="47">
        <f>SUBTOTAL(109,mobilemod_T[hts_tst_mobilemod_3539_f_neg])</f>
        <v>0</v>
      </c>
      <c r="CI5" s="47">
        <f>SUBTOTAL(109,mobilemod_T[hts_tst_mobilemod_3539_m_neg])</f>
        <v>0</v>
      </c>
      <c r="CJ5" s="47">
        <f>SUBTOTAL(109,mobilemod_T[hts_tst_mobilemod_4049_f_neg])</f>
        <v>0</v>
      </c>
      <c r="CK5" s="47">
        <f>SUBTOTAL(109,mobilemod_T[hts_tst_mobilemod_4049_m_neg])</f>
        <v>0</v>
      </c>
      <c r="CL5" s="47">
        <f>SUBTOTAL(109,mobilemod_T[hts_tst_mobilemod_o50_f_neg])</f>
        <v>0</v>
      </c>
      <c r="CM5" s="47">
        <f>SUBTOTAL(109,mobilemod_T[hts_tst_mobilemod_o50_m_neg])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682</v>
      </c>
      <c r="K6" s="25" t="s">
        <v>683</v>
      </c>
      <c r="L6" s="25" t="s">
        <v>684</v>
      </c>
      <c r="M6" s="25" t="s">
        <v>685</v>
      </c>
      <c r="N6" s="25" t="s">
        <v>686</v>
      </c>
      <c r="O6" s="25" t="s">
        <v>687</v>
      </c>
      <c r="P6" s="25" t="s">
        <v>688</v>
      </c>
      <c r="Q6" s="25" t="s">
        <v>689</v>
      </c>
      <c r="R6" s="25" t="s">
        <v>690</v>
      </c>
      <c r="S6" s="25" t="s">
        <v>691</v>
      </c>
      <c r="T6" s="25" t="s">
        <v>692</v>
      </c>
      <c r="U6" s="25" t="s">
        <v>693</v>
      </c>
      <c r="V6" s="25" t="s">
        <v>694</v>
      </c>
      <c r="W6" s="25" t="s">
        <v>695</v>
      </c>
      <c r="X6" s="25" t="s">
        <v>696</v>
      </c>
      <c r="Y6" s="25" t="s">
        <v>697</v>
      </c>
      <c r="Z6" s="25" t="s">
        <v>698</v>
      </c>
      <c r="AA6" s="25" t="s">
        <v>699</v>
      </c>
      <c r="AB6" s="25" t="s">
        <v>700</v>
      </c>
      <c r="AC6" s="25" t="s">
        <v>701</v>
      </c>
      <c r="AD6" s="25" t="s">
        <v>702</v>
      </c>
      <c r="AE6" s="25" t="s">
        <v>703</v>
      </c>
      <c r="AF6" s="25" t="s">
        <v>704</v>
      </c>
      <c r="AG6" s="25" t="s">
        <v>705</v>
      </c>
      <c r="AH6" s="25" t="s">
        <v>706</v>
      </c>
      <c r="AI6" s="25" t="s">
        <v>707</v>
      </c>
      <c r="AJ6" s="25" t="s">
        <v>708</v>
      </c>
      <c r="AK6" s="25" t="s">
        <v>709</v>
      </c>
      <c r="AL6" s="25" t="s">
        <v>710</v>
      </c>
      <c r="AM6" s="25" t="s">
        <v>711</v>
      </c>
      <c r="AN6" s="25" t="s">
        <v>712</v>
      </c>
      <c r="AO6" s="25" t="s">
        <v>713</v>
      </c>
      <c r="AP6" s="25" t="s">
        <v>714</v>
      </c>
      <c r="AQ6" s="25" t="s">
        <v>715</v>
      </c>
      <c r="AR6" s="25" t="s">
        <v>716</v>
      </c>
      <c r="AS6" s="25" t="s">
        <v>717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239</v>
      </c>
      <c r="AY6" s="25" t="s">
        <v>251</v>
      </c>
      <c r="AZ6" s="25" t="s">
        <v>718</v>
      </c>
      <c r="BA6" s="25" t="s">
        <v>219</v>
      </c>
      <c r="BB6" s="25" t="s">
        <v>229</v>
      </c>
      <c r="BC6" s="25" t="s">
        <v>719</v>
      </c>
      <c r="BD6" s="25" t="s">
        <v>720</v>
      </c>
      <c r="BE6" s="25" t="s">
        <v>721</v>
      </c>
      <c r="BF6" s="25" t="s">
        <v>722</v>
      </c>
      <c r="BG6" s="25" t="s">
        <v>723</v>
      </c>
      <c r="BH6" s="25" t="s">
        <v>724</v>
      </c>
      <c r="BI6" s="25" t="s">
        <v>725</v>
      </c>
      <c r="BJ6" s="25" t="s">
        <v>726</v>
      </c>
      <c r="BK6" s="25" t="s">
        <v>727</v>
      </c>
      <c r="BL6" s="25" t="s">
        <v>728</v>
      </c>
      <c r="BM6" s="25" t="s">
        <v>729</v>
      </c>
      <c r="BN6" s="25" t="s">
        <v>730</v>
      </c>
      <c r="BO6" s="25" t="s">
        <v>731</v>
      </c>
      <c r="BP6" s="25" t="s">
        <v>732</v>
      </c>
      <c r="BQ6" s="25" t="s">
        <v>733</v>
      </c>
      <c r="BR6" s="25" t="s">
        <v>734</v>
      </c>
      <c r="BS6" s="25" t="s">
        <v>735</v>
      </c>
      <c r="BT6" s="25" t="s">
        <v>736</v>
      </c>
      <c r="BU6" s="25" t="s">
        <v>737</v>
      </c>
      <c r="BV6" s="25" t="s">
        <v>738</v>
      </c>
      <c r="BW6" s="25" t="s">
        <v>739</v>
      </c>
      <c r="BX6" s="25" t="s">
        <v>740</v>
      </c>
      <c r="BY6" s="25" t="s">
        <v>741</v>
      </c>
      <c r="BZ6" s="25" t="s">
        <v>742</v>
      </c>
      <c r="CA6" s="25" t="s">
        <v>743</v>
      </c>
      <c r="CB6" s="25" t="s">
        <v>744</v>
      </c>
      <c r="CC6" s="25" t="s">
        <v>745</v>
      </c>
      <c r="CD6" s="25" t="s">
        <v>746</v>
      </c>
      <c r="CE6" s="25" t="s">
        <v>747</v>
      </c>
      <c r="CF6" s="25" t="s">
        <v>748</v>
      </c>
      <c r="CG6" s="25" t="s">
        <v>749</v>
      </c>
      <c r="CH6" s="25" t="s">
        <v>750</v>
      </c>
      <c r="CI6" s="25" t="s">
        <v>751</v>
      </c>
      <c r="CJ6" s="25" t="s">
        <v>752</v>
      </c>
      <c r="CK6" s="25" t="s">
        <v>753</v>
      </c>
      <c r="CL6" s="25" t="s">
        <v>754</v>
      </c>
      <c r="CM6" s="25" t="s">
        <v>755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SUM(mobilemod_T[[#This Row],[A_hts_tst_mobilemod_u1_unk_pos]:[A_hts_tst_mobilemod_1014_m_pos]])</f>
        <v>0</v>
      </c>
      <c r="AU7" s="94">
        <f>SUM(mobilemod_T[[#This Row],[A_hts_tst_mobilemod_u1_unk_neg]:[A_hts_tst_mobilemod_1014_m_neg]])</f>
        <v>0</v>
      </c>
      <c r="AV7" s="94">
        <f>SUM(mobilemod_T[[#This Row],[A_hts_tst_mobilemod_1519_f_pos]:[A_hts_tst_mobilemod_o50_m_pos]])</f>
        <v>0</v>
      </c>
      <c r="AW7" s="94">
        <f>SUM(mobilemod_T[[#This Row],[A_hts_tst_mobilemod_1519_f_neg]:[A_hts_tst_mobilemod_o50_m_neg]])</f>
        <v>0</v>
      </c>
      <c r="AX7" s="41"/>
      <c r="AY7" s="41"/>
      <c r="AZ7" s="41"/>
      <c r="BA7" s="41"/>
      <c r="BB7" s="41"/>
      <c r="BC7" s="41"/>
      <c r="BD7" s="41">
        <f>mobilemod_T[[D_hts_tst_pos_mobilemod_u15_fy19]:[D_hts_tst_pos_mobilemod_u15_fy19]]*mobilemod_T[A_hts_tst_mobilemod_u1_unk_pos]</f>
        <v>0</v>
      </c>
      <c r="BE7" s="41">
        <f>mobilemod_T[[D_hts_tst_pos_mobilemod_u15_fy19]:[D_hts_tst_pos_mobilemod_u15_fy19]]*mobilemod_T[A_hts_tst_mobilemod_0109_unk_pos]</f>
        <v>0</v>
      </c>
      <c r="BF7" s="41">
        <f>mobilemod_T[[D_hts_tst_pos_mobilemod_u15_fy19]:[D_hts_tst_pos_mobilemod_u15_fy19]]*mobilemod_T[A_hts_tst_mobilemod_1014_f_pos]</f>
        <v>0</v>
      </c>
      <c r="BG7" s="41">
        <f>mobilemod_T[[D_hts_tst_pos_mobilemod_u15_fy19]:[D_hts_tst_pos_mobilemod_u15_fy19]]*mobilemod_T[A_hts_tst_mobilemod_1014_m_pos]</f>
        <v>0</v>
      </c>
      <c r="BH7" s="41">
        <f>mobilemod_T[[D_hts_tst_neg_mobilemod_u15_fy19]:[D_hts_tst_neg_mobilemod_u15_fy19]]*mobilemod_T[A_hts_tst_mobilemod_u1_unk_neg]</f>
        <v>0</v>
      </c>
      <c r="BI7" s="41">
        <f>mobilemod_T[[D_hts_tst_neg_mobilemod_u15_fy19]:[D_hts_tst_neg_mobilemod_u15_fy19]]*mobilemod_T[A_hts_tst_mobilemod_0109_unk_neg]</f>
        <v>0</v>
      </c>
      <c r="BJ7" s="41">
        <f>mobilemod_T[[D_hts_tst_neg_mobilemod_u15_fy19]:[D_hts_tst_neg_mobilemod_u15_fy19]]*mobilemod_T[A_hts_tst_mobilemod_1014_f_neg]</f>
        <v>0</v>
      </c>
      <c r="BK7" s="41">
        <f>mobilemod_T[[D_hts_tst_neg_mobilemod_u15_fy19]:[D_hts_tst_neg_mobilemod_u15_fy19]]*mobilemod_T[A_hts_tst_mobilemod_1014_m_neg]</f>
        <v>0</v>
      </c>
      <c r="BL7" s="41">
        <f>mobilemod_T[[D_hts_tst_pos_mobilemod_o15_fy19]:[D_hts_tst_pos_mobilemod_o15_fy19]]*mobilemod_T[A_hts_tst_mobilemod_1519_f_pos]</f>
        <v>0</v>
      </c>
      <c r="BM7" s="41">
        <f>mobilemod_T[[D_hts_tst_pos_mobilemod_o15_fy19]:[D_hts_tst_pos_mobilemod_o15_fy19]]*mobilemod_T[A_hts_tst_mobilemod_1519_m_pos]</f>
        <v>0</v>
      </c>
      <c r="BN7" s="41">
        <f>mobilemod_T[[D_hts_tst_pos_mobilemod_o15_fy19]:[D_hts_tst_pos_mobilemod_o15_fy19]]*mobilemod_T[A_hts_tst_mobilemod_2024_f_pos]</f>
        <v>0</v>
      </c>
      <c r="BO7" s="41">
        <f>mobilemod_T[[D_hts_tst_pos_mobilemod_o15_fy19]:[D_hts_tst_pos_mobilemod_o15_fy19]]*mobilemod_T[A_hts_tst_mobilemod_2024_m_pos]</f>
        <v>0</v>
      </c>
      <c r="BP7" s="41">
        <f>mobilemod_T[[D_hts_tst_pos_mobilemod_o15_fy19]:[D_hts_tst_pos_mobilemod_o15_fy19]]*mobilemod_T[A_hts_tst_mobilemod_2529_f_pos]</f>
        <v>0</v>
      </c>
      <c r="BQ7" s="41">
        <f>mobilemod_T[[D_hts_tst_pos_mobilemod_o15_fy19]:[D_hts_tst_pos_mobilemod_o15_fy19]]*mobilemod_T[A_hts_tst_mobilemod_2529_m_pos]</f>
        <v>0</v>
      </c>
      <c r="BR7" s="41">
        <f>mobilemod_T[[D_hts_tst_pos_mobilemod_o15_fy19]:[D_hts_tst_pos_mobilemod_o15_fy19]]*mobilemod_T[A_hts_tst_mobilemod_3034_f_pos]</f>
        <v>0</v>
      </c>
      <c r="BS7" s="41">
        <f>mobilemod_T[[D_hts_tst_pos_mobilemod_o15_fy19]:[D_hts_tst_pos_mobilemod_o15_fy19]]*mobilemod_T[A_hts_tst_mobilemod_3034_m__pos]</f>
        <v>0</v>
      </c>
      <c r="BT7" s="41">
        <f>mobilemod_T[[D_hts_tst_pos_mobilemod_o15_fy19]:[D_hts_tst_pos_mobilemod_o15_fy19]]*mobilemod_T[A_hts_tst_mobilemod_3539_f_pos]</f>
        <v>0</v>
      </c>
      <c r="BU7" s="41">
        <f>mobilemod_T[[D_hts_tst_pos_mobilemod_o15_fy19]:[D_hts_tst_pos_mobilemod_o15_fy19]]*mobilemod_T[A_hts_tst_mobilemod_3539_m__pos]</f>
        <v>0</v>
      </c>
      <c r="BV7" s="41">
        <f>mobilemod_T[[D_hts_tst_pos_mobilemod_o15_fy19]:[D_hts_tst_pos_mobilemod_o15_fy19]]*mobilemod_T[A_hts_tst_mobilemod_4049_f_pos]</f>
        <v>0</v>
      </c>
      <c r="BW7" s="41">
        <f>mobilemod_T[[D_hts_tst_pos_mobilemod_o15_fy19]:[D_hts_tst_pos_mobilemod_o15_fy19]]*mobilemod_T[A_hts_tst_mobilemod_4049_m_pos]</f>
        <v>0</v>
      </c>
      <c r="BX7" s="41">
        <f>mobilemod_T[[D_hts_tst_pos_mobilemod_o15_fy19]:[D_hts_tst_pos_mobilemod_o15_fy19]]*mobilemod_T[A_hts_tst_mobilemod_o50_f_pos]</f>
        <v>0</v>
      </c>
      <c r="BY7" s="41">
        <f>mobilemod_T[[D_hts_tst_pos_mobilemod_o15_fy19]:[D_hts_tst_pos_mobilemod_o15_fy19]]*mobilemod_T[A_hts_tst_mobilemod_o50_m_pos]</f>
        <v>0</v>
      </c>
      <c r="BZ7" s="41">
        <f>mobilemod_T[[D_hts_tst_neg_mobilemod_o15_fy19]:[D_hts_tst_neg_mobilemod_o15_fy19]]*mobilemod_T[A_hts_tst_mobilemod_1519_f_neg]</f>
        <v>0</v>
      </c>
      <c r="CA7" s="41">
        <f>mobilemod_T[[D_hts_tst_neg_mobilemod_o15_fy19]:[D_hts_tst_neg_mobilemod_o15_fy19]]*mobilemod_T[A_hts_tst_mobilemod_1519_m_neg]</f>
        <v>0</v>
      </c>
      <c r="CB7" s="41">
        <f>mobilemod_T[[D_hts_tst_neg_mobilemod_o15_fy19]:[D_hts_tst_neg_mobilemod_o15_fy19]]*mobilemod_T[A_hts_tst_mobilemod_2024_f_neg]</f>
        <v>0</v>
      </c>
      <c r="CC7" s="41">
        <f>mobilemod_T[[D_hts_tst_neg_mobilemod_o15_fy19]:[D_hts_tst_neg_mobilemod_o15_fy19]]*mobilemod_T[A_hts_tst_mobilemod_2024_m_neg]</f>
        <v>0</v>
      </c>
      <c r="CD7" s="41">
        <f>mobilemod_T[[D_hts_tst_neg_mobilemod_o15_fy19]:[D_hts_tst_neg_mobilemod_o15_fy19]]*mobilemod_T[A_hts_tst_mobilemod_2529_f_neg]</f>
        <v>0</v>
      </c>
      <c r="CE7" s="41">
        <f>mobilemod_T[[D_hts_tst_neg_mobilemod_o15_fy19]:[D_hts_tst_neg_mobilemod_o15_fy19]]*mobilemod_T[A_hts_tst_mobilemod_2529_m_neg]</f>
        <v>0</v>
      </c>
      <c r="CF7" s="41">
        <f>mobilemod_T[[D_hts_tst_neg_mobilemod_o15_fy19]:[D_hts_tst_neg_mobilemod_o15_fy19]]*mobilemod_T[A_hts_tst_mobilemod_3034_f_neg]</f>
        <v>0</v>
      </c>
      <c r="CG7" s="41">
        <f>mobilemod_T[[D_hts_tst_neg_mobilemod_o15_fy19]:[D_hts_tst_neg_mobilemod_o15_fy19]]*mobilemod_T[A_hts_tst_mobilemod_3034_m_neg]</f>
        <v>0</v>
      </c>
      <c r="CH7" s="41">
        <f>mobilemod_T[[D_hts_tst_neg_mobilemod_o15_fy19]:[D_hts_tst_neg_mobilemod_o15_fy19]]*mobilemod_T[A_hts_tst_mobilemod_3539_f_neg]</f>
        <v>0</v>
      </c>
      <c r="CI7" s="41">
        <f>mobilemod_T[[D_hts_tst_neg_mobilemod_o15_fy19]:[D_hts_tst_neg_mobilemod_o15_fy19]]*mobilemod_T[A_hts_tst_mobilemod_3539_m_neg]</f>
        <v>0</v>
      </c>
      <c r="CJ7" s="41">
        <f>mobilemod_T[[D_hts_tst_neg_mobilemod_o15_fy19]:[D_hts_tst_neg_mobilemod_o15_fy19]]*mobilemod_T[A_hts_tst_mobilemod_4049_f_neg]</f>
        <v>0</v>
      </c>
      <c r="CK7" s="41">
        <f>mobilemod_T[[D_hts_tst_neg_mobilemod_o15_fy19]:[D_hts_tst_neg_mobilemod_o15_fy19]]*mobilemod_T[A_hts_tst_mobilemod_4049_m_neg]</f>
        <v>0</v>
      </c>
      <c r="CL7" s="41">
        <f>mobilemod_T[[D_hts_tst_neg_mobilemod_o15_fy19]:[D_hts_tst_neg_mobilemod_o15_fy19]]*mobilemod_T[A_hts_tst_mobilemod_o50_f_neg]</f>
        <v>0</v>
      </c>
      <c r="CM7" s="41">
        <f>mobilemod_T[[D_hts_tst_neg_mobilemod_o15_fy19]:[D_hts_tst_neg_mobilemod_o15_fy19]]*mobilemod_T[A_hts_tst_mobilemod_o50_m_neg]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1080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1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C4" sqref="C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756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SUBTOTAL(109,vctmod_T[hts_tst_vctmod_u1_unk_pos])</f>
        <v>0</v>
      </c>
      <c r="BE5" s="47">
        <f>SUBTOTAL(109,vctmod_T[hts_tst_vctmod_0109_unk_pos])</f>
        <v>0</v>
      </c>
      <c r="BF5" s="47">
        <f>SUBTOTAL(109,vctmod_T[hts_tst_vctmod_1014_f_pos])</f>
        <v>0</v>
      </c>
      <c r="BG5" s="47">
        <f>SUBTOTAL(109,vctmod_T[hts_tst_vctmod_1014_m_pos])</f>
        <v>0</v>
      </c>
      <c r="BH5" s="47">
        <f>SUBTOTAL(109,vctmod_T[hts_tst_vctmod_u1_unk_neg])</f>
        <v>0</v>
      </c>
      <c r="BI5" s="47">
        <f>SUBTOTAL(109,vctmod_T[hts_tst_vctmod_0109_unk_neg])</f>
        <v>0</v>
      </c>
      <c r="BJ5" s="47">
        <f>SUBTOTAL(109,vctmod_T[hts_tst_vctmod_1014_f_neg])</f>
        <v>0</v>
      </c>
      <c r="BK5" s="47">
        <f>SUBTOTAL(109,vctmod_T[hts_tst_vctmod_1014_m_neg])</f>
        <v>0</v>
      </c>
      <c r="BL5" s="47">
        <f>SUBTOTAL(109,vctmod_T[hts_tst_vctmod_1519_f_pos])</f>
        <v>0</v>
      </c>
      <c r="BM5" s="47">
        <f>SUBTOTAL(109,vctmod_T[hts_tst_vctmod_1519_m_pos])</f>
        <v>0</v>
      </c>
      <c r="BN5" s="47">
        <f>SUBTOTAL(109,vctmod_T[hts_tst_vctmod_2024_f_pos])</f>
        <v>0</v>
      </c>
      <c r="BO5" s="47">
        <f>SUBTOTAL(109,vctmod_T[hts_tst_vctmod_2024_m_pos])</f>
        <v>0</v>
      </c>
      <c r="BP5" s="47">
        <f>SUBTOTAL(109,vctmod_T[hts_tst_vctmod_2529_f_pos])</f>
        <v>0</v>
      </c>
      <c r="BQ5" s="47">
        <f>SUBTOTAL(109,vctmod_T[hts_tst_vctmod_2529_m_pos])</f>
        <v>0</v>
      </c>
      <c r="BR5" s="47">
        <f>SUBTOTAL(109,vctmod_T[hts_tst_vctmod_3034_f_pos])</f>
        <v>0</v>
      </c>
      <c r="BS5" s="47">
        <f>SUBTOTAL(109,vctmod_T[hts_tst_vctmod_3034_m_pos])</f>
        <v>0</v>
      </c>
      <c r="BT5" s="47">
        <f>SUBTOTAL(109,vctmod_T[hts_tst_vctmod_3539_f_pos])</f>
        <v>0</v>
      </c>
      <c r="BU5" s="47">
        <f>SUBTOTAL(109,vctmod_T[hts_tst_vctmod_3539_m_pos])</f>
        <v>0</v>
      </c>
      <c r="BV5" s="47">
        <f>SUBTOTAL(109,vctmod_T[hts_tst_vctmod_4049_f_pos])</f>
        <v>0</v>
      </c>
      <c r="BW5" s="47">
        <f>SUBTOTAL(109,vctmod_T[hts_tst_vctmod_4049_m_pos])</f>
        <v>0</v>
      </c>
      <c r="BX5" s="47">
        <f>SUBTOTAL(109,vctmod_T[hts_tst_vctmod_o50_f_pos])</f>
        <v>0</v>
      </c>
      <c r="BY5" s="47">
        <f>SUBTOTAL(109,vctmod_T[hts_tst_vctmod_o50_m_pos])</f>
        <v>0</v>
      </c>
      <c r="BZ5" s="47">
        <f>SUBTOTAL(109,vctmod_T[hts_tst_vctmod_1519_f_neg])</f>
        <v>0</v>
      </c>
      <c r="CA5" s="47">
        <f>SUBTOTAL(109,vctmod_T[hts_tst_vctmod_1519_m_neg])</f>
        <v>0</v>
      </c>
      <c r="CB5" s="47">
        <f>SUBTOTAL(109,vctmod_T[hts_tst_vctmod_2024_f_neg])</f>
        <v>0</v>
      </c>
      <c r="CC5" s="47">
        <f>SUBTOTAL(109,vctmod_T[hts_tst_vctmod_2024_m_neg])</f>
        <v>0</v>
      </c>
      <c r="CD5" s="47">
        <f>SUBTOTAL(109,vctmod_T[hts_tst_vctmod_2529_f_neg])</f>
        <v>0</v>
      </c>
      <c r="CE5" s="47">
        <f>SUBTOTAL(109,vctmod_T[hts_tst_vctmod_2529_m_neg])</f>
        <v>0</v>
      </c>
      <c r="CF5" s="47">
        <f>SUBTOTAL(109,vctmod_T[hts_tst_vctmod_3034_f_neg])</f>
        <v>0</v>
      </c>
      <c r="CG5" s="47">
        <f>SUBTOTAL(109,vctmod_T[hts_tst_vctmod_3034_m_neg])</f>
        <v>0</v>
      </c>
      <c r="CH5" s="47">
        <f>SUBTOTAL(109,vctmod_T[hts_tst_vctmod_3539_f_neg])</f>
        <v>0</v>
      </c>
      <c r="CI5" s="47">
        <f>SUBTOTAL(109,vctmod_T[hts_tst_vctmod_3539_m_neg])</f>
        <v>0</v>
      </c>
      <c r="CJ5" s="47">
        <f>SUBTOTAL(109,vctmod_T[hts_tst_vctmod_4049_f_neg])</f>
        <v>0</v>
      </c>
      <c r="CK5" s="47">
        <f>SUBTOTAL(109,vctmod_T[hts_tst_vctmod_4049_m_neg])</f>
        <v>0</v>
      </c>
      <c r="CL5" s="47">
        <f>SUBTOTAL(109,vctmod_T[hts_tst_vctmod_o50_f_neg])</f>
        <v>0</v>
      </c>
      <c r="CM5" s="47">
        <f>SUBTOTAL(109,vctmod_T[hts_tst_vctmod_o50_m_neg])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757</v>
      </c>
      <c r="K6" s="25" t="s">
        <v>758</v>
      </c>
      <c r="L6" s="25" t="s">
        <v>759</v>
      </c>
      <c r="M6" s="25" t="s">
        <v>760</v>
      </c>
      <c r="N6" s="25" t="s">
        <v>761</v>
      </c>
      <c r="O6" s="25" t="s">
        <v>762</v>
      </c>
      <c r="P6" s="25" t="s">
        <v>763</v>
      </c>
      <c r="Q6" s="25" t="s">
        <v>764</v>
      </c>
      <c r="R6" s="25" t="s">
        <v>765</v>
      </c>
      <c r="S6" s="25" t="s">
        <v>766</v>
      </c>
      <c r="T6" s="25" t="s">
        <v>767</v>
      </c>
      <c r="U6" s="25" t="s">
        <v>768</v>
      </c>
      <c r="V6" s="25" t="s">
        <v>769</v>
      </c>
      <c r="W6" s="25" t="s">
        <v>770</v>
      </c>
      <c r="X6" s="25" t="s">
        <v>771</v>
      </c>
      <c r="Y6" s="25" t="s">
        <v>772</v>
      </c>
      <c r="Z6" s="25" t="s">
        <v>773</v>
      </c>
      <c r="AA6" s="25" t="s">
        <v>774</v>
      </c>
      <c r="AB6" s="25" t="s">
        <v>775</v>
      </c>
      <c r="AC6" s="25" t="s">
        <v>776</v>
      </c>
      <c r="AD6" s="25" t="s">
        <v>777</v>
      </c>
      <c r="AE6" s="25" t="s">
        <v>778</v>
      </c>
      <c r="AF6" s="25" t="s">
        <v>779</v>
      </c>
      <c r="AG6" s="25" t="s">
        <v>780</v>
      </c>
      <c r="AH6" s="25" t="s">
        <v>781</v>
      </c>
      <c r="AI6" s="25" t="s">
        <v>782</v>
      </c>
      <c r="AJ6" s="25" t="s">
        <v>783</v>
      </c>
      <c r="AK6" s="25" t="s">
        <v>784</v>
      </c>
      <c r="AL6" s="25" t="s">
        <v>785</v>
      </c>
      <c r="AM6" s="25" t="s">
        <v>786</v>
      </c>
      <c r="AN6" s="25" t="s">
        <v>787</v>
      </c>
      <c r="AO6" s="25" t="s">
        <v>788</v>
      </c>
      <c r="AP6" s="25" t="s">
        <v>789</v>
      </c>
      <c r="AQ6" s="25" t="s">
        <v>790</v>
      </c>
      <c r="AR6" s="25" t="s">
        <v>791</v>
      </c>
      <c r="AS6" s="25" t="s">
        <v>792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240</v>
      </c>
      <c r="AY6" s="25" t="s">
        <v>252</v>
      </c>
      <c r="AZ6" s="25" t="s">
        <v>793</v>
      </c>
      <c r="BA6" s="25" t="s">
        <v>220</v>
      </c>
      <c r="BB6" s="25" t="s">
        <v>230</v>
      </c>
      <c r="BC6" s="25" t="s">
        <v>794</v>
      </c>
      <c r="BD6" s="25" t="s">
        <v>795</v>
      </c>
      <c r="BE6" s="25" t="s">
        <v>796</v>
      </c>
      <c r="BF6" s="25" t="s">
        <v>797</v>
      </c>
      <c r="BG6" s="25" t="s">
        <v>798</v>
      </c>
      <c r="BH6" s="25" t="s">
        <v>799</v>
      </c>
      <c r="BI6" s="25" t="s">
        <v>800</v>
      </c>
      <c r="BJ6" s="25" t="s">
        <v>801</v>
      </c>
      <c r="BK6" s="25" t="s">
        <v>802</v>
      </c>
      <c r="BL6" s="25" t="s">
        <v>803</v>
      </c>
      <c r="BM6" s="25" t="s">
        <v>804</v>
      </c>
      <c r="BN6" s="25" t="s">
        <v>805</v>
      </c>
      <c r="BO6" s="25" t="s">
        <v>806</v>
      </c>
      <c r="BP6" s="25" t="s">
        <v>807</v>
      </c>
      <c r="BQ6" s="25" t="s">
        <v>808</v>
      </c>
      <c r="BR6" s="25" t="s">
        <v>809</v>
      </c>
      <c r="BS6" s="25" t="s">
        <v>810</v>
      </c>
      <c r="BT6" s="25" t="s">
        <v>811</v>
      </c>
      <c r="BU6" s="25" t="s">
        <v>812</v>
      </c>
      <c r="BV6" s="25" t="s">
        <v>813</v>
      </c>
      <c r="BW6" s="25" t="s">
        <v>814</v>
      </c>
      <c r="BX6" s="25" t="s">
        <v>815</v>
      </c>
      <c r="BY6" s="25" t="s">
        <v>816</v>
      </c>
      <c r="BZ6" s="25" t="s">
        <v>817</v>
      </c>
      <c r="CA6" s="25" t="s">
        <v>818</v>
      </c>
      <c r="CB6" s="25" t="s">
        <v>819</v>
      </c>
      <c r="CC6" s="25" t="s">
        <v>820</v>
      </c>
      <c r="CD6" s="25" t="s">
        <v>821</v>
      </c>
      <c r="CE6" s="25" t="s">
        <v>822</v>
      </c>
      <c r="CF6" s="25" t="s">
        <v>823</v>
      </c>
      <c r="CG6" s="25" t="s">
        <v>824</v>
      </c>
      <c r="CH6" s="25" t="s">
        <v>825</v>
      </c>
      <c r="CI6" s="25" t="s">
        <v>826</v>
      </c>
      <c r="CJ6" s="25" t="s">
        <v>827</v>
      </c>
      <c r="CK6" s="25" t="s">
        <v>828</v>
      </c>
      <c r="CL6" s="25" t="s">
        <v>829</v>
      </c>
      <c r="CM6" s="25" t="s">
        <v>830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SUM(vctmod_T[[#This Row],[A_hts_tst_vctmod_u1_unk_pos]:[A_hts_tst_vctmod_1014_m_pos]])</f>
        <v>0</v>
      </c>
      <c r="AU7" s="94">
        <f>SUM(vctmod_T[[#This Row],[A_hts_tst_vctmod_u1_unk_neg]:[A_hts_tst_vctmod_1014_m_neg]])</f>
        <v>0</v>
      </c>
      <c r="AV7" s="94">
        <f>SUM(vctmod_T[[#This Row],[A_hts_tst_vctmod_1519_f_pos]:[A_hts_tst_vctmod_o50_m_pos]])</f>
        <v>0</v>
      </c>
      <c r="AW7" s="94">
        <f>SUM(vctmod_T[[#This Row],[A_hts_tst_vctmod_1519_f_neg]:[A_hts_tst_vctmod_o50_m_neg]])</f>
        <v>0</v>
      </c>
      <c r="AX7" s="41"/>
      <c r="AY7" s="41"/>
      <c r="AZ7" s="41"/>
      <c r="BA7" s="41"/>
      <c r="BB7" s="41"/>
      <c r="BC7" s="41"/>
      <c r="BD7" s="41">
        <f>vctmod_T[[D_hts_tst_pos_vctmod_u15_fy19]:[D_hts_tst_pos_vctmod_u15_fy19]]*vctmod_T[A_hts_tst_vctmod_u1_unk_pos]</f>
        <v>0</v>
      </c>
      <c r="BE7" s="41">
        <f>vctmod_T[[D_hts_tst_pos_vctmod_u15_fy19]:[D_hts_tst_pos_vctmod_u15_fy19]]*vctmod_T[A_hts_tst_vctmod_0109_unk_pos]</f>
        <v>0</v>
      </c>
      <c r="BF7" s="41">
        <f>vctmod_T[[D_hts_tst_pos_vctmod_u15_fy19]:[D_hts_tst_pos_vctmod_u15_fy19]]*vctmod_T[A_hts_tst_vctmod_1014_f_pos]</f>
        <v>0</v>
      </c>
      <c r="BG7" s="41">
        <f>vctmod_T[[D_hts_tst_pos_vctmod_u15_fy19]:[D_hts_tst_pos_vctmod_u15_fy19]]*vctmod_T[A_hts_tst_vctmod_1014_m_pos]</f>
        <v>0</v>
      </c>
      <c r="BH7" s="41">
        <f>vctmod_T[[D_hts_tst_neg_vctmod_u15_fy19]:[D_hts_tst_neg_vctmod_u15_fy19]]*vctmod_T[A_hts_tst_vctmod_u1_unk_neg]</f>
        <v>0</v>
      </c>
      <c r="BI7" s="41">
        <f>vctmod_T[[D_hts_tst_neg_vctmod_u15_fy19]:[D_hts_tst_neg_vctmod_u15_fy19]]*vctmod_T[A_hts_tst_vctmod_0109_unk_neg]</f>
        <v>0</v>
      </c>
      <c r="BJ7" s="41">
        <f>vctmod_T[[D_hts_tst_neg_vctmod_u15_fy19]:[D_hts_tst_neg_vctmod_u15_fy19]]*vctmod_T[A_hts_tst_vctmod_1014_f_neg]</f>
        <v>0</v>
      </c>
      <c r="BK7" s="41">
        <f>vctmod_T[[D_hts_tst_neg_vctmod_u15_fy19]:[D_hts_tst_neg_vctmod_u15_fy19]]*vctmod_T[A_hts_tst_vctmod_1014_m_neg]</f>
        <v>0</v>
      </c>
      <c r="BL7" s="41">
        <f>vctmod_T[[D_hts_tst_pos_vctmod_o15_fy19]:[D_hts_tst_pos_vctmod_o15_fy19]]*vctmod_T[A_hts_tst_vctmod_1519_f_pos]</f>
        <v>0</v>
      </c>
      <c r="BM7" s="41">
        <f>vctmod_T[[D_hts_tst_pos_vctmod_o15_fy19]:[D_hts_tst_pos_vctmod_o15_fy19]]*vctmod_T[A_hts_tst_vctmod_1519_m_pos]</f>
        <v>0</v>
      </c>
      <c r="BN7" s="41">
        <f>vctmod_T[[D_hts_tst_pos_vctmod_o15_fy19]:[D_hts_tst_pos_vctmod_o15_fy19]]*vctmod_T[A_hts_tst_vctmod_2024_f_pos]</f>
        <v>0</v>
      </c>
      <c r="BO7" s="41">
        <f>vctmod_T[[D_hts_tst_pos_vctmod_o15_fy19]:[D_hts_tst_pos_vctmod_o15_fy19]]*vctmod_T[A_hts_tst_vctmod_2024_m_pos]</f>
        <v>0</v>
      </c>
      <c r="BP7" s="41">
        <f>vctmod_T[[D_hts_tst_pos_vctmod_o15_fy19]:[D_hts_tst_pos_vctmod_o15_fy19]]*vctmod_T[A_hts_tst_vctmod_2529_f_pos]</f>
        <v>0</v>
      </c>
      <c r="BQ7" s="41">
        <f>vctmod_T[[D_hts_tst_pos_vctmod_o15_fy19]:[D_hts_tst_pos_vctmod_o15_fy19]]*vctmod_T[A_hts_tst_vctmod_2529_m_pos]</f>
        <v>0</v>
      </c>
      <c r="BR7" s="41">
        <f>vctmod_T[[D_hts_tst_pos_vctmod_o15_fy19]:[D_hts_tst_pos_vctmod_o15_fy19]]*vctmod_T[A_hts_tst_vctmod_3034_f_pos]</f>
        <v>0</v>
      </c>
      <c r="BS7" s="41">
        <f>vctmod_T[[D_hts_tst_pos_vctmod_o15_fy19]:[D_hts_tst_pos_vctmod_o15_fy19]]*vctmod_T[A_hts_tst_vctmod_3034_m__pos]</f>
        <v>0</v>
      </c>
      <c r="BT7" s="41">
        <f>vctmod_T[[D_hts_tst_pos_vctmod_o15_fy19]:[D_hts_tst_pos_vctmod_o15_fy19]]*vctmod_T[A_hts_tst_vctmod_3539_f_pos]</f>
        <v>0</v>
      </c>
      <c r="BU7" s="41">
        <f>vctmod_T[[D_hts_tst_pos_vctmod_o15_fy19]:[D_hts_tst_pos_vctmod_o15_fy19]]*vctmod_T[A_hts_tst_vctmod_3539_m__pos]</f>
        <v>0</v>
      </c>
      <c r="BV7" s="41">
        <f>vctmod_T[[D_hts_tst_pos_vctmod_o15_fy19]:[D_hts_tst_pos_vctmod_o15_fy19]]*vctmod_T[A_hts_tst_vctmod_4049_f_pos]</f>
        <v>0</v>
      </c>
      <c r="BW7" s="41">
        <f>vctmod_T[[D_hts_tst_pos_vctmod_o15_fy19]:[D_hts_tst_pos_vctmod_o15_fy19]]*vctmod_T[A_hts_tst_vctmod_4049_m_pos]</f>
        <v>0</v>
      </c>
      <c r="BX7" s="41">
        <f>vctmod_T[[D_hts_tst_pos_vctmod_o15_fy19]:[D_hts_tst_pos_vctmod_o15_fy19]]*vctmod_T[A_hts_tst_vctmod_o50_f_pos]</f>
        <v>0</v>
      </c>
      <c r="BY7" s="41">
        <f>vctmod_T[[D_hts_tst_pos_vctmod_o15_fy19]:[D_hts_tst_pos_vctmod_o15_fy19]]*vctmod_T[A_hts_tst_vctmod_o50_m_pos]</f>
        <v>0</v>
      </c>
      <c r="BZ7" s="41">
        <f>vctmod_T[[D_hts_tst_neg_vctmod_o15_fy19]:[D_hts_tst_neg_vctmod_o15_fy19]]*vctmod_T[A_hts_tst_vctmod_1519_f_neg]</f>
        <v>0</v>
      </c>
      <c r="CA7" s="41">
        <f>vctmod_T[[D_hts_tst_neg_vctmod_o15_fy19]:[D_hts_tst_neg_vctmod_o15_fy19]]*vctmod_T[A_hts_tst_vctmod_1519_m_neg]</f>
        <v>0</v>
      </c>
      <c r="CB7" s="41">
        <f>vctmod_T[[D_hts_tst_neg_vctmod_o15_fy19]:[D_hts_tst_neg_vctmod_o15_fy19]]*vctmod_T[A_hts_tst_vctmod_2024_f_neg]</f>
        <v>0</v>
      </c>
      <c r="CC7" s="41">
        <f>vctmod_T[[D_hts_tst_neg_vctmod_o15_fy19]:[D_hts_tst_neg_vctmod_o15_fy19]]*vctmod_T[A_hts_tst_vctmod_2024_m_neg]</f>
        <v>0</v>
      </c>
      <c r="CD7" s="41">
        <f>vctmod_T[[D_hts_tst_neg_vctmod_o15_fy19]:[D_hts_tst_neg_vctmod_o15_fy19]]*vctmod_T[A_hts_tst_vctmod_2529_f_neg]</f>
        <v>0</v>
      </c>
      <c r="CE7" s="41">
        <f>vctmod_T[[D_hts_tst_neg_vctmod_o15_fy19]:[D_hts_tst_neg_vctmod_o15_fy19]]*vctmod_T[A_hts_tst_vctmod_2529_m_neg]</f>
        <v>0</v>
      </c>
      <c r="CF7" s="41">
        <f>vctmod_T[[D_hts_tst_neg_vctmod_o15_fy19]:[D_hts_tst_neg_vctmod_o15_fy19]]*vctmod_T[A_hts_tst_vctmod_3034_f_neg]</f>
        <v>0</v>
      </c>
      <c r="CG7" s="41">
        <f>vctmod_T[[D_hts_tst_neg_vctmod_o15_fy19]:[D_hts_tst_neg_vctmod_o15_fy19]]*vctmod_T[A_hts_tst_vctmod_3034_m_neg]</f>
        <v>0</v>
      </c>
      <c r="CH7" s="41">
        <f>vctmod_T[[D_hts_tst_neg_vctmod_o15_fy19]:[D_hts_tst_neg_vctmod_o15_fy19]]*vctmod_T[A_hts_tst_vctmod_3539_f_neg]</f>
        <v>0</v>
      </c>
      <c r="CI7" s="41">
        <f>vctmod_T[[D_hts_tst_neg_vctmod_o15_fy19]:[D_hts_tst_neg_vctmod_o15_fy19]]*vctmod_T[A_hts_tst_vctmod_3539_m_neg]</f>
        <v>0</v>
      </c>
      <c r="CJ7" s="41">
        <f>vctmod_T[[D_hts_tst_neg_vctmod_o15_fy19]:[D_hts_tst_neg_vctmod_o15_fy19]]*vctmod_T[A_hts_tst_vctmod_4049_f_neg]</f>
        <v>0</v>
      </c>
      <c r="CK7" s="41">
        <f>vctmod_T[[D_hts_tst_neg_vctmod_o15_fy19]:[D_hts_tst_neg_vctmod_o15_fy19]]*vctmod_T[A_hts_tst_vctmod_4049_m_neg]</f>
        <v>0</v>
      </c>
      <c r="CL7" s="41">
        <f>vctmod_T[[D_hts_tst_neg_vctmod_o15_fy19]:[D_hts_tst_neg_vctmod_o15_fy19]]*vctmod_T[A_hts_tst_vctmod_o50_f_neg]</f>
        <v>0</v>
      </c>
      <c r="CM7" s="41">
        <f>vctmod_T[[D_hts_tst_neg_vctmod_o15_fy19]:[D_hts_tst_neg_vctmod_o15_fy19]]*vctmod_T[A_hts_tst_vctmod_o50_m_neg]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988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2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7" sqref="A7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831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SUBTOTAL(109,othermod_T[hts_tst_othermod_u1_unk_pos])</f>
        <v>0</v>
      </c>
      <c r="BE5" s="47">
        <f>SUBTOTAL(109,othermod_T[hts_tst_othermod_0109_unk_pos])</f>
        <v>0</v>
      </c>
      <c r="BF5" s="47">
        <f>SUBTOTAL(109,othermod_T[hts_tst_othermod_1014_f_pos])</f>
        <v>0</v>
      </c>
      <c r="BG5" s="47">
        <f>SUBTOTAL(109,othermod_T[hts_tst_othermod_1014_m_pos])</f>
        <v>0</v>
      </c>
      <c r="BH5" s="47">
        <f>SUBTOTAL(109,othermod_T[hts_tst_othermod_u1_unk_neg])</f>
        <v>0</v>
      </c>
      <c r="BI5" s="47">
        <f>SUBTOTAL(109,othermod_T[hts_tst_othermod_0109_unk_neg])</f>
        <v>0</v>
      </c>
      <c r="BJ5" s="47">
        <f>SUBTOTAL(109,othermod_T[hts_tst_othermod_1014_f_neg])</f>
        <v>0</v>
      </c>
      <c r="BK5" s="47">
        <f>SUBTOTAL(109,othermod_T[hts_tst_othermod_1014_m_neg])</f>
        <v>0</v>
      </c>
      <c r="BL5" s="47">
        <f>SUBTOTAL(109,othermod_T[hts_tst_othermod_1519_f_pos])</f>
        <v>0</v>
      </c>
      <c r="BM5" s="47">
        <f>SUBTOTAL(109,othermod_T[hts_tst_othermod_1519_m_pos])</f>
        <v>0</v>
      </c>
      <c r="BN5" s="47">
        <f>SUBTOTAL(109,othermod_T[hts_tst_othermod_2024_f_pos])</f>
        <v>0</v>
      </c>
      <c r="BO5" s="47">
        <f>SUBTOTAL(109,othermod_T[hts_tst_othermod_2024_m_pos])</f>
        <v>0</v>
      </c>
      <c r="BP5" s="47">
        <f>SUBTOTAL(109,othermod_T[hts_tst_othermod_2529_f_pos])</f>
        <v>0</v>
      </c>
      <c r="BQ5" s="47">
        <f>SUBTOTAL(109,othermod_T[hts_tst_othermod_2529_m_pos])</f>
        <v>0</v>
      </c>
      <c r="BR5" s="47">
        <f>SUBTOTAL(109,othermod_T[hts_tst_othermod_3034_f_pos])</f>
        <v>0</v>
      </c>
      <c r="BS5" s="47">
        <f>SUBTOTAL(109,othermod_T[hts_tst_othermod_3034_m_pos])</f>
        <v>0</v>
      </c>
      <c r="BT5" s="47">
        <f>SUBTOTAL(109,othermod_T[hts_tst_othermod_3539_f_pos])</f>
        <v>0</v>
      </c>
      <c r="BU5" s="47">
        <f>SUBTOTAL(109,othermod_T[hts_tst_othermod_3539_m_pos])</f>
        <v>0</v>
      </c>
      <c r="BV5" s="47">
        <f>SUBTOTAL(109,othermod_T[hts_tst_othermod_4049_f_pos])</f>
        <v>0</v>
      </c>
      <c r="BW5" s="47">
        <f>SUBTOTAL(109,othermod_T[hts_tst_othermod_4049_m_pos])</f>
        <v>0</v>
      </c>
      <c r="BX5" s="47">
        <f>SUBTOTAL(109,othermod_T[hts_tst_othermod_o50_f_pos])</f>
        <v>0</v>
      </c>
      <c r="BY5" s="47">
        <f>SUBTOTAL(109,othermod_T[hts_tst_othermod_o50_m_pos])</f>
        <v>0</v>
      </c>
      <c r="BZ5" s="47">
        <f>SUBTOTAL(109,othermod_T[hts_tst_othermod_1519_f_neg])</f>
        <v>0</v>
      </c>
      <c r="CA5" s="47">
        <f>SUBTOTAL(109,othermod_T[hts_tst_othermod_1519_m_neg])</f>
        <v>0</v>
      </c>
      <c r="CB5" s="47">
        <f>SUBTOTAL(109,othermod_T[hts_tst_othermod_2024_f_neg])</f>
        <v>0</v>
      </c>
      <c r="CC5" s="47">
        <f>SUBTOTAL(109,othermod_T[hts_tst_othermod_2024_m_neg])</f>
        <v>0</v>
      </c>
      <c r="CD5" s="47">
        <f>SUBTOTAL(109,othermod_T[hts_tst_othermod_2529_f_neg])</f>
        <v>0</v>
      </c>
      <c r="CE5" s="47">
        <f>SUBTOTAL(109,othermod_T[hts_tst_othermod_2529_m_neg])</f>
        <v>0</v>
      </c>
      <c r="CF5" s="47">
        <f>SUBTOTAL(109,othermod_T[hts_tst_othermod_3034_f_neg])</f>
        <v>0</v>
      </c>
      <c r="CG5" s="47">
        <f>SUBTOTAL(109,othermod_T[hts_tst_othermod_3034_m_neg])</f>
        <v>0</v>
      </c>
      <c r="CH5" s="47">
        <f>SUBTOTAL(109,othermod_T[hts_tst_othermod_3539_f_neg])</f>
        <v>0</v>
      </c>
      <c r="CI5" s="47">
        <f>SUBTOTAL(109,othermod_T[hts_tst_othermod_3539_m_neg])</f>
        <v>0</v>
      </c>
      <c r="CJ5" s="47">
        <f>SUBTOTAL(109,othermod_T[hts_tst_othermod_4049_f_neg])</f>
        <v>0</v>
      </c>
      <c r="CK5" s="47">
        <f>SUBTOTAL(109,othermod_T[hts_tst_othermod_4049_m_neg])</f>
        <v>0</v>
      </c>
      <c r="CL5" s="47">
        <f>SUBTOTAL(109,othermod_T[hts_tst_othermod_o50_f_neg])</f>
        <v>0</v>
      </c>
      <c r="CM5" s="47">
        <f>SUBTOTAL(109,othermod_T[hts_tst_othermod_o50_m_neg])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832</v>
      </c>
      <c r="K6" s="25" t="s">
        <v>833</v>
      </c>
      <c r="L6" s="25" t="s">
        <v>834</v>
      </c>
      <c r="M6" s="25" t="s">
        <v>835</v>
      </c>
      <c r="N6" s="25" t="s">
        <v>836</v>
      </c>
      <c r="O6" s="25" t="s">
        <v>837</v>
      </c>
      <c r="P6" s="25" t="s">
        <v>838</v>
      </c>
      <c r="Q6" s="25" t="s">
        <v>839</v>
      </c>
      <c r="R6" s="25" t="s">
        <v>840</v>
      </c>
      <c r="S6" s="25" t="s">
        <v>841</v>
      </c>
      <c r="T6" s="25" t="s">
        <v>842</v>
      </c>
      <c r="U6" s="25" t="s">
        <v>843</v>
      </c>
      <c r="V6" s="25" t="s">
        <v>844</v>
      </c>
      <c r="W6" s="25" t="s">
        <v>845</v>
      </c>
      <c r="X6" s="25" t="s">
        <v>846</v>
      </c>
      <c r="Y6" s="25" t="s">
        <v>847</v>
      </c>
      <c r="Z6" s="25" t="s">
        <v>848</v>
      </c>
      <c r="AA6" s="25" t="s">
        <v>849</v>
      </c>
      <c r="AB6" s="25" t="s">
        <v>850</v>
      </c>
      <c r="AC6" s="25" t="s">
        <v>851</v>
      </c>
      <c r="AD6" s="25" t="s">
        <v>852</v>
      </c>
      <c r="AE6" s="25" t="s">
        <v>853</v>
      </c>
      <c r="AF6" s="25" t="s">
        <v>854</v>
      </c>
      <c r="AG6" s="25" t="s">
        <v>855</v>
      </c>
      <c r="AH6" s="25" t="s">
        <v>856</v>
      </c>
      <c r="AI6" s="25" t="s">
        <v>857</v>
      </c>
      <c r="AJ6" s="25" t="s">
        <v>858</v>
      </c>
      <c r="AK6" s="25" t="s">
        <v>859</v>
      </c>
      <c r="AL6" s="25" t="s">
        <v>860</v>
      </c>
      <c r="AM6" s="25" t="s">
        <v>861</v>
      </c>
      <c r="AN6" s="25" t="s">
        <v>862</v>
      </c>
      <c r="AO6" s="25" t="s">
        <v>863</v>
      </c>
      <c r="AP6" s="25" t="s">
        <v>864</v>
      </c>
      <c r="AQ6" s="25" t="s">
        <v>865</v>
      </c>
      <c r="AR6" s="25" t="s">
        <v>866</v>
      </c>
      <c r="AS6" s="25" t="s">
        <v>867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241</v>
      </c>
      <c r="AY6" s="25" t="s">
        <v>253</v>
      </c>
      <c r="AZ6" s="25" t="s">
        <v>868</v>
      </c>
      <c r="BA6" s="25" t="s">
        <v>221</v>
      </c>
      <c r="BB6" s="25" t="s">
        <v>231</v>
      </c>
      <c r="BC6" s="25" t="s">
        <v>869</v>
      </c>
      <c r="BD6" s="25" t="s">
        <v>870</v>
      </c>
      <c r="BE6" s="25" t="s">
        <v>871</v>
      </c>
      <c r="BF6" s="25" t="s">
        <v>872</v>
      </c>
      <c r="BG6" s="25" t="s">
        <v>873</v>
      </c>
      <c r="BH6" s="25" t="s">
        <v>874</v>
      </c>
      <c r="BI6" s="25" t="s">
        <v>875</v>
      </c>
      <c r="BJ6" s="25" t="s">
        <v>876</v>
      </c>
      <c r="BK6" s="25" t="s">
        <v>877</v>
      </c>
      <c r="BL6" s="25" t="s">
        <v>878</v>
      </c>
      <c r="BM6" s="25" t="s">
        <v>879</v>
      </c>
      <c r="BN6" s="25" t="s">
        <v>880</v>
      </c>
      <c r="BO6" s="25" t="s">
        <v>881</v>
      </c>
      <c r="BP6" s="25" t="s">
        <v>882</v>
      </c>
      <c r="BQ6" s="25" t="s">
        <v>883</v>
      </c>
      <c r="BR6" s="25" t="s">
        <v>884</v>
      </c>
      <c r="BS6" s="25" t="s">
        <v>885</v>
      </c>
      <c r="BT6" s="25" t="s">
        <v>886</v>
      </c>
      <c r="BU6" s="25" t="s">
        <v>887</v>
      </c>
      <c r="BV6" s="25" t="s">
        <v>888</v>
      </c>
      <c r="BW6" s="25" t="s">
        <v>889</v>
      </c>
      <c r="BX6" s="25" t="s">
        <v>890</v>
      </c>
      <c r="BY6" s="25" t="s">
        <v>891</v>
      </c>
      <c r="BZ6" s="25" t="s">
        <v>892</v>
      </c>
      <c r="CA6" s="25" t="s">
        <v>893</v>
      </c>
      <c r="CB6" s="25" t="s">
        <v>894</v>
      </c>
      <c r="CC6" s="25" t="s">
        <v>895</v>
      </c>
      <c r="CD6" s="25" t="s">
        <v>896</v>
      </c>
      <c r="CE6" s="25" t="s">
        <v>897</v>
      </c>
      <c r="CF6" s="25" t="s">
        <v>898</v>
      </c>
      <c r="CG6" s="25" t="s">
        <v>899</v>
      </c>
      <c r="CH6" s="25" t="s">
        <v>900</v>
      </c>
      <c r="CI6" s="25" t="s">
        <v>901</v>
      </c>
      <c r="CJ6" s="25" t="s">
        <v>902</v>
      </c>
      <c r="CK6" s="25" t="s">
        <v>903</v>
      </c>
      <c r="CL6" s="25" t="s">
        <v>904</v>
      </c>
      <c r="CM6" s="25" t="s">
        <v>905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SUM(othermod_T[[#This Row],[A_hts_tst_othermod_u1_unk_pos]:[A_hts_tst_othermod_1014_m_pos]])</f>
        <v>0</v>
      </c>
      <c r="AU7" s="94">
        <f>SUM(othermod_T[[#This Row],[A_hts_tst_othermod_u1_unk_neg]:[A_hts_tst_othermod_1014_m_neg]])</f>
        <v>0</v>
      </c>
      <c r="AV7" s="94">
        <f>SUM(othermod_T[[#This Row],[A_hts_tst_othermod_1519_f_pos]:[A_hts_tst_othermod_o50_m_pos]])</f>
        <v>0</v>
      </c>
      <c r="AW7" s="94">
        <f>SUM(othermod_T[[#This Row],[A_hts_tst_othermod_1519_f_neg]:[A_hts_tst_othermod_o50_m_neg]])</f>
        <v>0</v>
      </c>
      <c r="AX7" s="41"/>
      <c r="AY7" s="41"/>
      <c r="AZ7" s="41"/>
      <c r="BA7" s="41"/>
      <c r="BB7" s="41"/>
      <c r="BC7" s="41"/>
      <c r="BD7" s="41">
        <f>othermod_T[[D_hts_tst_pos_othermod_u15_fy19]:[D_hts_tst_pos_othermod_u15_fy19]]*othermod_T[A_hts_tst_othermod_u1_unk_pos]</f>
        <v>0</v>
      </c>
      <c r="BE7" s="41">
        <f>othermod_T[[D_hts_tst_pos_othermod_u15_fy19]:[D_hts_tst_pos_othermod_u15_fy19]]*othermod_T[A_hts_tst_othermod_0109_unk_pos]</f>
        <v>0</v>
      </c>
      <c r="BF7" s="41">
        <f>othermod_T[[D_hts_tst_pos_othermod_u15_fy19]:[D_hts_tst_pos_othermod_u15_fy19]]*othermod_T[A_hts_tst_othermod_1014_f_pos]</f>
        <v>0</v>
      </c>
      <c r="BG7" s="41">
        <f>othermod_T[[D_hts_tst_pos_othermod_u15_fy19]:[D_hts_tst_pos_othermod_u15_fy19]]*othermod_T[A_hts_tst_othermod_1014_m_pos]</f>
        <v>0</v>
      </c>
      <c r="BH7" s="41">
        <f>othermod_T[[D_hts_tst_neg_othermod_u15_fy19]:[D_hts_tst_neg_othermod_u15_fy19]]*othermod_T[A_hts_tst_othermod_u1_unk_neg]</f>
        <v>0</v>
      </c>
      <c r="BI7" s="41">
        <f>othermod_T[[D_hts_tst_neg_othermod_u15_fy19]:[D_hts_tst_neg_othermod_u15_fy19]]*othermod_T[A_hts_tst_othermod_0109_unk_neg]</f>
        <v>0</v>
      </c>
      <c r="BJ7" s="41">
        <f>othermod_T[[D_hts_tst_neg_othermod_u15_fy19]:[D_hts_tst_neg_othermod_u15_fy19]]*othermod_T[A_hts_tst_othermod_1014_f_neg]</f>
        <v>0</v>
      </c>
      <c r="BK7" s="41">
        <f>othermod_T[[D_hts_tst_neg_othermod_u15_fy19]:[D_hts_tst_neg_othermod_u15_fy19]]*othermod_T[A_hts_tst_othermod_1014_m_neg]</f>
        <v>0</v>
      </c>
      <c r="BL7" s="41">
        <f>othermod_T[[D_hts_tst_pos_othermod_o15_fy19]:[D_hts_tst_pos_othermod_o15_fy19]]*othermod_T[A_hts_tst_othermod_1519_f_pos]</f>
        <v>0</v>
      </c>
      <c r="BM7" s="41">
        <f>othermod_T[[D_hts_tst_pos_othermod_o15_fy19]:[D_hts_tst_pos_othermod_o15_fy19]]*othermod_T[A_hts_tst_othermod_1519_m_pos]</f>
        <v>0</v>
      </c>
      <c r="BN7" s="41">
        <f>othermod_T[[D_hts_tst_pos_othermod_o15_fy19]:[D_hts_tst_pos_othermod_o15_fy19]]*othermod_T[A_hts_tst_othermod_2024_f_pos]</f>
        <v>0</v>
      </c>
      <c r="BO7" s="41">
        <f>othermod_T[[D_hts_tst_pos_othermod_o15_fy19]:[D_hts_tst_pos_othermod_o15_fy19]]*othermod_T[A_hts_tst_othermod_2024_m_pos]</f>
        <v>0</v>
      </c>
      <c r="BP7" s="41">
        <f>othermod_T[[D_hts_tst_pos_othermod_o15_fy19]:[D_hts_tst_pos_othermod_o15_fy19]]*othermod_T[A_hts_tst_othermod_2529_f_pos]</f>
        <v>0</v>
      </c>
      <c r="BQ7" s="41">
        <f>othermod_T[[D_hts_tst_pos_othermod_o15_fy19]:[D_hts_tst_pos_othermod_o15_fy19]]*othermod_T[A_hts_tst_othermod_2529_m_pos]</f>
        <v>0</v>
      </c>
      <c r="BR7" s="41">
        <f>othermod_T[[D_hts_tst_pos_othermod_o15_fy19]:[D_hts_tst_pos_othermod_o15_fy19]]*othermod_T[A_hts_tst_othermod_3034_f_pos]</f>
        <v>0</v>
      </c>
      <c r="BS7" s="41">
        <f>othermod_T[[D_hts_tst_pos_othermod_o15_fy19]:[D_hts_tst_pos_othermod_o15_fy19]]*othermod_T[A_hts_tst_othermod_3034_m__pos]</f>
        <v>0</v>
      </c>
      <c r="BT7" s="41">
        <f>othermod_T[[D_hts_tst_pos_othermod_o15_fy19]:[D_hts_tst_pos_othermod_o15_fy19]]*othermod_T[A_hts_tst_othermod_3539_f_pos]</f>
        <v>0</v>
      </c>
      <c r="BU7" s="41">
        <f>othermod_T[[D_hts_tst_pos_othermod_o15_fy19]:[D_hts_tst_pos_othermod_o15_fy19]]*othermod_T[A_hts_tst_othermod_3539_m__pos]</f>
        <v>0</v>
      </c>
      <c r="BV7" s="41">
        <f>othermod_T[[D_hts_tst_pos_othermod_o15_fy19]:[D_hts_tst_pos_othermod_o15_fy19]]*othermod_T[A_hts_tst_othermod_4049_f_pos]</f>
        <v>0</v>
      </c>
      <c r="BW7" s="41">
        <f>othermod_T[[D_hts_tst_pos_othermod_o15_fy19]:[D_hts_tst_pos_othermod_o15_fy19]]*othermod_T[A_hts_tst_othermod_4049_m_pos]</f>
        <v>0</v>
      </c>
      <c r="BX7" s="41">
        <f>othermod_T[[D_hts_tst_pos_othermod_o15_fy19]:[D_hts_tst_pos_othermod_o15_fy19]]*othermod_T[A_hts_tst_othermod_o50_f_pos]</f>
        <v>0</v>
      </c>
      <c r="BY7" s="41">
        <f>othermod_T[[D_hts_tst_pos_othermod_o15_fy19]:[D_hts_tst_pos_othermod_o15_fy19]]*othermod_T[A_hts_tst_othermod_o50_m_pos]</f>
        <v>0</v>
      </c>
      <c r="BZ7" s="41">
        <f>othermod_T[[D_hts_tst_neg_othermod_o15_fy19]:[D_hts_tst_neg_othermod_o15_fy19]]*othermod_T[A_hts_tst_othermod_1519_f_neg]</f>
        <v>0</v>
      </c>
      <c r="CA7" s="41">
        <f>othermod_T[[D_hts_tst_neg_othermod_o15_fy19]:[D_hts_tst_neg_othermod_o15_fy19]]*othermod_T[A_hts_tst_othermod_1519_m_neg]</f>
        <v>0</v>
      </c>
      <c r="CB7" s="41">
        <f>othermod_T[[D_hts_tst_neg_othermod_o15_fy19]:[D_hts_tst_neg_othermod_o15_fy19]]*othermod_T[A_hts_tst_othermod_2024_f_neg]</f>
        <v>0</v>
      </c>
      <c r="CC7" s="41">
        <f>othermod_T[[D_hts_tst_neg_othermod_o15_fy19]:[D_hts_tst_neg_othermod_o15_fy19]]*othermod_T[A_hts_tst_othermod_2024_m_neg]</f>
        <v>0</v>
      </c>
      <c r="CD7" s="41">
        <f>othermod_T[[D_hts_tst_neg_othermod_o15_fy19]:[D_hts_tst_neg_othermod_o15_fy19]]*othermod_T[A_hts_tst_othermod_2529_f_neg]</f>
        <v>0</v>
      </c>
      <c r="CE7" s="41">
        <f>othermod_T[[D_hts_tst_neg_othermod_o15_fy19]:[D_hts_tst_neg_othermod_o15_fy19]]*othermod_T[A_hts_tst_othermod_2529_m_neg]</f>
        <v>0</v>
      </c>
      <c r="CF7" s="41">
        <f>othermod_T[[D_hts_tst_neg_othermod_o15_fy19]:[D_hts_tst_neg_othermod_o15_fy19]]*othermod_T[A_hts_tst_othermod_3034_f_neg]</f>
        <v>0</v>
      </c>
      <c r="CG7" s="41">
        <f>othermod_T[[D_hts_tst_neg_othermod_o15_fy19]:[D_hts_tst_neg_othermod_o15_fy19]]*othermod_T[A_hts_tst_othermod_3034_m_neg]</f>
        <v>0</v>
      </c>
      <c r="CH7" s="41">
        <f>othermod_T[[D_hts_tst_neg_othermod_o15_fy19]:[D_hts_tst_neg_othermod_o15_fy19]]*othermod_T[A_hts_tst_othermod_3539_f_neg]</f>
        <v>0</v>
      </c>
      <c r="CI7" s="41">
        <f>othermod_T[[D_hts_tst_neg_othermod_o15_fy19]:[D_hts_tst_neg_othermod_o15_fy19]]*othermod_T[A_hts_tst_othermod_3539_m_neg]</f>
        <v>0</v>
      </c>
      <c r="CJ7" s="41">
        <f>othermod_T[[D_hts_tst_neg_othermod_o15_fy19]:[D_hts_tst_neg_othermod_o15_fy19]]*othermod_T[A_hts_tst_othermod_4049_f_neg]</f>
        <v>0</v>
      </c>
      <c r="CK7" s="41">
        <f>othermod_T[[D_hts_tst_neg_othermod_o15_fy19]:[D_hts_tst_neg_othermod_o15_fy19]]*othermod_T[A_hts_tst_othermod_4049_m_neg]</f>
        <v>0</v>
      </c>
      <c r="CL7" s="41">
        <f>othermod_T[[D_hts_tst_neg_othermod_o15_fy19]:[D_hts_tst_neg_othermod_o15_fy19]]*othermod_T[A_hts_tst_othermod_o50_f_neg]</f>
        <v>0</v>
      </c>
      <c r="CM7" s="41">
        <f>othermod_T[[D_hts_tst_neg_othermod_o15_fy19]:[D_hts_tst_neg_othermod_o15_fy19]]*othermod_T[A_hts_tst_othermod_o50_m_neg]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896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3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6" sqref="A6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906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SUBTOTAL(109,index_T[hts_tst_index_u1_unk_pos])</f>
        <v>0</v>
      </c>
      <c r="BE5" s="47">
        <f>SUBTOTAL(109,index_T[hts_tst_index_0109_unk_pos])</f>
        <v>0</v>
      </c>
      <c r="BF5" s="47">
        <f>SUBTOTAL(109,index_T[hts_tst_index_1014_f_pos])</f>
        <v>0</v>
      </c>
      <c r="BG5" s="47">
        <f>SUBTOTAL(109,index_T[hts_tst_index_1014_m_pos])</f>
        <v>0</v>
      </c>
      <c r="BH5" s="47">
        <f>SUBTOTAL(109,index_T[hts_tst_index_u1_unk_neg])</f>
        <v>0</v>
      </c>
      <c r="BI5" s="47">
        <f>SUBTOTAL(109,index_T[hts_tst_index_0109_unk_neg])</f>
        <v>0</v>
      </c>
      <c r="BJ5" s="47">
        <f>SUBTOTAL(109,index_T[hts_tst_index_1014_f_neg])</f>
        <v>0</v>
      </c>
      <c r="BK5" s="47">
        <f>SUBTOTAL(109,index_T[hts_tst_index_1014_m_neg])</f>
        <v>0</v>
      </c>
      <c r="BL5" s="47">
        <f>SUBTOTAL(109,index_T[hts_tst_index_1519_f_pos])</f>
        <v>0</v>
      </c>
      <c r="BM5" s="47">
        <f>SUBTOTAL(109,index_T[hts_tst_index_1519_m_pos])</f>
        <v>0</v>
      </c>
      <c r="BN5" s="47">
        <f>SUBTOTAL(109,index_T[hts_tst_index_2024_f_pos])</f>
        <v>0</v>
      </c>
      <c r="BO5" s="47">
        <f>SUBTOTAL(109,index_T[hts_tst_index_2024_m_pos])</f>
        <v>0</v>
      </c>
      <c r="BP5" s="47">
        <f>SUBTOTAL(109,index_T[hts_tst_index_2529_f_pos])</f>
        <v>0</v>
      </c>
      <c r="BQ5" s="47">
        <f>SUBTOTAL(109,index_T[hts_tst_index_2529_m_pos])</f>
        <v>0</v>
      </c>
      <c r="BR5" s="47">
        <f>SUBTOTAL(109,index_T[hts_tst_index_3034_f_pos])</f>
        <v>0</v>
      </c>
      <c r="BS5" s="47">
        <f>SUBTOTAL(109,index_T[hts_tst_index_3034_m_pos])</f>
        <v>0</v>
      </c>
      <c r="BT5" s="47">
        <f>SUBTOTAL(109,index_T[hts_tst_index_3539_f_pos])</f>
        <v>0</v>
      </c>
      <c r="BU5" s="47">
        <f>SUBTOTAL(109,index_T[hts_tst_index_3539_m_pos])</f>
        <v>0</v>
      </c>
      <c r="BV5" s="47">
        <f>SUBTOTAL(109,index_T[hts_tst_index_4049_f_pos])</f>
        <v>0</v>
      </c>
      <c r="BW5" s="47">
        <f>SUBTOTAL(109,index_T[hts_tst_index_4049_m_pos])</f>
        <v>0</v>
      </c>
      <c r="BX5" s="47">
        <f>SUBTOTAL(109,index_T[hts_tst_index_o50_f_pos])</f>
        <v>0</v>
      </c>
      <c r="BY5" s="47">
        <f>SUBTOTAL(109,index_T[hts_tst_index_o50_m_pos])</f>
        <v>0</v>
      </c>
      <c r="BZ5" s="47">
        <f>SUBTOTAL(109,index_T[hts_tst_index_1519_f_neg])</f>
        <v>0</v>
      </c>
      <c r="CA5" s="47">
        <f>SUBTOTAL(109,index_T[hts_tst_index_1519_m_neg])</f>
        <v>0</v>
      </c>
      <c r="CB5" s="47">
        <f>SUBTOTAL(109,index_T[hts_tst_index_2024_f_neg])</f>
        <v>0</v>
      </c>
      <c r="CC5" s="47">
        <f>SUBTOTAL(109,index_T[hts_tst_index_2024_m_neg])</f>
        <v>0</v>
      </c>
      <c r="CD5" s="47">
        <f>SUBTOTAL(109,index_T[hts_tst_index_2529_f_neg])</f>
        <v>0</v>
      </c>
      <c r="CE5" s="47">
        <f>SUBTOTAL(109,index_T[hts_tst_index_2529_m_neg])</f>
        <v>0</v>
      </c>
      <c r="CF5" s="47">
        <f>SUBTOTAL(109,index_T[hts_tst_index_3034_f_neg])</f>
        <v>0</v>
      </c>
      <c r="CG5" s="47">
        <f>SUBTOTAL(109,index_T[hts_tst_index_3034_m_neg])</f>
        <v>0</v>
      </c>
      <c r="CH5" s="47">
        <f>SUBTOTAL(109,index_T[hts_tst_index_3539_f_neg])</f>
        <v>0</v>
      </c>
      <c r="CI5" s="47">
        <f>SUBTOTAL(109,index_T[hts_tst_index_3539_m_neg])</f>
        <v>0</v>
      </c>
      <c r="CJ5" s="47">
        <f>SUBTOTAL(109,index_T[hts_tst_index_4049_f_neg])</f>
        <v>0</v>
      </c>
      <c r="CK5" s="47">
        <f>SUBTOTAL(109,index_T[hts_tst_index_4049_m_neg])</f>
        <v>0</v>
      </c>
      <c r="CL5" s="47">
        <f>SUBTOTAL(109,index_T[hts_tst_index_o50_f_neg])</f>
        <v>0</v>
      </c>
      <c r="CM5" s="47">
        <f>SUBTOTAL(109,index_T[hts_tst_index_o50_m_neg])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907</v>
      </c>
      <c r="K6" s="25" t="s">
        <v>908</v>
      </c>
      <c r="L6" s="25" t="s">
        <v>909</v>
      </c>
      <c r="M6" s="25" t="s">
        <v>910</v>
      </c>
      <c r="N6" s="25" t="s">
        <v>911</v>
      </c>
      <c r="O6" s="25" t="s">
        <v>912</v>
      </c>
      <c r="P6" s="25" t="s">
        <v>913</v>
      </c>
      <c r="Q6" s="25" t="s">
        <v>914</v>
      </c>
      <c r="R6" s="25" t="s">
        <v>915</v>
      </c>
      <c r="S6" s="25" t="s">
        <v>916</v>
      </c>
      <c r="T6" s="25" t="s">
        <v>917</v>
      </c>
      <c r="U6" s="25" t="s">
        <v>918</v>
      </c>
      <c r="V6" s="25" t="s">
        <v>919</v>
      </c>
      <c r="W6" s="25" t="s">
        <v>920</v>
      </c>
      <c r="X6" s="25" t="s">
        <v>921</v>
      </c>
      <c r="Y6" s="25" t="s">
        <v>922</v>
      </c>
      <c r="Z6" s="25" t="s">
        <v>923</v>
      </c>
      <c r="AA6" s="25" t="s">
        <v>924</v>
      </c>
      <c r="AB6" s="25" t="s">
        <v>925</v>
      </c>
      <c r="AC6" s="25" t="s">
        <v>926</v>
      </c>
      <c r="AD6" s="25" t="s">
        <v>927</v>
      </c>
      <c r="AE6" s="25" t="s">
        <v>928</v>
      </c>
      <c r="AF6" s="25" t="s">
        <v>929</v>
      </c>
      <c r="AG6" s="25" t="s">
        <v>930</v>
      </c>
      <c r="AH6" s="25" t="s">
        <v>931</v>
      </c>
      <c r="AI6" s="25" t="s">
        <v>932</v>
      </c>
      <c r="AJ6" s="25" t="s">
        <v>933</v>
      </c>
      <c r="AK6" s="25" t="s">
        <v>934</v>
      </c>
      <c r="AL6" s="25" t="s">
        <v>935</v>
      </c>
      <c r="AM6" s="25" t="s">
        <v>936</v>
      </c>
      <c r="AN6" s="25" t="s">
        <v>937</v>
      </c>
      <c r="AO6" s="25" t="s">
        <v>938</v>
      </c>
      <c r="AP6" s="25" t="s">
        <v>939</v>
      </c>
      <c r="AQ6" s="25" t="s">
        <v>940</v>
      </c>
      <c r="AR6" s="25" t="s">
        <v>941</v>
      </c>
      <c r="AS6" s="25" t="s">
        <v>942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242</v>
      </c>
      <c r="AY6" s="25" t="s">
        <v>254</v>
      </c>
      <c r="AZ6" s="25" t="s">
        <v>943</v>
      </c>
      <c r="BA6" s="25" t="s">
        <v>222</v>
      </c>
      <c r="BB6" s="25" t="s">
        <v>232</v>
      </c>
      <c r="BC6" s="25" t="s">
        <v>944</v>
      </c>
      <c r="BD6" s="25" t="s">
        <v>945</v>
      </c>
      <c r="BE6" s="25" t="s">
        <v>946</v>
      </c>
      <c r="BF6" s="25" t="s">
        <v>947</v>
      </c>
      <c r="BG6" s="25" t="s">
        <v>948</v>
      </c>
      <c r="BH6" s="25" t="s">
        <v>949</v>
      </c>
      <c r="BI6" s="25" t="s">
        <v>950</v>
      </c>
      <c r="BJ6" s="25" t="s">
        <v>951</v>
      </c>
      <c r="BK6" s="25" t="s">
        <v>952</v>
      </c>
      <c r="BL6" s="25" t="s">
        <v>953</v>
      </c>
      <c r="BM6" s="25" t="s">
        <v>954</v>
      </c>
      <c r="BN6" s="25" t="s">
        <v>955</v>
      </c>
      <c r="BO6" s="25" t="s">
        <v>956</v>
      </c>
      <c r="BP6" s="25" t="s">
        <v>957</v>
      </c>
      <c r="BQ6" s="25" t="s">
        <v>958</v>
      </c>
      <c r="BR6" s="25" t="s">
        <v>959</v>
      </c>
      <c r="BS6" s="25" t="s">
        <v>960</v>
      </c>
      <c r="BT6" s="25" t="s">
        <v>961</v>
      </c>
      <c r="BU6" s="25" t="s">
        <v>962</v>
      </c>
      <c r="BV6" s="25" t="s">
        <v>963</v>
      </c>
      <c r="BW6" s="25" t="s">
        <v>964</v>
      </c>
      <c r="BX6" s="25" t="s">
        <v>965</v>
      </c>
      <c r="BY6" s="25" t="s">
        <v>966</v>
      </c>
      <c r="BZ6" s="25" t="s">
        <v>967</v>
      </c>
      <c r="CA6" s="25" t="s">
        <v>968</v>
      </c>
      <c r="CB6" s="25" t="s">
        <v>969</v>
      </c>
      <c r="CC6" s="25" t="s">
        <v>970</v>
      </c>
      <c r="CD6" s="25" t="s">
        <v>971</v>
      </c>
      <c r="CE6" s="25" t="s">
        <v>972</v>
      </c>
      <c r="CF6" s="25" t="s">
        <v>973</v>
      </c>
      <c r="CG6" s="25" t="s">
        <v>974</v>
      </c>
      <c r="CH6" s="25" t="s">
        <v>975</v>
      </c>
      <c r="CI6" s="25" t="s">
        <v>976</v>
      </c>
      <c r="CJ6" s="25" t="s">
        <v>977</v>
      </c>
      <c r="CK6" s="25" t="s">
        <v>978</v>
      </c>
      <c r="CL6" s="25" t="s">
        <v>979</v>
      </c>
      <c r="CM6" s="25" t="s">
        <v>980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SUM(index_T[[#This Row],[A_hts_tst_index_u1_unk_pos]:[A_hts_tst_index_1014_m_pos]])</f>
        <v>0</v>
      </c>
      <c r="AU7" s="94">
        <f>SUM(index_T[[#This Row],[A_hts_tst_index_u1_unk_neg]:[A_hts_tst_index_1014_m_neg]])</f>
        <v>0</v>
      </c>
      <c r="AV7" s="94">
        <f>SUM(index_T[[#This Row],[A_hts_tst_index_1519_f_pos]:[A_hts_tst_index_o50_m_pos]])</f>
        <v>0</v>
      </c>
      <c r="AW7" s="94">
        <f>SUM(index_T[[#This Row],[A_hts_tst_index_1519_f_neg]:[A_hts_tst_index_o50_m_neg]])</f>
        <v>0</v>
      </c>
      <c r="AX7" s="41"/>
      <c r="AY7" s="41"/>
      <c r="AZ7" s="41"/>
      <c r="BA7" s="41"/>
      <c r="BB7" s="41"/>
      <c r="BC7" s="41"/>
      <c r="BD7" s="41">
        <f>index_T[[D_hts_tst_pos_index_u15_fy19]:[D_hts_tst_pos_index_u15_fy19]]*index_T[A_hts_tst_index_u1_unk_pos]</f>
        <v>0</v>
      </c>
      <c r="BE7" s="41">
        <f>index_T[[D_hts_tst_pos_index_u15_fy19]:[D_hts_tst_pos_index_u15_fy19]]*index_T[A_hts_tst_index_0109_unk_pos]</f>
        <v>0</v>
      </c>
      <c r="BF7" s="41">
        <f>index_T[[D_hts_tst_pos_index_u15_fy19]:[D_hts_tst_pos_index_u15_fy19]]*index_T[A_hts_tst_index_1014_f_pos]</f>
        <v>0</v>
      </c>
      <c r="BG7" s="41">
        <f>index_T[[D_hts_tst_pos_index_u15_fy19]:[D_hts_tst_pos_index_u15_fy19]]*index_T[A_hts_tst_index_1014_m_pos]</f>
        <v>0</v>
      </c>
      <c r="BH7" s="41">
        <f>index_T[[D_hts_tst_neg_index_u15_fy19]:[D_hts_tst_neg_index_u15_fy19]]*index_T[A_hts_tst_index_u1_unk_neg]</f>
        <v>0</v>
      </c>
      <c r="BI7" s="41">
        <f>index_T[[D_hts_tst_neg_index_u15_fy19]:[D_hts_tst_neg_index_u15_fy19]]*index_T[A_hts_tst_index_0109_unk_neg]</f>
        <v>0</v>
      </c>
      <c r="BJ7" s="41">
        <f>index_T[[D_hts_tst_neg_index_u15_fy19]:[D_hts_tst_neg_index_u15_fy19]]*index_T[A_hts_tst_index_1014_f_neg]</f>
        <v>0</v>
      </c>
      <c r="BK7" s="41">
        <f>index_T[[D_hts_tst_neg_index_u15_fy19]:[D_hts_tst_neg_index_u15_fy19]]*index_T[A_hts_tst_index_1014_m_neg]</f>
        <v>0</v>
      </c>
      <c r="BL7" s="41">
        <f>index_T[[D_hts_tst_pos_index_o15_fy19]:[D_hts_tst_pos_index_o15_fy19]]*index_T[A_hts_tst_index_1519_f_pos]</f>
        <v>0</v>
      </c>
      <c r="BM7" s="41">
        <f>index_T[[D_hts_tst_pos_index_o15_fy19]:[D_hts_tst_pos_index_o15_fy19]]*index_T[A_hts_tst_index_1519_m_pos]</f>
        <v>0</v>
      </c>
      <c r="BN7" s="41">
        <f>index_T[[D_hts_tst_pos_index_o15_fy19]:[D_hts_tst_pos_index_o15_fy19]]*index_T[A_hts_tst_index_2024_f_pos]</f>
        <v>0</v>
      </c>
      <c r="BO7" s="41">
        <f>index_T[[D_hts_tst_pos_index_o15_fy19]:[D_hts_tst_pos_index_o15_fy19]]*index_T[A_hts_tst_index_2024_m_pos]</f>
        <v>0</v>
      </c>
      <c r="BP7" s="41">
        <f>index_T[[D_hts_tst_pos_index_o15_fy19]:[D_hts_tst_pos_index_o15_fy19]]*index_T[A_hts_tst_index_2529_f_pos]</f>
        <v>0</v>
      </c>
      <c r="BQ7" s="41">
        <f>index_T[[D_hts_tst_pos_index_o15_fy19]:[D_hts_tst_pos_index_o15_fy19]]*index_T[A_hts_tst_index_2529_m_pos]</f>
        <v>0</v>
      </c>
      <c r="BR7" s="41">
        <f>index_T[[D_hts_tst_pos_index_o15_fy19]:[D_hts_tst_pos_index_o15_fy19]]*index_T[A_hts_tst_index_3034_f_pos]</f>
        <v>0</v>
      </c>
      <c r="BS7" s="41">
        <f>index_T[[D_hts_tst_pos_index_o15_fy19]:[D_hts_tst_pos_index_o15_fy19]]*index_T[A_hts_tst_index_3034_m__pos]</f>
        <v>0</v>
      </c>
      <c r="BT7" s="41">
        <f>index_T[[D_hts_tst_pos_index_o15_fy19]:[D_hts_tst_pos_index_o15_fy19]]*index_T[A_hts_tst_index_3539_f_pos]</f>
        <v>0</v>
      </c>
      <c r="BU7" s="41">
        <f>index_T[[D_hts_tst_pos_index_o15_fy19]:[D_hts_tst_pos_index_o15_fy19]]*index_T[A_hts_tst_index_3539_m__pos]</f>
        <v>0</v>
      </c>
      <c r="BV7" s="41">
        <f>index_T[[D_hts_tst_pos_index_o15_fy19]:[D_hts_tst_pos_index_o15_fy19]]*index_T[A_hts_tst_index_4049_f_pos]</f>
        <v>0</v>
      </c>
      <c r="BW7" s="41">
        <f>index_T[[D_hts_tst_pos_index_o15_fy19]:[D_hts_tst_pos_index_o15_fy19]]*index_T[A_hts_tst_index_4049_m_pos]</f>
        <v>0</v>
      </c>
      <c r="BX7" s="41">
        <f>index_T[[D_hts_tst_pos_index_o15_fy19]:[D_hts_tst_pos_index_o15_fy19]]*index_T[A_hts_tst_index_o50_f_pos]</f>
        <v>0</v>
      </c>
      <c r="BY7" s="41">
        <f>index_T[[D_hts_tst_pos_index_o15_fy19]:[D_hts_tst_pos_index_o15_fy19]]*index_T[A_hts_tst_index_o50_m_pos]</f>
        <v>0</v>
      </c>
      <c r="BZ7" s="41">
        <f>index_T[[D_hts_tst_neg_index_o15_fy19]:[D_hts_tst_neg_index_o15_fy19]]*index_T[A_hts_tst_index_1519_f_neg]</f>
        <v>0</v>
      </c>
      <c r="CA7" s="41">
        <f>index_T[[D_hts_tst_neg_index_o15_fy19]:[D_hts_tst_neg_index_o15_fy19]]*index_T[A_hts_tst_index_1519_m_neg]</f>
        <v>0</v>
      </c>
      <c r="CB7" s="41">
        <f>index_T[[D_hts_tst_neg_index_o15_fy19]:[D_hts_tst_neg_index_o15_fy19]]*index_T[A_hts_tst_index_2024_f_neg]</f>
        <v>0</v>
      </c>
      <c r="CC7" s="41">
        <f>index_T[[D_hts_tst_neg_index_o15_fy19]:[D_hts_tst_neg_index_o15_fy19]]*index_T[A_hts_tst_index_2024_m_neg]</f>
        <v>0</v>
      </c>
      <c r="CD7" s="41">
        <f>index_T[[D_hts_tst_neg_index_o15_fy19]:[D_hts_tst_neg_index_o15_fy19]]*index_T[A_hts_tst_index_2529_f_neg]</f>
        <v>0</v>
      </c>
      <c r="CE7" s="41">
        <f>index_T[[D_hts_tst_neg_index_o15_fy19]:[D_hts_tst_neg_index_o15_fy19]]*index_T[A_hts_tst_index_2529_m_neg]</f>
        <v>0</v>
      </c>
      <c r="CF7" s="41">
        <f>index_T[[D_hts_tst_neg_index_o15_fy19]:[D_hts_tst_neg_index_o15_fy19]]*index_T[A_hts_tst_index_3034_f_neg]</f>
        <v>0</v>
      </c>
      <c r="CG7" s="41">
        <f>index_T[[D_hts_tst_neg_index_o15_fy19]:[D_hts_tst_neg_index_o15_fy19]]*index_T[A_hts_tst_index_3034_m_neg]</f>
        <v>0</v>
      </c>
      <c r="CH7" s="41">
        <f>index_T[[D_hts_tst_neg_index_o15_fy19]:[D_hts_tst_neg_index_o15_fy19]]*index_T[A_hts_tst_index_3539_f_neg]</f>
        <v>0</v>
      </c>
      <c r="CI7" s="41">
        <f>index_T[[D_hts_tst_neg_index_o15_fy19]:[D_hts_tst_neg_index_o15_fy19]]*index_T[A_hts_tst_index_3539_m_neg]</f>
        <v>0</v>
      </c>
      <c r="CJ7" s="41">
        <f>index_T[[D_hts_tst_neg_index_o15_fy19]:[D_hts_tst_neg_index_o15_fy19]]*index_T[A_hts_tst_index_4049_f_neg]</f>
        <v>0</v>
      </c>
      <c r="CK7" s="41">
        <f>index_T[[D_hts_tst_neg_index_o15_fy19]:[D_hts_tst_neg_index_o15_fy19]]*index_T[A_hts_tst_index_4049_m_neg]</f>
        <v>0</v>
      </c>
      <c r="CL7" s="41">
        <f>index_T[[D_hts_tst_neg_index_o15_fy19]:[D_hts_tst_neg_index_o15_fy19]]*index_T[A_hts_tst_index_o50_f_neg]</f>
        <v>0</v>
      </c>
      <c r="CM7" s="41">
        <f>index_T[[D_hts_tst_neg_index_o15_fy19]:[D_hts_tst_neg_index_o15_fy19]]*index_T[A_hts_tst_index_o50_m_neg]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804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4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6" sqref="A6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981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SUBTOTAL(109,sti_T[hts_tst_sti_u1_unk_pos])</f>
        <v>0</v>
      </c>
      <c r="BE5" s="47">
        <f>SUBTOTAL(109,sti_T[hts_tst_sti_0109_unk_pos])</f>
        <v>0</v>
      </c>
      <c r="BF5" s="47">
        <f>SUBTOTAL(109,sti_T[hts_tst_sti_1014_f_pos])</f>
        <v>0</v>
      </c>
      <c r="BG5" s="47">
        <f>SUBTOTAL(109,sti_T[hts_tst_sti_1014_m_pos])</f>
        <v>0</v>
      </c>
      <c r="BH5" s="47">
        <f>SUBTOTAL(109,sti_T[hts_tst_sti_u1_unk_neg])</f>
        <v>0</v>
      </c>
      <c r="BI5" s="47">
        <f>SUBTOTAL(109,sti_T[hts_tst_sti_0109_unk_neg])</f>
        <v>0</v>
      </c>
      <c r="BJ5" s="47">
        <f>SUBTOTAL(109,sti_T[hts_tst_sti_1014_f_neg])</f>
        <v>0</v>
      </c>
      <c r="BK5" s="47">
        <f>SUBTOTAL(109,sti_T[hts_tst_sti_1014_m_neg])</f>
        <v>0</v>
      </c>
      <c r="BL5" s="47">
        <f>SUBTOTAL(109,sti_T[hts_tst_sti_1519_f_pos])</f>
        <v>0</v>
      </c>
      <c r="BM5" s="47">
        <f>SUBTOTAL(109,sti_T[hts_tst_sti_1519_m_pos])</f>
        <v>0</v>
      </c>
      <c r="BN5" s="47">
        <f>SUBTOTAL(109,sti_T[hts_tst_sti_2024_f_pos])</f>
        <v>0</v>
      </c>
      <c r="BO5" s="47">
        <f>SUBTOTAL(109,sti_T[hts_tst_sti_2024_m_pos])</f>
        <v>0</v>
      </c>
      <c r="BP5" s="47">
        <f>SUBTOTAL(109,sti_T[hts_tst_sti_2529_f_pos])</f>
        <v>0</v>
      </c>
      <c r="BQ5" s="47">
        <f>SUBTOTAL(109,sti_T[hts_tst_sti_2529_m_pos])</f>
        <v>0</v>
      </c>
      <c r="BR5" s="47">
        <f>SUBTOTAL(109,sti_T[hts_tst_sti_3034_f_pos])</f>
        <v>0</v>
      </c>
      <c r="BS5" s="47">
        <f>SUBTOTAL(109,sti_T[hts_tst_sti_3034_m_pos])</f>
        <v>0</v>
      </c>
      <c r="BT5" s="47">
        <f>SUBTOTAL(109,sti_T[hts_tst_sti_3539_f_pos])</f>
        <v>0</v>
      </c>
      <c r="BU5" s="47">
        <f>SUBTOTAL(109,sti_T[hts_tst_sti_3539_m_pos])</f>
        <v>0</v>
      </c>
      <c r="BV5" s="47">
        <f>SUBTOTAL(109,sti_T[hts_tst_sti_4049_f_pos])</f>
        <v>0</v>
      </c>
      <c r="BW5" s="47">
        <f>SUBTOTAL(109,sti_T[hts_tst_sti_4049_m_pos])</f>
        <v>0</v>
      </c>
      <c r="BX5" s="47">
        <f>SUBTOTAL(109,sti_T[hts_tst_sti_o50_f_pos])</f>
        <v>0</v>
      </c>
      <c r="BY5" s="47">
        <f>SUBTOTAL(109,sti_T[hts_tst_sti_o50_m_pos])</f>
        <v>0</v>
      </c>
      <c r="BZ5" s="47">
        <f>SUBTOTAL(109,sti_T[hts_tst_sti_1519_f_neg])</f>
        <v>0</v>
      </c>
      <c r="CA5" s="47">
        <f>SUBTOTAL(109,sti_T[hts_tst_sti_1519_m_neg])</f>
        <v>0</v>
      </c>
      <c r="CB5" s="47">
        <f>SUBTOTAL(109,sti_T[hts_tst_sti_2024_f_neg])</f>
        <v>0</v>
      </c>
      <c r="CC5" s="47">
        <f>SUBTOTAL(109,sti_T[hts_tst_sti_2024_m_neg])</f>
        <v>0</v>
      </c>
      <c r="CD5" s="47">
        <f>SUBTOTAL(109,sti_T[hts_tst_sti_2529_f_neg])</f>
        <v>0</v>
      </c>
      <c r="CE5" s="47">
        <f>SUBTOTAL(109,sti_T[hts_tst_sti_2529_m_neg])</f>
        <v>0</v>
      </c>
      <c r="CF5" s="47">
        <f>SUBTOTAL(109,sti_T[hts_tst_sti_3034_f_neg])</f>
        <v>0</v>
      </c>
      <c r="CG5" s="47">
        <f>SUBTOTAL(109,sti_T[hts_tst_sti_3034_m_neg])</f>
        <v>0</v>
      </c>
      <c r="CH5" s="47">
        <f>SUBTOTAL(109,sti_T[hts_tst_sti_3539_f_neg])</f>
        <v>0</v>
      </c>
      <c r="CI5" s="47">
        <f>SUBTOTAL(109,sti_T[hts_tst_sti_3539_m_neg])</f>
        <v>0</v>
      </c>
      <c r="CJ5" s="47">
        <f>SUBTOTAL(109,sti_T[hts_tst_sti_4049_f_neg])</f>
        <v>0</v>
      </c>
      <c r="CK5" s="47">
        <f>SUBTOTAL(109,sti_T[hts_tst_sti_4049_m_neg])</f>
        <v>0</v>
      </c>
      <c r="CL5" s="47">
        <f>SUBTOTAL(109,sti_T[hts_tst_sti_o50_f_neg])</f>
        <v>0</v>
      </c>
      <c r="CM5" s="47">
        <f>SUBTOTAL(109,sti_T[hts_tst_sti_o50_m_neg])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982</v>
      </c>
      <c r="K6" s="25" t="s">
        <v>983</v>
      </c>
      <c r="L6" s="25" t="s">
        <v>984</v>
      </c>
      <c r="M6" s="25" t="s">
        <v>985</v>
      </c>
      <c r="N6" s="25" t="s">
        <v>986</v>
      </c>
      <c r="O6" s="25" t="s">
        <v>987</v>
      </c>
      <c r="P6" s="25" t="s">
        <v>988</v>
      </c>
      <c r="Q6" s="25" t="s">
        <v>989</v>
      </c>
      <c r="R6" s="25" t="s">
        <v>990</v>
      </c>
      <c r="S6" s="25" t="s">
        <v>991</v>
      </c>
      <c r="T6" s="25" t="s">
        <v>992</v>
      </c>
      <c r="U6" s="25" t="s">
        <v>993</v>
      </c>
      <c r="V6" s="25" t="s">
        <v>994</v>
      </c>
      <c r="W6" s="25" t="s">
        <v>995</v>
      </c>
      <c r="X6" s="25" t="s">
        <v>996</v>
      </c>
      <c r="Y6" s="25" t="s">
        <v>997</v>
      </c>
      <c r="Z6" s="25" t="s">
        <v>998</v>
      </c>
      <c r="AA6" s="25" t="s">
        <v>999</v>
      </c>
      <c r="AB6" s="25" t="s">
        <v>1000</v>
      </c>
      <c r="AC6" s="25" t="s">
        <v>1001</v>
      </c>
      <c r="AD6" s="25" t="s">
        <v>1002</v>
      </c>
      <c r="AE6" s="25" t="s">
        <v>1003</v>
      </c>
      <c r="AF6" s="25" t="s">
        <v>1004</v>
      </c>
      <c r="AG6" s="25" t="s">
        <v>1005</v>
      </c>
      <c r="AH6" s="25" t="s">
        <v>1006</v>
      </c>
      <c r="AI6" s="25" t="s">
        <v>1007</v>
      </c>
      <c r="AJ6" s="25" t="s">
        <v>1008</v>
      </c>
      <c r="AK6" s="25" t="s">
        <v>1009</v>
      </c>
      <c r="AL6" s="25" t="s">
        <v>1010</v>
      </c>
      <c r="AM6" s="25" t="s">
        <v>1011</v>
      </c>
      <c r="AN6" s="25" t="s">
        <v>1012</v>
      </c>
      <c r="AO6" s="25" t="s">
        <v>1013</v>
      </c>
      <c r="AP6" s="25" t="s">
        <v>1014</v>
      </c>
      <c r="AQ6" s="25" t="s">
        <v>1015</v>
      </c>
      <c r="AR6" s="25" t="s">
        <v>1016</v>
      </c>
      <c r="AS6" s="25" t="s">
        <v>1017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243</v>
      </c>
      <c r="AY6" s="25" t="s">
        <v>255</v>
      </c>
      <c r="AZ6" s="25" t="s">
        <v>1018</v>
      </c>
      <c r="BA6" s="25" t="s">
        <v>223</v>
      </c>
      <c r="BB6" s="25" t="s">
        <v>233</v>
      </c>
      <c r="BC6" s="25" t="s">
        <v>1019</v>
      </c>
      <c r="BD6" s="25" t="s">
        <v>1020</v>
      </c>
      <c r="BE6" s="25" t="s">
        <v>1021</v>
      </c>
      <c r="BF6" s="25" t="s">
        <v>1022</v>
      </c>
      <c r="BG6" s="25" t="s">
        <v>1023</v>
      </c>
      <c r="BH6" s="25" t="s">
        <v>1024</v>
      </c>
      <c r="BI6" s="25" t="s">
        <v>1025</v>
      </c>
      <c r="BJ6" s="25" t="s">
        <v>1026</v>
      </c>
      <c r="BK6" s="25" t="s">
        <v>1027</v>
      </c>
      <c r="BL6" s="25" t="s">
        <v>1028</v>
      </c>
      <c r="BM6" s="25" t="s">
        <v>1029</v>
      </c>
      <c r="BN6" s="25" t="s">
        <v>1030</v>
      </c>
      <c r="BO6" s="25" t="s">
        <v>1031</v>
      </c>
      <c r="BP6" s="25" t="s">
        <v>1032</v>
      </c>
      <c r="BQ6" s="25" t="s">
        <v>1033</v>
      </c>
      <c r="BR6" s="25" t="s">
        <v>1034</v>
      </c>
      <c r="BS6" s="25" t="s">
        <v>1035</v>
      </c>
      <c r="BT6" s="25" t="s">
        <v>1036</v>
      </c>
      <c r="BU6" s="25" t="s">
        <v>1037</v>
      </c>
      <c r="BV6" s="25" t="s">
        <v>1038</v>
      </c>
      <c r="BW6" s="25" t="s">
        <v>1039</v>
      </c>
      <c r="BX6" s="25" t="s">
        <v>1040</v>
      </c>
      <c r="BY6" s="25" t="s">
        <v>1041</v>
      </c>
      <c r="BZ6" s="25" t="s">
        <v>1042</v>
      </c>
      <c r="CA6" s="25" t="s">
        <v>1043</v>
      </c>
      <c r="CB6" s="25" t="s">
        <v>1044</v>
      </c>
      <c r="CC6" s="25" t="s">
        <v>1045</v>
      </c>
      <c r="CD6" s="25" t="s">
        <v>1046</v>
      </c>
      <c r="CE6" s="25" t="s">
        <v>1047</v>
      </c>
      <c r="CF6" s="25" t="s">
        <v>1048</v>
      </c>
      <c r="CG6" s="25" t="s">
        <v>1049</v>
      </c>
      <c r="CH6" s="25" t="s">
        <v>1050</v>
      </c>
      <c r="CI6" s="25" t="s">
        <v>1051</v>
      </c>
      <c r="CJ6" s="25" t="s">
        <v>1052</v>
      </c>
      <c r="CK6" s="25" t="s">
        <v>1053</v>
      </c>
      <c r="CL6" s="25" t="s">
        <v>1054</v>
      </c>
      <c r="CM6" s="25" t="s">
        <v>1055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SUM(sti_T[[#This Row],[A_hts_tst_sti_u1_unk_pos]:[A_hts_tst_sti_1014_m_pos]])</f>
        <v>0</v>
      </c>
      <c r="AU7" s="94">
        <f>SUM(sti_T[[#This Row],[A_hts_tst_sti_u1_unk_neg]:[A_hts_tst_sti_1014_m_neg]])</f>
        <v>0</v>
      </c>
      <c r="AV7" s="94">
        <f>SUM(sti_T[[#This Row],[A_hts_tst_sti_1519_f_pos]:[A_hts_tst_sti_o50_m_pos]])</f>
        <v>0</v>
      </c>
      <c r="AW7" s="94">
        <f>SUM(sti_T[[#This Row],[A_hts_tst_sti_1519_f_neg]:[A_hts_tst_sti_o50_m_neg]])</f>
        <v>0</v>
      </c>
      <c r="AX7" s="41"/>
      <c r="AY7" s="41"/>
      <c r="AZ7" s="41"/>
      <c r="BA7" s="41"/>
      <c r="BB7" s="41"/>
      <c r="BC7" s="41"/>
      <c r="BD7" s="41">
        <f>sti_T[[D_hts_tst_pos_sti_u15_fy19]:[D_hts_tst_pos_sti_u15_fy19]]*sti_T[A_hts_tst_sti_u1_unk_pos]</f>
        <v>0</v>
      </c>
      <c r="BE7" s="41">
        <f>sti_T[[D_hts_tst_pos_sti_u15_fy19]:[D_hts_tst_pos_sti_u15_fy19]]*sti_T[A_hts_tst_sti_0109_unk_pos]</f>
        <v>0</v>
      </c>
      <c r="BF7" s="41">
        <f>sti_T[[D_hts_tst_pos_sti_u15_fy19]:[D_hts_tst_pos_sti_u15_fy19]]*sti_T[A_hts_tst_sti_1014_f_pos]</f>
        <v>0</v>
      </c>
      <c r="BG7" s="41">
        <f>sti_T[[D_hts_tst_pos_sti_u15_fy19]:[D_hts_tst_pos_sti_u15_fy19]]*sti_T[A_hts_tst_sti_1014_m_pos]</f>
        <v>0</v>
      </c>
      <c r="BH7" s="41">
        <f>sti_T[[D_hts_tst_neg_sti_u15_fy19]:[D_hts_tst_neg_sti_u15_fy19]]*sti_T[A_hts_tst_sti_u1_unk_neg]</f>
        <v>0</v>
      </c>
      <c r="BI7" s="41">
        <f>sti_T[[D_hts_tst_neg_sti_u15_fy19]:[D_hts_tst_neg_sti_u15_fy19]]*sti_T[A_hts_tst_sti_0109_unk_neg]</f>
        <v>0</v>
      </c>
      <c r="BJ7" s="41">
        <f>sti_T[[D_hts_tst_neg_sti_u15_fy19]:[D_hts_tst_neg_sti_u15_fy19]]*sti_T[A_hts_tst_sti_1014_f_neg]</f>
        <v>0</v>
      </c>
      <c r="BK7" s="41">
        <f>sti_T[[D_hts_tst_neg_sti_u15_fy19]:[D_hts_tst_neg_sti_u15_fy19]]*sti_T[A_hts_tst_sti_1014_m_neg]</f>
        <v>0</v>
      </c>
      <c r="BL7" s="41">
        <f>sti_T[[D_hts_tst_pos_sti_o15_fy19]:[D_hts_tst_pos_sti_o15_fy19]]*sti_T[A_hts_tst_sti_1519_f_pos]</f>
        <v>0</v>
      </c>
      <c r="BM7" s="41">
        <f>sti_T[[D_hts_tst_pos_sti_o15_fy19]:[D_hts_tst_pos_sti_o15_fy19]]*sti_T[A_hts_tst_sti_1519_m_pos]</f>
        <v>0</v>
      </c>
      <c r="BN7" s="41">
        <f>sti_T[[D_hts_tst_pos_sti_o15_fy19]:[D_hts_tst_pos_sti_o15_fy19]]*sti_T[A_hts_tst_sti_2024_f_pos]</f>
        <v>0</v>
      </c>
      <c r="BO7" s="41">
        <f>sti_T[[D_hts_tst_pos_sti_o15_fy19]:[D_hts_tst_pos_sti_o15_fy19]]*sti_T[A_hts_tst_sti_2024_m_pos]</f>
        <v>0</v>
      </c>
      <c r="BP7" s="41">
        <f>sti_T[[D_hts_tst_pos_sti_o15_fy19]:[D_hts_tst_pos_sti_o15_fy19]]*sti_T[A_hts_tst_sti_2529_f_pos]</f>
        <v>0</v>
      </c>
      <c r="BQ7" s="41">
        <f>sti_T[[D_hts_tst_pos_sti_o15_fy19]:[D_hts_tst_pos_sti_o15_fy19]]*sti_T[A_hts_tst_sti_2529_m_pos]</f>
        <v>0</v>
      </c>
      <c r="BR7" s="41">
        <f>sti_T[[D_hts_tst_pos_sti_o15_fy19]:[D_hts_tst_pos_sti_o15_fy19]]*sti_T[A_hts_tst_sti_3034_f_pos]</f>
        <v>0</v>
      </c>
      <c r="BS7" s="41">
        <f>sti_T[[D_hts_tst_pos_sti_o15_fy19]:[D_hts_tst_pos_sti_o15_fy19]]*sti_T[A_hts_tst_sti_3034_m__pos]</f>
        <v>0</v>
      </c>
      <c r="BT7" s="41">
        <f>sti_T[[D_hts_tst_pos_sti_o15_fy19]:[D_hts_tst_pos_sti_o15_fy19]]*sti_T[A_hts_tst_sti_3539_f_pos]</f>
        <v>0</v>
      </c>
      <c r="BU7" s="41">
        <f>sti_T[[D_hts_tst_pos_sti_o15_fy19]:[D_hts_tst_pos_sti_o15_fy19]]*sti_T[A_hts_tst_sti_3539_m__pos]</f>
        <v>0</v>
      </c>
      <c r="BV7" s="41">
        <f>sti_T[[D_hts_tst_pos_sti_o15_fy19]:[D_hts_tst_pos_sti_o15_fy19]]*sti_T[A_hts_tst_sti_4049_f_pos]</f>
        <v>0</v>
      </c>
      <c r="BW7" s="41">
        <f>sti_T[[D_hts_tst_pos_sti_o15_fy19]:[D_hts_tst_pos_sti_o15_fy19]]*sti_T[A_hts_tst_sti_4049_m_pos]</f>
        <v>0</v>
      </c>
      <c r="BX7" s="41">
        <f>sti_T[[D_hts_tst_pos_sti_o15_fy19]:[D_hts_tst_pos_sti_o15_fy19]]*sti_T[A_hts_tst_sti_o50_f_pos]</f>
        <v>0</v>
      </c>
      <c r="BY7" s="41">
        <f>sti_T[[D_hts_tst_pos_sti_o15_fy19]:[D_hts_tst_pos_sti_o15_fy19]]*sti_T[A_hts_tst_sti_o50_m_pos]</f>
        <v>0</v>
      </c>
      <c r="BZ7" s="41">
        <f>sti_T[[D_hts_tst_neg_sti_o15_fy19]:[D_hts_tst_neg_sti_o15_fy19]]*sti_T[A_hts_tst_sti_1519_f_neg]</f>
        <v>0</v>
      </c>
      <c r="CA7" s="41">
        <f>sti_T[[D_hts_tst_neg_sti_o15_fy19]:[D_hts_tst_neg_sti_o15_fy19]]*sti_T[A_hts_tst_sti_1519_m_neg]</f>
        <v>0</v>
      </c>
      <c r="CB7" s="41">
        <f>sti_T[[D_hts_tst_neg_sti_o15_fy19]:[D_hts_tst_neg_sti_o15_fy19]]*sti_T[A_hts_tst_sti_2024_f_neg]</f>
        <v>0</v>
      </c>
      <c r="CC7" s="41">
        <f>sti_T[[D_hts_tst_neg_sti_o15_fy19]:[D_hts_tst_neg_sti_o15_fy19]]*sti_T[A_hts_tst_sti_2024_m_neg]</f>
        <v>0</v>
      </c>
      <c r="CD7" s="41">
        <f>sti_T[[D_hts_tst_neg_sti_o15_fy19]:[D_hts_tst_neg_sti_o15_fy19]]*sti_T[A_hts_tst_sti_2529_f_neg]</f>
        <v>0</v>
      </c>
      <c r="CE7" s="41">
        <f>sti_T[[D_hts_tst_neg_sti_o15_fy19]:[D_hts_tst_neg_sti_o15_fy19]]*sti_T[A_hts_tst_sti_2529_m_neg]</f>
        <v>0</v>
      </c>
      <c r="CF7" s="41">
        <f>sti_T[[D_hts_tst_neg_sti_o15_fy19]:[D_hts_tst_neg_sti_o15_fy19]]*sti_T[A_hts_tst_sti_3034_f_neg]</f>
        <v>0</v>
      </c>
      <c r="CG7" s="41">
        <f>sti_T[[D_hts_tst_neg_sti_o15_fy19]:[D_hts_tst_neg_sti_o15_fy19]]*sti_T[A_hts_tst_sti_3034_m_neg]</f>
        <v>0</v>
      </c>
      <c r="CH7" s="41">
        <f>sti_T[[D_hts_tst_neg_sti_o15_fy19]:[D_hts_tst_neg_sti_o15_fy19]]*sti_T[A_hts_tst_sti_3539_f_neg]</f>
        <v>0</v>
      </c>
      <c r="CI7" s="41">
        <f>sti_T[[D_hts_tst_neg_sti_o15_fy19]:[D_hts_tst_neg_sti_o15_fy19]]*sti_T[A_hts_tst_sti_3539_m_neg]</f>
        <v>0</v>
      </c>
      <c r="CJ7" s="41">
        <f>sti_T[[D_hts_tst_neg_sti_o15_fy19]:[D_hts_tst_neg_sti_o15_fy19]]*sti_T[A_hts_tst_sti_4049_f_neg]</f>
        <v>0</v>
      </c>
      <c r="CK7" s="41">
        <f>sti_T[[D_hts_tst_neg_sti_o15_fy19]:[D_hts_tst_neg_sti_o15_fy19]]*sti_T[A_hts_tst_sti_4049_m_neg]</f>
        <v>0</v>
      </c>
      <c r="CL7" s="41">
        <f>sti_T[[D_hts_tst_neg_sti_o15_fy19]:[D_hts_tst_neg_sti_o15_fy19]]*sti_T[A_hts_tst_sti_o50_f_neg]</f>
        <v>0</v>
      </c>
      <c r="CM7" s="41">
        <f>sti_T[[D_hts_tst_neg_sti_o15_fy19]:[D_hts_tst_neg_sti_o15_fy19]]*sti_T[A_hts_tst_sti_o50_m_neg]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712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5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6" sqref="A6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1056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90" t="s">
        <v>1630</v>
      </c>
      <c r="AU3" s="86"/>
      <c r="AV3" s="86"/>
      <c r="AW3" s="92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91" t="s">
        <v>564</v>
      </c>
      <c r="AU4" s="87" t="s">
        <v>563</v>
      </c>
      <c r="AV4" s="87" t="s">
        <v>507</v>
      </c>
      <c r="AW4" s="93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SUBTOTAL(109,inpat_T[hts_tst_inpat_u1_unk_pos])</f>
        <v>0</v>
      </c>
      <c r="BE5" s="47">
        <f>SUBTOTAL(109,inpat_T[hts_tst_inpat_0109_unk_pos])</f>
        <v>0</v>
      </c>
      <c r="BF5" s="47">
        <f>SUBTOTAL(109,inpat_T[hts_tst_inpat_1014_f_pos])</f>
        <v>0</v>
      </c>
      <c r="BG5" s="47">
        <f>SUBTOTAL(109,inpat_T[hts_tst_inpat_1014_m_pos])</f>
        <v>0</v>
      </c>
      <c r="BH5" s="47">
        <f>SUBTOTAL(109,inpat_T[hts_tst_inpat_u1_unk_neg])</f>
        <v>0</v>
      </c>
      <c r="BI5" s="47">
        <f>SUBTOTAL(109,inpat_T[hts_tst_inpat_0109_unk_neg])</f>
        <v>0</v>
      </c>
      <c r="BJ5" s="47">
        <f>SUBTOTAL(109,inpat_T[hts_tst_inpat_1014_f_neg])</f>
        <v>0</v>
      </c>
      <c r="BK5" s="47">
        <f>SUBTOTAL(109,inpat_T[hts_tst_inpat_1014_m_neg])</f>
        <v>0</v>
      </c>
      <c r="BL5" s="47">
        <f>SUBTOTAL(109,inpat_T[hts_tst_inpat_1519_f_pos])</f>
        <v>0</v>
      </c>
      <c r="BM5" s="47">
        <f>SUBTOTAL(109,inpat_T[hts_tst_inpat_1519_m_pos])</f>
        <v>0</v>
      </c>
      <c r="BN5" s="47">
        <f>SUBTOTAL(109,inpat_T[hts_tst_inpat_2024_f_pos])</f>
        <v>0</v>
      </c>
      <c r="BO5" s="47">
        <f>SUBTOTAL(109,inpat_T[hts_tst_inpat_2024_m_pos])</f>
        <v>0</v>
      </c>
      <c r="BP5" s="47">
        <f>SUBTOTAL(109,inpat_T[hts_tst_inpat_2529_f_pos])</f>
        <v>0</v>
      </c>
      <c r="BQ5" s="47">
        <f>SUBTOTAL(109,inpat_T[hts_tst_inpat_2529_m_pos])</f>
        <v>0</v>
      </c>
      <c r="BR5" s="47">
        <f>SUBTOTAL(109,inpat_T[hts_tst_inpat_3034_f_pos])</f>
        <v>0</v>
      </c>
      <c r="BS5" s="47">
        <f>SUBTOTAL(109,inpat_T[hts_tst_inpat_3034_m_pos])</f>
        <v>0</v>
      </c>
      <c r="BT5" s="47">
        <f>SUBTOTAL(109,inpat_T[hts_tst_inpat_3539_f_pos])</f>
        <v>0</v>
      </c>
      <c r="BU5" s="47">
        <f>SUBTOTAL(109,inpat_T[hts_tst_inpat_3539_m_pos])</f>
        <v>0</v>
      </c>
      <c r="BV5" s="47">
        <f>SUBTOTAL(109,inpat_T[hts_tst_inpat_4049_f_pos])</f>
        <v>0</v>
      </c>
      <c r="BW5" s="47">
        <f>SUBTOTAL(109,inpat_T[hts_tst_inpat_4049_m_pos])</f>
        <v>0</v>
      </c>
      <c r="BX5" s="47">
        <f>SUBTOTAL(109,inpat_T[hts_tst_inpat_o50_f_pos])</f>
        <v>0</v>
      </c>
      <c r="BY5" s="47">
        <f>SUBTOTAL(109,inpat_T[hts_tst_inpat_o50_m_pos])</f>
        <v>0</v>
      </c>
      <c r="BZ5" s="47">
        <f>SUBTOTAL(109,inpat_T[hts_tst_inpat_1519_f_neg])</f>
        <v>0</v>
      </c>
      <c r="CA5" s="47">
        <f>SUBTOTAL(109,inpat_T[hts_tst_inpat_1519_m_neg])</f>
        <v>0</v>
      </c>
      <c r="CB5" s="47">
        <f>SUBTOTAL(109,inpat_T[hts_tst_inpat_2024_f_neg])</f>
        <v>0</v>
      </c>
      <c r="CC5" s="47">
        <f>SUBTOTAL(109,inpat_T[hts_tst_inpat_2024_m_neg])</f>
        <v>0</v>
      </c>
      <c r="CD5" s="47">
        <f>SUBTOTAL(109,inpat_T[hts_tst_inpat_2529_f_neg])</f>
        <v>0</v>
      </c>
      <c r="CE5" s="47">
        <f>SUBTOTAL(109,inpat_T[hts_tst_inpat_2529_m_neg])</f>
        <v>0</v>
      </c>
      <c r="CF5" s="47">
        <f>SUBTOTAL(109,inpat_T[hts_tst_inpat_3034_f_neg])</f>
        <v>0</v>
      </c>
      <c r="CG5" s="47">
        <f>SUBTOTAL(109,inpat_T[hts_tst_inpat_3034_m_neg])</f>
        <v>0</v>
      </c>
      <c r="CH5" s="47">
        <f>SUBTOTAL(109,inpat_T[hts_tst_inpat_3539_f_neg])</f>
        <v>0</v>
      </c>
      <c r="CI5" s="47">
        <f>SUBTOTAL(109,inpat_T[hts_tst_inpat_3539_m_neg])</f>
        <v>0</v>
      </c>
      <c r="CJ5" s="47">
        <f>SUBTOTAL(109,inpat_T[hts_tst_inpat_4049_f_neg])</f>
        <v>0</v>
      </c>
      <c r="CK5" s="47">
        <f>SUBTOTAL(109,inpat_T[hts_tst_inpat_4049_m_neg])</f>
        <v>0</v>
      </c>
      <c r="CL5" s="47">
        <f>SUBTOTAL(109,inpat_T[hts_tst_inpat_o50_f_neg])</f>
        <v>0</v>
      </c>
      <c r="CM5" s="47">
        <f>SUBTOTAL(109,inpat_T[hts_tst_inpat_o50_m_neg])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1057</v>
      </c>
      <c r="K6" s="25" t="s">
        <v>1058</v>
      </c>
      <c r="L6" s="25" t="s">
        <v>1059</v>
      </c>
      <c r="M6" s="25" t="s">
        <v>1060</v>
      </c>
      <c r="N6" s="25" t="s">
        <v>1061</v>
      </c>
      <c r="O6" s="25" t="s">
        <v>1062</v>
      </c>
      <c r="P6" s="25" t="s">
        <v>1063</v>
      </c>
      <c r="Q6" s="25" t="s">
        <v>1064</v>
      </c>
      <c r="R6" s="25" t="s">
        <v>1065</v>
      </c>
      <c r="S6" s="25" t="s">
        <v>1066</v>
      </c>
      <c r="T6" s="25" t="s">
        <v>1067</v>
      </c>
      <c r="U6" s="25" t="s">
        <v>1068</v>
      </c>
      <c r="V6" s="25" t="s">
        <v>1069</v>
      </c>
      <c r="W6" s="25" t="s">
        <v>1070</v>
      </c>
      <c r="X6" s="25" t="s">
        <v>1071</v>
      </c>
      <c r="Y6" s="25" t="s">
        <v>1072</v>
      </c>
      <c r="Z6" s="25" t="s">
        <v>1073</v>
      </c>
      <c r="AA6" s="25" t="s">
        <v>1074</v>
      </c>
      <c r="AB6" s="25" t="s">
        <v>1075</v>
      </c>
      <c r="AC6" s="25" t="s">
        <v>1076</v>
      </c>
      <c r="AD6" s="25" t="s">
        <v>1077</v>
      </c>
      <c r="AE6" s="25" t="s">
        <v>1078</v>
      </c>
      <c r="AF6" s="25" t="s">
        <v>1079</v>
      </c>
      <c r="AG6" s="25" t="s">
        <v>1080</v>
      </c>
      <c r="AH6" s="25" t="s">
        <v>1081</v>
      </c>
      <c r="AI6" s="25" t="s">
        <v>1082</v>
      </c>
      <c r="AJ6" s="25" t="s">
        <v>1083</v>
      </c>
      <c r="AK6" s="25" t="s">
        <v>1084</v>
      </c>
      <c r="AL6" s="25" t="s">
        <v>1085</v>
      </c>
      <c r="AM6" s="25" t="s">
        <v>1086</v>
      </c>
      <c r="AN6" s="25" t="s">
        <v>1087</v>
      </c>
      <c r="AO6" s="25" t="s">
        <v>1088</v>
      </c>
      <c r="AP6" s="25" t="s">
        <v>1089</v>
      </c>
      <c r="AQ6" s="25" t="s">
        <v>1090</v>
      </c>
      <c r="AR6" s="25" t="s">
        <v>1091</v>
      </c>
      <c r="AS6" s="25" t="s">
        <v>1092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244</v>
      </c>
      <c r="AY6" s="25" t="s">
        <v>256</v>
      </c>
      <c r="AZ6" s="25" t="s">
        <v>1093</v>
      </c>
      <c r="BA6" s="25" t="s">
        <v>224</v>
      </c>
      <c r="BB6" s="25" t="s">
        <v>234</v>
      </c>
      <c r="BC6" s="25" t="s">
        <v>1094</v>
      </c>
      <c r="BD6" s="25" t="s">
        <v>1095</v>
      </c>
      <c r="BE6" s="25" t="s">
        <v>1096</v>
      </c>
      <c r="BF6" s="25" t="s">
        <v>1097</v>
      </c>
      <c r="BG6" s="25" t="s">
        <v>1098</v>
      </c>
      <c r="BH6" s="25" t="s">
        <v>1099</v>
      </c>
      <c r="BI6" s="25" t="s">
        <v>1100</v>
      </c>
      <c r="BJ6" s="25" t="s">
        <v>1101</v>
      </c>
      <c r="BK6" s="25" t="s">
        <v>1102</v>
      </c>
      <c r="BL6" s="25" t="s">
        <v>1103</v>
      </c>
      <c r="BM6" s="25" t="s">
        <v>1104</v>
      </c>
      <c r="BN6" s="25" t="s">
        <v>1105</v>
      </c>
      <c r="BO6" s="25" t="s">
        <v>1106</v>
      </c>
      <c r="BP6" s="25" t="s">
        <v>1107</v>
      </c>
      <c r="BQ6" s="25" t="s">
        <v>1108</v>
      </c>
      <c r="BR6" s="25" t="s">
        <v>1109</v>
      </c>
      <c r="BS6" s="25" t="s">
        <v>1110</v>
      </c>
      <c r="BT6" s="25" t="s">
        <v>1111</v>
      </c>
      <c r="BU6" s="25" t="s">
        <v>1112</v>
      </c>
      <c r="BV6" s="25" t="s">
        <v>1113</v>
      </c>
      <c r="BW6" s="25" t="s">
        <v>1114</v>
      </c>
      <c r="BX6" s="25" t="s">
        <v>1115</v>
      </c>
      <c r="BY6" s="25" t="s">
        <v>1116</v>
      </c>
      <c r="BZ6" s="25" t="s">
        <v>1117</v>
      </c>
      <c r="CA6" s="25" t="s">
        <v>1118</v>
      </c>
      <c r="CB6" s="25" t="s">
        <v>1119</v>
      </c>
      <c r="CC6" s="25" t="s">
        <v>1120</v>
      </c>
      <c r="CD6" s="25" t="s">
        <v>1121</v>
      </c>
      <c r="CE6" s="25" t="s">
        <v>1122</v>
      </c>
      <c r="CF6" s="25" t="s">
        <v>1123</v>
      </c>
      <c r="CG6" s="25" t="s">
        <v>1124</v>
      </c>
      <c r="CH6" s="25" t="s">
        <v>1125</v>
      </c>
      <c r="CI6" s="25" t="s">
        <v>1126</v>
      </c>
      <c r="CJ6" s="25" t="s">
        <v>1127</v>
      </c>
      <c r="CK6" s="25" t="s">
        <v>1128</v>
      </c>
      <c r="CL6" s="25" t="s">
        <v>1129</v>
      </c>
      <c r="CM6" s="25" t="s">
        <v>1130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SUM(inpat_T[[#This Row],[A_hts_tst_inpat_u1_unk_pos]:[A_hts_tst_inpat_1014_m_pos]])</f>
        <v>0</v>
      </c>
      <c r="AU7" s="94">
        <f>SUM(inpat_T[[#This Row],[A_hts_tst_inpat_u1_unk_neg]:[A_hts_tst_inpat_1014_m_neg]])</f>
        <v>0</v>
      </c>
      <c r="AV7" s="94">
        <f>SUM(inpat_T[[#This Row],[A_hts_tst_inpat_1519_f_pos]:[A_hts_tst_inpat_o50_m_pos]])</f>
        <v>0</v>
      </c>
      <c r="AW7" s="94">
        <f>SUM(inpat_T[[#This Row],[A_hts_tst_inpat_1519_f_neg]:[A_hts_tst_inpat_o50_m_neg]])</f>
        <v>0</v>
      </c>
      <c r="AX7" s="41"/>
      <c r="AY7" s="41"/>
      <c r="AZ7" s="41"/>
      <c r="BA7" s="41"/>
      <c r="BB7" s="41"/>
      <c r="BC7" s="41"/>
      <c r="BD7" s="41">
        <f>inpat_T[[D_hts_tst_pos_inpat_u15_fy19]:[D_hts_tst_pos_inpat_u15_fy19]]*inpat_T[A_hts_tst_inpat_u1_unk_pos]</f>
        <v>0</v>
      </c>
      <c r="BE7" s="41">
        <f>inpat_T[[D_hts_tst_pos_inpat_u15_fy19]:[D_hts_tst_pos_inpat_u15_fy19]]*inpat_T[A_hts_tst_inpat_0109_unk_pos]</f>
        <v>0</v>
      </c>
      <c r="BF7" s="41">
        <f>inpat_T[[D_hts_tst_pos_inpat_u15_fy19]:[D_hts_tst_pos_inpat_u15_fy19]]*inpat_T[A_hts_tst_inpat_1014_f_pos]</f>
        <v>0</v>
      </c>
      <c r="BG7" s="41">
        <f>inpat_T[[D_hts_tst_pos_inpat_u15_fy19]:[D_hts_tst_pos_inpat_u15_fy19]]*inpat_T[A_hts_tst_inpat_1014_m_pos]</f>
        <v>0</v>
      </c>
      <c r="BH7" s="41">
        <f>inpat_T[[D_hts_tst_neg_inpat_u15_fy19]:[D_hts_tst_neg_inpat_u15_fy19]]*inpat_T[A_hts_tst_inpat_u1_unk_neg]</f>
        <v>0</v>
      </c>
      <c r="BI7" s="41">
        <f>inpat_T[[D_hts_tst_neg_inpat_u15_fy19]:[D_hts_tst_neg_inpat_u15_fy19]]*inpat_T[A_hts_tst_inpat_0109_unk_neg]</f>
        <v>0</v>
      </c>
      <c r="BJ7" s="41">
        <f>inpat_T[[D_hts_tst_neg_inpat_u15_fy19]:[D_hts_tst_neg_inpat_u15_fy19]]*inpat_T[A_hts_tst_inpat_1014_f_neg]</f>
        <v>0</v>
      </c>
      <c r="BK7" s="41">
        <f>inpat_T[[D_hts_tst_neg_inpat_u15_fy19]:[D_hts_tst_neg_inpat_u15_fy19]]*inpat_T[A_hts_tst_inpat_1014_m_neg]</f>
        <v>0</v>
      </c>
      <c r="BL7" s="41">
        <f>inpat_T[[D_hts_tst_pos_inpat_o15_fy19]:[D_hts_tst_pos_inpat_o15_fy19]]*inpat_T[A_hts_tst_inpat_1519_f_pos]</f>
        <v>0</v>
      </c>
      <c r="BM7" s="41">
        <f>inpat_T[[D_hts_tst_pos_inpat_o15_fy19]:[D_hts_tst_pos_inpat_o15_fy19]]*inpat_T[A_hts_tst_inpat_1519_m_pos]</f>
        <v>0</v>
      </c>
      <c r="BN7" s="41">
        <f>inpat_T[[D_hts_tst_pos_inpat_o15_fy19]:[D_hts_tst_pos_inpat_o15_fy19]]*inpat_T[A_hts_tst_inpat_2024_f_pos]</f>
        <v>0</v>
      </c>
      <c r="BO7" s="41">
        <f>inpat_T[[D_hts_tst_pos_inpat_o15_fy19]:[D_hts_tst_pos_inpat_o15_fy19]]*inpat_T[A_hts_tst_inpat_2024_m_pos]</f>
        <v>0</v>
      </c>
      <c r="BP7" s="41">
        <f>inpat_T[[D_hts_tst_pos_inpat_o15_fy19]:[D_hts_tst_pos_inpat_o15_fy19]]*inpat_T[A_hts_tst_inpat_2529_f_pos]</f>
        <v>0</v>
      </c>
      <c r="BQ7" s="41">
        <f>inpat_T[[D_hts_tst_pos_inpat_o15_fy19]:[D_hts_tst_pos_inpat_o15_fy19]]*inpat_T[A_hts_tst_inpat_2529_m_pos]</f>
        <v>0</v>
      </c>
      <c r="BR7" s="41">
        <f>inpat_T[[D_hts_tst_pos_inpat_o15_fy19]:[D_hts_tst_pos_inpat_o15_fy19]]*inpat_T[A_hts_tst_inpat_3034_f_pos]</f>
        <v>0</v>
      </c>
      <c r="BS7" s="41">
        <f>inpat_T[[D_hts_tst_pos_inpat_o15_fy19]:[D_hts_tst_pos_inpat_o15_fy19]]*inpat_T[A_hts_tst_inpat_3034_m__pos]</f>
        <v>0</v>
      </c>
      <c r="BT7" s="41">
        <f>inpat_T[[D_hts_tst_pos_inpat_o15_fy19]:[D_hts_tst_pos_inpat_o15_fy19]]*inpat_T[A_hts_tst_inpat_3539_f_pos]</f>
        <v>0</v>
      </c>
      <c r="BU7" s="41">
        <f>inpat_T[[D_hts_tst_pos_inpat_o15_fy19]:[D_hts_tst_pos_inpat_o15_fy19]]*inpat_T[A_hts_tst_inpat_3539_m__pos]</f>
        <v>0</v>
      </c>
      <c r="BV7" s="41">
        <f>inpat_T[[D_hts_tst_pos_inpat_o15_fy19]:[D_hts_tst_pos_inpat_o15_fy19]]*inpat_T[A_hts_tst_inpat_4049_f_pos]</f>
        <v>0</v>
      </c>
      <c r="BW7" s="41">
        <f>inpat_T[[D_hts_tst_pos_inpat_o15_fy19]:[D_hts_tst_pos_inpat_o15_fy19]]*inpat_T[A_hts_tst_inpat_4049_m_pos]</f>
        <v>0</v>
      </c>
      <c r="BX7" s="41">
        <f>inpat_T[[D_hts_tst_pos_inpat_o15_fy19]:[D_hts_tst_pos_inpat_o15_fy19]]*inpat_T[A_hts_tst_inpat_o50_f_pos]</f>
        <v>0</v>
      </c>
      <c r="BY7" s="41">
        <f>inpat_T[[D_hts_tst_pos_inpat_o15_fy19]:[D_hts_tst_pos_inpat_o15_fy19]]*inpat_T[A_hts_tst_inpat_o50_m_pos]</f>
        <v>0</v>
      </c>
      <c r="BZ7" s="41">
        <f>inpat_T[[D_hts_tst_neg_inpat_o15_fy19]:[D_hts_tst_neg_inpat_o15_fy19]]*inpat_T[A_hts_tst_inpat_1519_f_neg]</f>
        <v>0</v>
      </c>
      <c r="CA7" s="41">
        <f>inpat_T[[D_hts_tst_neg_inpat_o15_fy19]:[D_hts_tst_neg_inpat_o15_fy19]]*inpat_T[A_hts_tst_inpat_1519_m_neg]</f>
        <v>0</v>
      </c>
      <c r="CB7" s="41">
        <f>inpat_T[[D_hts_tst_neg_inpat_o15_fy19]:[D_hts_tst_neg_inpat_o15_fy19]]*inpat_T[A_hts_tst_inpat_2024_f_neg]</f>
        <v>0</v>
      </c>
      <c r="CC7" s="41">
        <f>inpat_T[[D_hts_tst_neg_inpat_o15_fy19]:[D_hts_tst_neg_inpat_o15_fy19]]*inpat_T[A_hts_tst_inpat_2024_m_neg]</f>
        <v>0</v>
      </c>
      <c r="CD7" s="41">
        <f>inpat_T[[D_hts_tst_neg_inpat_o15_fy19]:[D_hts_tst_neg_inpat_o15_fy19]]*inpat_T[A_hts_tst_inpat_2529_f_neg]</f>
        <v>0</v>
      </c>
      <c r="CE7" s="41">
        <f>inpat_T[[D_hts_tst_neg_inpat_o15_fy19]:[D_hts_tst_neg_inpat_o15_fy19]]*inpat_T[A_hts_tst_inpat_2529_m_neg]</f>
        <v>0</v>
      </c>
      <c r="CF7" s="41">
        <f>inpat_T[[D_hts_tst_neg_inpat_o15_fy19]:[D_hts_tst_neg_inpat_o15_fy19]]*inpat_T[A_hts_tst_inpat_3034_f_neg]</f>
        <v>0</v>
      </c>
      <c r="CG7" s="41">
        <f>inpat_T[[D_hts_tst_neg_inpat_o15_fy19]:[D_hts_tst_neg_inpat_o15_fy19]]*inpat_T[A_hts_tst_inpat_3034_m_neg]</f>
        <v>0</v>
      </c>
      <c r="CH7" s="41">
        <f>inpat_T[[D_hts_tst_neg_inpat_o15_fy19]:[D_hts_tst_neg_inpat_o15_fy19]]*inpat_T[A_hts_tst_inpat_3539_f_neg]</f>
        <v>0</v>
      </c>
      <c r="CI7" s="41">
        <f>inpat_T[[D_hts_tst_neg_inpat_o15_fy19]:[D_hts_tst_neg_inpat_o15_fy19]]*inpat_T[A_hts_tst_inpat_3539_m_neg]</f>
        <v>0</v>
      </c>
      <c r="CJ7" s="41">
        <f>inpat_T[[D_hts_tst_neg_inpat_o15_fy19]:[D_hts_tst_neg_inpat_o15_fy19]]*inpat_T[A_hts_tst_inpat_4049_f_neg]</f>
        <v>0</v>
      </c>
      <c r="CK7" s="41">
        <f>inpat_T[[D_hts_tst_neg_inpat_o15_fy19]:[D_hts_tst_neg_inpat_o15_fy19]]*inpat_T[A_hts_tst_inpat_4049_m_neg]</f>
        <v>0</v>
      </c>
      <c r="CL7" s="41">
        <f>inpat_T[[D_hts_tst_neg_inpat_o15_fy19]:[D_hts_tst_neg_inpat_o15_fy19]]*inpat_T[A_hts_tst_inpat_o50_f_neg]</f>
        <v>0</v>
      </c>
      <c r="CM7" s="41">
        <f>inpat_T[[D_hts_tst_neg_inpat_o15_fy19]:[D_hts_tst_neg_inpat_o15_fy19]]*inpat_T[A_hts_tst_inpat_o50_m_neg]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620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6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5" sqref="A5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1131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86" t="s">
        <v>1630</v>
      </c>
      <c r="AU3" s="86"/>
      <c r="AV3" s="86"/>
      <c r="AW3" s="86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87" t="s">
        <v>564</v>
      </c>
      <c r="AU4" s="87" t="s">
        <v>563</v>
      </c>
      <c r="AV4" s="87" t="s">
        <v>507</v>
      </c>
      <c r="AW4" s="87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SUBTOTAL(109,emergency_T[hts_tst_emergency_u1_unk_pos])</f>
        <v>0</v>
      </c>
      <c r="BE5" s="47">
        <f>SUBTOTAL(109,emergency_T[hts_tst_emergency_0109_unk_pos])</f>
        <v>0</v>
      </c>
      <c r="BF5" s="47">
        <f>SUBTOTAL(109,emergency_T[hts_tst_emergency_1014_f_pos])</f>
        <v>0</v>
      </c>
      <c r="BG5" s="47">
        <f>SUBTOTAL(109,emergency_T[hts_tst_emergency_1014_m_pos])</f>
        <v>0</v>
      </c>
      <c r="BH5" s="47">
        <f>SUBTOTAL(109,emergency_T[hts_tst_emergency_u1_unk_neg])</f>
        <v>0</v>
      </c>
      <c r="BI5" s="47">
        <f>SUBTOTAL(109,emergency_T[hts_tst_emergency_0109_unk_neg])</f>
        <v>0</v>
      </c>
      <c r="BJ5" s="47">
        <f>SUBTOTAL(109,emergency_T[hts_tst_emergency_1014_f_neg])</f>
        <v>0</v>
      </c>
      <c r="BK5" s="47">
        <f>SUBTOTAL(109,emergency_T[hts_tst_emergency_1014_m_neg])</f>
        <v>0</v>
      </c>
      <c r="BL5" s="47">
        <f>SUBTOTAL(109,emergency_T[hts_tst_emergency_1519_f_pos])</f>
        <v>0</v>
      </c>
      <c r="BM5" s="47">
        <f>SUBTOTAL(109,emergency_T[hts_tst_emergency_1519_m_pos])</f>
        <v>0</v>
      </c>
      <c r="BN5" s="47">
        <f>SUBTOTAL(109,emergency_T[hts_tst_emergency_2024_f_pos])</f>
        <v>0</v>
      </c>
      <c r="BO5" s="47">
        <f>SUBTOTAL(109,emergency_T[hts_tst_emergency_2024_m_pos])</f>
        <v>0</v>
      </c>
      <c r="BP5" s="47">
        <f>SUBTOTAL(109,emergency_T[hts_tst_emergency_2529_f_pos])</f>
        <v>0</v>
      </c>
      <c r="BQ5" s="47">
        <f>SUBTOTAL(109,emergency_T[hts_tst_emergency_2529_m_pos])</f>
        <v>0</v>
      </c>
      <c r="BR5" s="47">
        <f>SUBTOTAL(109,emergency_T[hts_tst_emergency_3034_f_pos])</f>
        <v>0</v>
      </c>
      <c r="BS5" s="47">
        <f>SUBTOTAL(109,emergency_T[hts_tst_emergency_3034_m_pos])</f>
        <v>0</v>
      </c>
      <c r="BT5" s="47">
        <f>SUBTOTAL(109,emergency_T[hts_tst_emergency_3539_f_pos])</f>
        <v>0</v>
      </c>
      <c r="BU5" s="47">
        <f>SUBTOTAL(109,emergency_T[hts_tst_emergency_3539_m_pos])</f>
        <v>0</v>
      </c>
      <c r="BV5" s="47">
        <f>SUBTOTAL(109,emergency_T[hts_tst_emergency_4049_f_pos])</f>
        <v>0</v>
      </c>
      <c r="BW5" s="47">
        <f>SUBTOTAL(109,emergency_T[hts_tst_emergency_4049_m_pos])</f>
        <v>0</v>
      </c>
      <c r="BX5" s="47">
        <f>SUBTOTAL(109,emergency_T[hts_tst_emergency_o50_f_pos])</f>
        <v>0</v>
      </c>
      <c r="BY5" s="47">
        <f>SUBTOTAL(109,emergency_T[hts_tst_emergency_o50_m_pos])</f>
        <v>0</v>
      </c>
      <c r="BZ5" s="47">
        <f>SUBTOTAL(109,emergency_T[hts_tst_emergency_1519_f_neg])</f>
        <v>0</v>
      </c>
      <c r="CA5" s="47">
        <f>SUBTOTAL(109,emergency_T[hts_tst_emergency_1519_m_neg])</f>
        <v>0</v>
      </c>
      <c r="CB5" s="47">
        <f>SUBTOTAL(109,emergency_T[hts_tst_emergency_2024_f_neg])</f>
        <v>0</v>
      </c>
      <c r="CC5" s="47">
        <f>SUBTOTAL(109,emergency_T[hts_tst_emergency_2024_m_neg])</f>
        <v>0</v>
      </c>
      <c r="CD5" s="47">
        <f>SUBTOTAL(109,emergency_T[hts_tst_emergency_2529_f_neg])</f>
        <v>0</v>
      </c>
      <c r="CE5" s="47">
        <f>SUBTOTAL(109,emergency_T[hts_tst_emergency_2529_m_neg])</f>
        <v>0</v>
      </c>
      <c r="CF5" s="47">
        <f>SUBTOTAL(109,emergency_T[hts_tst_emergency_3034_f_neg])</f>
        <v>0</v>
      </c>
      <c r="CG5" s="47">
        <f>SUBTOTAL(109,emergency_T[hts_tst_emergency_3034_m_neg])</f>
        <v>0</v>
      </c>
      <c r="CH5" s="47">
        <f>SUBTOTAL(109,emergency_T[hts_tst_emergency_3539_f_neg])</f>
        <v>0</v>
      </c>
      <c r="CI5" s="47">
        <f>SUBTOTAL(109,emergency_T[hts_tst_emergency_3539_m_neg])</f>
        <v>0</v>
      </c>
      <c r="CJ5" s="47">
        <f>SUBTOTAL(109,emergency_T[hts_tst_emergency_4049_f_neg])</f>
        <v>0</v>
      </c>
      <c r="CK5" s="47">
        <f>SUBTOTAL(109,emergency_T[hts_tst_emergency_4049_m_neg])</f>
        <v>0</v>
      </c>
      <c r="CL5" s="47">
        <f>SUBTOTAL(109,emergency_T[hts_tst_emergency_o50_f_neg])</f>
        <v>0</v>
      </c>
      <c r="CM5" s="47">
        <f>SUBTOTAL(109,emergency_T[hts_tst_emergency_o50_m_neg])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1132</v>
      </c>
      <c r="K6" s="25" t="s">
        <v>1133</v>
      </c>
      <c r="L6" s="25" t="s">
        <v>1134</v>
      </c>
      <c r="M6" s="25" t="s">
        <v>1135</v>
      </c>
      <c r="N6" s="25" t="s">
        <v>1136</v>
      </c>
      <c r="O6" s="25" t="s">
        <v>1137</v>
      </c>
      <c r="P6" s="25" t="s">
        <v>1138</v>
      </c>
      <c r="Q6" s="25" t="s">
        <v>1139</v>
      </c>
      <c r="R6" s="25" t="s">
        <v>1140</v>
      </c>
      <c r="S6" s="25" t="s">
        <v>1141</v>
      </c>
      <c r="T6" s="25" t="s">
        <v>1142</v>
      </c>
      <c r="U6" s="25" t="s">
        <v>1143</v>
      </c>
      <c r="V6" s="25" t="s">
        <v>1144</v>
      </c>
      <c r="W6" s="25" t="s">
        <v>1145</v>
      </c>
      <c r="X6" s="25" t="s">
        <v>1146</v>
      </c>
      <c r="Y6" s="25" t="s">
        <v>1147</v>
      </c>
      <c r="Z6" s="25" t="s">
        <v>1148</v>
      </c>
      <c r="AA6" s="25" t="s">
        <v>1149</v>
      </c>
      <c r="AB6" s="25" t="s">
        <v>1150</v>
      </c>
      <c r="AC6" s="25" t="s">
        <v>1151</v>
      </c>
      <c r="AD6" s="25" t="s">
        <v>1152</v>
      </c>
      <c r="AE6" s="25" t="s">
        <v>1153</v>
      </c>
      <c r="AF6" s="25" t="s">
        <v>1154</v>
      </c>
      <c r="AG6" s="25" t="s">
        <v>1155</v>
      </c>
      <c r="AH6" s="25" t="s">
        <v>1156</v>
      </c>
      <c r="AI6" s="25" t="s">
        <v>1157</v>
      </c>
      <c r="AJ6" s="25" t="s">
        <v>1158</v>
      </c>
      <c r="AK6" s="25" t="s">
        <v>1159</v>
      </c>
      <c r="AL6" s="25" t="s">
        <v>1160</v>
      </c>
      <c r="AM6" s="25" t="s">
        <v>1161</v>
      </c>
      <c r="AN6" s="25" t="s">
        <v>1162</v>
      </c>
      <c r="AO6" s="25" t="s">
        <v>1163</v>
      </c>
      <c r="AP6" s="25" t="s">
        <v>1164</v>
      </c>
      <c r="AQ6" s="25" t="s">
        <v>1165</v>
      </c>
      <c r="AR6" s="25" t="s">
        <v>1166</v>
      </c>
      <c r="AS6" s="25" t="s">
        <v>1167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245</v>
      </c>
      <c r="AY6" s="25" t="s">
        <v>257</v>
      </c>
      <c r="AZ6" s="25" t="s">
        <v>1168</v>
      </c>
      <c r="BA6" s="25" t="s">
        <v>225</v>
      </c>
      <c r="BB6" s="25" t="s">
        <v>235</v>
      </c>
      <c r="BC6" s="25" t="s">
        <v>1169</v>
      </c>
      <c r="BD6" s="25" t="s">
        <v>1170</v>
      </c>
      <c r="BE6" s="25" t="s">
        <v>1171</v>
      </c>
      <c r="BF6" s="25" t="s">
        <v>1172</v>
      </c>
      <c r="BG6" s="25" t="s">
        <v>1173</v>
      </c>
      <c r="BH6" s="25" t="s">
        <v>1174</v>
      </c>
      <c r="BI6" s="25" t="s">
        <v>1175</v>
      </c>
      <c r="BJ6" s="25" t="s">
        <v>1176</v>
      </c>
      <c r="BK6" s="25" t="s">
        <v>1177</v>
      </c>
      <c r="BL6" s="25" t="s">
        <v>1178</v>
      </c>
      <c r="BM6" s="25" t="s">
        <v>1179</v>
      </c>
      <c r="BN6" s="25" t="s">
        <v>1180</v>
      </c>
      <c r="BO6" s="25" t="s">
        <v>1181</v>
      </c>
      <c r="BP6" s="25" t="s">
        <v>1182</v>
      </c>
      <c r="BQ6" s="25" t="s">
        <v>1183</v>
      </c>
      <c r="BR6" s="25" t="s">
        <v>1184</v>
      </c>
      <c r="BS6" s="25" t="s">
        <v>1185</v>
      </c>
      <c r="BT6" s="25" t="s">
        <v>1186</v>
      </c>
      <c r="BU6" s="25" t="s">
        <v>1187</v>
      </c>
      <c r="BV6" s="25" t="s">
        <v>1188</v>
      </c>
      <c r="BW6" s="25" t="s">
        <v>1189</v>
      </c>
      <c r="BX6" s="25" t="s">
        <v>1190</v>
      </c>
      <c r="BY6" s="25" t="s">
        <v>1191</v>
      </c>
      <c r="BZ6" s="25" t="s">
        <v>1192</v>
      </c>
      <c r="CA6" s="25" t="s">
        <v>1193</v>
      </c>
      <c r="CB6" s="25" t="s">
        <v>1194</v>
      </c>
      <c r="CC6" s="25" t="s">
        <v>1195</v>
      </c>
      <c r="CD6" s="25" t="s">
        <v>1196</v>
      </c>
      <c r="CE6" s="25" t="s">
        <v>1197</v>
      </c>
      <c r="CF6" s="25" t="s">
        <v>1198</v>
      </c>
      <c r="CG6" s="25" t="s">
        <v>1199</v>
      </c>
      <c r="CH6" s="25" t="s">
        <v>1200</v>
      </c>
      <c r="CI6" s="25" t="s">
        <v>1201</v>
      </c>
      <c r="CJ6" s="25" t="s">
        <v>1202</v>
      </c>
      <c r="CK6" s="25" t="s">
        <v>1203</v>
      </c>
      <c r="CL6" s="25" t="s">
        <v>1204</v>
      </c>
      <c r="CM6" s="25" t="s">
        <v>1205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SUM(emergency_T[[#This Row],[A_hts_tst_emergency_u1_unk_pos]:[A_hts_tst_emergency_1014_m_pos]])</f>
        <v>0</v>
      </c>
      <c r="AU7" s="94">
        <f>SUM(emergency_T[[#This Row],[A_hts_tst_emergency_u1_unk_neg]:[A_hts_tst_emergency_1014_m_neg]])</f>
        <v>0</v>
      </c>
      <c r="AV7" s="94">
        <f>SUM(emergency_T[[#This Row],[A_hts_tst_emergency_1519_f_pos]:[A_hts_tst_emergency_o50_m_pos]])</f>
        <v>0</v>
      </c>
      <c r="AW7" s="94">
        <f>SUM(emergency_T[[#This Row],[A_hts_tst_emergency_1519_f_neg]:[A_hts_tst_emergency_o50_m_neg]])</f>
        <v>0</v>
      </c>
      <c r="AX7" s="41"/>
      <c r="AY7" s="41"/>
      <c r="AZ7" s="41"/>
      <c r="BA7" s="41"/>
      <c r="BB7" s="41"/>
      <c r="BC7" s="41"/>
      <c r="BD7" s="41">
        <f>emergency_T[[D_hts_tst_pos_emergency_u15_fy19]:[D_hts_tst_pos_emergency_u15_fy19]]*emergency_T[A_hts_tst_emergency_u1_unk_pos]</f>
        <v>0</v>
      </c>
      <c r="BE7" s="41">
        <f>emergency_T[[D_hts_tst_pos_emergency_u15_fy19]:[D_hts_tst_pos_emergency_u15_fy19]]*emergency_T[A_hts_tst_emergency_0109_unk_pos]</f>
        <v>0</v>
      </c>
      <c r="BF7" s="41">
        <f>emergency_T[[D_hts_tst_pos_emergency_u15_fy19]:[D_hts_tst_pos_emergency_u15_fy19]]*emergency_T[A_hts_tst_emergency_1014_f_pos]</f>
        <v>0</v>
      </c>
      <c r="BG7" s="41">
        <f>emergency_T[[D_hts_tst_pos_emergency_u15_fy19]:[D_hts_tst_pos_emergency_u15_fy19]]*emergency_T[A_hts_tst_emergency_1014_m_pos]</f>
        <v>0</v>
      </c>
      <c r="BH7" s="41">
        <f>emergency_T[[D_hts_tst_neg_emergency_u15_fy19]:[D_hts_tst_neg_emergency_u15_fy19]]*emergency_T[A_hts_tst_emergency_u1_unk_neg]</f>
        <v>0</v>
      </c>
      <c r="BI7" s="41">
        <f>emergency_T[[D_hts_tst_neg_emergency_u15_fy19]:[D_hts_tst_neg_emergency_u15_fy19]]*emergency_T[A_hts_tst_emergency_0109_unk_neg]</f>
        <v>0</v>
      </c>
      <c r="BJ7" s="41">
        <f>emergency_T[[D_hts_tst_neg_emergency_u15_fy19]:[D_hts_tst_neg_emergency_u15_fy19]]*emergency_T[A_hts_tst_emergency_1014_f_neg]</f>
        <v>0</v>
      </c>
      <c r="BK7" s="41">
        <f>emergency_T[[D_hts_tst_neg_emergency_u15_fy19]:[D_hts_tst_neg_emergency_u15_fy19]]*emergency_T[A_hts_tst_emergency_1014_m_neg]</f>
        <v>0</v>
      </c>
      <c r="BL7" s="41">
        <f>emergency_T[[D_hts_tst_pos_emergency_o15_fy19]:[D_hts_tst_pos_emergency_o15_fy19]]*emergency_T[A_hts_tst_emergency_1519_f_pos]</f>
        <v>0</v>
      </c>
      <c r="BM7" s="41">
        <f>emergency_T[[D_hts_tst_pos_emergency_o15_fy19]:[D_hts_tst_pos_emergency_o15_fy19]]*emergency_T[A_hts_tst_emergency_1519_m_pos]</f>
        <v>0</v>
      </c>
      <c r="BN7" s="41">
        <f>emergency_T[[D_hts_tst_pos_emergency_o15_fy19]:[D_hts_tst_pos_emergency_o15_fy19]]*emergency_T[A_hts_tst_emergency_2024_f_pos]</f>
        <v>0</v>
      </c>
      <c r="BO7" s="41">
        <f>emergency_T[[D_hts_tst_pos_emergency_o15_fy19]:[D_hts_tst_pos_emergency_o15_fy19]]*emergency_T[A_hts_tst_emergency_2024_m_pos]</f>
        <v>0</v>
      </c>
      <c r="BP7" s="41">
        <f>emergency_T[[D_hts_tst_pos_emergency_o15_fy19]:[D_hts_tst_pos_emergency_o15_fy19]]*emergency_T[A_hts_tst_emergency_2529_f_pos]</f>
        <v>0</v>
      </c>
      <c r="BQ7" s="41">
        <f>emergency_T[[D_hts_tst_pos_emergency_o15_fy19]:[D_hts_tst_pos_emergency_o15_fy19]]*emergency_T[A_hts_tst_emergency_2529_m_pos]</f>
        <v>0</v>
      </c>
      <c r="BR7" s="41">
        <f>emergency_T[[D_hts_tst_pos_emergency_o15_fy19]:[D_hts_tst_pos_emergency_o15_fy19]]*emergency_T[A_hts_tst_emergency_3034_f_pos]</f>
        <v>0</v>
      </c>
      <c r="BS7" s="41">
        <f>emergency_T[[D_hts_tst_pos_emergency_o15_fy19]:[D_hts_tst_pos_emergency_o15_fy19]]*emergency_T[A_hts_tst_emergency_3034_m__pos]</f>
        <v>0</v>
      </c>
      <c r="BT7" s="41">
        <f>emergency_T[[D_hts_tst_pos_emergency_o15_fy19]:[D_hts_tst_pos_emergency_o15_fy19]]*emergency_T[A_hts_tst_emergency_3539_f_pos]</f>
        <v>0</v>
      </c>
      <c r="BU7" s="41">
        <f>emergency_T[[D_hts_tst_pos_emergency_o15_fy19]:[D_hts_tst_pos_emergency_o15_fy19]]*emergency_T[A_hts_tst_emergency_3539_m__pos]</f>
        <v>0</v>
      </c>
      <c r="BV7" s="41">
        <f>emergency_T[[D_hts_tst_pos_emergency_o15_fy19]:[D_hts_tst_pos_emergency_o15_fy19]]*emergency_T[A_hts_tst_emergency_4049_f_pos]</f>
        <v>0</v>
      </c>
      <c r="BW7" s="41">
        <f>emergency_T[[D_hts_tst_pos_emergency_o15_fy19]:[D_hts_tst_pos_emergency_o15_fy19]]*emergency_T[A_hts_tst_emergency_4049_m_pos]</f>
        <v>0</v>
      </c>
      <c r="BX7" s="41">
        <f>emergency_T[[D_hts_tst_pos_emergency_o15_fy19]:[D_hts_tst_pos_emergency_o15_fy19]]*emergency_T[A_hts_tst_emergency_o50_f_pos]</f>
        <v>0</v>
      </c>
      <c r="BY7" s="41">
        <f>emergency_T[[D_hts_tst_pos_emergency_o15_fy19]:[D_hts_tst_pos_emergency_o15_fy19]]*emergency_T[A_hts_tst_emergency_o50_m_pos]</f>
        <v>0</v>
      </c>
      <c r="BZ7" s="41">
        <f>emergency_T[[D_hts_tst_neg_emergency_o15_fy19]:[D_hts_tst_neg_emergency_o15_fy19]]*emergency_T[A_hts_tst_emergency_1519_f_neg]</f>
        <v>0</v>
      </c>
      <c r="CA7" s="41">
        <f>emergency_T[[D_hts_tst_neg_emergency_o15_fy19]:[D_hts_tst_neg_emergency_o15_fy19]]*emergency_T[A_hts_tst_emergency_1519_m_neg]</f>
        <v>0</v>
      </c>
      <c r="CB7" s="41">
        <f>emergency_T[[D_hts_tst_neg_emergency_o15_fy19]:[D_hts_tst_neg_emergency_o15_fy19]]*emergency_T[A_hts_tst_emergency_2024_f_neg]</f>
        <v>0</v>
      </c>
      <c r="CC7" s="41">
        <f>emergency_T[[D_hts_tst_neg_emergency_o15_fy19]:[D_hts_tst_neg_emergency_o15_fy19]]*emergency_T[A_hts_tst_emergency_2024_m_neg]</f>
        <v>0</v>
      </c>
      <c r="CD7" s="41">
        <f>emergency_T[[D_hts_tst_neg_emergency_o15_fy19]:[D_hts_tst_neg_emergency_o15_fy19]]*emergency_T[A_hts_tst_emergency_2529_f_neg]</f>
        <v>0</v>
      </c>
      <c r="CE7" s="41">
        <f>emergency_T[[D_hts_tst_neg_emergency_o15_fy19]:[D_hts_tst_neg_emergency_o15_fy19]]*emergency_T[A_hts_tst_emergency_2529_m_neg]</f>
        <v>0</v>
      </c>
      <c r="CF7" s="41">
        <f>emergency_T[[D_hts_tst_neg_emergency_o15_fy19]:[D_hts_tst_neg_emergency_o15_fy19]]*emergency_T[A_hts_tst_emergency_3034_f_neg]</f>
        <v>0</v>
      </c>
      <c r="CG7" s="41">
        <f>emergency_T[[D_hts_tst_neg_emergency_o15_fy19]:[D_hts_tst_neg_emergency_o15_fy19]]*emergency_T[A_hts_tst_emergency_3034_m_neg]</f>
        <v>0</v>
      </c>
      <c r="CH7" s="41">
        <f>emergency_T[[D_hts_tst_neg_emergency_o15_fy19]:[D_hts_tst_neg_emergency_o15_fy19]]*emergency_T[A_hts_tst_emergency_3539_f_neg]</f>
        <v>0</v>
      </c>
      <c r="CI7" s="41">
        <f>emergency_T[[D_hts_tst_neg_emergency_o15_fy19]:[D_hts_tst_neg_emergency_o15_fy19]]*emergency_T[A_hts_tst_emergency_3539_m_neg]</f>
        <v>0</v>
      </c>
      <c r="CJ7" s="41">
        <f>emergency_T[[D_hts_tst_neg_emergency_o15_fy19]:[D_hts_tst_neg_emergency_o15_fy19]]*emergency_T[A_hts_tst_emergency_4049_f_neg]</f>
        <v>0</v>
      </c>
      <c r="CK7" s="41">
        <f>emergency_T[[D_hts_tst_neg_emergency_o15_fy19]:[D_hts_tst_neg_emergency_o15_fy19]]*emergency_T[A_hts_tst_emergency_4049_m_neg]</f>
        <v>0</v>
      </c>
      <c r="CL7" s="41">
        <f>emergency_T[[D_hts_tst_neg_emergency_o15_fy19]:[D_hts_tst_neg_emergency_o15_fy19]]*emergency_T[A_hts_tst_emergency_o50_f_neg]</f>
        <v>0</v>
      </c>
      <c r="CM7" s="41">
        <f>emergency_T[[D_hts_tst_neg_emergency_o15_fy19]:[D_hts_tst_neg_emergency_o15_fy19]]*emergency_T[A_hts_tst_emergency_o50_m_neg]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528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7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6" sqref="A6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1206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86" t="s">
        <v>1630</v>
      </c>
      <c r="AU3" s="86"/>
      <c r="AV3" s="86"/>
      <c r="AW3" s="86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87" t="s">
        <v>564</v>
      </c>
      <c r="AU4" s="87" t="s">
        <v>563</v>
      </c>
      <c r="AV4" s="87" t="s">
        <v>507</v>
      </c>
      <c r="AW4" s="87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SUBTOTAL(109,vct_T[hts_tst_vct_u1_unk_pos])</f>
        <v>0</v>
      </c>
      <c r="BE5" s="47">
        <f>SUBTOTAL(109,vct_T[hts_tst_vct_0109_unk_pos])</f>
        <v>0</v>
      </c>
      <c r="BF5" s="47">
        <f>SUBTOTAL(109,vct_T[hts_tst_vct_1014_f_pos])</f>
        <v>0</v>
      </c>
      <c r="BG5" s="47">
        <f>SUBTOTAL(109,vct_T[hts_tst_vct_1014_m_pos])</f>
        <v>0</v>
      </c>
      <c r="BH5" s="47">
        <f>SUBTOTAL(109,vct_T[hts_tst_vct_u1_unk_neg])</f>
        <v>0</v>
      </c>
      <c r="BI5" s="47">
        <f>SUBTOTAL(109,vct_T[hts_tst_vct_0109_unk_neg])</f>
        <v>0</v>
      </c>
      <c r="BJ5" s="47">
        <f>SUBTOTAL(109,vct_T[hts_tst_vct_1014_f_neg])</f>
        <v>0</v>
      </c>
      <c r="BK5" s="47">
        <f>SUBTOTAL(109,vct_T[hts_tst_vct_1014_m_neg])</f>
        <v>0</v>
      </c>
      <c r="BL5" s="47">
        <f>SUBTOTAL(109,vct_T[hts_tst_vct_1519_f_pos])</f>
        <v>0</v>
      </c>
      <c r="BM5" s="47">
        <f>SUBTOTAL(109,vct_T[hts_tst_vct_1519_m_pos])</f>
        <v>0</v>
      </c>
      <c r="BN5" s="47">
        <f>SUBTOTAL(109,vct_T[hts_tst_vct_2024_f_pos])</f>
        <v>0</v>
      </c>
      <c r="BO5" s="47">
        <f>SUBTOTAL(109,vct_T[hts_tst_vct_2024_m_pos])</f>
        <v>0</v>
      </c>
      <c r="BP5" s="47">
        <f>SUBTOTAL(109,vct_T[hts_tst_vct_2529_f_pos])</f>
        <v>0</v>
      </c>
      <c r="BQ5" s="47">
        <f>SUBTOTAL(109,vct_T[hts_tst_vct_2529_m_pos])</f>
        <v>0</v>
      </c>
      <c r="BR5" s="47">
        <f>SUBTOTAL(109,vct_T[hts_tst_vct_3034_f_pos])</f>
        <v>0</v>
      </c>
      <c r="BS5" s="47">
        <f>SUBTOTAL(109,vct_T[hts_tst_vct_3034_m_pos])</f>
        <v>0</v>
      </c>
      <c r="BT5" s="47">
        <f>SUBTOTAL(109,vct_T[hts_tst_vct_3539_f_pos])</f>
        <v>0</v>
      </c>
      <c r="BU5" s="47">
        <f>SUBTOTAL(109,vct_T[hts_tst_vct_3539_m_pos])</f>
        <v>0</v>
      </c>
      <c r="BV5" s="47">
        <f>SUBTOTAL(109,vct_T[hts_tst_vct_4049_f_pos])</f>
        <v>0</v>
      </c>
      <c r="BW5" s="47">
        <f>SUBTOTAL(109,vct_T[hts_tst_vct_4049_m_pos])</f>
        <v>0</v>
      </c>
      <c r="BX5" s="47">
        <f>SUBTOTAL(109,vct_T[hts_tst_vct_o50_f_pos])</f>
        <v>0</v>
      </c>
      <c r="BY5" s="47">
        <f>SUBTOTAL(109,vct_T[hts_tst_vct_o50_m_pos])</f>
        <v>0</v>
      </c>
      <c r="BZ5" s="47">
        <f>SUBTOTAL(109,vct_T[hts_tst_vct_1519_f_neg])</f>
        <v>0</v>
      </c>
      <c r="CA5" s="47">
        <f>SUBTOTAL(109,vct_T[hts_tst_vct_1519_m_neg])</f>
        <v>0</v>
      </c>
      <c r="CB5" s="47">
        <f>SUBTOTAL(109,vct_T[hts_tst_vct_2024_f_neg])</f>
        <v>0</v>
      </c>
      <c r="CC5" s="47">
        <f>SUBTOTAL(109,vct_T[hts_tst_vct_2024_m_neg])</f>
        <v>0</v>
      </c>
      <c r="CD5" s="47">
        <f>SUBTOTAL(109,vct_T[hts_tst_vct_2529_f_neg])</f>
        <v>0</v>
      </c>
      <c r="CE5" s="47">
        <f>SUBTOTAL(109,vct_T[hts_tst_vct_2529_m_neg])</f>
        <v>0</v>
      </c>
      <c r="CF5" s="47">
        <f>SUBTOTAL(109,vct_T[hts_tst_vct_3034_f_neg])</f>
        <v>0</v>
      </c>
      <c r="CG5" s="47">
        <f>SUBTOTAL(109,vct_T[hts_tst_vct_3034_m_neg])</f>
        <v>0</v>
      </c>
      <c r="CH5" s="47">
        <f>SUBTOTAL(109,vct_T[hts_tst_vct_3539_f_neg])</f>
        <v>0</v>
      </c>
      <c r="CI5" s="47">
        <f>SUBTOTAL(109,vct_T[hts_tst_vct_3539_m_neg])</f>
        <v>0</v>
      </c>
      <c r="CJ5" s="47">
        <f>SUBTOTAL(109,vct_T[hts_tst_vct_4049_f_neg])</f>
        <v>0</v>
      </c>
      <c r="CK5" s="47">
        <f>SUBTOTAL(109,vct_T[hts_tst_vct_4049_m_neg])</f>
        <v>0</v>
      </c>
      <c r="CL5" s="47">
        <f>SUBTOTAL(109,vct_T[hts_tst_vct_o50_f_neg])</f>
        <v>0</v>
      </c>
      <c r="CM5" s="47">
        <f>SUBTOTAL(109,vct_T[hts_tst_vct_o50_m_neg])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1207</v>
      </c>
      <c r="K6" s="25" t="s">
        <v>1208</v>
      </c>
      <c r="L6" s="25" t="s">
        <v>1209</v>
      </c>
      <c r="M6" s="25" t="s">
        <v>1210</v>
      </c>
      <c r="N6" s="25" t="s">
        <v>1211</v>
      </c>
      <c r="O6" s="25" t="s">
        <v>1212</v>
      </c>
      <c r="P6" s="25" t="s">
        <v>1213</v>
      </c>
      <c r="Q6" s="25" t="s">
        <v>1214</v>
      </c>
      <c r="R6" s="25" t="s">
        <v>1215</v>
      </c>
      <c r="S6" s="25" t="s">
        <v>1216</v>
      </c>
      <c r="T6" s="25" t="s">
        <v>1217</v>
      </c>
      <c r="U6" s="25" t="s">
        <v>1218</v>
      </c>
      <c r="V6" s="25" t="s">
        <v>1219</v>
      </c>
      <c r="W6" s="25" t="s">
        <v>1220</v>
      </c>
      <c r="X6" s="25" t="s">
        <v>1221</v>
      </c>
      <c r="Y6" s="25" t="s">
        <v>1222</v>
      </c>
      <c r="Z6" s="25" t="s">
        <v>1223</v>
      </c>
      <c r="AA6" s="25" t="s">
        <v>1224</v>
      </c>
      <c r="AB6" s="25" t="s">
        <v>1225</v>
      </c>
      <c r="AC6" s="25" t="s">
        <v>1226</v>
      </c>
      <c r="AD6" s="25" t="s">
        <v>1227</v>
      </c>
      <c r="AE6" s="25" t="s">
        <v>1228</v>
      </c>
      <c r="AF6" s="25" t="s">
        <v>1229</v>
      </c>
      <c r="AG6" s="25" t="s">
        <v>1230</v>
      </c>
      <c r="AH6" s="25" t="s">
        <v>1231</v>
      </c>
      <c r="AI6" s="25" t="s">
        <v>1232</v>
      </c>
      <c r="AJ6" s="25" t="s">
        <v>1233</v>
      </c>
      <c r="AK6" s="25" t="s">
        <v>1234</v>
      </c>
      <c r="AL6" s="25" t="s">
        <v>1235</v>
      </c>
      <c r="AM6" s="25" t="s">
        <v>1236</v>
      </c>
      <c r="AN6" s="25" t="s">
        <v>1237</v>
      </c>
      <c r="AO6" s="25" t="s">
        <v>1238</v>
      </c>
      <c r="AP6" s="25" t="s">
        <v>1239</v>
      </c>
      <c r="AQ6" s="25" t="s">
        <v>1240</v>
      </c>
      <c r="AR6" s="25" t="s">
        <v>1241</v>
      </c>
      <c r="AS6" s="25" t="s">
        <v>1242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246</v>
      </c>
      <c r="AY6" s="25" t="s">
        <v>258</v>
      </c>
      <c r="AZ6" s="25" t="s">
        <v>1243</v>
      </c>
      <c r="BA6" s="25" t="s">
        <v>226</v>
      </c>
      <c r="BB6" s="25" t="s">
        <v>236</v>
      </c>
      <c r="BC6" s="25" t="s">
        <v>1244</v>
      </c>
      <c r="BD6" s="25" t="s">
        <v>1245</v>
      </c>
      <c r="BE6" s="25" t="s">
        <v>1246</v>
      </c>
      <c r="BF6" s="25" t="s">
        <v>1247</v>
      </c>
      <c r="BG6" s="25" t="s">
        <v>1248</v>
      </c>
      <c r="BH6" s="25" t="s">
        <v>1249</v>
      </c>
      <c r="BI6" s="25" t="s">
        <v>1250</v>
      </c>
      <c r="BJ6" s="25" t="s">
        <v>1251</v>
      </c>
      <c r="BK6" s="25" t="s">
        <v>1252</v>
      </c>
      <c r="BL6" s="25" t="s">
        <v>1253</v>
      </c>
      <c r="BM6" s="25" t="s">
        <v>1254</v>
      </c>
      <c r="BN6" s="25" t="s">
        <v>1255</v>
      </c>
      <c r="BO6" s="25" t="s">
        <v>1256</v>
      </c>
      <c r="BP6" s="25" t="s">
        <v>1257</v>
      </c>
      <c r="BQ6" s="25" t="s">
        <v>1258</v>
      </c>
      <c r="BR6" s="25" t="s">
        <v>1259</v>
      </c>
      <c r="BS6" s="25" t="s">
        <v>1260</v>
      </c>
      <c r="BT6" s="25" t="s">
        <v>1261</v>
      </c>
      <c r="BU6" s="25" t="s">
        <v>1262</v>
      </c>
      <c r="BV6" s="25" t="s">
        <v>1263</v>
      </c>
      <c r="BW6" s="25" t="s">
        <v>1264</v>
      </c>
      <c r="BX6" s="25" t="s">
        <v>1265</v>
      </c>
      <c r="BY6" s="25" t="s">
        <v>1266</v>
      </c>
      <c r="BZ6" s="25" t="s">
        <v>1267</v>
      </c>
      <c r="CA6" s="25" t="s">
        <v>1268</v>
      </c>
      <c r="CB6" s="25" t="s">
        <v>1269</v>
      </c>
      <c r="CC6" s="25" t="s">
        <v>1270</v>
      </c>
      <c r="CD6" s="25" t="s">
        <v>1271</v>
      </c>
      <c r="CE6" s="25" t="s">
        <v>1272</v>
      </c>
      <c r="CF6" s="25" t="s">
        <v>1273</v>
      </c>
      <c r="CG6" s="25" t="s">
        <v>1274</v>
      </c>
      <c r="CH6" s="25" t="s">
        <v>1275</v>
      </c>
      <c r="CI6" s="25" t="s">
        <v>1276</v>
      </c>
      <c r="CJ6" s="25" t="s">
        <v>1277</v>
      </c>
      <c r="CK6" s="25" t="s">
        <v>1278</v>
      </c>
      <c r="CL6" s="25" t="s">
        <v>1279</v>
      </c>
      <c r="CM6" s="25" t="s">
        <v>1280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SUM(vct_T[[#This Row],[A_hts_tst_vct_u1_unk_pos]:[A_hts_tst_vct_1014_m_pos]])</f>
        <v>0</v>
      </c>
      <c r="AU7" s="94">
        <f>SUM(vct_T[[#This Row],[A_hts_tst_vct_u1_unk_neg]:[A_hts_tst_vct_1014_m_neg]])</f>
        <v>0</v>
      </c>
      <c r="AV7" s="94">
        <f>SUM(vct_T[[#This Row],[A_hts_tst_vct_1519_f_pos]:[A_hts_tst_vct_o50_m_pos]])</f>
        <v>0</v>
      </c>
      <c r="AW7" s="94">
        <f>SUM(vct_T[[#This Row],[A_hts_tst_vct_1519_f_neg]:[A_hts_tst_vct_o50_m_neg]])</f>
        <v>0</v>
      </c>
      <c r="AX7" s="41"/>
      <c r="AY7" s="41"/>
      <c r="AZ7" s="41"/>
      <c r="BA7" s="41"/>
      <c r="BB7" s="41"/>
      <c r="BC7" s="41"/>
      <c r="BD7" s="41">
        <f>vct_T[[D_hts_tst_pos_vct_u15_fy19]:[D_hts_tst_pos_vct_u15_fy19]]*vct_T[A_hts_tst_vct_u1_unk_pos]</f>
        <v>0</v>
      </c>
      <c r="BE7" s="41">
        <f>vct_T[[D_hts_tst_pos_vct_u15_fy19]:[D_hts_tst_pos_vct_u15_fy19]]*vct_T[A_hts_tst_vct_0109_unk_pos]</f>
        <v>0</v>
      </c>
      <c r="BF7" s="41">
        <f>vct_T[[D_hts_tst_pos_vct_u15_fy19]:[D_hts_tst_pos_vct_u15_fy19]]*vct_T[A_hts_tst_vct_1014_f_pos]</f>
        <v>0</v>
      </c>
      <c r="BG7" s="41">
        <f>vct_T[[D_hts_tst_pos_vct_u15_fy19]:[D_hts_tst_pos_vct_u15_fy19]]*vct_T[A_hts_tst_vct_1014_m_pos]</f>
        <v>0</v>
      </c>
      <c r="BH7" s="41">
        <f>vct_T[[D_hts_tst_neg_vct_u15_fy19]:[D_hts_tst_neg_vct_u15_fy19]]*vct_T[A_hts_tst_vct_u1_unk_neg]</f>
        <v>0</v>
      </c>
      <c r="BI7" s="41">
        <f>vct_T[[D_hts_tst_neg_vct_u15_fy19]:[D_hts_tst_neg_vct_u15_fy19]]*vct_T[A_hts_tst_vct_0109_unk_neg]</f>
        <v>0</v>
      </c>
      <c r="BJ7" s="41">
        <f>vct_T[[D_hts_tst_neg_vct_u15_fy19]:[D_hts_tst_neg_vct_u15_fy19]]*vct_T[A_hts_tst_vct_1014_f_neg]</f>
        <v>0</v>
      </c>
      <c r="BK7" s="41">
        <f>vct_T[[D_hts_tst_neg_vct_u15_fy19]:[D_hts_tst_neg_vct_u15_fy19]]*vct_T[A_hts_tst_vct_1014_m_neg]</f>
        <v>0</v>
      </c>
      <c r="BL7" s="41">
        <f>vct_T[[D_hts_tst_pos_vct_o15_fy19]:[D_hts_tst_pos_vct_o15_fy19]]*vct_T[A_hts_tst_vct_1519_f_pos]</f>
        <v>0</v>
      </c>
      <c r="BM7" s="41">
        <f>vct_T[[D_hts_tst_pos_vct_o15_fy19]:[D_hts_tst_pos_vct_o15_fy19]]*vct_T[A_hts_tst_vct_1519_m_pos]</f>
        <v>0</v>
      </c>
      <c r="BN7" s="41">
        <f>vct_T[[D_hts_tst_pos_vct_o15_fy19]:[D_hts_tst_pos_vct_o15_fy19]]*vct_T[A_hts_tst_vct_2024_f_pos]</f>
        <v>0</v>
      </c>
      <c r="BO7" s="41">
        <f>vct_T[[D_hts_tst_pos_vct_o15_fy19]:[D_hts_tst_pos_vct_o15_fy19]]*vct_T[A_hts_tst_vct_2024_m_pos]</f>
        <v>0</v>
      </c>
      <c r="BP7" s="41">
        <f>vct_T[[D_hts_tst_pos_vct_o15_fy19]:[D_hts_tst_pos_vct_o15_fy19]]*vct_T[A_hts_tst_vct_2529_f_pos]</f>
        <v>0</v>
      </c>
      <c r="BQ7" s="41">
        <f>vct_T[[D_hts_tst_pos_vct_o15_fy19]:[D_hts_tst_pos_vct_o15_fy19]]*vct_T[A_hts_tst_vct_2529_m_pos]</f>
        <v>0</v>
      </c>
      <c r="BR7" s="41">
        <f>vct_T[[D_hts_tst_pos_vct_o15_fy19]:[D_hts_tst_pos_vct_o15_fy19]]*vct_T[A_hts_tst_vct_3034_f_pos]</f>
        <v>0</v>
      </c>
      <c r="BS7" s="41">
        <f>vct_T[[D_hts_tst_pos_vct_o15_fy19]:[D_hts_tst_pos_vct_o15_fy19]]*vct_T[A_hts_tst_vct_3034_m__pos]</f>
        <v>0</v>
      </c>
      <c r="BT7" s="41">
        <f>vct_T[[D_hts_tst_pos_vct_o15_fy19]:[D_hts_tst_pos_vct_o15_fy19]]*vct_T[A_hts_tst_vct_3539_f_pos]</f>
        <v>0</v>
      </c>
      <c r="BU7" s="41">
        <f>vct_T[[D_hts_tst_pos_vct_o15_fy19]:[D_hts_tst_pos_vct_o15_fy19]]*vct_T[A_hts_tst_vct_3539_m__pos]</f>
        <v>0</v>
      </c>
      <c r="BV7" s="41">
        <f>vct_T[[D_hts_tst_pos_vct_o15_fy19]:[D_hts_tst_pos_vct_o15_fy19]]*vct_T[A_hts_tst_vct_4049_f_pos]</f>
        <v>0</v>
      </c>
      <c r="BW7" s="41">
        <f>vct_T[[D_hts_tst_pos_vct_o15_fy19]:[D_hts_tst_pos_vct_o15_fy19]]*vct_T[A_hts_tst_vct_4049_m_pos]</f>
        <v>0</v>
      </c>
      <c r="BX7" s="41">
        <f>vct_T[[D_hts_tst_pos_vct_o15_fy19]:[D_hts_tst_pos_vct_o15_fy19]]*vct_T[A_hts_tst_vct_o50_f_pos]</f>
        <v>0</v>
      </c>
      <c r="BY7" s="41">
        <f>vct_T[[D_hts_tst_pos_vct_o15_fy19]:[D_hts_tst_pos_vct_o15_fy19]]*vct_T[A_hts_tst_vct_o50_m_pos]</f>
        <v>0</v>
      </c>
      <c r="BZ7" s="41">
        <f>vct_T[[D_hts_tst_neg_vct_o15_fy19]:[D_hts_tst_neg_vct_o15_fy19]]*vct_T[A_hts_tst_vct_1519_f_neg]</f>
        <v>0</v>
      </c>
      <c r="CA7" s="41">
        <f>vct_T[[D_hts_tst_neg_vct_o15_fy19]:[D_hts_tst_neg_vct_o15_fy19]]*vct_T[A_hts_tst_vct_1519_m_neg]</f>
        <v>0</v>
      </c>
      <c r="CB7" s="41">
        <f>vct_T[[D_hts_tst_neg_vct_o15_fy19]:[D_hts_tst_neg_vct_o15_fy19]]*vct_T[A_hts_tst_vct_2024_f_neg]</f>
        <v>0</v>
      </c>
      <c r="CC7" s="41">
        <f>vct_T[[D_hts_tst_neg_vct_o15_fy19]:[D_hts_tst_neg_vct_o15_fy19]]*vct_T[A_hts_tst_vct_2024_m_neg]</f>
        <v>0</v>
      </c>
      <c r="CD7" s="41">
        <f>vct_T[[D_hts_tst_neg_vct_o15_fy19]:[D_hts_tst_neg_vct_o15_fy19]]*vct_T[A_hts_tst_vct_2529_f_neg]</f>
        <v>0</v>
      </c>
      <c r="CE7" s="41">
        <f>vct_T[[D_hts_tst_neg_vct_o15_fy19]:[D_hts_tst_neg_vct_o15_fy19]]*vct_T[A_hts_tst_vct_2529_m_neg]</f>
        <v>0</v>
      </c>
      <c r="CF7" s="41">
        <f>vct_T[[D_hts_tst_neg_vct_o15_fy19]:[D_hts_tst_neg_vct_o15_fy19]]*vct_T[A_hts_tst_vct_3034_f_neg]</f>
        <v>0</v>
      </c>
      <c r="CG7" s="41">
        <f>vct_T[[D_hts_tst_neg_vct_o15_fy19]:[D_hts_tst_neg_vct_o15_fy19]]*vct_T[A_hts_tst_vct_3034_m_neg]</f>
        <v>0</v>
      </c>
      <c r="CH7" s="41">
        <f>vct_T[[D_hts_tst_neg_vct_o15_fy19]:[D_hts_tst_neg_vct_o15_fy19]]*vct_T[A_hts_tst_vct_3539_f_neg]</f>
        <v>0</v>
      </c>
      <c r="CI7" s="41">
        <f>vct_T[[D_hts_tst_neg_vct_o15_fy19]:[D_hts_tst_neg_vct_o15_fy19]]*vct_T[A_hts_tst_vct_3539_m_neg]</f>
        <v>0</v>
      </c>
      <c r="CJ7" s="41">
        <f>vct_T[[D_hts_tst_neg_vct_o15_fy19]:[D_hts_tst_neg_vct_o15_fy19]]*vct_T[A_hts_tst_vct_4049_f_neg]</f>
        <v>0</v>
      </c>
      <c r="CK7" s="41">
        <f>vct_T[[D_hts_tst_neg_vct_o15_fy19]:[D_hts_tst_neg_vct_o15_fy19]]*vct_T[A_hts_tst_vct_4049_m_neg]</f>
        <v>0</v>
      </c>
      <c r="CL7" s="41">
        <f>vct_T[[D_hts_tst_neg_vct_o15_fy19]:[D_hts_tst_neg_vct_o15_fy19]]*vct_T[A_hts_tst_vct_o50_f_neg]</f>
        <v>0</v>
      </c>
      <c r="CM7" s="41">
        <f>vct_T[[D_hts_tst_neg_vct_o15_fy19]:[D_hts_tst_neg_vct_o15_fy19]]*vct_T[A_hts_tst_vct_o50_m_neg]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436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8"/>
  <dimension ref="A1:BP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6" sqref="A6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22" width="11.5703125" style="1" customWidth="1"/>
    <col min="23" max="29" width="8.85546875"/>
    <col min="30" max="31" width="9.140625" style="56"/>
    <col min="32" max="35" width="11.5703125" style="1" customWidth="1"/>
    <col min="36" max="38" width="13" style="1" customWidth="1"/>
    <col min="39" max="40" width="11.5703125" style="56" customWidth="1"/>
    <col min="41" max="41" width="12.5703125" style="56" customWidth="1"/>
    <col min="42" max="42" width="12.140625" style="56" customWidth="1"/>
    <col min="43" max="44" width="13" style="56" customWidth="1"/>
    <col min="45" max="47" width="13" style="1" customWidth="1"/>
    <col min="48" max="54" width="8.85546875"/>
    <col min="55" max="60" width="13" style="56" customWidth="1"/>
    <col min="61" max="62" width="11.5703125" style="56" customWidth="1"/>
    <col min="63" max="68" width="13" style="56" customWidth="1"/>
    <col min="69" max="16384" width="9.140625" style="56"/>
  </cols>
  <sheetData>
    <row r="1" spans="1:68" s="1" customFormat="1" ht="23.25" x14ac:dyDescent="0.35">
      <c r="A1" s="96"/>
      <c r="C1" s="70" t="s">
        <v>428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83" t="s">
        <v>1629</v>
      </c>
      <c r="AE1" s="85"/>
      <c r="AF1" s="74" t="s">
        <v>447</v>
      </c>
      <c r="AG1" s="75"/>
      <c r="AH1" s="75"/>
      <c r="AI1" s="74" t="s">
        <v>446</v>
      </c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</row>
    <row r="2" spans="1:68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</row>
    <row r="3" spans="1:68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1635</v>
      </c>
      <c r="K3" s="44"/>
      <c r="L3" s="44"/>
      <c r="M3" s="44"/>
      <c r="N3" s="44"/>
      <c r="O3" s="44"/>
      <c r="P3" s="44"/>
      <c r="Q3" s="44"/>
      <c r="R3" s="44"/>
      <c r="S3" s="44"/>
      <c r="T3" s="42" t="s">
        <v>1636</v>
      </c>
      <c r="U3" s="44"/>
      <c r="V3" s="44"/>
      <c r="W3" s="44"/>
      <c r="X3" s="44"/>
      <c r="Y3" s="44"/>
      <c r="Z3" s="44"/>
      <c r="AA3" s="44"/>
      <c r="AB3" s="44"/>
      <c r="AC3" s="43"/>
      <c r="AD3" s="86" t="s">
        <v>1630</v>
      </c>
      <c r="AE3" s="86"/>
      <c r="AF3" s="48" t="s">
        <v>106</v>
      </c>
      <c r="AG3" s="50"/>
      <c r="AH3" s="50"/>
      <c r="AI3" s="64" t="s">
        <v>505</v>
      </c>
      <c r="AJ3" s="65"/>
      <c r="AK3" s="65"/>
      <c r="AL3" s="65"/>
      <c r="AM3" s="65"/>
      <c r="AN3" s="65"/>
      <c r="AO3" s="65"/>
      <c r="AP3" s="65"/>
      <c r="AQ3" s="65"/>
      <c r="AR3" s="66"/>
      <c r="AS3" s="64" t="s">
        <v>506</v>
      </c>
      <c r="AT3" s="65"/>
      <c r="AU3" s="65"/>
      <c r="AV3" s="65"/>
      <c r="AW3" s="65"/>
      <c r="AX3" s="65"/>
      <c r="AY3" s="65"/>
      <c r="AZ3" s="65"/>
      <c r="BA3" s="65"/>
      <c r="BB3" s="66"/>
    </row>
    <row r="4" spans="1:68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1462</v>
      </c>
      <c r="K4" s="13" t="s">
        <v>1463</v>
      </c>
      <c r="L4" s="13" t="s">
        <v>82</v>
      </c>
      <c r="M4" s="13" t="s">
        <v>84</v>
      </c>
      <c r="N4" s="13" t="s">
        <v>87</v>
      </c>
      <c r="O4" s="13" t="s">
        <v>89</v>
      </c>
      <c r="P4" s="13" t="s">
        <v>91</v>
      </c>
      <c r="Q4" s="13" t="s">
        <v>93</v>
      </c>
      <c r="R4" s="13" t="s">
        <v>95</v>
      </c>
      <c r="S4" s="13" t="s">
        <v>97</v>
      </c>
      <c r="T4" s="8" t="s">
        <v>1464</v>
      </c>
      <c r="U4" s="13" t="s">
        <v>1465</v>
      </c>
      <c r="V4" s="13" t="s">
        <v>512</v>
      </c>
      <c r="W4" s="13" t="s">
        <v>514</v>
      </c>
      <c r="X4" s="13" t="s">
        <v>516</v>
      </c>
      <c r="Y4" s="13" t="s">
        <v>518</v>
      </c>
      <c r="Z4" s="13" t="s">
        <v>520</v>
      </c>
      <c r="AA4" s="13" t="s">
        <v>522</v>
      </c>
      <c r="AB4" s="13" t="s">
        <v>524</v>
      </c>
      <c r="AC4" s="9" t="s">
        <v>526</v>
      </c>
      <c r="AD4" s="87" t="s">
        <v>1637</v>
      </c>
      <c r="AE4" s="87" t="s">
        <v>1638</v>
      </c>
      <c r="AF4" s="10" t="s">
        <v>14</v>
      </c>
      <c r="AG4" s="11" t="s">
        <v>427</v>
      </c>
      <c r="AH4" s="11" t="s">
        <v>1488</v>
      </c>
      <c r="AI4" s="67" t="s">
        <v>1462</v>
      </c>
      <c r="AJ4" s="68" t="s">
        <v>1463</v>
      </c>
      <c r="AK4" s="68" t="s">
        <v>82</v>
      </c>
      <c r="AL4" s="68" t="s">
        <v>84</v>
      </c>
      <c r="AM4" s="68" t="s">
        <v>87</v>
      </c>
      <c r="AN4" s="68" t="s">
        <v>89</v>
      </c>
      <c r="AO4" s="68" t="s">
        <v>91</v>
      </c>
      <c r="AP4" s="68" t="s">
        <v>93</v>
      </c>
      <c r="AQ4" s="68" t="s">
        <v>95</v>
      </c>
      <c r="AR4" s="69" t="s">
        <v>97</v>
      </c>
      <c r="AS4" s="67" t="s">
        <v>1464</v>
      </c>
      <c r="AT4" s="68" t="s">
        <v>1465</v>
      </c>
      <c r="AU4" s="68" t="s">
        <v>512</v>
      </c>
      <c r="AV4" s="68" t="s">
        <v>514</v>
      </c>
      <c r="AW4" s="68" t="s">
        <v>516</v>
      </c>
      <c r="AX4" s="68" t="s">
        <v>518</v>
      </c>
      <c r="AY4" s="68" t="s">
        <v>520</v>
      </c>
      <c r="AZ4" s="68" t="s">
        <v>522</v>
      </c>
      <c r="BA4" s="68" t="s">
        <v>524</v>
      </c>
      <c r="BB4" s="69" t="s">
        <v>526</v>
      </c>
    </row>
    <row r="5" spans="1:68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I5" s="47">
        <f>SUBTOTAL(109,vmmc_T[hts_tst_vmmc_u1_m_pos])</f>
        <v>0</v>
      </c>
      <c r="AJ5" s="47">
        <f>SUBTOTAL(109,vmmc_T[hts_tst_vmmc_0109_m_pos])</f>
        <v>0</v>
      </c>
      <c r="AK5" s="47">
        <f>SUBTOTAL(109,vmmc_T[hts_tst_vmmc_1014_m_pos])</f>
        <v>0</v>
      </c>
      <c r="AL5" s="47">
        <f>SUBTOTAL(109,vmmc_T[hts_tst_vmmc_1519_m_pos])</f>
        <v>0</v>
      </c>
      <c r="AM5" s="47">
        <f>SUBTOTAL(109,vmmc_T[hts_tst_vmmc_2024_m_pos])</f>
        <v>0</v>
      </c>
      <c r="AN5" s="47">
        <f>SUBTOTAL(109,vmmc_T[hts_tst_vmmc_2529_m_pos])</f>
        <v>0</v>
      </c>
      <c r="AO5" s="47">
        <f>SUBTOTAL(109,vmmc_T[hts_tst_vmmc_3034_m_pos])</f>
        <v>0</v>
      </c>
      <c r="AP5" s="47">
        <f>SUBTOTAL(109,vmmc_T[hts_tst_vmmc_3539_m_pos])</f>
        <v>0</v>
      </c>
      <c r="AQ5" s="47">
        <f>SUBTOTAL(109,vmmc_T[hts_tst_vmmc_4049_m_pos])</f>
        <v>0</v>
      </c>
      <c r="AR5" s="47">
        <f>SUBTOTAL(109,vmmc_T[hts_tst_vmmc_o50_m_pos])</f>
        <v>0</v>
      </c>
      <c r="AS5" s="47">
        <f>SUBTOTAL(109,vmmc_T[hts_tst_vmmc_u1_m_neg])</f>
        <v>0</v>
      </c>
      <c r="AT5" s="47">
        <f>SUBTOTAL(109,vmmc_T[hts_tst_vmmc_0109_unk_neg])</f>
        <v>0</v>
      </c>
      <c r="AU5" s="47">
        <f>SUBTOTAL(109,vmmc_T[hts_tst_vmmc_1014_m_neg])</f>
        <v>0</v>
      </c>
      <c r="AV5" s="47">
        <f>SUBTOTAL(109,vmmc_T[hts_tst_vmmc_1519_m_neg])</f>
        <v>0</v>
      </c>
      <c r="AW5" s="47">
        <f>SUBTOTAL(109,vmmc_T[hts_tst_vmmc_2024_m_neg])</f>
        <v>0</v>
      </c>
      <c r="AX5" s="47">
        <f>SUBTOTAL(109,vmmc_T[hts_tst_vmmc_2529_m_neg])</f>
        <v>0</v>
      </c>
      <c r="AY5" s="47">
        <f>SUBTOTAL(109,vmmc_T[hts_tst_vmmc_3034_m_neg])</f>
        <v>0</v>
      </c>
      <c r="AZ5" s="47">
        <f>SUBTOTAL(109,vmmc_T[hts_tst_vmmc_3539_m_neg])</f>
        <v>0</v>
      </c>
      <c r="BA5" s="47">
        <f>SUBTOTAL(109,vmmc_T[hts_tst_vmmc_4049_m_neg])</f>
        <v>0</v>
      </c>
      <c r="BB5" s="47">
        <f>SUBTOTAL(109,vmmc_T[hts_tst_vmmc_o50_m_neg])</f>
        <v>0</v>
      </c>
    </row>
    <row r="6" spans="1:68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1469</v>
      </c>
      <c r="K6" s="25" t="s">
        <v>1470</v>
      </c>
      <c r="L6" s="25" t="s">
        <v>1281</v>
      </c>
      <c r="M6" s="25" t="s">
        <v>1283</v>
      </c>
      <c r="N6" s="25" t="s">
        <v>1284</v>
      </c>
      <c r="O6" s="25" t="s">
        <v>1285</v>
      </c>
      <c r="P6" s="25" t="s">
        <v>1286</v>
      </c>
      <c r="Q6" s="25" t="s">
        <v>1287</v>
      </c>
      <c r="R6" s="25" t="s">
        <v>1288</v>
      </c>
      <c r="S6" s="25" t="s">
        <v>1289</v>
      </c>
      <c r="T6" s="25" t="s">
        <v>1471</v>
      </c>
      <c r="U6" s="25" t="s">
        <v>1472</v>
      </c>
      <c r="V6" s="25" t="s">
        <v>1282</v>
      </c>
      <c r="W6" s="25" t="s">
        <v>1290</v>
      </c>
      <c r="X6" s="25" t="s">
        <v>1291</v>
      </c>
      <c r="Y6" s="25" t="s">
        <v>1292</v>
      </c>
      <c r="Z6" s="25" t="s">
        <v>1293</v>
      </c>
      <c r="AA6" s="25" t="s">
        <v>1294</v>
      </c>
      <c r="AB6" s="25" t="s">
        <v>1295</v>
      </c>
      <c r="AC6" s="25" t="s">
        <v>1296</v>
      </c>
      <c r="AD6" s="25" t="s">
        <v>1631</v>
      </c>
      <c r="AE6" s="25" t="s">
        <v>1632</v>
      </c>
      <c r="AF6" s="25" t="s">
        <v>264</v>
      </c>
      <c r="AG6" s="25" t="s">
        <v>440</v>
      </c>
      <c r="AH6" s="25" t="s">
        <v>1489</v>
      </c>
      <c r="AI6" s="25" t="s">
        <v>1473</v>
      </c>
      <c r="AJ6" s="25" t="s">
        <v>1474</v>
      </c>
      <c r="AK6" s="25" t="s">
        <v>1297</v>
      </c>
      <c r="AL6" s="25" t="s">
        <v>1300</v>
      </c>
      <c r="AM6" s="25" t="s">
        <v>1301</v>
      </c>
      <c r="AN6" s="25" t="s">
        <v>1302</v>
      </c>
      <c r="AO6" s="25" t="s">
        <v>1303</v>
      </c>
      <c r="AP6" s="25" t="s">
        <v>1304</v>
      </c>
      <c r="AQ6" s="25" t="s">
        <v>1305</v>
      </c>
      <c r="AR6" s="25" t="s">
        <v>1306</v>
      </c>
      <c r="AS6" s="25" t="s">
        <v>1475</v>
      </c>
      <c r="AT6" s="25" t="s">
        <v>1298</v>
      </c>
      <c r="AU6" s="25" t="s">
        <v>1299</v>
      </c>
      <c r="AV6" s="25" t="s">
        <v>1307</v>
      </c>
      <c r="AW6" s="25" t="s">
        <v>1308</v>
      </c>
      <c r="AX6" s="25" t="s">
        <v>1309</v>
      </c>
      <c r="AY6" s="25" t="s">
        <v>1310</v>
      </c>
      <c r="AZ6" s="25" t="s">
        <v>1311</v>
      </c>
      <c r="BA6" s="25" t="s">
        <v>1312</v>
      </c>
      <c r="BB6" s="25" t="s">
        <v>1313</v>
      </c>
    </row>
    <row r="7" spans="1:68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94">
        <f>SUM(vmmc_T[[#This Row],[A_hts_tst_vmmc_u1_m_pos]:[A_hts_tst_vmmc_o50_m_pos]])</f>
        <v>0</v>
      </c>
      <c r="AE7" s="94">
        <f>SUM(vmmc_T[[#This Row],[A_hts_tst_vmmc_u1_m_neg]:[A_hts_tst_vmmc_o50_m_neg]])</f>
        <v>0</v>
      </c>
      <c r="AF7" s="41"/>
      <c r="AG7" s="41"/>
      <c r="AH7" s="41"/>
      <c r="AI7" s="41">
        <f>vmmc_T[[D_hts_tst_pos_vmmc_fy19]:[D_hts_tst_pos_vmmc_fy19]]*vmmc_T[A_hts_tst_vmmc_u1_m_pos]</f>
        <v>0</v>
      </c>
      <c r="AJ7" s="41">
        <f>vmmc_T[[D_hts_tst_pos_vmmc_fy19]:[D_hts_tst_pos_vmmc_fy19]]*vmmc_T[A_hts_tst_vmmc_0109_m_pos]</f>
        <v>0</v>
      </c>
      <c r="AK7" s="41">
        <f>vmmc_T[[D_hts_tst_pos_vmmc_fy19]:[D_hts_tst_pos_vmmc_fy19]]*vmmc_T[A_hts_tst_vmmc_1014_m_pos]</f>
        <v>0</v>
      </c>
      <c r="AL7" s="41">
        <f>vmmc_T[[D_hts_tst_pos_vmmc_fy19]:[D_hts_tst_pos_vmmc_fy19]]*vmmc_T[A_hts_tst_vmmc_1519_m_pos]</f>
        <v>0</v>
      </c>
      <c r="AM7" s="41">
        <f>vmmc_T[[D_hts_tst_pos_vmmc_fy19]:[D_hts_tst_pos_vmmc_fy19]]*vmmc_T[A_hts_tst_vmmc_2024_m_pos]</f>
        <v>0</v>
      </c>
      <c r="AN7" s="41">
        <f>vmmc_T[[D_hts_tst_pos_vmmc_fy19]:[D_hts_tst_pos_vmmc_fy19]]*vmmc_T[A_hts_tst_vmmc_2529_m_pos]</f>
        <v>0</v>
      </c>
      <c r="AO7" s="41">
        <f>vmmc_T[[D_hts_tst_pos_vmmc_fy19]:[D_hts_tst_pos_vmmc_fy19]]*vmmc_T[A_hts_tst_vmmc_3034_m__pos]</f>
        <v>0</v>
      </c>
      <c r="AP7" s="41">
        <f>vmmc_T[[D_hts_tst_pos_vmmc_fy19]:[D_hts_tst_pos_vmmc_fy19]]*vmmc_T[A_hts_tst_vmmc_3539_m__pos]</f>
        <v>0</v>
      </c>
      <c r="AQ7" s="41">
        <f>vmmc_T[[D_hts_tst_pos_vmmc_fy19]:[D_hts_tst_pos_vmmc_fy19]]*vmmc_T[A_hts_tst_vmmc_4049_m_pos]</f>
        <v>0</v>
      </c>
      <c r="AR7" s="41">
        <f>vmmc_T[[D_hts_tst_pos_vmmc_fy19]:[D_hts_tst_pos_vmmc_fy19]]*vmmc_T[A_hts_tst_vmmc_o50_m_pos]</f>
        <v>0</v>
      </c>
      <c r="AS7" s="41">
        <f>vmmc_T[[D_hts_tst_neg_vmmc_fy19]:[D_hts_tst_neg_vmmc_fy19]]*vmmc_T[A_hts_tst_vmmc_u1_m_neg]</f>
        <v>0</v>
      </c>
      <c r="AT7" s="41">
        <f>vmmc_T[[D_hts_tst_neg_vmmc_fy19]:[D_hts_tst_neg_vmmc_fy19]]*vmmc_T[A_hts_tst_vmmc_0109_m_neg]</f>
        <v>0</v>
      </c>
      <c r="AU7" s="41">
        <f>vmmc_T[[D_hts_tst_neg_vmmc_fy19]:[D_hts_tst_neg_vmmc_fy19]]*vmmc_T[A_hts_tst_vmmc_1014_m_neg]</f>
        <v>0</v>
      </c>
      <c r="AV7" s="41">
        <f>vmmc_T[[D_hts_tst_neg_vmmc_fy19]:[D_hts_tst_neg_vmmc_fy19]]*vmmc_T[A_hts_tst_vmmc_1519_m_neg]</f>
        <v>0</v>
      </c>
      <c r="AW7" s="41">
        <f>vmmc_T[[D_hts_tst_neg_vmmc_fy19]:[D_hts_tst_neg_vmmc_fy19]]*vmmc_T[A_hts_tst_vmmc_2024_m_neg]</f>
        <v>0</v>
      </c>
      <c r="AX7" s="41">
        <f>vmmc_T[[D_hts_tst_neg_vmmc_fy19]:[D_hts_tst_neg_vmmc_fy19]]*vmmc_T[A_hts_tst_vmmc_2529_m_neg]</f>
        <v>0</v>
      </c>
      <c r="AY7" s="41">
        <f>vmmc_T[[D_hts_tst_neg_vmmc_fy19]:[D_hts_tst_neg_vmmc_fy19]]*vmmc_T[A_hts_tst_vmmc_3034_m_neg]</f>
        <v>0</v>
      </c>
      <c r="AZ7" s="41">
        <f>vmmc_T[[D_hts_tst_neg_vmmc_fy19]:[D_hts_tst_neg_vmmc_fy19]]*vmmc_T[A_hts_tst_vmmc_3539_m_neg]</f>
        <v>0</v>
      </c>
      <c r="BA7" s="41">
        <f>vmmc_T[[D_hts_tst_neg_vmmc_fy19]:[D_hts_tst_neg_vmmc_fy19]]*vmmc_T[A_hts_tst_vmmc_4049_m_neg]</f>
        <v>0</v>
      </c>
      <c r="BB7" s="41">
        <f>vmmc_T[[D_hts_tst_neg_vmmc_fy19]:[D_hts_tst_neg_vmmc_fy19]]*vmmc_T[A_hts_tst_vmmc_o50_m_neg]</f>
        <v>0</v>
      </c>
    </row>
    <row r="8" spans="1:68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</row>
    <row r="9" spans="1:68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</row>
    <row r="10" spans="1:68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AF10" s="19"/>
      <c r="AG10" s="19"/>
      <c r="AH10" s="19"/>
      <c r="AI10" s="19"/>
      <c r="AJ10" s="19"/>
      <c r="AK10" s="19"/>
      <c r="AL10" s="19"/>
      <c r="AS10" s="19"/>
      <c r="AT10" s="19"/>
      <c r="AU10" s="19"/>
    </row>
    <row r="11" spans="1:68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</row>
    <row r="12" spans="1:68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AF12" s="56"/>
      <c r="AG12" s="56"/>
      <c r="AH12" s="56"/>
      <c r="AI12" s="56"/>
      <c r="AJ12" s="56"/>
      <c r="AK12" s="56"/>
      <c r="AL12" s="56"/>
      <c r="AS12" s="56"/>
      <c r="AT12" s="56"/>
      <c r="AU12" s="56"/>
    </row>
    <row r="13" spans="1:68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AF13" s="56"/>
      <c r="AG13" s="56"/>
      <c r="AH13" s="56"/>
      <c r="AI13" s="56"/>
      <c r="AJ13" s="56"/>
      <c r="AK13" s="56"/>
      <c r="AL13" s="56"/>
      <c r="AS13" s="56"/>
      <c r="AT13" s="56"/>
      <c r="AU13" s="56"/>
    </row>
    <row r="14" spans="1:68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AF14" s="56"/>
      <c r="AG14" s="56"/>
      <c r="AH14" s="56"/>
      <c r="AI14" s="56"/>
      <c r="AJ14" s="56"/>
      <c r="AK14" s="56"/>
      <c r="AL14" s="56"/>
      <c r="AS14" s="56"/>
      <c r="AT14" s="56"/>
      <c r="AU14" s="56"/>
    </row>
    <row r="15" spans="1:68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AF15" s="56"/>
      <c r="AG15" s="56"/>
      <c r="AH15" s="56"/>
      <c r="AI15" s="56"/>
      <c r="AJ15" s="56"/>
      <c r="AK15" s="56"/>
      <c r="AL15" s="56"/>
      <c r="AS15" s="56"/>
      <c r="AT15" s="56"/>
      <c r="AU15" s="56"/>
    </row>
    <row r="16" spans="1:68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AF16" s="56"/>
      <c r="AG16" s="56"/>
      <c r="AH16" s="56"/>
      <c r="AI16" s="56"/>
      <c r="AJ16" s="56"/>
      <c r="AK16" s="56"/>
      <c r="AL16" s="56"/>
      <c r="AS16" s="56"/>
      <c r="AT16" s="56"/>
      <c r="AU16" s="56"/>
    </row>
    <row r="17" spans="1:47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AF17" s="56"/>
      <c r="AG17" s="56"/>
      <c r="AH17" s="56"/>
      <c r="AI17" s="56"/>
      <c r="AJ17" s="56"/>
      <c r="AK17" s="56"/>
      <c r="AL17" s="56"/>
      <c r="AS17" s="56"/>
      <c r="AT17" s="56"/>
      <c r="AU17" s="56"/>
    </row>
    <row r="18" spans="1:47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AF18" s="56"/>
      <c r="AG18" s="56"/>
      <c r="AH18" s="56"/>
      <c r="AI18" s="56"/>
      <c r="AJ18" s="56"/>
      <c r="AK18" s="56"/>
      <c r="AL18" s="56"/>
      <c r="AS18" s="56"/>
      <c r="AT18" s="56"/>
      <c r="AU18" s="56"/>
    </row>
    <row r="19" spans="1:47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AF19" s="56"/>
      <c r="AG19" s="56"/>
      <c r="AH19" s="56"/>
      <c r="AI19" s="56"/>
      <c r="AJ19" s="56"/>
      <c r="AK19" s="56"/>
      <c r="AL19" s="56"/>
      <c r="AS19" s="56"/>
      <c r="AT19" s="56"/>
      <c r="AU19" s="56"/>
    </row>
    <row r="20" spans="1:47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AF20" s="56"/>
      <c r="AG20" s="56"/>
      <c r="AH20" s="56"/>
      <c r="AI20" s="56"/>
      <c r="AJ20" s="56"/>
      <c r="AK20" s="56"/>
      <c r="AL20" s="56"/>
      <c r="AS20" s="56"/>
      <c r="AT20" s="56"/>
      <c r="AU20" s="56"/>
    </row>
    <row r="21" spans="1:47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AF21" s="56"/>
      <c r="AG21" s="56"/>
      <c r="AH21" s="56"/>
      <c r="AI21" s="56"/>
      <c r="AJ21" s="56"/>
      <c r="AK21" s="56"/>
      <c r="AL21" s="56"/>
      <c r="AS21" s="56"/>
      <c r="AT21" s="56"/>
      <c r="AU21" s="56"/>
    </row>
    <row r="22" spans="1:47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AF22" s="56"/>
      <c r="AG22" s="56"/>
      <c r="AH22" s="56"/>
      <c r="AI22" s="56"/>
      <c r="AJ22" s="56"/>
      <c r="AK22" s="56"/>
      <c r="AL22" s="56"/>
      <c r="AS22" s="56"/>
      <c r="AT22" s="56"/>
      <c r="AU22" s="56"/>
    </row>
    <row r="23" spans="1:47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AF23" s="56"/>
      <c r="AG23" s="56"/>
      <c r="AH23" s="56"/>
      <c r="AI23" s="56"/>
      <c r="AJ23" s="56"/>
      <c r="AK23" s="56"/>
      <c r="AL23" s="56"/>
      <c r="AS23" s="56"/>
      <c r="AT23" s="56"/>
      <c r="AU23" s="56"/>
    </row>
    <row r="24" spans="1:47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AF24" s="56"/>
      <c r="AG24" s="56"/>
      <c r="AH24" s="56"/>
      <c r="AI24" s="56"/>
      <c r="AJ24" s="56"/>
      <c r="AK24" s="56"/>
      <c r="AL24" s="56"/>
      <c r="AS24" s="56"/>
      <c r="AT24" s="56"/>
      <c r="AU24" s="56"/>
    </row>
    <row r="25" spans="1:47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AF25" s="56"/>
      <c r="AG25" s="56"/>
      <c r="AH25" s="56"/>
      <c r="AI25" s="56"/>
      <c r="AJ25" s="56"/>
      <c r="AK25" s="56"/>
      <c r="AL25" s="56"/>
      <c r="AS25" s="56"/>
      <c r="AT25" s="56"/>
      <c r="AU25" s="56"/>
    </row>
    <row r="26" spans="1:47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AF26" s="56"/>
      <c r="AG26" s="56"/>
      <c r="AH26" s="56"/>
      <c r="AI26" s="56"/>
      <c r="AJ26" s="56"/>
      <c r="AK26" s="56"/>
      <c r="AL26" s="56"/>
      <c r="AS26" s="56"/>
      <c r="AT26" s="56"/>
      <c r="AU26" s="56"/>
    </row>
    <row r="27" spans="1:47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AF27" s="56"/>
      <c r="AG27" s="56"/>
      <c r="AH27" s="56"/>
      <c r="AI27" s="56"/>
      <c r="AJ27" s="56"/>
      <c r="AK27" s="56"/>
      <c r="AL27" s="56"/>
      <c r="AS27" s="56"/>
      <c r="AT27" s="56"/>
      <c r="AU27" s="56"/>
    </row>
    <row r="28" spans="1:47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AF28" s="56"/>
      <c r="AG28" s="56"/>
      <c r="AH28" s="56"/>
      <c r="AI28" s="56"/>
      <c r="AJ28" s="56"/>
      <c r="AK28" s="56"/>
      <c r="AL28" s="56"/>
      <c r="AS28" s="56"/>
      <c r="AT28" s="56"/>
      <c r="AU28" s="56"/>
    </row>
    <row r="29" spans="1:47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AF29" s="56"/>
      <c r="AG29" s="56"/>
      <c r="AH29" s="56"/>
      <c r="AI29" s="56"/>
      <c r="AJ29" s="56"/>
      <c r="AK29" s="56"/>
      <c r="AL29" s="56"/>
      <c r="AS29" s="56"/>
      <c r="AT29" s="56"/>
      <c r="AU29" s="56"/>
    </row>
    <row r="30" spans="1:47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AF30" s="56"/>
      <c r="AG30" s="56"/>
      <c r="AH30" s="56"/>
      <c r="AI30" s="56"/>
      <c r="AJ30" s="56"/>
      <c r="AK30" s="56"/>
      <c r="AL30" s="56"/>
      <c r="AS30" s="56"/>
      <c r="AT30" s="56"/>
      <c r="AU30" s="56"/>
    </row>
    <row r="31" spans="1:47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AF31" s="56"/>
      <c r="AG31" s="56"/>
      <c r="AH31" s="56"/>
      <c r="AI31" s="56"/>
      <c r="AJ31" s="56"/>
      <c r="AK31" s="56"/>
      <c r="AL31" s="56"/>
      <c r="AS31" s="56"/>
      <c r="AT31" s="56"/>
      <c r="AU31" s="56"/>
    </row>
    <row r="32" spans="1:47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AF32" s="56"/>
      <c r="AG32" s="56"/>
      <c r="AH32" s="56"/>
      <c r="AI32" s="56"/>
      <c r="AJ32" s="56"/>
      <c r="AK32" s="56"/>
      <c r="AL32" s="56"/>
      <c r="AS32" s="56"/>
      <c r="AT32" s="56"/>
      <c r="AU32" s="56"/>
    </row>
    <row r="33" spans="1:47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AF33" s="56"/>
      <c r="AG33" s="56"/>
      <c r="AH33" s="56"/>
      <c r="AI33" s="56"/>
      <c r="AJ33" s="56"/>
      <c r="AK33" s="56"/>
      <c r="AL33" s="56"/>
      <c r="AS33" s="56"/>
      <c r="AT33" s="56"/>
      <c r="AU33" s="56"/>
    </row>
    <row r="34" spans="1:47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AF34" s="56"/>
      <c r="AG34" s="56"/>
      <c r="AH34" s="56"/>
      <c r="AI34" s="56"/>
      <c r="AJ34" s="56"/>
      <c r="AK34" s="56"/>
      <c r="AL34" s="56"/>
      <c r="AS34" s="56"/>
      <c r="AT34" s="56"/>
      <c r="AU34" s="56"/>
    </row>
    <row r="35" spans="1:47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AF35" s="56"/>
      <c r="AG35" s="56"/>
      <c r="AH35" s="56"/>
      <c r="AI35" s="56"/>
      <c r="AJ35" s="56"/>
      <c r="AK35" s="56"/>
      <c r="AL35" s="56"/>
      <c r="AS35" s="56"/>
      <c r="AT35" s="56"/>
      <c r="AU35" s="56"/>
    </row>
    <row r="36" spans="1:47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AF36" s="56"/>
      <c r="AG36" s="56"/>
      <c r="AH36" s="56"/>
      <c r="AI36" s="56"/>
      <c r="AJ36" s="56"/>
      <c r="AK36" s="56"/>
      <c r="AL36" s="56"/>
      <c r="AS36" s="56"/>
      <c r="AT36" s="56"/>
      <c r="AU36" s="56"/>
    </row>
    <row r="37" spans="1:47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AF37" s="56"/>
      <c r="AG37" s="56"/>
      <c r="AH37" s="56"/>
      <c r="AI37" s="56"/>
      <c r="AJ37" s="56"/>
      <c r="AK37" s="56"/>
      <c r="AL37" s="56"/>
      <c r="AS37" s="56"/>
      <c r="AT37" s="56"/>
      <c r="AU37" s="56"/>
    </row>
    <row r="38" spans="1:47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AF38" s="56"/>
      <c r="AG38" s="56"/>
      <c r="AH38" s="56"/>
      <c r="AI38" s="56"/>
      <c r="AJ38" s="56"/>
      <c r="AK38" s="56"/>
      <c r="AL38" s="56"/>
      <c r="AS38" s="56"/>
      <c r="AT38" s="56"/>
      <c r="AU38" s="56"/>
    </row>
    <row r="39" spans="1:47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AF39" s="56"/>
      <c r="AG39" s="56"/>
      <c r="AH39" s="56"/>
      <c r="AI39" s="56"/>
      <c r="AJ39" s="56"/>
      <c r="AK39" s="56"/>
      <c r="AL39" s="56"/>
      <c r="AS39" s="56"/>
      <c r="AT39" s="56"/>
      <c r="AU39" s="56"/>
    </row>
    <row r="40" spans="1:47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AF40" s="56"/>
      <c r="AG40" s="56"/>
      <c r="AH40" s="56"/>
      <c r="AI40" s="56"/>
      <c r="AJ40" s="56"/>
      <c r="AK40" s="56"/>
      <c r="AL40" s="56"/>
      <c r="AS40" s="56"/>
      <c r="AT40" s="56"/>
      <c r="AU40" s="56"/>
    </row>
    <row r="41" spans="1:47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AF41" s="56"/>
      <c r="AG41" s="56"/>
      <c r="AH41" s="56"/>
      <c r="AI41" s="56"/>
      <c r="AJ41" s="56"/>
      <c r="AK41" s="56"/>
      <c r="AL41" s="56"/>
      <c r="AS41" s="56"/>
      <c r="AT41" s="56"/>
      <c r="AU41" s="56"/>
    </row>
    <row r="42" spans="1:47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AF42" s="56"/>
      <c r="AG42" s="56"/>
      <c r="AH42" s="56"/>
      <c r="AI42" s="56"/>
      <c r="AJ42" s="56"/>
      <c r="AK42" s="56"/>
      <c r="AL42" s="56"/>
      <c r="AS42" s="56"/>
      <c r="AT42" s="56"/>
      <c r="AU42" s="56"/>
    </row>
    <row r="43" spans="1:47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AF43" s="56"/>
      <c r="AG43" s="56"/>
      <c r="AH43" s="56"/>
      <c r="AI43" s="56"/>
      <c r="AJ43" s="56"/>
      <c r="AK43" s="56"/>
      <c r="AL43" s="56"/>
      <c r="AS43" s="56"/>
      <c r="AT43" s="56"/>
      <c r="AU43" s="56"/>
    </row>
    <row r="44" spans="1:47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AF44" s="56"/>
      <c r="AG44" s="56"/>
      <c r="AH44" s="56"/>
      <c r="AI44" s="56"/>
      <c r="AJ44" s="56"/>
      <c r="AK44" s="56"/>
      <c r="AL44" s="56"/>
      <c r="AS44" s="56"/>
      <c r="AT44" s="56"/>
      <c r="AU44" s="56"/>
    </row>
    <row r="45" spans="1:47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AF45" s="56"/>
      <c r="AG45" s="56"/>
      <c r="AH45" s="56"/>
      <c r="AI45" s="56"/>
      <c r="AJ45" s="56"/>
      <c r="AK45" s="56"/>
      <c r="AL45" s="56"/>
      <c r="AS45" s="56"/>
      <c r="AT45" s="56"/>
      <c r="AU45" s="56"/>
    </row>
    <row r="46" spans="1:47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AF46" s="56"/>
      <c r="AG46" s="56"/>
      <c r="AH46" s="56"/>
      <c r="AI46" s="56"/>
      <c r="AJ46" s="56"/>
      <c r="AK46" s="56"/>
      <c r="AL46" s="56"/>
      <c r="AS46" s="56"/>
      <c r="AT46" s="56"/>
      <c r="AU46" s="56"/>
    </row>
    <row r="47" spans="1:47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AF47" s="56"/>
      <c r="AG47" s="56"/>
      <c r="AH47" s="56"/>
      <c r="AI47" s="56"/>
      <c r="AJ47" s="56"/>
      <c r="AK47" s="56"/>
      <c r="AL47" s="56"/>
      <c r="AS47" s="56"/>
      <c r="AT47" s="56"/>
      <c r="AU47" s="56"/>
    </row>
    <row r="48" spans="1:47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AF48" s="56"/>
      <c r="AG48" s="56"/>
      <c r="AH48" s="56"/>
      <c r="AI48" s="56"/>
      <c r="AJ48" s="56"/>
      <c r="AK48" s="56"/>
      <c r="AL48" s="56"/>
      <c r="AS48" s="56"/>
      <c r="AT48" s="56"/>
      <c r="AU48" s="56"/>
    </row>
    <row r="49" spans="1:47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AF49" s="56"/>
      <c r="AG49" s="56"/>
      <c r="AH49" s="56"/>
      <c r="AI49" s="56"/>
      <c r="AJ49" s="56"/>
      <c r="AK49" s="56"/>
      <c r="AL49" s="56"/>
      <c r="AS49" s="56"/>
      <c r="AT49" s="56"/>
      <c r="AU49" s="56"/>
    </row>
    <row r="50" spans="1:47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AF50" s="56"/>
      <c r="AG50" s="56"/>
      <c r="AH50" s="56"/>
      <c r="AI50" s="56"/>
      <c r="AJ50" s="56"/>
      <c r="AK50" s="56"/>
      <c r="AL50" s="56"/>
      <c r="AS50" s="56"/>
      <c r="AT50" s="56"/>
      <c r="AU50" s="56"/>
    </row>
    <row r="51" spans="1:47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AF51" s="56"/>
      <c r="AG51" s="56"/>
      <c r="AH51" s="56"/>
      <c r="AI51" s="56"/>
      <c r="AJ51" s="56"/>
      <c r="AK51" s="56"/>
      <c r="AL51" s="56"/>
      <c r="AS51" s="56"/>
      <c r="AT51" s="56"/>
      <c r="AU51" s="56"/>
    </row>
    <row r="52" spans="1:47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AF52" s="56"/>
      <c r="AG52" s="56"/>
      <c r="AH52" s="56"/>
      <c r="AI52" s="56"/>
      <c r="AJ52" s="56"/>
      <c r="AK52" s="56"/>
      <c r="AL52" s="56"/>
      <c r="AS52" s="56"/>
      <c r="AT52" s="56"/>
      <c r="AU52" s="56"/>
    </row>
    <row r="53" spans="1:47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AF53" s="56"/>
      <c r="AG53" s="56"/>
      <c r="AH53" s="56"/>
      <c r="AI53" s="56"/>
      <c r="AJ53" s="56"/>
      <c r="AK53" s="56"/>
      <c r="AL53" s="56"/>
      <c r="AS53" s="56"/>
      <c r="AT53" s="56"/>
      <c r="AU53" s="56"/>
    </row>
    <row r="54" spans="1:47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AF54" s="56"/>
      <c r="AG54" s="56"/>
      <c r="AH54" s="56"/>
      <c r="AI54" s="56"/>
      <c r="AJ54" s="56"/>
      <c r="AK54" s="56"/>
      <c r="AL54" s="56"/>
      <c r="AS54" s="56"/>
      <c r="AT54" s="56"/>
      <c r="AU54" s="56"/>
    </row>
    <row r="55" spans="1:47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AF55" s="56"/>
      <c r="AG55" s="56"/>
      <c r="AH55" s="56"/>
      <c r="AI55" s="56"/>
      <c r="AJ55" s="56"/>
      <c r="AK55" s="56"/>
      <c r="AL55" s="56"/>
      <c r="AS55" s="56"/>
      <c r="AT55" s="56"/>
      <c r="AU55" s="56"/>
    </row>
    <row r="56" spans="1:47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AF56" s="56"/>
      <c r="AG56" s="56"/>
      <c r="AH56" s="56"/>
      <c r="AI56" s="56"/>
      <c r="AJ56" s="56"/>
      <c r="AK56" s="56"/>
      <c r="AL56" s="56"/>
      <c r="AS56" s="56"/>
      <c r="AT56" s="56"/>
      <c r="AU56" s="56"/>
    </row>
    <row r="57" spans="1:47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AF57" s="56"/>
      <c r="AG57" s="56"/>
      <c r="AH57" s="56"/>
      <c r="AI57" s="56"/>
      <c r="AJ57" s="56"/>
      <c r="AK57" s="56"/>
      <c r="AL57" s="56"/>
      <c r="AS57" s="56"/>
      <c r="AT57" s="56"/>
      <c r="AU57" s="56"/>
    </row>
    <row r="58" spans="1:47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AF58" s="56"/>
      <c r="AG58" s="56"/>
      <c r="AH58" s="56"/>
      <c r="AI58" s="56"/>
      <c r="AJ58" s="56"/>
      <c r="AK58" s="56"/>
      <c r="AL58" s="56"/>
      <c r="AS58" s="56"/>
      <c r="AT58" s="56"/>
      <c r="AU58" s="56"/>
    </row>
    <row r="59" spans="1:47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AF59" s="56"/>
      <c r="AG59" s="56"/>
      <c r="AH59" s="56"/>
      <c r="AI59" s="56"/>
      <c r="AJ59" s="56"/>
      <c r="AK59" s="56"/>
      <c r="AL59" s="56"/>
      <c r="AS59" s="56"/>
      <c r="AT59" s="56"/>
      <c r="AU59" s="56"/>
    </row>
    <row r="60" spans="1:47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AF60" s="56"/>
      <c r="AG60" s="56"/>
      <c r="AH60" s="56"/>
      <c r="AI60" s="56"/>
      <c r="AJ60" s="56"/>
      <c r="AK60" s="56"/>
      <c r="AL60" s="56"/>
      <c r="AS60" s="56"/>
      <c r="AT60" s="56"/>
      <c r="AU60" s="56"/>
    </row>
    <row r="61" spans="1:47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AF61" s="56"/>
      <c r="AG61" s="56"/>
      <c r="AH61" s="56"/>
      <c r="AI61" s="56"/>
      <c r="AJ61" s="56"/>
      <c r="AK61" s="56"/>
      <c r="AL61" s="56"/>
      <c r="AS61" s="56"/>
      <c r="AT61" s="56"/>
      <c r="AU61" s="56"/>
    </row>
    <row r="62" spans="1:47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AF62" s="56"/>
      <c r="AG62" s="56"/>
      <c r="AH62" s="56"/>
      <c r="AI62" s="56"/>
      <c r="AJ62" s="56"/>
      <c r="AK62" s="56"/>
      <c r="AL62" s="56"/>
      <c r="AS62" s="56"/>
      <c r="AT62" s="56"/>
      <c r="AU62" s="56"/>
    </row>
    <row r="63" spans="1:47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AF63" s="56"/>
      <c r="AG63" s="56"/>
      <c r="AH63" s="56"/>
      <c r="AI63" s="56"/>
      <c r="AJ63" s="56"/>
      <c r="AK63" s="56"/>
      <c r="AL63" s="56"/>
      <c r="AS63" s="56"/>
      <c r="AT63" s="56"/>
      <c r="AU63" s="56"/>
    </row>
    <row r="64" spans="1:47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AF64" s="56"/>
      <c r="AG64" s="56"/>
      <c r="AH64" s="56"/>
      <c r="AI64" s="56"/>
      <c r="AJ64" s="56"/>
      <c r="AK64" s="56"/>
      <c r="AL64" s="56"/>
      <c r="AS64" s="56"/>
      <c r="AT64" s="56"/>
      <c r="AU64" s="56"/>
    </row>
    <row r="65" spans="1:47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AF65" s="56"/>
      <c r="AG65" s="56"/>
      <c r="AH65" s="56"/>
      <c r="AI65" s="56"/>
      <c r="AJ65" s="56"/>
      <c r="AK65" s="56"/>
      <c r="AL65" s="56"/>
      <c r="AS65" s="56"/>
      <c r="AT65" s="56"/>
      <c r="AU65" s="56"/>
    </row>
    <row r="66" spans="1:47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AF66" s="56"/>
      <c r="AG66" s="56"/>
      <c r="AH66" s="56"/>
      <c r="AI66" s="56"/>
      <c r="AJ66" s="56"/>
      <c r="AK66" s="56"/>
      <c r="AL66" s="56"/>
      <c r="AS66" s="56"/>
      <c r="AT66" s="56"/>
      <c r="AU66" s="56"/>
    </row>
    <row r="67" spans="1:47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AF67" s="56"/>
      <c r="AG67" s="56"/>
      <c r="AH67" s="56"/>
      <c r="AI67" s="56"/>
      <c r="AJ67" s="56"/>
      <c r="AK67" s="56"/>
      <c r="AL67" s="56"/>
      <c r="AS67" s="56"/>
      <c r="AT67" s="56"/>
      <c r="AU67" s="56"/>
    </row>
    <row r="68" spans="1:47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AF68" s="56"/>
      <c r="AG68" s="56"/>
      <c r="AH68" s="56"/>
      <c r="AI68" s="56"/>
      <c r="AJ68" s="56"/>
      <c r="AK68" s="56"/>
      <c r="AL68" s="56"/>
      <c r="AS68" s="56"/>
      <c r="AT68" s="56"/>
      <c r="AU68" s="56"/>
    </row>
    <row r="69" spans="1:47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AF69" s="56"/>
      <c r="AG69" s="56"/>
      <c r="AH69" s="56"/>
      <c r="AI69" s="56"/>
      <c r="AJ69" s="56"/>
      <c r="AK69" s="56"/>
      <c r="AL69" s="56"/>
      <c r="AS69" s="56"/>
      <c r="AT69" s="56"/>
      <c r="AU69" s="56"/>
    </row>
    <row r="70" spans="1:47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AF70" s="56"/>
      <c r="AG70" s="56"/>
      <c r="AH70" s="56"/>
      <c r="AI70" s="56"/>
      <c r="AJ70" s="56"/>
      <c r="AK70" s="56"/>
      <c r="AL70" s="56"/>
      <c r="AS70" s="56"/>
      <c r="AT70" s="56"/>
      <c r="AU70" s="56"/>
    </row>
    <row r="71" spans="1:47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AF71" s="56"/>
      <c r="AG71" s="56"/>
      <c r="AH71" s="56"/>
      <c r="AI71" s="56"/>
      <c r="AJ71" s="56"/>
      <c r="AK71" s="56"/>
      <c r="AL71" s="56"/>
      <c r="AS71" s="56"/>
      <c r="AT71" s="56"/>
      <c r="AU71" s="56"/>
    </row>
    <row r="72" spans="1:47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AF72" s="56"/>
      <c r="AG72" s="56"/>
      <c r="AH72" s="56"/>
      <c r="AI72" s="56"/>
      <c r="AJ72" s="56"/>
      <c r="AK72" s="56"/>
      <c r="AL72" s="56"/>
      <c r="AS72" s="56"/>
      <c r="AT72" s="56"/>
      <c r="AU72" s="56"/>
    </row>
    <row r="73" spans="1:47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AF73" s="56"/>
      <c r="AG73" s="56"/>
      <c r="AH73" s="56"/>
      <c r="AI73" s="56"/>
      <c r="AJ73" s="56"/>
      <c r="AK73" s="56"/>
      <c r="AL73" s="56"/>
      <c r="AS73" s="56"/>
      <c r="AT73" s="56"/>
      <c r="AU73" s="56"/>
    </row>
    <row r="74" spans="1:47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AF74" s="56"/>
      <c r="AG74" s="56"/>
      <c r="AH74" s="56"/>
      <c r="AI74" s="56"/>
      <c r="AJ74" s="56"/>
      <c r="AK74" s="56"/>
      <c r="AL74" s="56"/>
      <c r="AS74" s="56"/>
      <c r="AT74" s="56"/>
      <c r="AU74" s="56"/>
    </row>
    <row r="75" spans="1:47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AF75" s="56"/>
      <c r="AG75" s="56"/>
      <c r="AH75" s="56"/>
      <c r="AI75" s="56"/>
      <c r="AJ75" s="56"/>
      <c r="AK75" s="56"/>
      <c r="AL75" s="56"/>
      <c r="AS75" s="56"/>
      <c r="AT75" s="56"/>
      <c r="AU75" s="56"/>
    </row>
    <row r="76" spans="1:47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AF76" s="56"/>
      <c r="AG76" s="56"/>
      <c r="AH76" s="56"/>
      <c r="AI76" s="56"/>
      <c r="AJ76" s="56"/>
      <c r="AK76" s="56"/>
      <c r="AL76" s="56"/>
      <c r="AS76" s="56"/>
      <c r="AT76" s="56"/>
      <c r="AU76" s="56"/>
    </row>
    <row r="77" spans="1:47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AF77" s="56"/>
      <c r="AG77" s="56"/>
      <c r="AH77" s="56"/>
      <c r="AI77" s="56"/>
      <c r="AJ77" s="56"/>
      <c r="AK77" s="56"/>
      <c r="AL77" s="56"/>
      <c r="AS77" s="56"/>
      <c r="AT77" s="56"/>
      <c r="AU77" s="56"/>
    </row>
    <row r="78" spans="1:47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AF78" s="56"/>
      <c r="AG78" s="56"/>
      <c r="AH78" s="56"/>
      <c r="AI78" s="56"/>
      <c r="AJ78" s="56"/>
      <c r="AK78" s="56"/>
      <c r="AL78" s="56"/>
      <c r="AS78" s="56"/>
      <c r="AT78" s="56"/>
      <c r="AU78" s="56"/>
    </row>
    <row r="79" spans="1:47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AF79" s="56"/>
      <c r="AG79" s="56"/>
      <c r="AH79" s="56"/>
      <c r="AI79" s="56"/>
      <c r="AJ79" s="56"/>
      <c r="AK79" s="56"/>
      <c r="AL79" s="56"/>
      <c r="AS79" s="56"/>
      <c r="AT79" s="56"/>
      <c r="AU79" s="56"/>
    </row>
    <row r="80" spans="1:47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AF80" s="56"/>
      <c r="AG80" s="56"/>
      <c r="AH80" s="56"/>
      <c r="AI80" s="56"/>
      <c r="AJ80" s="56"/>
      <c r="AK80" s="56"/>
      <c r="AL80" s="56"/>
      <c r="AS80" s="56"/>
      <c r="AT80" s="56"/>
      <c r="AU80" s="56"/>
    </row>
    <row r="81" spans="1:47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AF81" s="56"/>
      <c r="AG81" s="56"/>
      <c r="AH81" s="56"/>
      <c r="AI81" s="56"/>
      <c r="AJ81" s="56"/>
      <c r="AK81" s="56"/>
      <c r="AL81" s="56"/>
      <c r="AS81" s="56"/>
      <c r="AT81" s="56"/>
      <c r="AU81" s="56"/>
    </row>
    <row r="82" spans="1:47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AF82" s="56"/>
      <c r="AG82" s="56"/>
      <c r="AH82" s="56"/>
      <c r="AI82" s="56"/>
      <c r="AJ82" s="56"/>
      <c r="AK82" s="56"/>
      <c r="AL82" s="56"/>
      <c r="AS82" s="56"/>
      <c r="AT82" s="56"/>
      <c r="AU82" s="56"/>
    </row>
    <row r="83" spans="1:47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AF83" s="56"/>
      <c r="AG83" s="56"/>
      <c r="AH83" s="56"/>
      <c r="AI83" s="56"/>
      <c r="AJ83" s="56"/>
      <c r="AK83" s="56"/>
      <c r="AL83" s="56"/>
      <c r="AS83" s="56"/>
      <c r="AT83" s="56"/>
      <c r="AU83" s="56"/>
    </row>
    <row r="84" spans="1:47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AF84" s="56"/>
      <c r="AG84" s="56"/>
      <c r="AH84" s="56"/>
      <c r="AI84" s="56"/>
      <c r="AJ84" s="56"/>
      <c r="AK84" s="56"/>
      <c r="AL84" s="56"/>
      <c r="AS84" s="56"/>
      <c r="AT84" s="56"/>
      <c r="AU84" s="56"/>
    </row>
    <row r="85" spans="1:47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AF85" s="56"/>
      <c r="AG85" s="56"/>
      <c r="AH85" s="56"/>
      <c r="AI85" s="56"/>
      <c r="AJ85" s="56"/>
      <c r="AK85" s="56"/>
      <c r="AL85" s="56"/>
      <c r="AS85" s="56"/>
      <c r="AT85" s="56"/>
      <c r="AU85" s="56"/>
    </row>
    <row r="86" spans="1:47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AF86" s="56"/>
      <c r="AG86" s="56"/>
      <c r="AH86" s="56"/>
      <c r="AI86" s="56"/>
      <c r="AJ86" s="56"/>
      <c r="AK86" s="56"/>
      <c r="AL86" s="56"/>
      <c r="AS86" s="56"/>
      <c r="AT86" s="56"/>
      <c r="AU86" s="56"/>
    </row>
    <row r="87" spans="1:47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AF87" s="56"/>
      <c r="AG87" s="56"/>
      <c r="AH87" s="56"/>
      <c r="AI87" s="56"/>
      <c r="AJ87" s="56"/>
      <c r="AK87" s="56"/>
      <c r="AL87" s="56"/>
      <c r="AS87" s="56"/>
      <c r="AT87" s="56"/>
      <c r="AU87" s="56"/>
    </row>
    <row r="88" spans="1:47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AF88" s="56"/>
      <c r="AG88" s="56"/>
      <c r="AH88" s="56"/>
      <c r="AI88" s="56"/>
      <c r="AJ88" s="56"/>
      <c r="AK88" s="56"/>
      <c r="AL88" s="56"/>
      <c r="AS88" s="56"/>
      <c r="AT88" s="56"/>
      <c r="AU88" s="56"/>
    </row>
    <row r="89" spans="1:47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AF89" s="56"/>
      <c r="AG89" s="56"/>
      <c r="AH89" s="56"/>
      <c r="AI89" s="56"/>
      <c r="AJ89" s="56"/>
      <c r="AK89" s="56"/>
      <c r="AL89" s="56"/>
      <c r="AS89" s="56"/>
      <c r="AT89" s="56"/>
      <c r="AU89" s="56"/>
    </row>
    <row r="90" spans="1:47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AF90" s="56"/>
      <c r="AG90" s="56"/>
      <c r="AH90" s="56"/>
      <c r="AI90" s="56"/>
      <c r="AJ90" s="56"/>
      <c r="AK90" s="56"/>
      <c r="AL90" s="56"/>
      <c r="AS90" s="56"/>
      <c r="AT90" s="56"/>
      <c r="AU90" s="56"/>
    </row>
    <row r="91" spans="1:47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AF91" s="56"/>
      <c r="AG91" s="56"/>
      <c r="AH91" s="56"/>
      <c r="AI91" s="56"/>
      <c r="AJ91" s="56"/>
      <c r="AK91" s="56"/>
      <c r="AL91" s="56"/>
      <c r="AS91" s="56"/>
      <c r="AT91" s="56"/>
      <c r="AU91" s="56"/>
    </row>
    <row r="92" spans="1:47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AF92" s="56"/>
      <c r="AG92" s="56"/>
      <c r="AH92" s="56"/>
      <c r="AI92" s="56"/>
      <c r="AJ92" s="56"/>
      <c r="AK92" s="56"/>
      <c r="AL92" s="56"/>
      <c r="AS92" s="56"/>
      <c r="AT92" s="56"/>
      <c r="AU92" s="56"/>
    </row>
    <row r="93" spans="1:47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AF93" s="56"/>
      <c r="AG93" s="56"/>
      <c r="AH93" s="56"/>
      <c r="AI93" s="56"/>
      <c r="AJ93" s="56"/>
      <c r="AK93" s="56"/>
      <c r="AL93" s="56"/>
      <c r="AS93" s="56"/>
      <c r="AT93" s="56"/>
      <c r="AU93" s="56"/>
    </row>
    <row r="94" spans="1:47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AF94" s="56"/>
      <c r="AG94" s="56"/>
      <c r="AH94" s="56"/>
      <c r="AI94" s="56"/>
      <c r="AJ94" s="56"/>
      <c r="AK94" s="56"/>
      <c r="AL94" s="56"/>
      <c r="AS94" s="56"/>
      <c r="AT94" s="56"/>
      <c r="AU94" s="56"/>
    </row>
    <row r="95" spans="1:47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AF95" s="56"/>
      <c r="AG95" s="56"/>
      <c r="AH95" s="56"/>
      <c r="AI95" s="56"/>
      <c r="AJ95" s="56"/>
      <c r="AK95" s="56"/>
      <c r="AL95" s="56"/>
      <c r="AS95" s="56"/>
      <c r="AT95" s="56"/>
      <c r="AU95" s="56"/>
    </row>
    <row r="96" spans="1:47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AF96" s="56"/>
      <c r="AG96" s="56"/>
      <c r="AH96" s="56"/>
      <c r="AI96" s="56"/>
      <c r="AJ96" s="56"/>
      <c r="AK96" s="56"/>
      <c r="AL96" s="56"/>
      <c r="AS96" s="56"/>
      <c r="AT96" s="56"/>
      <c r="AU96" s="56"/>
    </row>
    <row r="97" spans="1:47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AF97" s="56"/>
      <c r="AG97" s="56"/>
      <c r="AH97" s="56"/>
      <c r="AI97" s="56"/>
      <c r="AJ97" s="56"/>
      <c r="AK97" s="56"/>
      <c r="AL97" s="56"/>
      <c r="AS97" s="56"/>
      <c r="AT97" s="56"/>
      <c r="AU97" s="56"/>
    </row>
    <row r="98" spans="1:47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AF98" s="56"/>
      <c r="AG98" s="56"/>
      <c r="AH98" s="56"/>
      <c r="AI98" s="56"/>
      <c r="AJ98" s="56"/>
      <c r="AK98" s="56"/>
      <c r="AL98" s="56"/>
      <c r="AS98" s="56"/>
      <c r="AT98" s="56"/>
      <c r="AU98" s="56"/>
    </row>
    <row r="99" spans="1:47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AF99" s="56"/>
      <c r="AG99" s="56"/>
      <c r="AH99" s="56"/>
      <c r="AI99" s="56"/>
      <c r="AJ99" s="56"/>
      <c r="AK99" s="56"/>
      <c r="AL99" s="56"/>
      <c r="AS99" s="56"/>
      <c r="AT99" s="56"/>
      <c r="AU99" s="56"/>
    </row>
    <row r="100" spans="1:47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AF100" s="56"/>
      <c r="AG100" s="56"/>
      <c r="AH100" s="56"/>
      <c r="AI100" s="56"/>
      <c r="AJ100" s="56"/>
      <c r="AK100" s="56"/>
      <c r="AL100" s="56"/>
      <c r="AS100" s="56"/>
      <c r="AT100" s="56"/>
      <c r="AU100" s="56"/>
    </row>
    <row r="101" spans="1:47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AF101" s="56"/>
      <c r="AG101" s="56"/>
      <c r="AH101" s="56"/>
      <c r="AI101" s="56"/>
      <c r="AJ101" s="56"/>
      <c r="AK101" s="56"/>
      <c r="AL101" s="56"/>
      <c r="AS101" s="56"/>
      <c r="AT101" s="56"/>
      <c r="AU101" s="56"/>
    </row>
    <row r="102" spans="1:47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AF102" s="56"/>
      <c r="AG102" s="56"/>
      <c r="AH102" s="56"/>
      <c r="AI102" s="56"/>
      <c r="AJ102" s="56"/>
      <c r="AK102" s="56"/>
      <c r="AL102" s="56"/>
      <c r="AS102" s="56"/>
      <c r="AT102" s="56"/>
      <c r="AU102" s="56"/>
    </row>
    <row r="103" spans="1:47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AF103" s="56"/>
      <c r="AG103" s="56"/>
      <c r="AH103" s="56"/>
      <c r="AI103" s="56"/>
      <c r="AJ103" s="56"/>
      <c r="AK103" s="56"/>
      <c r="AL103" s="56"/>
      <c r="AS103" s="56"/>
      <c r="AT103" s="56"/>
      <c r="AU103" s="56"/>
    </row>
    <row r="104" spans="1:47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AF104" s="56"/>
      <c r="AG104" s="56"/>
      <c r="AH104" s="56"/>
      <c r="AI104" s="56"/>
      <c r="AJ104" s="56"/>
      <c r="AK104" s="56"/>
      <c r="AL104" s="56"/>
      <c r="AS104" s="56"/>
      <c r="AT104" s="56"/>
      <c r="AU104" s="56"/>
    </row>
    <row r="105" spans="1:47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AF105" s="56"/>
      <c r="AG105" s="56"/>
      <c r="AH105" s="56"/>
      <c r="AI105" s="56"/>
      <c r="AJ105" s="56"/>
      <c r="AK105" s="56"/>
      <c r="AL105" s="56"/>
      <c r="AS105" s="56"/>
      <c r="AT105" s="56"/>
      <c r="AU105" s="56"/>
    </row>
    <row r="106" spans="1:47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AF106" s="56"/>
      <c r="AG106" s="56"/>
      <c r="AH106" s="56"/>
      <c r="AI106" s="56"/>
      <c r="AJ106" s="56"/>
      <c r="AK106" s="56"/>
      <c r="AL106" s="56"/>
      <c r="AS106" s="56"/>
      <c r="AT106" s="56"/>
      <c r="AU106" s="56"/>
    </row>
    <row r="107" spans="1:47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AF107" s="56"/>
      <c r="AG107" s="56"/>
      <c r="AH107" s="56"/>
      <c r="AI107" s="56"/>
      <c r="AJ107" s="56"/>
      <c r="AK107" s="56"/>
      <c r="AL107" s="56"/>
      <c r="AS107" s="56"/>
      <c r="AT107" s="56"/>
      <c r="AU107" s="56"/>
    </row>
    <row r="108" spans="1:47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AF108" s="56"/>
      <c r="AG108" s="56"/>
      <c r="AH108" s="56"/>
      <c r="AI108" s="56"/>
      <c r="AJ108" s="56"/>
      <c r="AK108" s="56"/>
      <c r="AL108" s="56"/>
      <c r="AS108" s="56"/>
      <c r="AT108" s="56"/>
      <c r="AU108" s="56"/>
    </row>
    <row r="109" spans="1:47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AF109" s="56"/>
      <c r="AG109" s="56"/>
      <c r="AH109" s="56"/>
      <c r="AI109" s="56"/>
      <c r="AJ109" s="56"/>
      <c r="AK109" s="56"/>
      <c r="AL109" s="56"/>
      <c r="AS109" s="56"/>
      <c r="AT109" s="56"/>
      <c r="AU109" s="56"/>
    </row>
    <row r="110" spans="1:47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AF110" s="56"/>
      <c r="AG110" s="56"/>
      <c r="AH110" s="56"/>
      <c r="AI110" s="56"/>
      <c r="AJ110" s="56"/>
      <c r="AK110" s="56"/>
      <c r="AL110" s="56"/>
      <c r="AS110" s="56"/>
      <c r="AT110" s="56"/>
      <c r="AU110" s="56"/>
    </row>
    <row r="111" spans="1:47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AF111" s="56"/>
      <c r="AG111" s="56"/>
      <c r="AH111" s="56"/>
      <c r="AI111" s="56"/>
      <c r="AJ111" s="56"/>
      <c r="AK111" s="56"/>
      <c r="AL111" s="56"/>
      <c r="AS111" s="56"/>
      <c r="AT111" s="56"/>
      <c r="AU111" s="56"/>
    </row>
    <row r="112" spans="1:47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AF112" s="56"/>
      <c r="AG112" s="56"/>
      <c r="AH112" s="56"/>
      <c r="AI112" s="56"/>
      <c r="AJ112" s="56"/>
      <c r="AK112" s="56"/>
      <c r="AL112" s="56"/>
      <c r="AS112" s="56"/>
      <c r="AT112" s="56"/>
      <c r="AU112" s="56"/>
    </row>
    <row r="113" spans="1:47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AF113" s="56"/>
      <c r="AG113" s="56"/>
      <c r="AH113" s="56"/>
      <c r="AI113" s="56"/>
      <c r="AJ113" s="56"/>
      <c r="AK113" s="56"/>
      <c r="AL113" s="56"/>
      <c r="AS113" s="56"/>
      <c r="AT113" s="56"/>
      <c r="AU113" s="56"/>
    </row>
    <row r="114" spans="1:47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AF114" s="56"/>
      <c r="AG114" s="56"/>
      <c r="AH114" s="56"/>
      <c r="AI114" s="56"/>
      <c r="AJ114" s="56"/>
      <c r="AK114" s="56"/>
      <c r="AL114" s="56"/>
      <c r="AS114" s="56"/>
      <c r="AT114" s="56"/>
      <c r="AU114" s="56"/>
    </row>
    <row r="115" spans="1:47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AF115" s="56"/>
      <c r="AG115" s="56"/>
      <c r="AH115" s="56"/>
      <c r="AI115" s="56"/>
      <c r="AJ115" s="56"/>
      <c r="AK115" s="56"/>
      <c r="AL115" s="56"/>
      <c r="AS115" s="56"/>
      <c r="AT115" s="56"/>
      <c r="AU115" s="56"/>
    </row>
    <row r="116" spans="1:47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AF116" s="56"/>
      <c r="AG116" s="56"/>
      <c r="AH116" s="56"/>
      <c r="AI116" s="56"/>
      <c r="AJ116" s="56"/>
      <c r="AK116" s="56"/>
      <c r="AL116" s="56"/>
      <c r="AS116" s="56"/>
      <c r="AT116" s="56"/>
      <c r="AU116" s="56"/>
    </row>
    <row r="117" spans="1:47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AF117" s="56"/>
      <c r="AG117" s="56"/>
      <c r="AH117" s="56"/>
      <c r="AI117" s="56"/>
      <c r="AJ117" s="56"/>
      <c r="AK117" s="56"/>
      <c r="AL117" s="56"/>
      <c r="AS117" s="56"/>
      <c r="AT117" s="56"/>
      <c r="AU117" s="56"/>
    </row>
    <row r="118" spans="1:47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AF118" s="56"/>
      <c r="AG118" s="56"/>
      <c r="AH118" s="56"/>
      <c r="AI118" s="56"/>
      <c r="AJ118" s="56"/>
      <c r="AK118" s="56"/>
      <c r="AL118" s="56"/>
      <c r="AS118" s="56"/>
      <c r="AT118" s="56"/>
      <c r="AU118" s="56"/>
    </row>
    <row r="119" spans="1:47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AF119" s="56"/>
      <c r="AG119" s="56"/>
      <c r="AH119" s="56"/>
      <c r="AI119" s="56"/>
      <c r="AJ119" s="56"/>
      <c r="AK119" s="56"/>
      <c r="AL119" s="56"/>
      <c r="AS119" s="56"/>
      <c r="AT119" s="56"/>
      <c r="AU119" s="56"/>
    </row>
    <row r="120" spans="1:47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AF120" s="56"/>
      <c r="AG120" s="56"/>
      <c r="AH120" s="56"/>
      <c r="AI120" s="56"/>
      <c r="AJ120" s="56"/>
      <c r="AK120" s="56"/>
      <c r="AL120" s="56"/>
      <c r="AS120" s="56"/>
      <c r="AT120" s="56"/>
      <c r="AU120" s="56"/>
    </row>
    <row r="121" spans="1:47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AF121" s="56"/>
      <c r="AG121" s="56"/>
      <c r="AH121" s="56"/>
      <c r="AI121" s="56"/>
      <c r="AJ121" s="56"/>
      <c r="AK121" s="56"/>
      <c r="AL121" s="56"/>
      <c r="AS121" s="56"/>
      <c r="AT121" s="56"/>
      <c r="AU121" s="56"/>
    </row>
    <row r="122" spans="1:47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AF122" s="56"/>
      <c r="AG122" s="56"/>
      <c r="AH122" s="56"/>
      <c r="AI122" s="56"/>
      <c r="AJ122" s="56"/>
      <c r="AK122" s="56"/>
      <c r="AL122" s="56"/>
      <c r="AS122" s="56"/>
      <c r="AT122" s="56"/>
      <c r="AU122" s="56"/>
    </row>
    <row r="123" spans="1:47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AF123" s="56"/>
      <c r="AG123" s="56"/>
      <c r="AH123" s="56"/>
      <c r="AI123" s="56"/>
      <c r="AJ123" s="56"/>
      <c r="AK123" s="56"/>
      <c r="AL123" s="56"/>
      <c r="AS123" s="56"/>
      <c r="AT123" s="56"/>
      <c r="AU123" s="56"/>
    </row>
    <row r="124" spans="1:47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AF124" s="56"/>
      <c r="AG124" s="56"/>
      <c r="AH124" s="56"/>
      <c r="AI124" s="56"/>
      <c r="AJ124" s="56"/>
      <c r="AK124" s="56"/>
      <c r="AL124" s="56"/>
      <c r="AS124" s="56"/>
      <c r="AT124" s="56"/>
      <c r="AU124" s="56"/>
    </row>
    <row r="125" spans="1:47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AF125" s="56"/>
      <c r="AG125" s="56"/>
      <c r="AH125" s="56"/>
      <c r="AI125" s="56"/>
      <c r="AJ125" s="56"/>
      <c r="AK125" s="56"/>
      <c r="AL125" s="56"/>
      <c r="AS125" s="56"/>
      <c r="AT125" s="56"/>
      <c r="AU125" s="56"/>
    </row>
    <row r="126" spans="1:47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AF126" s="56"/>
      <c r="AG126" s="56"/>
      <c r="AH126" s="56"/>
      <c r="AI126" s="56"/>
      <c r="AJ126" s="56"/>
      <c r="AK126" s="56"/>
      <c r="AL126" s="56"/>
      <c r="AS126" s="56"/>
      <c r="AT126" s="56"/>
      <c r="AU126" s="56"/>
    </row>
    <row r="127" spans="1:47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AF127" s="56"/>
      <c r="AG127" s="56"/>
      <c r="AH127" s="56"/>
      <c r="AI127" s="56"/>
      <c r="AJ127" s="56"/>
      <c r="AK127" s="56"/>
      <c r="AL127" s="56"/>
      <c r="AS127" s="56"/>
      <c r="AT127" s="56"/>
      <c r="AU127" s="56"/>
    </row>
    <row r="128" spans="1:47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AF128" s="56"/>
      <c r="AG128" s="56"/>
      <c r="AH128" s="56"/>
      <c r="AI128" s="56"/>
      <c r="AJ128" s="56"/>
      <c r="AK128" s="56"/>
      <c r="AL128" s="56"/>
      <c r="AS128" s="56"/>
      <c r="AT128" s="56"/>
      <c r="AU128" s="56"/>
    </row>
    <row r="129" spans="1:47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AF129" s="56"/>
      <c r="AG129" s="56"/>
      <c r="AH129" s="56"/>
      <c r="AI129" s="56"/>
      <c r="AJ129" s="56"/>
      <c r="AK129" s="56"/>
      <c r="AL129" s="56"/>
      <c r="AS129" s="56"/>
      <c r="AT129" s="56"/>
      <c r="AU129" s="56"/>
    </row>
    <row r="130" spans="1:47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AF130" s="56"/>
      <c r="AG130" s="56"/>
      <c r="AH130" s="56"/>
      <c r="AI130" s="56"/>
      <c r="AJ130" s="56"/>
      <c r="AK130" s="56"/>
      <c r="AL130" s="56"/>
      <c r="AS130" s="56"/>
      <c r="AT130" s="56"/>
      <c r="AU130" s="56"/>
    </row>
    <row r="131" spans="1:47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AF131" s="56"/>
      <c r="AG131" s="56"/>
      <c r="AH131" s="56"/>
      <c r="AI131" s="56"/>
      <c r="AJ131" s="56"/>
      <c r="AK131" s="56"/>
      <c r="AL131" s="56"/>
      <c r="AS131" s="56"/>
      <c r="AT131" s="56"/>
      <c r="AU131" s="56"/>
    </row>
    <row r="132" spans="1:47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AF132" s="56"/>
      <c r="AG132" s="56"/>
      <c r="AH132" s="56"/>
      <c r="AI132" s="56"/>
      <c r="AJ132" s="56"/>
      <c r="AK132" s="56"/>
      <c r="AL132" s="56"/>
      <c r="AS132" s="56"/>
      <c r="AT132" s="56"/>
      <c r="AU132" s="56"/>
    </row>
    <row r="133" spans="1:47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AF133" s="56"/>
      <c r="AG133" s="56"/>
      <c r="AH133" s="56"/>
      <c r="AI133" s="56"/>
      <c r="AJ133" s="56"/>
      <c r="AK133" s="56"/>
      <c r="AL133" s="56"/>
      <c r="AS133" s="56"/>
      <c r="AT133" s="56"/>
      <c r="AU133" s="56"/>
    </row>
    <row r="134" spans="1:47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AF134" s="56"/>
      <c r="AG134" s="56"/>
      <c r="AH134" s="56"/>
      <c r="AI134" s="56"/>
      <c r="AJ134" s="56"/>
      <c r="AK134" s="56"/>
      <c r="AL134" s="56"/>
      <c r="AS134" s="56"/>
      <c r="AT134" s="56"/>
      <c r="AU134" s="56"/>
    </row>
    <row r="135" spans="1:47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AF135" s="56"/>
      <c r="AG135" s="56"/>
      <c r="AH135" s="56"/>
      <c r="AI135" s="56"/>
      <c r="AJ135" s="56"/>
      <c r="AK135" s="56"/>
      <c r="AL135" s="56"/>
      <c r="AS135" s="56"/>
      <c r="AT135" s="56"/>
      <c r="AU135" s="56"/>
    </row>
    <row r="136" spans="1:47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AF136" s="56"/>
      <c r="AG136" s="56"/>
      <c r="AH136" s="56"/>
      <c r="AI136" s="56"/>
      <c r="AJ136" s="56"/>
      <c r="AK136" s="56"/>
      <c r="AL136" s="56"/>
      <c r="AS136" s="56"/>
      <c r="AT136" s="56"/>
      <c r="AU136" s="56"/>
    </row>
    <row r="137" spans="1:47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AF137" s="56"/>
      <c r="AG137" s="56"/>
      <c r="AH137" s="56"/>
      <c r="AI137" s="56"/>
      <c r="AJ137" s="56"/>
      <c r="AK137" s="56"/>
      <c r="AL137" s="56"/>
      <c r="AS137" s="56"/>
      <c r="AT137" s="56"/>
      <c r="AU137" s="56"/>
    </row>
    <row r="138" spans="1:47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AF138" s="56"/>
      <c r="AG138" s="56"/>
      <c r="AH138" s="56"/>
      <c r="AI138" s="56"/>
      <c r="AJ138" s="56"/>
      <c r="AK138" s="56"/>
      <c r="AL138" s="56"/>
      <c r="AS138" s="56"/>
      <c r="AT138" s="56"/>
      <c r="AU138" s="56"/>
    </row>
    <row r="139" spans="1:47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AF139" s="56"/>
      <c r="AG139" s="56"/>
      <c r="AH139" s="56"/>
      <c r="AI139" s="56"/>
      <c r="AJ139" s="56"/>
      <c r="AK139" s="56"/>
      <c r="AL139" s="56"/>
      <c r="AS139" s="56"/>
      <c r="AT139" s="56"/>
      <c r="AU139" s="56"/>
    </row>
    <row r="140" spans="1:47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AF140" s="56"/>
      <c r="AG140" s="56"/>
      <c r="AH140" s="56"/>
      <c r="AI140" s="56"/>
      <c r="AJ140" s="56"/>
      <c r="AK140" s="56"/>
      <c r="AL140" s="56"/>
      <c r="AS140" s="56"/>
      <c r="AT140" s="56"/>
      <c r="AU140" s="56"/>
    </row>
    <row r="141" spans="1:47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AF141" s="56"/>
      <c r="AG141" s="56"/>
      <c r="AH141" s="56"/>
      <c r="AI141" s="56"/>
      <c r="AJ141" s="56"/>
      <c r="AK141" s="56"/>
      <c r="AL141" s="56"/>
      <c r="AS141" s="56"/>
      <c r="AT141" s="56"/>
      <c r="AU141" s="56"/>
    </row>
    <row r="142" spans="1:47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AF142" s="56"/>
      <c r="AG142" s="56"/>
      <c r="AH142" s="56"/>
      <c r="AI142" s="56"/>
      <c r="AJ142" s="56"/>
      <c r="AK142" s="56"/>
      <c r="AL142" s="56"/>
      <c r="AS142" s="56"/>
      <c r="AT142" s="56"/>
      <c r="AU142" s="56"/>
    </row>
    <row r="143" spans="1:47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AF143" s="56"/>
      <c r="AG143" s="56"/>
      <c r="AH143" s="56"/>
      <c r="AI143" s="56"/>
      <c r="AJ143" s="56"/>
      <c r="AK143" s="56"/>
      <c r="AL143" s="56"/>
      <c r="AS143" s="56"/>
      <c r="AT143" s="56"/>
      <c r="AU143" s="56"/>
    </row>
    <row r="144" spans="1:47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AF144" s="56"/>
      <c r="AG144" s="56"/>
      <c r="AH144" s="56"/>
      <c r="AI144" s="56"/>
      <c r="AJ144" s="56"/>
      <c r="AK144" s="56"/>
      <c r="AL144" s="56"/>
      <c r="AS144" s="56"/>
      <c r="AT144" s="56"/>
      <c r="AU144" s="56"/>
    </row>
    <row r="145" spans="1:47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AF145" s="56"/>
      <c r="AG145" s="56"/>
      <c r="AH145" s="56"/>
      <c r="AI145" s="56"/>
      <c r="AJ145" s="56"/>
      <c r="AK145" s="56"/>
      <c r="AL145" s="56"/>
      <c r="AS145" s="56"/>
      <c r="AT145" s="56"/>
      <c r="AU145" s="56"/>
    </row>
    <row r="146" spans="1:47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AF146" s="56"/>
      <c r="AG146" s="56"/>
      <c r="AH146" s="56"/>
      <c r="AI146" s="56"/>
      <c r="AJ146" s="56"/>
      <c r="AK146" s="56"/>
      <c r="AL146" s="56"/>
      <c r="AS146" s="56"/>
      <c r="AT146" s="56"/>
      <c r="AU146" s="56"/>
    </row>
    <row r="147" spans="1:47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AF147" s="56"/>
      <c r="AG147" s="56"/>
      <c r="AH147" s="56"/>
      <c r="AI147" s="56"/>
      <c r="AJ147" s="56"/>
      <c r="AK147" s="56"/>
      <c r="AL147" s="56"/>
      <c r="AS147" s="56"/>
      <c r="AT147" s="56"/>
      <c r="AU147" s="56"/>
    </row>
    <row r="148" spans="1:47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AF148" s="56"/>
      <c r="AG148" s="56"/>
      <c r="AH148" s="56"/>
      <c r="AI148" s="56"/>
      <c r="AJ148" s="56"/>
      <c r="AK148" s="56"/>
      <c r="AL148" s="56"/>
      <c r="AS148" s="56"/>
      <c r="AT148" s="56"/>
      <c r="AU148" s="56"/>
    </row>
    <row r="149" spans="1:47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AF149" s="56"/>
      <c r="AG149" s="56"/>
      <c r="AH149" s="56"/>
      <c r="AI149" s="56"/>
      <c r="AJ149" s="56"/>
      <c r="AK149" s="56"/>
      <c r="AL149" s="56"/>
      <c r="AS149" s="56"/>
      <c r="AT149" s="56"/>
      <c r="AU149" s="56"/>
    </row>
    <row r="150" spans="1:47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AF150" s="56"/>
      <c r="AG150" s="56"/>
      <c r="AH150" s="56"/>
      <c r="AI150" s="56"/>
      <c r="AJ150" s="56"/>
      <c r="AK150" s="56"/>
      <c r="AL150" s="56"/>
      <c r="AS150" s="56"/>
      <c r="AT150" s="56"/>
      <c r="AU150" s="56"/>
    </row>
    <row r="151" spans="1:47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AF151" s="56"/>
      <c r="AG151" s="56"/>
      <c r="AH151" s="56"/>
      <c r="AI151" s="56"/>
      <c r="AJ151" s="56"/>
      <c r="AK151" s="56"/>
      <c r="AL151" s="56"/>
      <c r="AS151" s="56"/>
      <c r="AT151" s="56"/>
      <c r="AU151" s="56"/>
    </row>
    <row r="152" spans="1:47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AF152" s="56"/>
      <c r="AG152" s="56"/>
      <c r="AH152" s="56"/>
      <c r="AI152" s="56"/>
      <c r="AJ152" s="56"/>
      <c r="AK152" s="56"/>
      <c r="AL152" s="56"/>
      <c r="AS152" s="56"/>
      <c r="AT152" s="56"/>
      <c r="AU152" s="56"/>
    </row>
    <row r="153" spans="1:47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AF153" s="56"/>
      <c r="AG153" s="56"/>
      <c r="AH153" s="56"/>
      <c r="AI153" s="56"/>
      <c r="AJ153" s="56"/>
      <c r="AK153" s="56"/>
      <c r="AL153" s="56"/>
      <c r="AS153" s="56"/>
      <c r="AT153" s="56"/>
      <c r="AU153" s="56"/>
    </row>
    <row r="154" spans="1:47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AF154" s="56"/>
      <c r="AG154" s="56"/>
      <c r="AH154" s="56"/>
      <c r="AI154" s="56"/>
      <c r="AJ154" s="56"/>
      <c r="AK154" s="56"/>
      <c r="AL154" s="56"/>
      <c r="AS154" s="56"/>
      <c r="AT154" s="56"/>
      <c r="AU154" s="56"/>
    </row>
    <row r="155" spans="1:47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AF155" s="56"/>
      <c r="AG155" s="56"/>
      <c r="AH155" s="56"/>
      <c r="AI155" s="56"/>
      <c r="AJ155" s="56"/>
      <c r="AK155" s="56"/>
      <c r="AL155" s="56"/>
      <c r="AS155" s="56"/>
      <c r="AT155" s="56"/>
      <c r="AU155" s="56"/>
    </row>
    <row r="156" spans="1:47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AF156" s="56"/>
      <c r="AG156" s="56"/>
      <c r="AH156" s="56"/>
      <c r="AI156" s="56"/>
      <c r="AJ156" s="56"/>
      <c r="AK156" s="56"/>
      <c r="AL156" s="56"/>
      <c r="AS156" s="56"/>
      <c r="AT156" s="56"/>
      <c r="AU156" s="56"/>
    </row>
    <row r="157" spans="1:47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AF157" s="56"/>
      <c r="AG157" s="56"/>
      <c r="AH157" s="56"/>
      <c r="AI157" s="56"/>
      <c r="AJ157" s="56"/>
      <c r="AK157" s="56"/>
      <c r="AL157" s="56"/>
      <c r="AS157" s="56"/>
      <c r="AT157" s="56"/>
      <c r="AU157" s="56"/>
    </row>
    <row r="158" spans="1:47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AF158" s="56"/>
      <c r="AG158" s="56"/>
      <c r="AH158" s="56"/>
      <c r="AI158" s="56"/>
      <c r="AJ158" s="56"/>
      <c r="AK158" s="56"/>
      <c r="AL158" s="56"/>
      <c r="AS158" s="56"/>
      <c r="AT158" s="56"/>
      <c r="AU158" s="56"/>
    </row>
    <row r="159" spans="1:47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AF159" s="56"/>
      <c r="AG159" s="56"/>
      <c r="AH159" s="56"/>
      <c r="AI159" s="56"/>
      <c r="AJ159" s="56"/>
      <c r="AK159" s="56"/>
      <c r="AL159" s="56"/>
      <c r="AS159" s="56"/>
      <c r="AT159" s="56"/>
      <c r="AU159" s="56"/>
    </row>
    <row r="160" spans="1:47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AF160" s="56"/>
      <c r="AG160" s="56"/>
      <c r="AH160" s="56"/>
      <c r="AI160" s="56"/>
      <c r="AJ160" s="56"/>
      <c r="AK160" s="56"/>
      <c r="AL160" s="56"/>
      <c r="AS160" s="56"/>
      <c r="AT160" s="56"/>
      <c r="AU160" s="56"/>
    </row>
    <row r="161" spans="1:47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AF161" s="56"/>
      <c r="AG161" s="56"/>
      <c r="AH161" s="56"/>
      <c r="AI161" s="56"/>
      <c r="AJ161" s="56"/>
      <c r="AK161" s="56"/>
      <c r="AL161" s="56"/>
      <c r="AS161" s="56"/>
      <c r="AT161" s="56"/>
      <c r="AU161" s="56"/>
    </row>
    <row r="162" spans="1:47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AF162" s="56"/>
      <c r="AG162" s="56"/>
      <c r="AH162" s="56"/>
      <c r="AI162" s="56"/>
      <c r="AJ162" s="56"/>
      <c r="AK162" s="56"/>
      <c r="AL162" s="56"/>
      <c r="AS162" s="56"/>
      <c r="AT162" s="56"/>
      <c r="AU162" s="56"/>
    </row>
    <row r="163" spans="1:47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AF163" s="56"/>
      <c r="AG163" s="56"/>
      <c r="AH163" s="56"/>
      <c r="AI163" s="56"/>
      <c r="AJ163" s="56"/>
      <c r="AK163" s="56"/>
      <c r="AL163" s="56"/>
      <c r="AS163" s="56"/>
      <c r="AT163" s="56"/>
      <c r="AU163" s="56"/>
    </row>
    <row r="164" spans="1:47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AF164" s="56"/>
      <c r="AG164" s="56"/>
      <c r="AH164" s="56"/>
      <c r="AI164" s="56"/>
      <c r="AJ164" s="56"/>
      <c r="AK164" s="56"/>
      <c r="AL164" s="56"/>
      <c r="AS164" s="56"/>
      <c r="AT164" s="56"/>
      <c r="AU164" s="56"/>
    </row>
    <row r="165" spans="1:47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AF165" s="56"/>
      <c r="AG165" s="56"/>
      <c r="AH165" s="56"/>
      <c r="AI165" s="56"/>
      <c r="AJ165" s="56"/>
      <c r="AK165" s="56"/>
      <c r="AL165" s="56"/>
      <c r="AS165" s="56"/>
      <c r="AT165" s="56"/>
      <c r="AU165" s="56"/>
    </row>
    <row r="166" spans="1:47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AF166" s="56"/>
      <c r="AG166" s="56"/>
      <c r="AH166" s="56"/>
      <c r="AI166" s="56"/>
      <c r="AJ166" s="56"/>
      <c r="AK166" s="56"/>
      <c r="AL166" s="56"/>
      <c r="AS166" s="56"/>
      <c r="AT166" s="56"/>
      <c r="AU166" s="56"/>
    </row>
    <row r="167" spans="1:47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AF167" s="56"/>
      <c r="AG167" s="56"/>
      <c r="AH167" s="56"/>
      <c r="AI167" s="56"/>
      <c r="AJ167" s="56"/>
      <c r="AK167" s="56"/>
      <c r="AL167" s="56"/>
      <c r="AS167" s="56"/>
      <c r="AT167" s="56"/>
      <c r="AU167" s="56"/>
    </row>
    <row r="168" spans="1:47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AF168" s="56"/>
      <c r="AG168" s="56"/>
      <c r="AH168" s="56"/>
      <c r="AI168" s="56"/>
      <c r="AJ168" s="56"/>
      <c r="AK168" s="56"/>
      <c r="AL168" s="56"/>
      <c r="AS168" s="56"/>
      <c r="AT168" s="56"/>
      <c r="AU168" s="56"/>
    </row>
    <row r="169" spans="1:47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AF169" s="56"/>
      <c r="AG169" s="56"/>
      <c r="AH169" s="56"/>
      <c r="AI169" s="56"/>
      <c r="AJ169" s="56"/>
      <c r="AK169" s="56"/>
      <c r="AL169" s="56"/>
      <c r="AS169" s="56"/>
      <c r="AT169" s="56"/>
      <c r="AU169" s="56"/>
    </row>
    <row r="170" spans="1:47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AF170" s="56"/>
      <c r="AG170" s="56"/>
      <c r="AH170" s="56"/>
      <c r="AI170" s="56"/>
      <c r="AJ170" s="56"/>
      <c r="AK170" s="56"/>
      <c r="AL170" s="56"/>
      <c r="AS170" s="56"/>
      <c r="AT170" s="56"/>
      <c r="AU170" s="56"/>
    </row>
    <row r="171" spans="1:47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AF171" s="56"/>
      <c r="AG171" s="56"/>
      <c r="AH171" s="56"/>
      <c r="AI171" s="56"/>
      <c r="AJ171" s="56"/>
      <c r="AK171" s="56"/>
      <c r="AL171" s="56"/>
      <c r="AS171" s="56"/>
      <c r="AT171" s="56"/>
      <c r="AU171" s="56"/>
    </row>
    <row r="172" spans="1:47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AF172" s="56"/>
      <c r="AG172" s="56"/>
      <c r="AH172" s="56"/>
      <c r="AI172" s="56"/>
      <c r="AJ172" s="56"/>
      <c r="AK172" s="56"/>
      <c r="AL172" s="56"/>
      <c r="AS172" s="56"/>
      <c r="AT172" s="56"/>
      <c r="AU172" s="56"/>
    </row>
    <row r="173" spans="1:47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AF173" s="56"/>
      <c r="AG173" s="56"/>
      <c r="AH173" s="56"/>
      <c r="AI173" s="56"/>
      <c r="AJ173" s="56"/>
      <c r="AK173" s="56"/>
      <c r="AL173" s="56"/>
      <c r="AS173" s="56"/>
      <c r="AT173" s="56"/>
      <c r="AU173" s="56"/>
    </row>
    <row r="174" spans="1:47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AF174" s="56"/>
      <c r="AG174" s="56"/>
      <c r="AH174" s="56"/>
      <c r="AI174" s="56"/>
      <c r="AJ174" s="56"/>
      <c r="AK174" s="56"/>
      <c r="AL174" s="56"/>
      <c r="AS174" s="56"/>
      <c r="AT174" s="56"/>
      <c r="AU174" s="56"/>
    </row>
    <row r="175" spans="1:47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AF175" s="56"/>
      <c r="AG175" s="56"/>
      <c r="AH175" s="56"/>
      <c r="AI175" s="56"/>
      <c r="AJ175" s="56"/>
      <c r="AK175" s="56"/>
      <c r="AL175" s="56"/>
      <c r="AS175" s="56"/>
      <c r="AT175" s="56"/>
      <c r="AU175" s="56"/>
    </row>
    <row r="176" spans="1:47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AF176" s="56"/>
      <c r="AG176" s="56"/>
      <c r="AH176" s="56"/>
      <c r="AI176" s="56"/>
      <c r="AJ176" s="56"/>
      <c r="AK176" s="56"/>
      <c r="AL176" s="56"/>
      <c r="AS176" s="56"/>
      <c r="AT176" s="56"/>
      <c r="AU176" s="56"/>
    </row>
    <row r="177" spans="1:47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AF177" s="56"/>
      <c r="AG177" s="56"/>
      <c r="AH177" s="56"/>
      <c r="AI177" s="56"/>
      <c r="AJ177" s="56"/>
      <c r="AK177" s="56"/>
      <c r="AL177" s="56"/>
      <c r="AS177" s="56"/>
      <c r="AT177" s="56"/>
      <c r="AU177" s="56"/>
    </row>
    <row r="178" spans="1:47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AF178" s="56"/>
      <c r="AG178" s="56"/>
      <c r="AH178" s="56"/>
      <c r="AI178" s="56"/>
      <c r="AJ178" s="56"/>
      <c r="AK178" s="56"/>
      <c r="AL178" s="56"/>
      <c r="AS178" s="56"/>
      <c r="AT178" s="56"/>
      <c r="AU178" s="56"/>
    </row>
    <row r="179" spans="1:47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AF179" s="56"/>
      <c r="AG179" s="56"/>
      <c r="AH179" s="56"/>
      <c r="AI179" s="56"/>
      <c r="AJ179" s="56"/>
      <c r="AK179" s="56"/>
      <c r="AL179" s="56"/>
      <c r="AS179" s="56"/>
      <c r="AT179" s="56"/>
      <c r="AU179" s="56"/>
    </row>
    <row r="180" spans="1:47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AF180" s="56"/>
      <c r="AG180" s="56"/>
      <c r="AH180" s="56"/>
      <c r="AI180" s="56"/>
      <c r="AJ180" s="56"/>
      <c r="AK180" s="56"/>
      <c r="AL180" s="56"/>
      <c r="AS180" s="56"/>
      <c r="AT180" s="56"/>
      <c r="AU180" s="56"/>
    </row>
    <row r="181" spans="1:47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AF181" s="56"/>
      <c r="AG181" s="56"/>
      <c r="AH181" s="56"/>
      <c r="AI181" s="56"/>
      <c r="AJ181" s="56"/>
      <c r="AK181" s="56"/>
      <c r="AL181" s="56"/>
      <c r="AS181" s="56"/>
      <c r="AT181" s="56"/>
      <c r="AU181" s="56"/>
    </row>
    <row r="182" spans="1:47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AF182" s="56"/>
      <c r="AG182" s="56"/>
      <c r="AH182" s="56"/>
      <c r="AI182" s="56"/>
      <c r="AJ182" s="56"/>
      <c r="AK182" s="56"/>
      <c r="AL182" s="56"/>
      <c r="AS182" s="56"/>
      <c r="AT182" s="56"/>
      <c r="AU182" s="56"/>
    </row>
    <row r="183" spans="1:47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AF183" s="56"/>
      <c r="AG183" s="56"/>
      <c r="AH183" s="56"/>
      <c r="AI183" s="56"/>
      <c r="AJ183" s="56"/>
      <c r="AK183" s="56"/>
      <c r="AL183" s="56"/>
      <c r="AS183" s="56"/>
      <c r="AT183" s="56"/>
      <c r="AU183" s="56"/>
    </row>
    <row r="184" spans="1:47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AF184" s="56"/>
      <c r="AG184" s="56"/>
      <c r="AH184" s="56"/>
      <c r="AI184" s="56"/>
      <c r="AJ184" s="56"/>
      <c r="AK184" s="56"/>
      <c r="AL184" s="56"/>
      <c r="AS184" s="56"/>
      <c r="AT184" s="56"/>
      <c r="AU184" s="56"/>
    </row>
    <row r="185" spans="1:47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AF185" s="56"/>
      <c r="AG185" s="56"/>
      <c r="AH185" s="56"/>
      <c r="AI185" s="56"/>
      <c r="AJ185" s="56"/>
      <c r="AK185" s="56"/>
      <c r="AL185" s="56"/>
      <c r="AS185" s="56"/>
      <c r="AT185" s="56"/>
      <c r="AU185" s="56"/>
    </row>
    <row r="186" spans="1:47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AF186" s="56"/>
      <c r="AG186" s="56"/>
      <c r="AH186" s="56"/>
      <c r="AI186" s="56"/>
      <c r="AJ186" s="56"/>
      <c r="AK186" s="56"/>
      <c r="AL186" s="56"/>
      <c r="AS186" s="56"/>
      <c r="AT186" s="56"/>
      <c r="AU186" s="56"/>
    </row>
    <row r="187" spans="1:47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AF187" s="56"/>
      <c r="AG187" s="56"/>
      <c r="AH187" s="56"/>
      <c r="AI187" s="56"/>
      <c r="AJ187" s="56"/>
      <c r="AK187" s="56"/>
      <c r="AL187" s="56"/>
      <c r="AS187" s="56"/>
      <c r="AT187" s="56"/>
      <c r="AU187" s="56"/>
    </row>
    <row r="188" spans="1:47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AF188" s="56"/>
      <c r="AG188" s="56"/>
      <c r="AH188" s="56"/>
      <c r="AI188" s="56"/>
      <c r="AJ188" s="56"/>
      <c r="AK188" s="56"/>
      <c r="AL188" s="56"/>
      <c r="AS188" s="56"/>
      <c r="AT188" s="56"/>
      <c r="AU188" s="56"/>
    </row>
    <row r="189" spans="1:47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AF189" s="56"/>
      <c r="AG189" s="56"/>
      <c r="AH189" s="56"/>
      <c r="AI189" s="56"/>
      <c r="AJ189" s="56"/>
      <c r="AK189" s="56"/>
      <c r="AL189" s="56"/>
      <c r="AS189" s="56"/>
      <c r="AT189" s="56"/>
      <c r="AU189" s="56"/>
    </row>
    <row r="190" spans="1:47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AF190" s="56"/>
      <c r="AG190" s="56"/>
      <c r="AH190" s="56"/>
      <c r="AI190" s="56"/>
      <c r="AJ190" s="56"/>
      <c r="AK190" s="56"/>
      <c r="AL190" s="56"/>
      <c r="AS190" s="56"/>
      <c r="AT190" s="56"/>
      <c r="AU190" s="56"/>
    </row>
    <row r="191" spans="1:47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AF191" s="56"/>
      <c r="AG191" s="56"/>
      <c r="AH191" s="56"/>
      <c r="AI191" s="56"/>
      <c r="AJ191" s="56"/>
      <c r="AK191" s="56"/>
      <c r="AL191" s="56"/>
      <c r="AS191" s="56"/>
      <c r="AT191" s="56"/>
      <c r="AU191" s="56"/>
    </row>
    <row r="192" spans="1:47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AF192" s="56"/>
      <c r="AG192" s="56"/>
      <c r="AH192" s="56"/>
      <c r="AI192" s="56"/>
      <c r="AJ192" s="56"/>
      <c r="AK192" s="56"/>
      <c r="AL192" s="56"/>
      <c r="AS192" s="56"/>
      <c r="AT192" s="56"/>
      <c r="AU192" s="56"/>
    </row>
    <row r="193" spans="1:47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AF193" s="56"/>
      <c r="AG193" s="56"/>
      <c r="AH193" s="56"/>
      <c r="AI193" s="56"/>
      <c r="AJ193" s="56"/>
      <c r="AK193" s="56"/>
      <c r="AL193" s="56"/>
      <c r="AS193" s="56"/>
      <c r="AT193" s="56"/>
      <c r="AU193" s="56"/>
    </row>
    <row r="194" spans="1:47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AF194" s="56"/>
      <c r="AG194" s="56"/>
      <c r="AH194" s="56"/>
      <c r="AI194" s="56"/>
      <c r="AJ194" s="56"/>
      <c r="AK194" s="56"/>
      <c r="AL194" s="56"/>
      <c r="AS194" s="56"/>
      <c r="AT194" s="56"/>
      <c r="AU194" s="56"/>
    </row>
    <row r="195" spans="1:47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AF195" s="56"/>
      <c r="AG195" s="56"/>
      <c r="AH195" s="56"/>
      <c r="AI195" s="56"/>
      <c r="AJ195" s="56"/>
      <c r="AK195" s="56"/>
      <c r="AL195" s="56"/>
      <c r="AS195" s="56"/>
      <c r="AT195" s="56"/>
      <c r="AU195" s="56"/>
    </row>
    <row r="196" spans="1:47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AF196" s="56"/>
      <c r="AG196" s="56"/>
      <c r="AH196" s="56"/>
      <c r="AI196" s="56"/>
      <c r="AJ196" s="56"/>
      <c r="AK196" s="56"/>
      <c r="AL196" s="56"/>
      <c r="AS196" s="56"/>
      <c r="AT196" s="56"/>
      <c r="AU196" s="56"/>
    </row>
    <row r="197" spans="1:47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AF197" s="56"/>
      <c r="AG197" s="56"/>
      <c r="AH197" s="56"/>
      <c r="AI197" s="56"/>
      <c r="AJ197" s="56"/>
      <c r="AK197" s="56"/>
      <c r="AL197" s="56"/>
      <c r="AS197" s="56"/>
      <c r="AT197" s="56"/>
      <c r="AU197" s="56"/>
    </row>
    <row r="198" spans="1:47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AF198" s="56"/>
      <c r="AG198" s="56"/>
      <c r="AH198" s="56"/>
      <c r="AI198" s="56"/>
      <c r="AJ198" s="56"/>
      <c r="AK198" s="56"/>
      <c r="AL198" s="56"/>
      <c r="AS198" s="56"/>
      <c r="AT198" s="56"/>
      <c r="AU198" s="56"/>
    </row>
    <row r="199" spans="1:47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AF199" s="56"/>
      <c r="AG199" s="56"/>
      <c r="AH199" s="56"/>
      <c r="AI199" s="56"/>
      <c r="AJ199" s="56"/>
      <c r="AK199" s="56"/>
      <c r="AL199" s="56"/>
      <c r="AS199" s="56"/>
      <c r="AT199" s="56"/>
      <c r="AU199" s="56"/>
    </row>
    <row r="200" spans="1:47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AF200" s="56"/>
      <c r="AG200" s="56"/>
      <c r="AH200" s="56"/>
      <c r="AI200" s="56"/>
      <c r="AJ200" s="56"/>
      <c r="AK200" s="56"/>
      <c r="AL200" s="56"/>
      <c r="AS200" s="56"/>
      <c r="AT200" s="56"/>
      <c r="AU200" s="56"/>
    </row>
    <row r="201" spans="1:47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AF201" s="56"/>
      <c r="AG201" s="56"/>
      <c r="AH201" s="56"/>
      <c r="AI201" s="56"/>
      <c r="AJ201" s="56"/>
      <c r="AK201" s="56"/>
      <c r="AL201" s="56"/>
      <c r="AS201" s="56"/>
      <c r="AT201" s="56"/>
      <c r="AU201" s="56"/>
    </row>
    <row r="202" spans="1:47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AF202" s="56"/>
      <c r="AG202" s="56"/>
      <c r="AH202" s="56"/>
      <c r="AI202" s="56"/>
      <c r="AJ202" s="56"/>
      <c r="AK202" s="56"/>
      <c r="AL202" s="56"/>
      <c r="AS202" s="56"/>
      <c r="AT202" s="56"/>
      <c r="AU202" s="56"/>
    </row>
    <row r="203" spans="1:47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AF203" s="56"/>
      <c r="AG203" s="56"/>
      <c r="AH203" s="56"/>
      <c r="AI203" s="56"/>
      <c r="AJ203" s="56"/>
      <c r="AK203" s="56"/>
      <c r="AL203" s="56"/>
      <c r="AS203" s="56"/>
      <c r="AT203" s="56"/>
      <c r="AU203" s="56"/>
    </row>
    <row r="204" spans="1:47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AF204" s="56"/>
      <c r="AG204" s="56"/>
      <c r="AH204" s="56"/>
      <c r="AI204" s="56"/>
      <c r="AJ204" s="56"/>
      <c r="AK204" s="56"/>
      <c r="AL204" s="56"/>
      <c r="AS204" s="56"/>
      <c r="AT204" s="56"/>
      <c r="AU204" s="56"/>
    </row>
    <row r="205" spans="1:47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AF205" s="56"/>
      <c r="AG205" s="56"/>
      <c r="AH205" s="56"/>
      <c r="AI205" s="56"/>
      <c r="AJ205" s="56"/>
      <c r="AK205" s="56"/>
      <c r="AL205" s="56"/>
      <c r="AS205" s="56"/>
      <c r="AT205" s="56"/>
      <c r="AU205" s="56"/>
    </row>
    <row r="206" spans="1:47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AF206" s="56"/>
      <c r="AG206" s="56"/>
      <c r="AH206" s="56"/>
      <c r="AI206" s="56"/>
      <c r="AJ206" s="56"/>
      <c r="AK206" s="56"/>
      <c r="AL206" s="56"/>
      <c r="AS206" s="56"/>
      <c r="AT206" s="56"/>
      <c r="AU206" s="56"/>
    </row>
    <row r="207" spans="1:47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AF207" s="56"/>
      <c r="AG207" s="56"/>
      <c r="AH207" s="56"/>
      <c r="AI207" s="56"/>
      <c r="AJ207" s="56"/>
      <c r="AK207" s="56"/>
      <c r="AL207" s="56"/>
      <c r="AS207" s="56"/>
      <c r="AT207" s="56"/>
      <c r="AU207" s="56"/>
    </row>
    <row r="208" spans="1:47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AF208" s="56"/>
      <c r="AG208" s="56"/>
      <c r="AH208" s="56"/>
      <c r="AI208" s="56"/>
      <c r="AJ208" s="56"/>
      <c r="AK208" s="56"/>
      <c r="AL208" s="56"/>
      <c r="AS208" s="56"/>
      <c r="AT208" s="56"/>
      <c r="AU208" s="56"/>
    </row>
    <row r="209" spans="1:47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AF209" s="56"/>
      <c r="AG209" s="56"/>
      <c r="AH209" s="56"/>
      <c r="AI209" s="56"/>
      <c r="AJ209" s="56"/>
      <c r="AK209" s="56"/>
      <c r="AL209" s="56"/>
      <c r="AS209" s="56"/>
      <c r="AT209" s="56"/>
      <c r="AU209" s="56"/>
    </row>
    <row r="210" spans="1:47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AF210" s="56"/>
      <c r="AG210" s="56"/>
      <c r="AH210" s="56"/>
      <c r="AI210" s="56"/>
      <c r="AJ210" s="56"/>
      <c r="AK210" s="56"/>
      <c r="AL210" s="56"/>
      <c r="AS210" s="56"/>
      <c r="AT210" s="56"/>
      <c r="AU210" s="56"/>
    </row>
    <row r="211" spans="1:47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AF211" s="56"/>
      <c r="AG211" s="56"/>
      <c r="AH211" s="56"/>
      <c r="AI211" s="56"/>
      <c r="AJ211" s="56"/>
      <c r="AK211" s="56"/>
      <c r="AL211" s="56"/>
      <c r="AS211" s="56"/>
      <c r="AT211" s="56"/>
      <c r="AU211" s="56"/>
    </row>
    <row r="212" spans="1:47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AF212" s="56"/>
      <c r="AG212" s="56"/>
      <c r="AH212" s="56"/>
      <c r="AI212" s="56"/>
      <c r="AJ212" s="56"/>
      <c r="AK212" s="56"/>
      <c r="AL212" s="56"/>
      <c r="AS212" s="56"/>
      <c r="AT212" s="56"/>
      <c r="AU212" s="56"/>
    </row>
    <row r="213" spans="1:47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AF213" s="56"/>
      <c r="AG213" s="56"/>
      <c r="AH213" s="56"/>
      <c r="AI213" s="56"/>
      <c r="AJ213" s="56"/>
      <c r="AK213" s="56"/>
      <c r="AL213" s="56"/>
      <c r="AS213" s="56"/>
      <c r="AT213" s="56"/>
      <c r="AU213" s="56"/>
    </row>
    <row r="214" spans="1:47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AF214" s="56"/>
      <c r="AG214" s="56"/>
      <c r="AH214" s="56"/>
      <c r="AI214" s="56"/>
      <c r="AJ214" s="56"/>
      <c r="AK214" s="56"/>
      <c r="AL214" s="56"/>
      <c r="AS214" s="56"/>
      <c r="AT214" s="56"/>
      <c r="AU214" s="56"/>
    </row>
    <row r="215" spans="1:47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AF215" s="56"/>
      <c r="AG215" s="56"/>
      <c r="AH215" s="56"/>
      <c r="AI215" s="56"/>
      <c r="AJ215" s="56"/>
      <c r="AK215" s="56"/>
      <c r="AL215" s="56"/>
      <c r="AS215" s="56"/>
      <c r="AT215" s="56"/>
      <c r="AU215" s="56"/>
    </row>
    <row r="216" spans="1:47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AF216" s="56"/>
      <c r="AG216" s="56"/>
      <c r="AH216" s="56"/>
      <c r="AI216" s="56"/>
      <c r="AJ216" s="56"/>
      <c r="AK216" s="56"/>
      <c r="AL216" s="56"/>
      <c r="AS216" s="56"/>
      <c r="AT216" s="56"/>
      <c r="AU216" s="56"/>
    </row>
    <row r="217" spans="1:47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AF217" s="56"/>
      <c r="AG217" s="56"/>
      <c r="AH217" s="56"/>
      <c r="AI217" s="56"/>
      <c r="AJ217" s="56"/>
      <c r="AK217" s="56"/>
      <c r="AL217" s="56"/>
      <c r="AS217" s="56"/>
      <c r="AT217" s="56"/>
      <c r="AU217" s="56"/>
    </row>
    <row r="218" spans="1:47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AF218" s="56"/>
      <c r="AG218" s="56"/>
      <c r="AH218" s="56"/>
      <c r="AI218" s="56"/>
      <c r="AJ218" s="56"/>
      <c r="AK218" s="56"/>
      <c r="AL218" s="56"/>
      <c r="AS218" s="56"/>
      <c r="AT218" s="56"/>
      <c r="AU218" s="56"/>
    </row>
    <row r="219" spans="1:47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AF219" s="56"/>
      <c r="AG219" s="56"/>
      <c r="AH219" s="56"/>
      <c r="AI219" s="56"/>
      <c r="AJ219" s="56"/>
      <c r="AK219" s="56"/>
      <c r="AL219" s="56"/>
      <c r="AS219" s="56"/>
      <c r="AT219" s="56"/>
      <c r="AU219" s="56"/>
    </row>
    <row r="220" spans="1:47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AF220" s="56"/>
      <c r="AG220" s="56"/>
      <c r="AH220" s="56"/>
      <c r="AI220" s="56"/>
      <c r="AJ220" s="56"/>
      <c r="AK220" s="56"/>
      <c r="AL220" s="56"/>
      <c r="AS220" s="56"/>
      <c r="AT220" s="56"/>
      <c r="AU220" s="56"/>
    </row>
    <row r="221" spans="1:47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AF221" s="56"/>
      <c r="AG221" s="56"/>
      <c r="AH221" s="56"/>
      <c r="AI221" s="56"/>
      <c r="AJ221" s="56"/>
      <c r="AK221" s="56"/>
      <c r="AL221" s="56"/>
      <c r="AS221" s="56"/>
      <c r="AT221" s="56"/>
      <c r="AU221" s="56"/>
    </row>
    <row r="222" spans="1:47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AF222" s="56"/>
      <c r="AG222" s="56"/>
      <c r="AH222" s="56"/>
      <c r="AI222" s="56"/>
      <c r="AJ222" s="56"/>
      <c r="AK222" s="56"/>
      <c r="AL222" s="56"/>
      <c r="AS222" s="56"/>
      <c r="AT222" s="56"/>
      <c r="AU222" s="56"/>
    </row>
    <row r="223" spans="1:47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AF223" s="56"/>
      <c r="AG223" s="56"/>
      <c r="AH223" s="56"/>
      <c r="AI223" s="56"/>
      <c r="AJ223" s="56"/>
      <c r="AK223" s="56"/>
      <c r="AL223" s="56"/>
      <c r="AS223" s="56"/>
      <c r="AT223" s="56"/>
      <c r="AU223" s="56"/>
    </row>
    <row r="224" spans="1:47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AF224" s="56"/>
      <c r="AG224" s="56"/>
      <c r="AH224" s="56"/>
      <c r="AI224" s="56"/>
      <c r="AJ224" s="56"/>
      <c r="AK224" s="56"/>
      <c r="AL224" s="56"/>
      <c r="AS224" s="56"/>
      <c r="AT224" s="56"/>
      <c r="AU224" s="56"/>
    </row>
    <row r="225" spans="1:47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AF225" s="56"/>
      <c r="AG225" s="56"/>
      <c r="AH225" s="56"/>
      <c r="AI225" s="56"/>
      <c r="AJ225" s="56"/>
      <c r="AK225" s="56"/>
      <c r="AL225" s="56"/>
      <c r="AS225" s="56"/>
      <c r="AT225" s="56"/>
      <c r="AU225" s="56"/>
    </row>
    <row r="226" spans="1:47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AF226" s="56"/>
      <c r="AG226" s="56"/>
      <c r="AH226" s="56"/>
      <c r="AI226" s="56"/>
      <c r="AJ226" s="56"/>
      <c r="AK226" s="56"/>
      <c r="AL226" s="56"/>
      <c r="AS226" s="56"/>
      <c r="AT226" s="56"/>
      <c r="AU226" s="56"/>
    </row>
    <row r="227" spans="1:47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AF227" s="56"/>
      <c r="AG227" s="56"/>
      <c r="AH227" s="56"/>
      <c r="AI227" s="56"/>
      <c r="AJ227" s="56"/>
      <c r="AK227" s="56"/>
      <c r="AL227" s="56"/>
      <c r="AS227" s="56"/>
      <c r="AT227" s="56"/>
      <c r="AU227" s="56"/>
    </row>
    <row r="228" spans="1:47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AF228" s="56"/>
      <c r="AG228" s="56"/>
      <c r="AH228" s="56"/>
      <c r="AI228" s="56"/>
      <c r="AJ228" s="56"/>
      <c r="AK228" s="56"/>
      <c r="AL228" s="56"/>
      <c r="AS228" s="56"/>
      <c r="AT228" s="56"/>
      <c r="AU228" s="56"/>
    </row>
    <row r="229" spans="1:47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AF229" s="56"/>
      <c r="AG229" s="56"/>
      <c r="AH229" s="56"/>
      <c r="AI229" s="56"/>
      <c r="AJ229" s="56"/>
      <c r="AK229" s="56"/>
      <c r="AL229" s="56"/>
      <c r="AS229" s="56"/>
      <c r="AT229" s="56"/>
      <c r="AU229" s="56"/>
    </row>
    <row r="230" spans="1:47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AF230" s="56"/>
      <c r="AG230" s="56"/>
      <c r="AH230" s="56"/>
      <c r="AI230" s="56"/>
      <c r="AJ230" s="56"/>
      <c r="AK230" s="56"/>
      <c r="AL230" s="56"/>
      <c r="AS230" s="56"/>
      <c r="AT230" s="56"/>
      <c r="AU230" s="56"/>
    </row>
    <row r="231" spans="1:47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AF231" s="56"/>
      <c r="AG231" s="56"/>
      <c r="AH231" s="56"/>
      <c r="AI231" s="56"/>
      <c r="AJ231" s="56"/>
      <c r="AK231" s="56"/>
      <c r="AL231" s="56"/>
      <c r="AS231" s="56"/>
      <c r="AT231" s="56"/>
      <c r="AU231" s="56"/>
    </row>
    <row r="232" spans="1:47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AF232" s="56"/>
      <c r="AG232" s="56"/>
      <c r="AH232" s="56"/>
      <c r="AI232" s="56"/>
      <c r="AJ232" s="56"/>
      <c r="AK232" s="56"/>
      <c r="AL232" s="56"/>
      <c r="AS232" s="56"/>
      <c r="AT232" s="56"/>
      <c r="AU232" s="56"/>
    </row>
    <row r="233" spans="1:47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AF233" s="56"/>
      <c r="AG233" s="56"/>
      <c r="AH233" s="56"/>
      <c r="AI233" s="56"/>
      <c r="AJ233" s="56"/>
      <c r="AK233" s="56"/>
      <c r="AL233" s="56"/>
      <c r="AS233" s="56"/>
      <c r="AT233" s="56"/>
      <c r="AU233" s="56"/>
    </row>
    <row r="234" spans="1:47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AF234" s="56"/>
      <c r="AG234" s="56"/>
      <c r="AH234" s="56"/>
      <c r="AI234" s="56"/>
      <c r="AJ234" s="56"/>
      <c r="AK234" s="56"/>
      <c r="AL234" s="56"/>
      <c r="AS234" s="56"/>
      <c r="AT234" s="56"/>
      <c r="AU234" s="56"/>
    </row>
    <row r="235" spans="1:47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AF235" s="56"/>
      <c r="AG235" s="56"/>
      <c r="AH235" s="56"/>
      <c r="AI235" s="56"/>
      <c r="AJ235" s="56"/>
      <c r="AK235" s="56"/>
      <c r="AL235" s="56"/>
      <c r="AS235" s="56"/>
      <c r="AT235" s="56"/>
      <c r="AU235" s="56"/>
    </row>
    <row r="236" spans="1:47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AF236" s="56"/>
      <c r="AG236" s="56"/>
      <c r="AH236" s="56"/>
      <c r="AI236" s="56"/>
      <c r="AJ236" s="56"/>
      <c r="AK236" s="56"/>
      <c r="AL236" s="56"/>
      <c r="AS236" s="56"/>
      <c r="AT236" s="56"/>
      <c r="AU236" s="56"/>
    </row>
    <row r="237" spans="1:47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AF237" s="56"/>
      <c r="AG237" s="56"/>
      <c r="AH237" s="56"/>
      <c r="AI237" s="56"/>
      <c r="AJ237" s="56"/>
      <c r="AK237" s="56"/>
      <c r="AL237" s="56"/>
      <c r="AS237" s="56"/>
      <c r="AT237" s="56"/>
      <c r="AU237" s="56"/>
    </row>
    <row r="238" spans="1:47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AF238" s="56"/>
      <c r="AG238" s="56"/>
      <c r="AH238" s="56"/>
      <c r="AI238" s="56"/>
      <c r="AJ238" s="56"/>
      <c r="AK238" s="56"/>
      <c r="AL238" s="56"/>
      <c r="AS238" s="56"/>
      <c r="AT238" s="56"/>
      <c r="AU238" s="56"/>
    </row>
    <row r="239" spans="1:47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AF239" s="56"/>
      <c r="AG239" s="56"/>
      <c r="AH239" s="56"/>
      <c r="AI239" s="56"/>
      <c r="AJ239" s="56"/>
      <c r="AK239" s="56"/>
      <c r="AL239" s="56"/>
      <c r="AS239" s="56"/>
      <c r="AT239" s="56"/>
      <c r="AU239" s="56"/>
    </row>
    <row r="240" spans="1:47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AF240" s="56"/>
      <c r="AG240" s="56"/>
      <c r="AH240" s="56"/>
      <c r="AI240" s="56"/>
      <c r="AJ240" s="56"/>
      <c r="AK240" s="56"/>
      <c r="AL240" s="56"/>
      <c r="AS240" s="56"/>
      <c r="AT240" s="56"/>
      <c r="AU240" s="56"/>
    </row>
    <row r="241" spans="1:47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AF241" s="56"/>
      <c r="AG241" s="56"/>
      <c r="AH241" s="56"/>
      <c r="AI241" s="56"/>
      <c r="AJ241" s="56"/>
      <c r="AK241" s="56"/>
      <c r="AL241" s="56"/>
      <c r="AS241" s="56"/>
      <c r="AT241" s="56"/>
      <c r="AU241" s="56"/>
    </row>
    <row r="242" spans="1:47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AF242" s="56"/>
      <c r="AG242" s="56"/>
      <c r="AH242" s="56"/>
      <c r="AI242" s="56"/>
      <c r="AJ242" s="56"/>
      <c r="AK242" s="56"/>
      <c r="AL242" s="56"/>
      <c r="AS242" s="56"/>
      <c r="AT242" s="56"/>
      <c r="AU242" s="56"/>
    </row>
    <row r="243" spans="1:47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AF243" s="56"/>
      <c r="AG243" s="56"/>
      <c r="AH243" s="56"/>
      <c r="AI243" s="56"/>
      <c r="AJ243" s="56"/>
      <c r="AK243" s="56"/>
      <c r="AL243" s="56"/>
      <c r="AS243" s="56"/>
      <c r="AT243" s="56"/>
      <c r="AU243" s="56"/>
    </row>
    <row r="244" spans="1:47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AF244" s="56"/>
      <c r="AG244" s="56"/>
      <c r="AH244" s="56"/>
      <c r="AI244" s="56"/>
      <c r="AJ244" s="56"/>
      <c r="AK244" s="56"/>
      <c r="AL244" s="56"/>
      <c r="AS244" s="56"/>
      <c r="AT244" s="56"/>
      <c r="AU244" s="56"/>
    </row>
    <row r="245" spans="1:47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AF245" s="56"/>
      <c r="AG245" s="56"/>
      <c r="AH245" s="56"/>
      <c r="AI245" s="56"/>
      <c r="AJ245" s="56"/>
      <c r="AK245" s="56"/>
      <c r="AL245" s="56"/>
      <c r="AS245" s="56"/>
      <c r="AT245" s="56"/>
      <c r="AU245" s="56"/>
    </row>
    <row r="246" spans="1:47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AF246" s="56"/>
      <c r="AG246" s="56"/>
      <c r="AH246" s="56"/>
      <c r="AI246" s="56"/>
      <c r="AJ246" s="56"/>
      <c r="AK246" s="56"/>
      <c r="AL246" s="56"/>
      <c r="AS246" s="56"/>
      <c r="AT246" s="56"/>
      <c r="AU246" s="56"/>
    </row>
    <row r="247" spans="1:47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AF247" s="56"/>
      <c r="AG247" s="56"/>
      <c r="AH247" s="56"/>
      <c r="AI247" s="56"/>
      <c r="AJ247" s="56"/>
      <c r="AK247" s="56"/>
      <c r="AL247" s="56"/>
      <c r="AS247" s="56"/>
      <c r="AT247" s="56"/>
      <c r="AU247" s="56"/>
    </row>
    <row r="248" spans="1:47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AF248" s="56"/>
      <c r="AG248" s="56"/>
      <c r="AH248" s="56"/>
      <c r="AI248" s="56"/>
      <c r="AJ248" s="56"/>
      <c r="AK248" s="56"/>
      <c r="AL248" s="56"/>
      <c r="AS248" s="56"/>
      <c r="AT248" s="56"/>
      <c r="AU248" s="56"/>
    </row>
    <row r="249" spans="1:47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AF249" s="56"/>
      <c r="AG249" s="56"/>
      <c r="AH249" s="56"/>
      <c r="AI249" s="56"/>
      <c r="AJ249" s="56"/>
      <c r="AK249" s="56"/>
      <c r="AL249" s="56"/>
      <c r="AS249" s="56"/>
      <c r="AT249" s="56"/>
      <c r="AU249" s="56"/>
    </row>
    <row r="250" spans="1:47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AF250" s="56"/>
      <c r="AG250" s="56"/>
      <c r="AH250" s="56"/>
      <c r="AI250" s="56"/>
      <c r="AJ250" s="56"/>
      <c r="AK250" s="56"/>
      <c r="AL250" s="56"/>
      <c r="AS250" s="56"/>
      <c r="AT250" s="56"/>
      <c r="AU250" s="56"/>
    </row>
    <row r="251" spans="1:47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AF251" s="56"/>
      <c r="AG251" s="56"/>
      <c r="AH251" s="56"/>
      <c r="AI251" s="56"/>
      <c r="AJ251" s="56"/>
      <c r="AK251" s="56"/>
      <c r="AL251" s="56"/>
      <c r="AS251" s="56"/>
      <c r="AT251" s="56"/>
      <c r="AU251" s="56"/>
    </row>
    <row r="252" spans="1:47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AF252" s="56"/>
      <c r="AG252" s="56"/>
      <c r="AH252" s="56"/>
      <c r="AI252" s="56"/>
      <c r="AJ252" s="56"/>
      <c r="AK252" s="56"/>
      <c r="AL252" s="56"/>
      <c r="AS252" s="56"/>
      <c r="AT252" s="56"/>
      <c r="AU252" s="56"/>
    </row>
    <row r="253" spans="1:47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AF253" s="56"/>
      <c r="AG253" s="56"/>
      <c r="AH253" s="56"/>
      <c r="AI253" s="56"/>
      <c r="AJ253" s="56"/>
      <c r="AK253" s="56"/>
      <c r="AL253" s="56"/>
      <c r="AS253" s="56"/>
      <c r="AT253" s="56"/>
      <c r="AU253" s="56"/>
    </row>
    <row r="254" spans="1:47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AF254" s="56"/>
      <c r="AG254" s="56"/>
      <c r="AH254" s="56"/>
      <c r="AI254" s="56"/>
      <c r="AJ254" s="56"/>
      <c r="AK254" s="56"/>
      <c r="AL254" s="56"/>
      <c r="AS254" s="56"/>
      <c r="AT254" s="56"/>
      <c r="AU254" s="56"/>
    </row>
    <row r="255" spans="1:47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AF255" s="56"/>
      <c r="AG255" s="56"/>
      <c r="AH255" s="56"/>
      <c r="AI255" s="56"/>
      <c r="AJ255" s="56"/>
      <c r="AK255" s="56"/>
      <c r="AL255" s="56"/>
      <c r="AS255" s="56"/>
      <c r="AT255" s="56"/>
      <c r="AU255" s="56"/>
    </row>
    <row r="256" spans="1:47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AF256" s="56"/>
      <c r="AG256" s="56"/>
      <c r="AH256" s="56"/>
      <c r="AI256" s="56"/>
      <c r="AJ256" s="56"/>
      <c r="AK256" s="56"/>
      <c r="AL256" s="56"/>
      <c r="AS256" s="56"/>
      <c r="AT256" s="56"/>
      <c r="AU256" s="56"/>
    </row>
    <row r="257" spans="1:47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AF257" s="56"/>
      <c r="AG257" s="56"/>
      <c r="AH257" s="56"/>
      <c r="AI257" s="56"/>
      <c r="AJ257" s="56"/>
      <c r="AK257" s="56"/>
      <c r="AL257" s="56"/>
      <c r="AS257" s="56"/>
      <c r="AT257" s="56"/>
      <c r="AU257" s="56"/>
    </row>
    <row r="258" spans="1:47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AF258" s="56"/>
      <c r="AG258" s="56"/>
      <c r="AH258" s="56"/>
      <c r="AI258" s="56"/>
      <c r="AJ258" s="56"/>
      <c r="AK258" s="56"/>
      <c r="AL258" s="56"/>
      <c r="AS258" s="56"/>
      <c r="AT258" s="56"/>
      <c r="AU258" s="56"/>
    </row>
    <row r="259" spans="1:47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AF259" s="56"/>
      <c r="AG259" s="56"/>
      <c r="AH259" s="56"/>
      <c r="AI259" s="56"/>
      <c r="AJ259" s="56"/>
      <c r="AK259" s="56"/>
      <c r="AL259" s="56"/>
      <c r="AS259" s="56"/>
      <c r="AT259" s="56"/>
      <c r="AU259" s="56"/>
    </row>
    <row r="260" spans="1:47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AF260" s="56"/>
      <c r="AG260" s="56"/>
      <c r="AH260" s="56"/>
      <c r="AI260" s="56"/>
      <c r="AJ260" s="56"/>
      <c r="AK260" s="56"/>
      <c r="AL260" s="56"/>
      <c r="AS260" s="56"/>
      <c r="AT260" s="56"/>
      <c r="AU260" s="56"/>
    </row>
    <row r="261" spans="1:47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AF261" s="56"/>
      <c r="AG261" s="56"/>
      <c r="AH261" s="56"/>
      <c r="AI261" s="56"/>
      <c r="AJ261" s="56"/>
      <c r="AK261" s="56"/>
      <c r="AL261" s="56"/>
      <c r="AS261" s="56"/>
      <c r="AT261" s="56"/>
      <c r="AU261" s="56"/>
    </row>
    <row r="262" spans="1:47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AF262" s="56"/>
      <c r="AG262" s="56"/>
      <c r="AH262" s="56"/>
      <c r="AI262" s="56"/>
      <c r="AJ262" s="56"/>
      <c r="AK262" s="56"/>
      <c r="AL262" s="56"/>
      <c r="AS262" s="56"/>
      <c r="AT262" s="56"/>
      <c r="AU262" s="56"/>
    </row>
    <row r="263" spans="1:47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AF263" s="56"/>
      <c r="AG263" s="56"/>
      <c r="AH263" s="56"/>
      <c r="AI263" s="56"/>
      <c r="AJ263" s="56"/>
      <c r="AK263" s="56"/>
      <c r="AL263" s="56"/>
      <c r="AS263" s="56"/>
      <c r="AT263" s="56"/>
      <c r="AU263" s="56"/>
    </row>
    <row r="264" spans="1:47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AF264" s="56"/>
      <c r="AG264" s="56"/>
      <c r="AH264" s="56"/>
      <c r="AI264" s="56"/>
      <c r="AJ264" s="56"/>
      <c r="AK264" s="56"/>
      <c r="AL264" s="56"/>
      <c r="AS264" s="56"/>
      <c r="AT264" s="56"/>
      <c r="AU264" s="56"/>
    </row>
    <row r="265" spans="1:47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AF265" s="56"/>
      <c r="AG265" s="56"/>
      <c r="AH265" s="56"/>
      <c r="AI265" s="56"/>
      <c r="AJ265" s="56"/>
      <c r="AK265" s="56"/>
      <c r="AL265" s="56"/>
      <c r="AS265" s="56"/>
      <c r="AT265" s="56"/>
      <c r="AU265" s="56"/>
    </row>
    <row r="266" spans="1:47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AF266" s="56"/>
      <c r="AG266" s="56"/>
      <c r="AH266" s="56"/>
      <c r="AI266" s="56"/>
      <c r="AJ266" s="56"/>
      <c r="AK266" s="56"/>
      <c r="AL266" s="56"/>
      <c r="AS266" s="56"/>
      <c r="AT266" s="56"/>
      <c r="AU266" s="56"/>
    </row>
    <row r="267" spans="1:47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AF267" s="56"/>
      <c r="AG267" s="56"/>
      <c r="AH267" s="56"/>
      <c r="AI267" s="56"/>
      <c r="AJ267" s="56"/>
      <c r="AK267" s="56"/>
      <c r="AL267" s="56"/>
      <c r="AS267" s="56"/>
      <c r="AT267" s="56"/>
      <c r="AU267" s="56"/>
    </row>
    <row r="268" spans="1:47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AF268" s="56"/>
      <c r="AG268" s="56"/>
      <c r="AH268" s="56"/>
      <c r="AI268" s="56"/>
      <c r="AJ268" s="56"/>
      <c r="AK268" s="56"/>
      <c r="AL268" s="56"/>
      <c r="AS268" s="56"/>
      <c r="AT268" s="56"/>
      <c r="AU268" s="56"/>
    </row>
    <row r="269" spans="1:47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AF269" s="56"/>
      <c r="AG269" s="56"/>
      <c r="AH269" s="56"/>
      <c r="AI269" s="56"/>
      <c r="AJ269" s="56"/>
      <c r="AK269" s="56"/>
      <c r="AL269" s="56"/>
      <c r="AS269" s="56"/>
      <c r="AT269" s="56"/>
      <c r="AU269" s="56"/>
    </row>
    <row r="270" spans="1:47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AF270" s="56"/>
      <c r="AG270" s="56"/>
      <c r="AH270" s="56"/>
      <c r="AI270" s="56"/>
      <c r="AJ270" s="56"/>
      <c r="AK270" s="56"/>
      <c r="AL270" s="56"/>
      <c r="AS270" s="56"/>
      <c r="AT270" s="56"/>
      <c r="AU270" s="56"/>
    </row>
    <row r="271" spans="1:47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AF271" s="56"/>
      <c r="AG271" s="56"/>
      <c r="AH271" s="56"/>
      <c r="AI271" s="56"/>
      <c r="AJ271" s="56"/>
      <c r="AK271" s="56"/>
      <c r="AL271" s="56"/>
      <c r="AS271" s="56"/>
      <c r="AT271" s="56"/>
      <c r="AU271" s="56"/>
    </row>
    <row r="272" spans="1:47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AF272" s="56"/>
      <c r="AG272" s="56"/>
      <c r="AH272" s="56"/>
      <c r="AI272" s="56"/>
      <c r="AJ272" s="56"/>
      <c r="AK272" s="56"/>
      <c r="AL272" s="56"/>
      <c r="AS272" s="56"/>
      <c r="AT272" s="56"/>
      <c r="AU272" s="56"/>
    </row>
    <row r="273" spans="1:47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AF273" s="56"/>
      <c r="AG273" s="56"/>
      <c r="AH273" s="56"/>
      <c r="AI273" s="56"/>
      <c r="AJ273" s="56"/>
      <c r="AK273" s="56"/>
      <c r="AL273" s="56"/>
      <c r="AS273" s="56"/>
      <c r="AT273" s="56"/>
      <c r="AU273" s="56"/>
    </row>
    <row r="274" spans="1:47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AF274" s="56"/>
      <c r="AG274" s="56"/>
      <c r="AH274" s="56"/>
      <c r="AI274" s="56"/>
      <c r="AJ274" s="56"/>
      <c r="AK274" s="56"/>
      <c r="AL274" s="56"/>
      <c r="AS274" s="56"/>
      <c r="AT274" s="56"/>
      <c r="AU274" s="56"/>
    </row>
    <row r="275" spans="1:47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AF275" s="56"/>
      <c r="AG275" s="56"/>
      <c r="AH275" s="56"/>
      <c r="AI275" s="56"/>
      <c r="AJ275" s="56"/>
      <c r="AK275" s="56"/>
      <c r="AL275" s="56"/>
      <c r="AS275" s="56"/>
      <c r="AT275" s="56"/>
      <c r="AU275" s="56"/>
    </row>
    <row r="276" spans="1:47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AF276" s="56"/>
      <c r="AG276" s="56"/>
      <c r="AH276" s="56"/>
      <c r="AI276" s="56"/>
      <c r="AJ276" s="56"/>
      <c r="AK276" s="56"/>
      <c r="AL276" s="56"/>
      <c r="AS276" s="56"/>
      <c r="AT276" s="56"/>
      <c r="AU276" s="56"/>
    </row>
    <row r="277" spans="1:47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AF277" s="56"/>
      <c r="AG277" s="56"/>
      <c r="AH277" s="56"/>
      <c r="AI277" s="56"/>
      <c r="AJ277" s="56"/>
      <c r="AK277" s="56"/>
      <c r="AL277" s="56"/>
      <c r="AS277" s="56"/>
      <c r="AT277" s="56"/>
      <c r="AU277" s="56"/>
    </row>
    <row r="278" spans="1:47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AF278" s="56"/>
      <c r="AG278" s="56"/>
      <c r="AH278" s="56"/>
      <c r="AI278" s="56"/>
      <c r="AJ278" s="56"/>
      <c r="AK278" s="56"/>
      <c r="AL278" s="56"/>
      <c r="AS278" s="56"/>
      <c r="AT278" s="56"/>
      <c r="AU278" s="56"/>
    </row>
    <row r="279" spans="1:47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AF279" s="56"/>
      <c r="AG279" s="56"/>
      <c r="AH279" s="56"/>
      <c r="AI279" s="56"/>
      <c r="AJ279" s="56"/>
      <c r="AK279" s="56"/>
      <c r="AL279" s="56"/>
      <c r="AS279" s="56"/>
      <c r="AT279" s="56"/>
      <c r="AU279" s="56"/>
    </row>
    <row r="280" spans="1:47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AF280" s="56"/>
      <c r="AG280" s="56"/>
      <c r="AH280" s="56"/>
      <c r="AI280" s="56"/>
      <c r="AJ280" s="56"/>
      <c r="AK280" s="56"/>
      <c r="AL280" s="56"/>
      <c r="AS280" s="56"/>
      <c r="AT280" s="56"/>
      <c r="AU280" s="56"/>
    </row>
    <row r="281" spans="1:47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AF281" s="56"/>
      <c r="AG281" s="56"/>
      <c r="AH281" s="56"/>
      <c r="AI281" s="56"/>
      <c r="AJ281" s="56"/>
      <c r="AK281" s="56"/>
      <c r="AL281" s="56"/>
      <c r="AS281" s="56"/>
      <c r="AT281" s="56"/>
      <c r="AU281" s="56"/>
    </row>
    <row r="282" spans="1:47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AF282" s="56"/>
      <c r="AG282" s="56"/>
      <c r="AH282" s="56"/>
      <c r="AI282" s="56"/>
      <c r="AJ282" s="56"/>
      <c r="AK282" s="56"/>
      <c r="AL282" s="56"/>
      <c r="AS282" s="56"/>
      <c r="AT282" s="56"/>
      <c r="AU282" s="56"/>
    </row>
    <row r="283" spans="1:47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AF283" s="56"/>
      <c r="AG283" s="56"/>
      <c r="AH283" s="56"/>
      <c r="AI283" s="56"/>
      <c r="AJ283" s="56"/>
      <c r="AK283" s="56"/>
      <c r="AL283" s="56"/>
      <c r="AS283" s="56"/>
      <c r="AT283" s="56"/>
      <c r="AU283" s="56"/>
    </row>
    <row r="284" spans="1:47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AF284" s="56"/>
      <c r="AG284" s="56"/>
      <c r="AH284" s="56"/>
      <c r="AI284" s="56"/>
      <c r="AJ284" s="56"/>
      <c r="AK284" s="56"/>
      <c r="AL284" s="56"/>
      <c r="AS284" s="56"/>
      <c r="AT284" s="56"/>
      <c r="AU284" s="56"/>
    </row>
    <row r="285" spans="1:47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AF285" s="56"/>
      <c r="AG285" s="56"/>
      <c r="AH285" s="56"/>
      <c r="AI285" s="56"/>
      <c r="AJ285" s="56"/>
      <c r="AK285" s="56"/>
      <c r="AL285" s="56"/>
      <c r="AS285" s="56"/>
      <c r="AT285" s="56"/>
      <c r="AU285" s="56"/>
    </row>
    <row r="286" spans="1:47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AF286" s="56"/>
      <c r="AG286" s="56"/>
      <c r="AH286" s="56"/>
      <c r="AI286" s="56"/>
      <c r="AJ286" s="56"/>
      <c r="AK286" s="56"/>
      <c r="AL286" s="56"/>
      <c r="AS286" s="56"/>
      <c r="AT286" s="56"/>
      <c r="AU286" s="56"/>
    </row>
    <row r="287" spans="1:47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AF287" s="56"/>
      <c r="AG287" s="56"/>
      <c r="AH287" s="56"/>
      <c r="AI287" s="56"/>
      <c r="AJ287" s="56"/>
      <c r="AK287" s="56"/>
      <c r="AL287" s="56"/>
      <c r="AS287" s="56"/>
      <c r="AT287" s="56"/>
      <c r="AU287" s="56"/>
    </row>
    <row r="288" spans="1:47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AF288" s="56"/>
      <c r="AG288" s="56"/>
      <c r="AH288" s="56"/>
      <c r="AI288" s="56"/>
      <c r="AJ288" s="56"/>
      <c r="AK288" s="56"/>
      <c r="AL288" s="56"/>
      <c r="AS288" s="56"/>
      <c r="AT288" s="56"/>
      <c r="AU288" s="56"/>
    </row>
    <row r="289" spans="1:47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AF289" s="56"/>
      <c r="AG289" s="56"/>
      <c r="AH289" s="56"/>
      <c r="AI289" s="56"/>
      <c r="AJ289" s="56"/>
      <c r="AK289" s="56"/>
      <c r="AL289" s="56"/>
      <c r="AS289" s="56"/>
      <c r="AT289" s="56"/>
      <c r="AU289" s="56"/>
    </row>
    <row r="290" spans="1:47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AF290" s="56"/>
      <c r="AG290" s="56"/>
      <c r="AH290" s="56"/>
      <c r="AI290" s="56"/>
      <c r="AJ290" s="56"/>
      <c r="AK290" s="56"/>
      <c r="AL290" s="56"/>
      <c r="AS290" s="56"/>
      <c r="AT290" s="56"/>
      <c r="AU290" s="56"/>
    </row>
    <row r="291" spans="1:47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AF291" s="56"/>
      <c r="AG291" s="56"/>
      <c r="AH291" s="56"/>
      <c r="AI291" s="56"/>
      <c r="AJ291" s="56"/>
      <c r="AK291" s="56"/>
      <c r="AL291" s="56"/>
      <c r="AS291" s="56"/>
      <c r="AT291" s="56"/>
      <c r="AU291" s="56"/>
    </row>
    <row r="292" spans="1:47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AF292" s="56"/>
      <c r="AG292" s="56"/>
      <c r="AH292" s="56"/>
      <c r="AI292" s="56"/>
      <c r="AJ292" s="56"/>
      <c r="AK292" s="56"/>
      <c r="AL292" s="56"/>
      <c r="AS292" s="56"/>
      <c r="AT292" s="56"/>
      <c r="AU292" s="56"/>
    </row>
    <row r="293" spans="1:47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AF293" s="56"/>
      <c r="AG293" s="56"/>
      <c r="AH293" s="56"/>
      <c r="AI293" s="56"/>
      <c r="AJ293" s="56"/>
      <c r="AK293" s="56"/>
      <c r="AL293" s="56"/>
      <c r="AS293" s="56"/>
      <c r="AT293" s="56"/>
      <c r="AU293" s="56"/>
    </row>
    <row r="294" spans="1:47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AF294" s="56"/>
      <c r="AG294" s="56"/>
      <c r="AH294" s="56"/>
      <c r="AI294" s="56"/>
      <c r="AJ294" s="56"/>
      <c r="AK294" s="56"/>
      <c r="AL294" s="56"/>
      <c r="AS294" s="56"/>
      <c r="AT294" s="56"/>
      <c r="AU294" s="56"/>
    </row>
    <row r="295" spans="1:47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AF295" s="56"/>
      <c r="AG295" s="56"/>
      <c r="AH295" s="56"/>
      <c r="AI295" s="56"/>
      <c r="AJ295" s="56"/>
      <c r="AK295" s="56"/>
      <c r="AL295" s="56"/>
      <c r="AS295" s="56"/>
      <c r="AT295" s="56"/>
      <c r="AU295" s="56"/>
    </row>
    <row r="296" spans="1:47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AF296" s="56"/>
      <c r="AG296" s="56"/>
      <c r="AH296" s="56"/>
      <c r="AI296" s="56"/>
      <c r="AJ296" s="56"/>
      <c r="AK296" s="56"/>
      <c r="AL296" s="56"/>
      <c r="AS296" s="56"/>
      <c r="AT296" s="56"/>
      <c r="AU296" s="56"/>
    </row>
    <row r="297" spans="1:47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AF297" s="56"/>
      <c r="AG297" s="56"/>
      <c r="AH297" s="56"/>
      <c r="AI297" s="56"/>
      <c r="AJ297" s="56"/>
      <c r="AK297" s="56"/>
      <c r="AL297" s="56"/>
      <c r="AS297" s="56"/>
      <c r="AT297" s="56"/>
      <c r="AU297" s="56"/>
    </row>
    <row r="298" spans="1:47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AF298" s="56"/>
      <c r="AG298" s="56"/>
      <c r="AH298" s="56"/>
      <c r="AI298" s="56"/>
      <c r="AJ298" s="56"/>
      <c r="AK298" s="56"/>
      <c r="AL298" s="56"/>
      <c r="AS298" s="56"/>
      <c r="AT298" s="56"/>
      <c r="AU298" s="56"/>
    </row>
    <row r="299" spans="1:47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AF299" s="56"/>
      <c r="AG299" s="56"/>
      <c r="AH299" s="56"/>
      <c r="AI299" s="56"/>
      <c r="AJ299" s="56"/>
      <c r="AK299" s="56"/>
      <c r="AL299" s="56"/>
      <c r="AS299" s="56"/>
      <c r="AT299" s="56"/>
      <c r="AU299" s="56"/>
    </row>
    <row r="300" spans="1:47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AF300" s="56"/>
      <c r="AG300" s="56"/>
      <c r="AH300" s="56"/>
      <c r="AI300" s="56"/>
      <c r="AJ300" s="56"/>
      <c r="AK300" s="56"/>
      <c r="AL300" s="56"/>
      <c r="AS300" s="56"/>
      <c r="AT300" s="56"/>
      <c r="AU300" s="56"/>
    </row>
    <row r="301" spans="1:47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AF301" s="56"/>
      <c r="AG301" s="56"/>
      <c r="AH301" s="56"/>
      <c r="AI301" s="56"/>
      <c r="AJ301" s="56"/>
      <c r="AK301" s="56"/>
      <c r="AL301" s="56"/>
      <c r="AS301" s="56"/>
      <c r="AT301" s="56"/>
      <c r="AU301" s="56"/>
    </row>
    <row r="302" spans="1:47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AF302" s="56"/>
      <c r="AG302" s="56"/>
      <c r="AH302" s="56"/>
      <c r="AI302" s="56"/>
      <c r="AJ302" s="56"/>
      <c r="AK302" s="56"/>
      <c r="AL302" s="56"/>
      <c r="AS302" s="56"/>
      <c r="AT302" s="56"/>
      <c r="AU302" s="56"/>
    </row>
    <row r="303" spans="1:47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AF303" s="56"/>
      <c r="AG303" s="56"/>
      <c r="AH303" s="56"/>
      <c r="AI303" s="56"/>
      <c r="AJ303" s="56"/>
      <c r="AK303" s="56"/>
      <c r="AL303" s="56"/>
      <c r="AS303" s="56"/>
      <c r="AT303" s="56"/>
      <c r="AU303" s="56"/>
    </row>
    <row r="304" spans="1:47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AF304" s="56"/>
      <c r="AG304" s="56"/>
      <c r="AH304" s="56"/>
      <c r="AI304" s="56"/>
      <c r="AJ304" s="56"/>
      <c r="AK304" s="56"/>
      <c r="AL304" s="56"/>
      <c r="AS304" s="56"/>
      <c r="AT304" s="56"/>
      <c r="AU304" s="56"/>
    </row>
    <row r="305" spans="1:47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AF305" s="56"/>
      <c r="AG305" s="56"/>
      <c r="AH305" s="56"/>
      <c r="AI305" s="56"/>
      <c r="AJ305" s="56"/>
      <c r="AK305" s="56"/>
      <c r="AL305" s="56"/>
      <c r="AS305" s="56"/>
      <c r="AT305" s="56"/>
      <c r="AU305" s="56"/>
    </row>
    <row r="306" spans="1:47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AF306" s="56"/>
      <c r="AG306" s="56"/>
      <c r="AH306" s="56"/>
      <c r="AI306" s="56"/>
      <c r="AJ306" s="56"/>
      <c r="AK306" s="56"/>
      <c r="AL306" s="56"/>
      <c r="AS306" s="56"/>
      <c r="AT306" s="56"/>
      <c r="AU306" s="56"/>
    </row>
    <row r="307" spans="1:47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AF307" s="56"/>
      <c r="AG307" s="56"/>
      <c r="AH307" s="56"/>
      <c r="AI307" s="56"/>
      <c r="AJ307" s="56"/>
      <c r="AK307" s="56"/>
      <c r="AL307" s="56"/>
      <c r="AS307" s="56"/>
      <c r="AT307" s="56"/>
      <c r="AU307" s="56"/>
    </row>
    <row r="308" spans="1:47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AF308" s="56"/>
      <c r="AG308" s="56"/>
      <c r="AH308" s="56"/>
      <c r="AI308" s="56"/>
      <c r="AJ308" s="56"/>
      <c r="AK308" s="56"/>
      <c r="AL308" s="56"/>
      <c r="AS308" s="56"/>
      <c r="AT308" s="56"/>
      <c r="AU308" s="56"/>
    </row>
    <row r="309" spans="1:47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AF309" s="56"/>
      <c r="AG309" s="56"/>
      <c r="AH309" s="56"/>
      <c r="AI309" s="56"/>
      <c r="AJ309" s="56"/>
      <c r="AK309" s="56"/>
      <c r="AL309" s="56"/>
      <c r="AS309" s="56"/>
      <c r="AT309" s="56"/>
      <c r="AU309" s="56"/>
    </row>
    <row r="310" spans="1:47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AF310" s="56"/>
      <c r="AG310" s="56"/>
      <c r="AH310" s="56"/>
      <c r="AI310" s="56"/>
      <c r="AJ310" s="56"/>
      <c r="AK310" s="56"/>
      <c r="AL310" s="56"/>
      <c r="AS310" s="56"/>
      <c r="AT310" s="56"/>
      <c r="AU310" s="56"/>
    </row>
    <row r="311" spans="1:47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AF311" s="56"/>
      <c r="AG311" s="56"/>
      <c r="AH311" s="56"/>
      <c r="AI311" s="56"/>
      <c r="AJ311" s="56"/>
      <c r="AK311" s="56"/>
      <c r="AL311" s="56"/>
      <c r="AS311" s="56"/>
      <c r="AT311" s="56"/>
      <c r="AU311" s="56"/>
    </row>
    <row r="312" spans="1:47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AF312" s="56"/>
      <c r="AG312" s="56"/>
      <c r="AH312" s="56"/>
      <c r="AI312" s="56"/>
      <c r="AJ312" s="56"/>
      <c r="AK312" s="56"/>
      <c r="AL312" s="56"/>
      <c r="AS312" s="56"/>
      <c r="AT312" s="56"/>
      <c r="AU312" s="56"/>
    </row>
    <row r="313" spans="1:47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AF313" s="56"/>
      <c r="AG313" s="56"/>
      <c r="AH313" s="56"/>
      <c r="AI313" s="56"/>
      <c r="AJ313" s="56"/>
      <c r="AK313" s="56"/>
      <c r="AL313" s="56"/>
      <c r="AS313" s="56"/>
      <c r="AT313" s="56"/>
      <c r="AU313" s="56"/>
    </row>
    <row r="314" spans="1:47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AF314" s="56"/>
      <c r="AG314" s="56"/>
      <c r="AH314" s="56"/>
      <c r="AI314" s="56"/>
      <c r="AJ314" s="56"/>
      <c r="AK314" s="56"/>
      <c r="AL314" s="56"/>
      <c r="AS314" s="56"/>
      <c r="AT314" s="56"/>
      <c r="AU314" s="56"/>
    </row>
    <row r="315" spans="1:47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AF315" s="56"/>
      <c r="AG315" s="56"/>
      <c r="AH315" s="56"/>
      <c r="AI315" s="56"/>
      <c r="AJ315" s="56"/>
      <c r="AK315" s="56"/>
      <c r="AL315" s="56"/>
      <c r="AS315" s="56"/>
      <c r="AT315" s="56"/>
      <c r="AU315" s="56"/>
    </row>
    <row r="316" spans="1:47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AF316" s="56"/>
      <c r="AG316" s="56"/>
      <c r="AH316" s="56"/>
      <c r="AI316" s="56"/>
      <c r="AJ316" s="56"/>
      <c r="AK316" s="56"/>
      <c r="AL316" s="56"/>
      <c r="AS316" s="56"/>
      <c r="AT316" s="56"/>
      <c r="AU316" s="56"/>
    </row>
    <row r="317" spans="1:47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AF317" s="56"/>
      <c r="AG317" s="56"/>
      <c r="AH317" s="56"/>
      <c r="AI317" s="56"/>
      <c r="AJ317" s="56"/>
      <c r="AK317" s="56"/>
      <c r="AL317" s="56"/>
      <c r="AS317" s="56"/>
      <c r="AT317" s="56"/>
      <c r="AU317" s="56"/>
    </row>
    <row r="318" spans="1:47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AF318" s="56"/>
      <c r="AG318" s="56"/>
      <c r="AH318" s="56"/>
      <c r="AI318" s="56"/>
      <c r="AJ318" s="56"/>
      <c r="AK318" s="56"/>
      <c r="AL318" s="56"/>
      <c r="AS318" s="56"/>
      <c r="AT318" s="56"/>
      <c r="AU318" s="56"/>
    </row>
    <row r="319" spans="1:47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AF319" s="56"/>
      <c r="AG319" s="56"/>
      <c r="AH319" s="56"/>
      <c r="AI319" s="56"/>
      <c r="AJ319" s="56"/>
      <c r="AK319" s="56"/>
      <c r="AL319" s="56"/>
      <c r="AS319" s="56"/>
      <c r="AT319" s="56"/>
      <c r="AU319" s="56"/>
    </row>
    <row r="320" spans="1:47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AF320" s="56"/>
      <c r="AG320" s="56"/>
      <c r="AH320" s="56"/>
      <c r="AI320" s="56"/>
      <c r="AJ320" s="56"/>
      <c r="AK320" s="56"/>
      <c r="AL320" s="56"/>
      <c r="AS320" s="56"/>
      <c r="AT320" s="56"/>
      <c r="AU320" s="56"/>
    </row>
    <row r="321" spans="1:47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AF321" s="56"/>
      <c r="AG321" s="56"/>
      <c r="AH321" s="56"/>
      <c r="AI321" s="56"/>
      <c r="AJ321" s="56"/>
      <c r="AK321" s="56"/>
      <c r="AL321" s="56"/>
      <c r="AS321" s="56"/>
      <c r="AT321" s="56"/>
      <c r="AU321" s="56"/>
    </row>
    <row r="322" spans="1:47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AF322" s="56"/>
      <c r="AG322" s="56"/>
      <c r="AH322" s="56"/>
      <c r="AI322" s="56"/>
      <c r="AJ322" s="56"/>
      <c r="AK322" s="56"/>
      <c r="AL322" s="56"/>
      <c r="AS322" s="56"/>
      <c r="AT322" s="56"/>
      <c r="AU322" s="56"/>
    </row>
    <row r="323" spans="1:47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AF323" s="56"/>
      <c r="AG323" s="56"/>
      <c r="AH323" s="56"/>
      <c r="AI323" s="56"/>
      <c r="AJ323" s="56"/>
      <c r="AK323" s="56"/>
      <c r="AL323" s="56"/>
      <c r="AS323" s="56"/>
      <c r="AT323" s="56"/>
      <c r="AU323" s="56"/>
    </row>
    <row r="324" spans="1:47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AF324" s="56"/>
      <c r="AG324" s="56"/>
      <c r="AH324" s="56"/>
      <c r="AI324" s="56"/>
      <c r="AJ324" s="56"/>
      <c r="AK324" s="56"/>
      <c r="AL324" s="56"/>
      <c r="AS324" s="56"/>
      <c r="AT324" s="56"/>
      <c r="AU324" s="56"/>
    </row>
    <row r="325" spans="1:47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AF325" s="56"/>
      <c r="AG325" s="56"/>
      <c r="AH325" s="56"/>
      <c r="AI325" s="56"/>
      <c r="AJ325" s="56"/>
      <c r="AK325" s="56"/>
      <c r="AL325" s="56"/>
      <c r="AS325" s="56"/>
      <c r="AT325" s="56"/>
      <c r="AU325" s="56"/>
    </row>
    <row r="326" spans="1:47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AF326" s="56"/>
      <c r="AG326" s="56"/>
      <c r="AH326" s="56"/>
      <c r="AI326" s="56"/>
      <c r="AJ326" s="56"/>
      <c r="AK326" s="56"/>
      <c r="AL326" s="56"/>
      <c r="AS326" s="56"/>
      <c r="AT326" s="56"/>
      <c r="AU326" s="56"/>
    </row>
    <row r="327" spans="1:47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AF327" s="56"/>
      <c r="AG327" s="56"/>
      <c r="AH327" s="56"/>
      <c r="AI327" s="56"/>
      <c r="AJ327" s="56"/>
      <c r="AK327" s="56"/>
      <c r="AL327" s="56"/>
      <c r="AS327" s="56"/>
      <c r="AT327" s="56"/>
      <c r="AU327" s="56"/>
    </row>
    <row r="328" spans="1:47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AF328" s="56"/>
      <c r="AG328" s="56"/>
      <c r="AH328" s="56"/>
      <c r="AI328" s="56"/>
      <c r="AJ328" s="56"/>
      <c r="AK328" s="56"/>
      <c r="AL328" s="56"/>
      <c r="AS328" s="56"/>
      <c r="AT328" s="56"/>
      <c r="AU328" s="56"/>
    </row>
    <row r="329" spans="1:47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AF329" s="56"/>
      <c r="AG329" s="56"/>
      <c r="AH329" s="56"/>
      <c r="AI329" s="56"/>
      <c r="AJ329" s="56"/>
      <c r="AK329" s="56"/>
      <c r="AL329" s="56"/>
      <c r="AS329" s="56"/>
      <c r="AT329" s="56"/>
      <c r="AU329" s="56"/>
    </row>
    <row r="330" spans="1:47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AF330" s="56"/>
      <c r="AG330" s="56"/>
      <c r="AH330" s="56"/>
      <c r="AI330" s="56"/>
      <c r="AJ330" s="56"/>
      <c r="AK330" s="56"/>
      <c r="AL330" s="56"/>
      <c r="AS330" s="56"/>
      <c r="AT330" s="56"/>
      <c r="AU330" s="56"/>
    </row>
    <row r="331" spans="1:47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AF331" s="56"/>
      <c r="AG331" s="56"/>
      <c r="AH331" s="56"/>
      <c r="AI331" s="56"/>
      <c r="AJ331" s="56"/>
      <c r="AK331" s="56"/>
      <c r="AL331" s="56"/>
      <c r="AS331" s="56"/>
      <c r="AT331" s="56"/>
      <c r="AU331" s="56"/>
    </row>
    <row r="332" spans="1:47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AF332" s="56"/>
      <c r="AG332" s="56"/>
      <c r="AH332" s="56"/>
      <c r="AI332" s="56"/>
      <c r="AJ332" s="56"/>
      <c r="AK332" s="56"/>
      <c r="AL332" s="56"/>
      <c r="AS332" s="56"/>
      <c r="AT332" s="56"/>
      <c r="AU332" s="56"/>
    </row>
    <row r="333" spans="1:47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AF333" s="56"/>
      <c r="AG333" s="56"/>
      <c r="AH333" s="56"/>
      <c r="AI333" s="56"/>
      <c r="AJ333" s="56"/>
      <c r="AK333" s="56"/>
      <c r="AL333" s="56"/>
      <c r="AS333" s="56"/>
      <c r="AT333" s="56"/>
      <c r="AU333" s="56"/>
    </row>
    <row r="334" spans="1:47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AF334" s="56"/>
      <c r="AG334" s="56"/>
      <c r="AH334" s="56"/>
      <c r="AI334" s="56"/>
      <c r="AJ334" s="56"/>
      <c r="AK334" s="56"/>
      <c r="AL334" s="56"/>
      <c r="AS334" s="56"/>
      <c r="AT334" s="56"/>
      <c r="AU334" s="56"/>
    </row>
    <row r="335" spans="1:47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AF335" s="56"/>
      <c r="AG335" s="56"/>
      <c r="AH335" s="56"/>
      <c r="AI335" s="56"/>
      <c r="AJ335" s="56"/>
      <c r="AK335" s="56"/>
      <c r="AL335" s="56"/>
      <c r="AS335" s="56"/>
      <c r="AT335" s="56"/>
      <c r="AU335" s="56"/>
    </row>
    <row r="336" spans="1:47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AF336" s="56"/>
      <c r="AG336" s="56"/>
      <c r="AH336" s="56"/>
      <c r="AI336" s="56"/>
      <c r="AJ336" s="56"/>
      <c r="AK336" s="56"/>
      <c r="AL336" s="56"/>
      <c r="AS336" s="56"/>
      <c r="AT336" s="56"/>
      <c r="AU336" s="56"/>
    </row>
    <row r="337" spans="1:47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AF337" s="56"/>
      <c r="AG337" s="56"/>
      <c r="AH337" s="56"/>
      <c r="AI337" s="56"/>
      <c r="AJ337" s="56"/>
      <c r="AK337" s="56"/>
      <c r="AL337" s="56"/>
      <c r="AS337" s="56"/>
      <c r="AT337" s="56"/>
      <c r="AU337" s="56"/>
    </row>
    <row r="338" spans="1:47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AF338" s="56"/>
      <c r="AG338" s="56"/>
      <c r="AH338" s="56"/>
      <c r="AI338" s="56"/>
      <c r="AJ338" s="56"/>
      <c r="AK338" s="56"/>
      <c r="AL338" s="56"/>
      <c r="AS338" s="56"/>
      <c r="AT338" s="56"/>
      <c r="AU338" s="56"/>
    </row>
    <row r="339" spans="1:47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AF339" s="56"/>
      <c r="AG339" s="56"/>
      <c r="AH339" s="56"/>
      <c r="AI339" s="56"/>
      <c r="AJ339" s="56"/>
      <c r="AK339" s="56"/>
      <c r="AL339" s="56"/>
      <c r="AS339" s="56"/>
      <c r="AT339" s="56"/>
      <c r="AU339" s="56"/>
    </row>
    <row r="340" spans="1:47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AF340" s="56"/>
      <c r="AG340" s="56"/>
      <c r="AH340" s="56"/>
      <c r="AI340" s="56"/>
      <c r="AJ340" s="56"/>
      <c r="AK340" s="56"/>
      <c r="AL340" s="56"/>
      <c r="AS340" s="56"/>
      <c r="AT340" s="56"/>
      <c r="AU340" s="56"/>
    </row>
    <row r="341" spans="1:47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AF341" s="56"/>
      <c r="AG341" s="56"/>
      <c r="AH341" s="56"/>
      <c r="AI341" s="56"/>
      <c r="AJ341" s="56"/>
      <c r="AK341" s="56"/>
      <c r="AL341" s="56"/>
      <c r="AS341" s="56"/>
      <c r="AT341" s="56"/>
      <c r="AU341" s="56"/>
    </row>
    <row r="342" spans="1:47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AF342" s="56"/>
      <c r="AG342" s="56"/>
      <c r="AH342" s="56"/>
      <c r="AI342" s="56"/>
      <c r="AJ342" s="56"/>
      <c r="AK342" s="56"/>
      <c r="AL342" s="56"/>
      <c r="AS342" s="56"/>
      <c r="AT342" s="56"/>
      <c r="AU342" s="56"/>
    </row>
    <row r="343" spans="1:47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AF343" s="56"/>
      <c r="AG343" s="56"/>
      <c r="AH343" s="56"/>
      <c r="AI343" s="56"/>
      <c r="AJ343" s="56"/>
      <c r="AK343" s="56"/>
      <c r="AL343" s="56"/>
      <c r="AS343" s="56"/>
      <c r="AT343" s="56"/>
      <c r="AU343" s="56"/>
    </row>
    <row r="344" spans="1:47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AF344" s="56"/>
      <c r="AG344" s="56"/>
      <c r="AH344" s="56"/>
      <c r="AI344" s="56"/>
      <c r="AJ344" s="56"/>
      <c r="AK344" s="56"/>
      <c r="AL344" s="56"/>
      <c r="AS344" s="56"/>
      <c r="AT344" s="56"/>
      <c r="AU344" s="56"/>
    </row>
    <row r="345" spans="1:47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AF345" s="56"/>
      <c r="AG345" s="56"/>
      <c r="AH345" s="56"/>
      <c r="AI345" s="56"/>
      <c r="AJ345" s="56"/>
      <c r="AK345" s="56"/>
      <c r="AL345" s="56"/>
      <c r="AS345" s="56"/>
      <c r="AT345" s="56"/>
      <c r="AU345" s="56"/>
    </row>
    <row r="346" spans="1:47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AF346" s="56"/>
      <c r="AG346" s="56"/>
      <c r="AH346" s="56"/>
      <c r="AI346" s="56"/>
      <c r="AJ346" s="56"/>
      <c r="AK346" s="56"/>
      <c r="AL346" s="56"/>
      <c r="AS346" s="56"/>
      <c r="AT346" s="56"/>
      <c r="AU346" s="56"/>
    </row>
    <row r="347" spans="1:47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AF347" s="56"/>
      <c r="AG347" s="56"/>
      <c r="AH347" s="56"/>
      <c r="AI347" s="56"/>
      <c r="AJ347" s="56"/>
      <c r="AK347" s="56"/>
      <c r="AL347" s="56"/>
      <c r="AS347" s="56"/>
      <c r="AT347" s="56"/>
      <c r="AU347" s="56"/>
    </row>
    <row r="348" spans="1:47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AF348" s="56"/>
      <c r="AG348" s="56"/>
      <c r="AH348" s="56"/>
      <c r="AI348" s="56"/>
      <c r="AJ348" s="56"/>
      <c r="AK348" s="56"/>
      <c r="AL348" s="56"/>
      <c r="AS348" s="56"/>
      <c r="AT348" s="56"/>
      <c r="AU348" s="56"/>
    </row>
    <row r="349" spans="1:47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AF349" s="56"/>
      <c r="AG349" s="56"/>
      <c r="AH349" s="56"/>
      <c r="AI349" s="56"/>
      <c r="AJ349" s="56"/>
      <c r="AK349" s="56"/>
      <c r="AL349" s="56"/>
      <c r="AS349" s="56"/>
      <c r="AT349" s="56"/>
      <c r="AU349" s="56"/>
    </row>
    <row r="350" spans="1:47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AF350" s="56"/>
      <c r="AG350" s="56"/>
      <c r="AH350" s="56"/>
      <c r="AI350" s="56"/>
      <c r="AJ350" s="56"/>
      <c r="AK350" s="56"/>
      <c r="AL350" s="56"/>
      <c r="AS350" s="56"/>
      <c r="AT350" s="56"/>
      <c r="AU350" s="56"/>
    </row>
    <row r="351" spans="1:47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AF351" s="56"/>
      <c r="AG351" s="56"/>
      <c r="AH351" s="56"/>
      <c r="AI351" s="56"/>
      <c r="AJ351" s="56"/>
      <c r="AK351" s="56"/>
      <c r="AL351" s="56"/>
      <c r="AS351" s="56"/>
      <c r="AT351" s="56"/>
      <c r="AU351" s="56"/>
    </row>
    <row r="352" spans="1:47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AF352" s="56"/>
      <c r="AG352" s="56"/>
      <c r="AH352" s="56"/>
      <c r="AI352" s="56"/>
      <c r="AJ352" s="56"/>
      <c r="AK352" s="56"/>
      <c r="AL352" s="56"/>
      <c r="AS352" s="56"/>
      <c r="AT352" s="56"/>
      <c r="AU352" s="56"/>
    </row>
    <row r="353" spans="1:47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AF353" s="56"/>
      <c r="AG353" s="56"/>
      <c r="AH353" s="56"/>
      <c r="AI353" s="56"/>
      <c r="AJ353" s="56"/>
      <c r="AK353" s="56"/>
      <c r="AL353" s="56"/>
      <c r="AS353" s="56"/>
      <c r="AT353" s="56"/>
      <c r="AU353" s="56"/>
    </row>
    <row r="354" spans="1:47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AF354" s="56"/>
      <c r="AG354" s="56"/>
      <c r="AH354" s="56"/>
      <c r="AI354" s="56"/>
      <c r="AJ354" s="56"/>
      <c r="AK354" s="56"/>
      <c r="AL354" s="56"/>
      <c r="AS354" s="56"/>
      <c r="AT354" s="56"/>
      <c r="AU354" s="56"/>
    </row>
    <row r="355" spans="1:47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AF355" s="56"/>
      <c r="AG355" s="56"/>
      <c r="AH355" s="56"/>
      <c r="AI355" s="56"/>
      <c r="AJ355" s="56"/>
      <c r="AK355" s="56"/>
      <c r="AL355" s="56"/>
      <c r="AS355" s="56"/>
      <c r="AT355" s="56"/>
      <c r="AU355" s="56"/>
    </row>
    <row r="356" spans="1:47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AF356" s="56"/>
      <c r="AG356" s="56"/>
      <c r="AH356" s="56"/>
      <c r="AI356" s="56"/>
      <c r="AJ356" s="56"/>
      <c r="AK356" s="56"/>
      <c r="AL356" s="56"/>
      <c r="AS356" s="56"/>
      <c r="AT356" s="56"/>
      <c r="AU356" s="56"/>
    </row>
    <row r="357" spans="1:47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AF357" s="56"/>
      <c r="AG357" s="56"/>
      <c r="AH357" s="56"/>
      <c r="AI357" s="56"/>
      <c r="AJ357" s="56"/>
      <c r="AK357" s="56"/>
      <c r="AL357" s="56"/>
      <c r="AS357" s="56"/>
      <c r="AT357" s="56"/>
      <c r="AU357" s="56"/>
    </row>
    <row r="358" spans="1:47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AF358" s="56"/>
      <c r="AG358" s="56"/>
      <c r="AH358" s="56"/>
      <c r="AI358" s="56"/>
      <c r="AJ358" s="56"/>
      <c r="AK358" s="56"/>
      <c r="AL358" s="56"/>
      <c r="AS358" s="56"/>
      <c r="AT358" s="56"/>
      <c r="AU358" s="56"/>
    </row>
    <row r="359" spans="1:47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AF359" s="56"/>
      <c r="AG359" s="56"/>
      <c r="AH359" s="56"/>
      <c r="AI359" s="56"/>
      <c r="AJ359" s="56"/>
      <c r="AK359" s="56"/>
      <c r="AL359" s="56"/>
      <c r="AS359" s="56"/>
      <c r="AT359" s="56"/>
      <c r="AU359" s="56"/>
    </row>
    <row r="360" spans="1:47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AF360" s="56"/>
      <c r="AG360" s="56"/>
      <c r="AH360" s="56"/>
      <c r="AI360" s="56"/>
      <c r="AJ360" s="56"/>
      <c r="AK360" s="56"/>
      <c r="AL360" s="56"/>
      <c r="AS360" s="56"/>
      <c r="AT360" s="56"/>
      <c r="AU360" s="56"/>
    </row>
    <row r="361" spans="1:47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AF361" s="56"/>
      <c r="AG361" s="56"/>
      <c r="AH361" s="56"/>
      <c r="AI361" s="56"/>
      <c r="AJ361" s="56"/>
      <c r="AK361" s="56"/>
      <c r="AL361" s="56"/>
      <c r="AS361" s="56"/>
      <c r="AT361" s="56"/>
      <c r="AU361" s="56"/>
    </row>
    <row r="362" spans="1:47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AF362" s="56"/>
      <c r="AG362" s="56"/>
      <c r="AH362" s="56"/>
      <c r="AI362" s="56"/>
      <c r="AJ362" s="56"/>
      <c r="AK362" s="56"/>
      <c r="AL362" s="56"/>
      <c r="AS362" s="56"/>
      <c r="AT362" s="56"/>
      <c r="AU362" s="56"/>
    </row>
    <row r="363" spans="1:47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AF363" s="56"/>
      <c r="AG363" s="56"/>
      <c r="AH363" s="56"/>
      <c r="AI363" s="56"/>
      <c r="AJ363" s="56"/>
      <c r="AK363" s="56"/>
      <c r="AL363" s="56"/>
      <c r="AS363" s="56"/>
      <c r="AT363" s="56"/>
      <c r="AU363" s="56"/>
    </row>
    <row r="364" spans="1:47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AF364" s="56"/>
      <c r="AG364" s="56"/>
      <c r="AH364" s="56"/>
      <c r="AI364" s="56"/>
      <c r="AJ364" s="56"/>
      <c r="AK364" s="56"/>
      <c r="AL364" s="56"/>
      <c r="AS364" s="56"/>
      <c r="AT364" s="56"/>
      <c r="AU364" s="56"/>
    </row>
    <row r="365" spans="1:47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AF365" s="56"/>
      <c r="AG365" s="56"/>
      <c r="AH365" s="56"/>
      <c r="AI365" s="56"/>
      <c r="AJ365" s="56"/>
      <c r="AK365" s="56"/>
      <c r="AL365" s="56"/>
      <c r="AS365" s="56"/>
      <c r="AT365" s="56"/>
      <c r="AU365" s="56"/>
    </row>
    <row r="366" spans="1:47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AF366" s="56"/>
      <c r="AG366" s="56"/>
      <c r="AH366" s="56"/>
      <c r="AI366" s="56"/>
      <c r="AJ366" s="56"/>
      <c r="AK366" s="56"/>
      <c r="AL366" s="56"/>
      <c r="AS366" s="56"/>
      <c r="AT366" s="56"/>
      <c r="AU366" s="56"/>
    </row>
    <row r="367" spans="1:47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AF367" s="56"/>
      <c r="AG367" s="56"/>
      <c r="AH367" s="56"/>
      <c r="AI367" s="56"/>
      <c r="AJ367" s="56"/>
      <c r="AK367" s="56"/>
      <c r="AL367" s="56"/>
      <c r="AS367" s="56"/>
      <c r="AT367" s="56"/>
      <c r="AU367" s="56"/>
    </row>
    <row r="368" spans="1:47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AF368" s="56"/>
      <c r="AG368" s="56"/>
      <c r="AH368" s="56"/>
      <c r="AI368" s="56"/>
      <c r="AJ368" s="56"/>
      <c r="AK368" s="56"/>
      <c r="AL368" s="56"/>
      <c r="AS368" s="56"/>
      <c r="AT368" s="56"/>
      <c r="AU368" s="56"/>
    </row>
    <row r="369" spans="1:47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AF369" s="56"/>
      <c r="AG369" s="56"/>
      <c r="AH369" s="56"/>
      <c r="AI369" s="56"/>
      <c r="AJ369" s="56"/>
      <c r="AK369" s="56"/>
      <c r="AL369" s="56"/>
      <c r="AS369" s="56"/>
      <c r="AT369" s="56"/>
      <c r="AU369" s="56"/>
    </row>
    <row r="370" spans="1:47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AF370" s="56"/>
      <c r="AG370" s="56"/>
      <c r="AH370" s="56"/>
      <c r="AI370" s="56"/>
      <c r="AJ370" s="56"/>
      <c r="AK370" s="56"/>
      <c r="AL370" s="56"/>
      <c r="AS370" s="56"/>
      <c r="AT370" s="56"/>
      <c r="AU370" s="56"/>
    </row>
    <row r="371" spans="1:47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AF371" s="56"/>
      <c r="AG371" s="56"/>
      <c r="AH371" s="56"/>
      <c r="AI371" s="56"/>
      <c r="AJ371" s="56"/>
      <c r="AK371" s="56"/>
      <c r="AL371" s="56"/>
      <c r="AS371" s="56"/>
      <c r="AT371" s="56"/>
      <c r="AU371" s="56"/>
    </row>
    <row r="372" spans="1:47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AF372" s="56"/>
      <c r="AG372" s="56"/>
      <c r="AH372" s="56"/>
      <c r="AI372" s="56"/>
      <c r="AJ372" s="56"/>
      <c r="AK372" s="56"/>
      <c r="AL372" s="56"/>
      <c r="AS372" s="56"/>
      <c r="AT372" s="56"/>
      <c r="AU372" s="56"/>
    </row>
    <row r="373" spans="1:47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AF373" s="56"/>
      <c r="AG373" s="56"/>
      <c r="AH373" s="56"/>
      <c r="AI373" s="56"/>
      <c r="AJ373" s="56"/>
      <c r="AK373" s="56"/>
      <c r="AL373" s="56"/>
      <c r="AS373" s="56"/>
      <c r="AT373" s="56"/>
      <c r="AU373" s="56"/>
    </row>
    <row r="374" spans="1:47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AF374" s="56"/>
      <c r="AG374" s="56"/>
      <c r="AH374" s="56"/>
      <c r="AI374" s="56"/>
      <c r="AJ374" s="56"/>
      <c r="AK374" s="56"/>
      <c r="AL374" s="56"/>
      <c r="AS374" s="56"/>
      <c r="AT374" s="56"/>
      <c r="AU374" s="56"/>
    </row>
    <row r="375" spans="1:47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AF375" s="56"/>
      <c r="AG375" s="56"/>
      <c r="AH375" s="56"/>
      <c r="AI375" s="56"/>
      <c r="AJ375" s="56"/>
      <c r="AK375" s="56"/>
      <c r="AL375" s="56"/>
      <c r="AS375" s="56"/>
      <c r="AT375" s="56"/>
      <c r="AU375" s="56"/>
    </row>
    <row r="376" spans="1:47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AF376" s="56"/>
      <c r="AG376" s="56"/>
      <c r="AH376" s="56"/>
      <c r="AI376" s="56"/>
      <c r="AJ376" s="56"/>
      <c r="AK376" s="56"/>
      <c r="AL376" s="56"/>
      <c r="AS376" s="56"/>
      <c r="AT376" s="56"/>
      <c r="AU376" s="56"/>
    </row>
    <row r="377" spans="1:47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AF377" s="56"/>
      <c r="AG377" s="56"/>
      <c r="AH377" s="56"/>
      <c r="AI377" s="56"/>
      <c r="AJ377" s="56"/>
      <c r="AK377" s="56"/>
      <c r="AL377" s="56"/>
      <c r="AS377" s="56"/>
      <c r="AT377" s="56"/>
      <c r="AU377" s="56"/>
    </row>
    <row r="378" spans="1:47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AF378" s="56"/>
      <c r="AG378" s="56"/>
      <c r="AH378" s="56"/>
      <c r="AI378" s="56"/>
      <c r="AJ378" s="56"/>
      <c r="AK378" s="56"/>
      <c r="AL378" s="56"/>
      <c r="AS378" s="56"/>
      <c r="AT378" s="56"/>
      <c r="AU378" s="56"/>
    </row>
    <row r="379" spans="1:47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AF379" s="56"/>
      <c r="AG379" s="56"/>
      <c r="AH379" s="56"/>
      <c r="AI379" s="56"/>
      <c r="AJ379" s="56"/>
      <c r="AK379" s="56"/>
      <c r="AL379" s="56"/>
      <c r="AS379" s="56"/>
      <c r="AT379" s="56"/>
      <c r="AU379" s="56"/>
    </row>
    <row r="380" spans="1:47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AF380" s="56"/>
      <c r="AG380" s="56"/>
      <c r="AH380" s="56"/>
      <c r="AI380" s="56"/>
      <c r="AJ380" s="56"/>
      <c r="AK380" s="56"/>
      <c r="AL380" s="56"/>
      <c r="AS380" s="56"/>
      <c r="AT380" s="56"/>
      <c r="AU380" s="56"/>
    </row>
    <row r="381" spans="1:47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AF381" s="56"/>
      <c r="AG381" s="56"/>
      <c r="AH381" s="56"/>
      <c r="AI381" s="56"/>
      <c r="AJ381" s="56"/>
      <c r="AK381" s="56"/>
      <c r="AL381" s="56"/>
      <c r="AS381" s="56"/>
      <c r="AT381" s="56"/>
      <c r="AU381" s="56"/>
    </row>
    <row r="382" spans="1:47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AF382" s="56"/>
      <c r="AG382" s="56"/>
      <c r="AH382" s="56"/>
      <c r="AI382" s="56"/>
      <c r="AJ382" s="56"/>
      <c r="AK382" s="56"/>
      <c r="AL382" s="56"/>
      <c r="AS382" s="56"/>
      <c r="AT382" s="56"/>
      <c r="AU382" s="56"/>
    </row>
    <row r="383" spans="1:47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AF383" s="56"/>
      <c r="AG383" s="56"/>
      <c r="AH383" s="56"/>
      <c r="AI383" s="56"/>
      <c r="AJ383" s="56"/>
      <c r="AK383" s="56"/>
      <c r="AL383" s="56"/>
      <c r="AS383" s="56"/>
      <c r="AT383" s="56"/>
      <c r="AU383" s="56"/>
    </row>
    <row r="384" spans="1:47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AF384" s="56"/>
      <c r="AG384" s="56"/>
      <c r="AH384" s="56"/>
      <c r="AI384" s="56"/>
      <c r="AJ384" s="56"/>
      <c r="AK384" s="56"/>
      <c r="AL384" s="56"/>
      <c r="AS384" s="56"/>
      <c r="AT384" s="56"/>
      <c r="AU384" s="56"/>
    </row>
    <row r="385" spans="1:47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AF385" s="56"/>
      <c r="AG385" s="56"/>
      <c r="AH385" s="56"/>
      <c r="AI385" s="56"/>
      <c r="AJ385" s="56"/>
      <c r="AK385" s="56"/>
      <c r="AL385" s="56"/>
      <c r="AS385" s="56"/>
      <c r="AT385" s="56"/>
      <c r="AU385" s="56"/>
    </row>
    <row r="386" spans="1:47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AF386" s="56"/>
      <c r="AG386" s="56"/>
      <c r="AH386" s="56"/>
      <c r="AI386" s="56"/>
      <c r="AJ386" s="56"/>
      <c r="AK386" s="56"/>
      <c r="AL386" s="56"/>
      <c r="AS386" s="56"/>
      <c r="AT386" s="56"/>
      <c r="AU386" s="56"/>
    </row>
    <row r="387" spans="1:47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AF387" s="56"/>
      <c r="AG387" s="56"/>
      <c r="AH387" s="56"/>
      <c r="AI387" s="56"/>
      <c r="AJ387" s="56"/>
      <c r="AK387" s="56"/>
      <c r="AL387" s="56"/>
      <c r="AS387" s="56"/>
      <c r="AT387" s="56"/>
      <c r="AU387" s="56"/>
    </row>
    <row r="388" spans="1:47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AF388" s="56"/>
      <c r="AG388" s="56"/>
      <c r="AH388" s="56"/>
      <c r="AI388" s="56"/>
      <c r="AJ388" s="56"/>
      <c r="AK388" s="56"/>
      <c r="AL388" s="56"/>
      <c r="AS388" s="56"/>
      <c r="AT388" s="56"/>
      <c r="AU388" s="56"/>
    </row>
    <row r="389" spans="1:47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AF389" s="56"/>
      <c r="AG389" s="56"/>
      <c r="AH389" s="56"/>
      <c r="AI389" s="56"/>
      <c r="AJ389" s="56"/>
      <c r="AK389" s="56"/>
      <c r="AL389" s="56"/>
      <c r="AS389" s="56"/>
      <c r="AT389" s="56"/>
      <c r="AU389" s="56"/>
    </row>
    <row r="390" spans="1:47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AF390" s="56"/>
      <c r="AG390" s="56"/>
      <c r="AH390" s="56"/>
      <c r="AI390" s="56"/>
      <c r="AJ390" s="56"/>
      <c r="AK390" s="56"/>
      <c r="AL390" s="56"/>
      <c r="AS390" s="56"/>
      <c r="AT390" s="56"/>
      <c r="AU390" s="56"/>
    </row>
    <row r="391" spans="1:47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AF391" s="56"/>
      <c r="AG391" s="56"/>
      <c r="AH391" s="56"/>
      <c r="AI391" s="56"/>
      <c r="AJ391" s="56"/>
      <c r="AK391" s="56"/>
      <c r="AL391" s="56"/>
      <c r="AS391" s="56"/>
      <c r="AT391" s="56"/>
      <c r="AU391" s="56"/>
    </row>
    <row r="392" spans="1:47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AF392" s="56"/>
      <c r="AG392" s="56"/>
      <c r="AH392" s="56"/>
      <c r="AI392" s="56"/>
      <c r="AJ392" s="56"/>
      <c r="AK392" s="56"/>
      <c r="AL392" s="56"/>
      <c r="AS392" s="56"/>
      <c r="AT392" s="56"/>
      <c r="AU392" s="56"/>
    </row>
    <row r="393" spans="1:47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AF393" s="56"/>
      <c r="AG393" s="56"/>
      <c r="AH393" s="56"/>
      <c r="AI393" s="56"/>
      <c r="AJ393" s="56"/>
      <c r="AK393" s="56"/>
      <c r="AL393" s="56"/>
      <c r="AS393" s="56"/>
      <c r="AT393" s="56"/>
      <c r="AU393" s="56"/>
    </row>
    <row r="394" spans="1:47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AF394" s="56"/>
      <c r="AG394" s="56"/>
      <c r="AH394" s="56"/>
      <c r="AI394" s="56"/>
      <c r="AJ394" s="56"/>
      <c r="AK394" s="56"/>
      <c r="AL394" s="56"/>
      <c r="AS394" s="56"/>
      <c r="AT394" s="56"/>
      <c r="AU394" s="56"/>
    </row>
    <row r="395" spans="1:47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AF395" s="56"/>
      <c r="AG395" s="56"/>
      <c r="AH395" s="56"/>
      <c r="AI395" s="56"/>
      <c r="AJ395" s="56"/>
      <c r="AK395" s="56"/>
      <c r="AL395" s="56"/>
      <c r="AS395" s="56"/>
      <c r="AT395" s="56"/>
      <c r="AU395" s="56"/>
    </row>
    <row r="396" spans="1:47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AF396" s="56"/>
      <c r="AG396" s="56"/>
      <c r="AH396" s="56"/>
      <c r="AI396" s="56"/>
      <c r="AJ396" s="56"/>
      <c r="AK396" s="56"/>
      <c r="AL396" s="56"/>
      <c r="AS396" s="56"/>
      <c r="AT396" s="56"/>
      <c r="AU396" s="56"/>
    </row>
    <row r="397" spans="1:47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AF397" s="56"/>
      <c r="AG397" s="56"/>
      <c r="AH397" s="56"/>
      <c r="AI397" s="56"/>
      <c r="AJ397" s="56"/>
      <c r="AK397" s="56"/>
      <c r="AL397" s="56"/>
      <c r="AS397" s="56"/>
      <c r="AT397" s="56"/>
      <c r="AU397" s="56"/>
    </row>
    <row r="398" spans="1:47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AF398" s="56"/>
      <c r="AG398" s="56"/>
      <c r="AH398" s="56"/>
      <c r="AI398" s="56"/>
      <c r="AJ398" s="56"/>
      <c r="AK398" s="56"/>
      <c r="AL398" s="56"/>
      <c r="AS398" s="56"/>
      <c r="AT398" s="56"/>
      <c r="AU398" s="56"/>
    </row>
    <row r="399" spans="1:47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AF399" s="56"/>
      <c r="AG399" s="56"/>
      <c r="AH399" s="56"/>
      <c r="AI399" s="56"/>
      <c r="AJ399" s="56"/>
      <c r="AK399" s="56"/>
      <c r="AL399" s="56"/>
      <c r="AS399" s="56"/>
      <c r="AT399" s="56"/>
      <c r="AU399" s="56"/>
    </row>
    <row r="400" spans="1:47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AF400" s="56"/>
      <c r="AG400" s="56"/>
      <c r="AH400" s="56"/>
      <c r="AI400" s="56"/>
      <c r="AJ400" s="56"/>
      <c r="AK400" s="56"/>
      <c r="AL400" s="56"/>
      <c r="AS400" s="56"/>
      <c r="AT400" s="56"/>
      <c r="AU400" s="56"/>
    </row>
    <row r="401" spans="1:47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AF401" s="56"/>
      <c r="AG401" s="56"/>
      <c r="AH401" s="56"/>
      <c r="AI401" s="56"/>
      <c r="AJ401" s="56"/>
      <c r="AK401" s="56"/>
      <c r="AL401" s="56"/>
      <c r="AS401" s="56"/>
      <c r="AT401" s="56"/>
      <c r="AU401" s="56"/>
    </row>
    <row r="402" spans="1:47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AF402" s="56"/>
      <c r="AG402" s="56"/>
      <c r="AH402" s="56"/>
      <c r="AI402" s="56"/>
      <c r="AJ402" s="56"/>
      <c r="AK402" s="56"/>
      <c r="AL402" s="56"/>
      <c r="AS402" s="56"/>
      <c r="AT402" s="56"/>
      <c r="AU402" s="56"/>
    </row>
    <row r="403" spans="1:47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AF403" s="56"/>
      <c r="AG403" s="56"/>
      <c r="AH403" s="56"/>
      <c r="AI403" s="56"/>
      <c r="AJ403" s="56"/>
      <c r="AK403" s="56"/>
      <c r="AL403" s="56"/>
      <c r="AS403" s="56"/>
      <c r="AT403" s="56"/>
      <c r="AU403" s="56"/>
    </row>
    <row r="404" spans="1:47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AF404" s="56"/>
      <c r="AG404" s="56"/>
      <c r="AH404" s="56"/>
      <c r="AI404" s="56"/>
      <c r="AJ404" s="56"/>
      <c r="AK404" s="56"/>
      <c r="AL404" s="56"/>
      <c r="AS404" s="56"/>
      <c r="AT404" s="56"/>
      <c r="AU404" s="56"/>
    </row>
    <row r="405" spans="1:47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AF405" s="56"/>
      <c r="AG405" s="56"/>
      <c r="AH405" s="56"/>
      <c r="AI405" s="56"/>
      <c r="AJ405" s="56"/>
      <c r="AK405" s="56"/>
      <c r="AL405" s="56"/>
      <c r="AS405" s="56"/>
      <c r="AT405" s="56"/>
      <c r="AU405" s="56"/>
    </row>
    <row r="406" spans="1:47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AF406" s="56"/>
      <c r="AG406" s="56"/>
      <c r="AH406" s="56"/>
      <c r="AI406" s="56"/>
      <c r="AJ406" s="56"/>
      <c r="AK406" s="56"/>
      <c r="AL406" s="56"/>
      <c r="AS406" s="56"/>
      <c r="AT406" s="56"/>
      <c r="AU406" s="56"/>
    </row>
    <row r="407" spans="1:47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AF407" s="56"/>
      <c r="AG407" s="56"/>
      <c r="AH407" s="56"/>
      <c r="AI407" s="56"/>
      <c r="AJ407" s="56"/>
      <c r="AK407" s="56"/>
      <c r="AL407" s="56"/>
      <c r="AS407" s="56"/>
      <c r="AT407" s="56"/>
      <c r="AU407" s="56"/>
    </row>
    <row r="408" spans="1:47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AF408" s="56"/>
      <c r="AG408" s="56"/>
      <c r="AH408" s="56"/>
      <c r="AI408" s="56"/>
      <c r="AJ408" s="56"/>
      <c r="AK408" s="56"/>
      <c r="AL408" s="56"/>
      <c r="AS408" s="56"/>
      <c r="AT408" s="56"/>
      <c r="AU408" s="56"/>
    </row>
    <row r="409" spans="1:47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AF409" s="56"/>
      <c r="AG409" s="56"/>
      <c r="AH409" s="56"/>
      <c r="AI409" s="56"/>
      <c r="AJ409" s="56"/>
      <c r="AK409" s="56"/>
      <c r="AL409" s="56"/>
      <c r="AS409" s="56"/>
      <c r="AT409" s="56"/>
      <c r="AU409" s="56"/>
    </row>
    <row r="410" spans="1:47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AF410" s="56"/>
      <c r="AG410" s="56"/>
      <c r="AH410" s="56"/>
      <c r="AI410" s="56"/>
      <c r="AJ410" s="56"/>
      <c r="AK410" s="56"/>
      <c r="AL410" s="56"/>
      <c r="AS410" s="56"/>
      <c r="AT410" s="56"/>
      <c r="AU410" s="56"/>
    </row>
    <row r="411" spans="1:47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AF411" s="56"/>
      <c r="AG411" s="56"/>
      <c r="AH411" s="56"/>
      <c r="AI411" s="56"/>
      <c r="AJ411" s="56"/>
      <c r="AK411" s="56"/>
      <c r="AL411" s="56"/>
      <c r="AS411" s="56"/>
      <c r="AT411" s="56"/>
      <c r="AU411" s="56"/>
    </row>
    <row r="412" spans="1:47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AF412" s="56"/>
      <c r="AG412" s="56"/>
      <c r="AH412" s="56"/>
      <c r="AI412" s="56"/>
      <c r="AJ412" s="56"/>
      <c r="AK412" s="56"/>
      <c r="AL412" s="56"/>
      <c r="AS412" s="56"/>
      <c r="AT412" s="56"/>
      <c r="AU412" s="56"/>
    </row>
    <row r="413" spans="1:47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AF413" s="56"/>
      <c r="AG413" s="56"/>
      <c r="AH413" s="56"/>
      <c r="AI413" s="56"/>
      <c r="AJ413" s="56"/>
      <c r="AK413" s="56"/>
      <c r="AL413" s="56"/>
      <c r="AS413" s="56"/>
      <c r="AT413" s="56"/>
      <c r="AU413" s="56"/>
    </row>
    <row r="414" spans="1:47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AF414" s="56"/>
      <c r="AG414" s="56"/>
      <c r="AH414" s="56"/>
      <c r="AI414" s="56"/>
      <c r="AJ414" s="56"/>
      <c r="AK414" s="56"/>
      <c r="AL414" s="56"/>
      <c r="AS414" s="56"/>
      <c r="AT414" s="56"/>
      <c r="AU414" s="56"/>
    </row>
    <row r="415" spans="1:47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AF415" s="56"/>
      <c r="AG415" s="56"/>
      <c r="AH415" s="56"/>
      <c r="AI415" s="56"/>
      <c r="AJ415" s="56"/>
      <c r="AK415" s="56"/>
      <c r="AL415" s="56"/>
      <c r="AS415" s="56"/>
      <c r="AT415" s="56"/>
      <c r="AU415" s="56"/>
    </row>
    <row r="416" spans="1:47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AF416" s="56"/>
      <c r="AG416" s="56"/>
      <c r="AH416" s="56"/>
      <c r="AI416" s="56"/>
      <c r="AJ416" s="56"/>
      <c r="AK416" s="56"/>
      <c r="AL416" s="56"/>
      <c r="AS416" s="56"/>
      <c r="AT416" s="56"/>
      <c r="AU416" s="56"/>
    </row>
    <row r="417" spans="1:47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AF417" s="56"/>
      <c r="AG417" s="56"/>
      <c r="AH417" s="56"/>
      <c r="AI417" s="56"/>
      <c r="AJ417" s="56"/>
      <c r="AK417" s="56"/>
      <c r="AL417" s="56"/>
      <c r="AS417" s="56"/>
      <c r="AT417" s="56"/>
      <c r="AU417" s="56"/>
    </row>
    <row r="418" spans="1:47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AF418" s="56"/>
      <c r="AG418" s="56"/>
      <c r="AH418" s="56"/>
      <c r="AI418" s="56"/>
      <c r="AJ418" s="56"/>
      <c r="AK418" s="56"/>
      <c r="AL418" s="56"/>
      <c r="AS418" s="56"/>
      <c r="AT418" s="56"/>
      <c r="AU418" s="56"/>
    </row>
    <row r="419" spans="1:47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AF419" s="56"/>
      <c r="AG419" s="56"/>
      <c r="AH419" s="56"/>
      <c r="AI419" s="56"/>
      <c r="AJ419" s="56"/>
      <c r="AK419" s="56"/>
      <c r="AL419" s="56"/>
      <c r="AS419" s="56"/>
      <c r="AT419" s="56"/>
      <c r="AU419" s="56"/>
    </row>
    <row r="420" spans="1:47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AF420" s="56"/>
      <c r="AG420" s="56"/>
      <c r="AH420" s="56"/>
      <c r="AI420" s="56"/>
      <c r="AJ420" s="56"/>
      <c r="AK420" s="56"/>
      <c r="AL420" s="56"/>
      <c r="AS420" s="56"/>
      <c r="AT420" s="56"/>
      <c r="AU420" s="56"/>
    </row>
    <row r="421" spans="1:47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AF421" s="56"/>
      <c r="AG421" s="56"/>
      <c r="AH421" s="56"/>
      <c r="AI421" s="56"/>
      <c r="AJ421" s="56"/>
      <c r="AK421" s="56"/>
      <c r="AL421" s="56"/>
      <c r="AS421" s="56"/>
      <c r="AT421" s="56"/>
      <c r="AU421" s="56"/>
    </row>
    <row r="422" spans="1:47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AF422" s="56"/>
      <c r="AG422" s="56"/>
      <c r="AH422" s="56"/>
      <c r="AI422" s="56"/>
      <c r="AJ422" s="56"/>
      <c r="AK422" s="56"/>
      <c r="AL422" s="56"/>
      <c r="AS422" s="56"/>
      <c r="AT422" s="56"/>
      <c r="AU422" s="56"/>
    </row>
    <row r="423" spans="1:47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AF423" s="56"/>
      <c r="AG423" s="56"/>
      <c r="AH423" s="56"/>
      <c r="AI423" s="56"/>
      <c r="AJ423" s="56"/>
      <c r="AK423" s="56"/>
      <c r="AL423" s="56"/>
      <c r="AS423" s="56"/>
      <c r="AT423" s="56"/>
      <c r="AU423" s="56"/>
    </row>
    <row r="424" spans="1:47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AF424" s="56"/>
      <c r="AG424" s="56"/>
      <c r="AH424" s="56"/>
      <c r="AI424" s="56"/>
      <c r="AJ424" s="56"/>
      <c r="AK424" s="56"/>
      <c r="AL424" s="56"/>
      <c r="AS424" s="56"/>
      <c r="AT424" s="56"/>
      <c r="AU424" s="56"/>
    </row>
    <row r="425" spans="1:47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AF425" s="56"/>
      <c r="AG425" s="56"/>
      <c r="AH425" s="56"/>
      <c r="AI425" s="56"/>
      <c r="AJ425" s="56"/>
      <c r="AK425" s="56"/>
      <c r="AL425" s="56"/>
      <c r="AS425" s="56"/>
      <c r="AT425" s="56"/>
      <c r="AU425" s="56"/>
    </row>
    <row r="426" spans="1:47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AF426" s="56"/>
      <c r="AG426" s="56"/>
      <c r="AH426" s="56"/>
      <c r="AI426" s="56"/>
      <c r="AJ426" s="56"/>
      <c r="AK426" s="56"/>
      <c r="AL426" s="56"/>
      <c r="AS426" s="56"/>
      <c r="AT426" s="56"/>
      <c r="AU426" s="56"/>
    </row>
    <row r="427" spans="1:47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AF427" s="56"/>
      <c r="AG427" s="56"/>
      <c r="AH427" s="56"/>
      <c r="AI427" s="56"/>
      <c r="AJ427" s="56"/>
      <c r="AK427" s="56"/>
      <c r="AL427" s="56"/>
      <c r="AS427" s="56"/>
      <c r="AT427" s="56"/>
      <c r="AU427" s="56"/>
    </row>
    <row r="428" spans="1:47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AF428" s="56"/>
      <c r="AG428" s="56"/>
      <c r="AH428" s="56"/>
      <c r="AI428" s="56"/>
      <c r="AJ428" s="56"/>
      <c r="AK428" s="56"/>
      <c r="AL428" s="56"/>
      <c r="AS428" s="56"/>
      <c r="AT428" s="56"/>
      <c r="AU428" s="56"/>
    </row>
    <row r="429" spans="1:47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AF429" s="56"/>
      <c r="AG429" s="56"/>
      <c r="AH429" s="56"/>
      <c r="AI429" s="56"/>
      <c r="AJ429" s="56"/>
      <c r="AK429" s="56"/>
      <c r="AL429" s="56"/>
      <c r="AS429" s="56"/>
      <c r="AT429" s="56"/>
      <c r="AU429" s="56"/>
    </row>
    <row r="430" spans="1:47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AF430" s="56"/>
      <c r="AG430" s="56"/>
      <c r="AH430" s="56"/>
      <c r="AI430" s="56"/>
      <c r="AJ430" s="56"/>
      <c r="AK430" s="56"/>
      <c r="AL430" s="56"/>
      <c r="AS430" s="56"/>
      <c r="AT430" s="56"/>
      <c r="AU430" s="56"/>
    </row>
    <row r="431" spans="1:47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AF431" s="56"/>
      <c r="AG431" s="56"/>
      <c r="AH431" s="56"/>
      <c r="AI431" s="56"/>
      <c r="AJ431" s="56"/>
      <c r="AK431" s="56"/>
      <c r="AL431" s="56"/>
      <c r="AS431" s="56"/>
      <c r="AT431" s="56"/>
      <c r="AU431" s="56"/>
    </row>
    <row r="432" spans="1:47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AF432" s="56"/>
      <c r="AG432" s="56"/>
      <c r="AH432" s="56"/>
      <c r="AI432" s="56"/>
      <c r="AJ432" s="56"/>
      <c r="AK432" s="56"/>
      <c r="AL432" s="56"/>
      <c r="AS432" s="56"/>
      <c r="AT432" s="56"/>
      <c r="AU432" s="56"/>
    </row>
    <row r="433" spans="1:47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AF433" s="56"/>
      <c r="AG433" s="56"/>
      <c r="AH433" s="56"/>
      <c r="AI433" s="56"/>
      <c r="AJ433" s="56"/>
      <c r="AK433" s="56"/>
      <c r="AL433" s="56"/>
      <c r="AS433" s="56"/>
      <c r="AT433" s="56"/>
      <c r="AU433" s="56"/>
    </row>
    <row r="434" spans="1:47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AF434" s="56"/>
      <c r="AG434" s="56"/>
      <c r="AH434" s="56"/>
      <c r="AI434" s="56"/>
      <c r="AJ434" s="56"/>
      <c r="AK434" s="56"/>
      <c r="AL434" s="56"/>
      <c r="AS434" s="56"/>
      <c r="AT434" s="56"/>
      <c r="AU434" s="56"/>
    </row>
    <row r="435" spans="1:47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AF435" s="56"/>
      <c r="AG435" s="56"/>
      <c r="AH435" s="56"/>
      <c r="AI435" s="56"/>
      <c r="AJ435" s="56"/>
      <c r="AK435" s="56"/>
      <c r="AL435" s="56"/>
      <c r="AS435" s="56"/>
      <c r="AT435" s="56"/>
      <c r="AU435" s="56"/>
    </row>
    <row r="436" spans="1:47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AF436" s="56"/>
      <c r="AG436" s="56"/>
      <c r="AH436" s="56"/>
      <c r="AI436" s="56"/>
      <c r="AJ436" s="56"/>
      <c r="AK436" s="56"/>
      <c r="AL436" s="56"/>
      <c r="AS436" s="56"/>
      <c r="AT436" s="56"/>
      <c r="AU436" s="56"/>
    </row>
    <row r="437" spans="1:47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AF437" s="56"/>
      <c r="AG437" s="56"/>
      <c r="AH437" s="56"/>
      <c r="AI437" s="56"/>
      <c r="AJ437" s="56"/>
      <c r="AK437" s="56"/>
      <c r="AL437" s="56"/>
      <c r="AS437" s="56"/>
      <c r="AT437" s="56"/>
      <c r="AU437" s="56"/>
    </row>
    <row r="438" spans="1:47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AF438" s="56"/>
      <c r="AG438" s="56"/>
      <c r="AH438" s="56"/>
      <c r="AI438" s="56"/>
      <c r="AJ438" s="56"/>
      <c r="AK438" s="56"/>
      <c r="AL438" s="56"/>
      <c r="AS438" s="56"/>
      <c r="AT438" s="56"/>
      <c r="AU438" s="56"/>
    </row>
    <row r="439" spans="1:47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AF439" s="56"/>
      <c r="AG439" s="56"/>
      <c r="AH439" s="56"/>
      <c r="AI439" s="56"/>
      <c r="AJ439" s="56"/>
      <c r="AK439" s="56"/>
      <c r="AL439" s="56"/>
      <c r="AS439" s="56"/>
      <c r="AT439" s="56"/>
      <c r="AU439" s="56"/>
    </row>
    <row r="440" spans="1:47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AF440" s="56"/>
      <c r="AG440" s="56"/>
      <c r="AH440" s="56"/>
      <c r="AI440" s="56"/>
      <c r="AJ440" s="56"/>
      <c r="AK440" s="56"/>
      <c r="AL440" s="56"/>
      <c r="AS440" s="56"/>
      <c r="AT440" s="56"/>
      <c r="AU440" s="56"/>
    </row>
    <row r="441" spans="1:47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AF441" s="56"/>
      <c r="AG441" s="56"/>
      <c r="AH441" s="56"/>
      <c r="AI441" s="56"/>
      <c r="AJ441" s="56"/>
      <c r="AK441" s="56"/>
      <c r="AL441" s="56"/>
      <c r="AS441" s="56"/>
      <c r="AT441" s="56"/>
      <c r="AU441" s="56"/>
    </row>
    <row r="442" spans="1:47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AF442" s="56"/>
      <c r="AG442" s="56"/>
      <c r="AH442" s="56"/>
      <c r="AI442" s="56"/>
      <c r="AJ442" s="56"/>
      <c r="AK442" s="56"/>
      <c r="AL442" s="56"/>
      <c r="AS442" s="56"/>
      <c r="AT442" s="56"/>
      <c r="AU442" s="56"/>
    </row>
    <row r="443" spans="1:47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AF443" s="56"/>
      <c r="AG443" s="56"/>
      <c r="AH443" s="56"/>
      <c r="AI443" s="56"/>
      <c r="AJ443" s="56"/>
      <c r="AK443" s="56"/>
      <c r="AL443" s="56"/>
      <c r="AS443" s="56"/>
      <c r="AT443" s="56"/>
      <c r="AU443" s="56"/>
    </row>
    <row r="444" spans="1:47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AF444" s="56"/>
      <c r="AG444" s="56"/>
      <c r="AH444" s="56"/>
      <c r="AI444" s="56"/>
      <c r="AJ444" s="56"/>
      <c r="AK444" s="56"/>
      <c r="AL444" s="56"/>
      <c r="AS444" s="56"/>
      <c r="AT444" s="56"/>
      <c r="AU444" s="56"/>
    </row>
    <row r="445" spans="1:47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AF445" s="56"/>
      <c r="AG445" s="56"/>
      <c r="AH445" s="56"/>
      <c r="AI445" s="56"/>
      <c r="AJ445" s="56"/>
      <c r="AK445" s="56"/>
      <c r="AL445" s="56"/>
      <c r="AS445" s="56"/>
      <c r="AT445" s="56"/>
      <c r="AU445" s="56"/>
    </row>
    <row r="446" spans="1:47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AF446" s="56"/>
      <c r="AG446" s="56"/>
      <c r="AH446" s="56"/>
      <c r="AI446" s="56"/>
      <c r="AJ446" s="56"/>
      <c r="AK446" s="56"/>
      <c r="AL446" s="56"/>
      <c r="AS446" s="56"/>
      <c r="AT446" s="56"/>
      <c r="AU446" s="56"/>
    </row>
    <row r="447" spans="1:47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AF447" s="56"/>
      <c r="AG447" s="56"/>
      <c r="AH447" s="56"/>
      <c r="AI447" s="56"/>
      <c r="AJ447" s="56"/>
      <c r="AK447" s="56"/>
      <c r="AL447" s="56"/>
      <c r="AS447" s="56"/>
      <c r="AT447" s="56"/>
      <c r="AU447" s="56"/>
    </row>
    <row r="448" spans="1:47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AF448" s="56"/>
      <c r="AG448" s="56"/>
      <c r="AH448" s="56"/>
      <c r="AI448" s="56"/>
      <c r="AJ448" s="56"/>
      <c r="AK448" s="56"/>
      <c r="AL448" s="56"/>
      <c r="AS448" s="56"/>
      <c r="AT448" s="56"/>
      <c r="AU448" s="56"/>
    </row>
    <row r="449" spans="1:47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AF449" s="56"/>
      <c r="AG449" s="56"/>
      <c r="AH449" s="56"/>
      <c r="AI449" s="56"/>
      <c r="AJ449" s="56"/>
      <c r="AK449" s="56"/>
      <c r="AL449" s="56"/>
      <c r="AS449" s="56"/>
      <c r="AT449" s="56"/>
      <c r="AU449" s="56"/>
    </row>
    <row r="450" spans="1:47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AF450" s="56"/>
      <c r="AG450" s="56"/>
      <c r="AH450" s="56"/>
      <c r="AI450" s="56"/>
      <c r="AJ450" s="56"/>
      <c r="AK450" s="56"/>
      <c r="AL450" s="56"/>
      <c r="AS450" s="56"/>
      <c r="AT450" s="56"/>
      <c r="AU450" s="56"/>
    </row>
    <row r="451" spans="1:47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AF451" s="56"/>
      <c r="AG451" s="56"/>
      <c r="AH451" s="56"/>
      <c r="AI451" s="56"/>
      <c r="AJ451" s="56"/>
      <c r="AK451" s="56"/>
      <c r="AL451" s="56"/>
      <c r="AS451" s="56"/>
      <c r="AT451" s="56"/>
      <c r="AU451" s="56"/>
    </row>
    <row r="452" spans="1:47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AF452" s="56"/>
      <c r="AG452" s="56"/>
      <c r="AH452" s="56"/>
      <c r="AI452" s="56"/>
      <c r="AJ452" s="56"/>
      <c r="AK452" s="56"/>
      <c r="AL452" s="56"/>
      <c r="AS452" s="56"/>
      <c r="AT452" s="56"/>
      <c r="AU452" s="56"/>
    </row>
    <row r="453" spans="1:47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AF453" s="56"/>
      <c r="AG453" s="56"/>
      <c r="AH453" s="56"/>
      <c r="AI453" s="56"/>
      <c r="AJ453" s="56"/>
      <c r="AK453" s="56"/>
      <c r="AL453" s="56"/>
      <c r="AS453" s="56"/>
      <c r="AT453" s="56"/>
      <c r="AU453" s="56"/>
    </row>
    <row r="454" spans="1:47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AF454" s="56"/>
      <c r="AG454" s="56"/>
      <c r="AH454" s="56"/>
      <c r="AI454" s="56"/>
      <c r="AJ454" s="56"/>
      <c r="AK454" s="56"/>
      <c r="AL454" s="56"/>
      <c r="AS454" s="56"/>
      <c r="AT454" s="56"/>
      <c r="AU454" s="56"/>
    </row>
    <row r="455" spans="1:47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AF455" s="56"/>
      <c r="AG455" s="56"/>
      <c r="AH455" s="56"/>
      <c r="AI455" s="56"/>
      <c r="AJ455" s="56"/>
      <c r="AK455" s="56"/>
      <c r="AL455" s="56"/>
      <c r="AS455" s="56"/>
      <c r="AT455" s="56"/>
      <c r="AU455" s="56"/>
    </row>
    <row r="456" spans="1:47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AF456" s="56"/>
      <c r="AG456" s="56"/>
      <c r="AH456" s="56"/>
      <c r="AI456" s="56"/>
      <c r="AJ456" s="56"/>
      <c r="AK456" s="56"/>
      <c r="AL456" s="56"/>
      <c r="AS456" s="56"/>
      <c r="AT456" s="56"/>
      <c r="AU456" s="56"/>
    </row>
    <row r="457" spans="1:47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AF457" s="56"/>
      <c r="AG457" s="56"/>
      <c r="AH457" s="56"/>
      <c r="AI457" s="56"/>
      <c r="AJ457" s="56"/>
      <c r="AK457" s="56"/>
      <c r="AL457" s="56"/>
      <c r="AS457" s="56"/>
      <c r="AT457" s="56"/>
      <c r="AU457" s="56"/>
    </row>
    <row r="458" spans="1:47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AF458" s="56"/>
      <c r="AG458" s="56"/>
      <c r="AH458" s="56"/>
      <c r="AI458" s="56"/>
      <c r="AJ458" s="56"/>
      <c r="AK458" s="56"/>
      <c r="AL458" s="56"/>
      <c r="AS458" s="56"/>
      <c r="AT458" s="56"/>
      <c r="AU458" s="56"/>
    </row>
    <row r="459" spans="1:47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AF459" s="56"/>
      <c r="AG459" s="56"/>
      <c r="AH459" s="56"/>
      <c r="AI459" s="56"/>
      <c r="AJ459" s="56"/>
      <c r="AK459" s="56"/>
      <c r="AL459" s="56"/>
      <c r="AS459" s="56"/>
      <c r="AT459" s="56"/>
      <c r="AU459" s="56"/>
    </row>
    <row r="460" spans="1:47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AF460" s="56"/>
      <c r="AG460" s="56"/>
      <c r="AH460" s="56"/>
      <c r="AI460" s="56"/>
      <c r="AJ460" s="56"/>
      <c r="AK460" s="56"/>
      <c r="AL460" s="56"/>
      <c r="AS460" s="56"/>
      <c r="AT460" s="56"/>
      <c r="AU460" s="56"/>
    </row>
    <row r="461" spans="1:47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AF461" s="56"/>
      <c r="AG461" s="56"/>
      <c r="AH461" s="56"/>
      <c r="AI461" s="56"/>
      <c r="AJ461" s="56"/>
      <c r="AK461" s="56"/>
      <c r="AL461" s="56"/>
      <c r="AS461" s="56"/>
      <c r="AT461" s="56"/>
      <c r="AU461" s="56"/>
    </row>
    <row r="462" spans="1:47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AF462" s="56"/>
      <c r="AG462" s="56"/>
      <c r="AH462" s="56"/>
      <c r="AI462" s="56"/>
      <c r="AJ462" s="56"/>
      <c r="AK462" s="56"/>
      <c r="AL462" s="56"/>
      <c r="AS462" s="56"/>
      <c r="AT462" s="56"/>
      <c r="AU462" s="56"/>
    </row>
    <row r="463" spans="1:47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AF463" s="56"/>
      <c r="AG463" s="56"/>
      <c r="AH463" s="56"/>
      <c r="AI463" s="56"/>
      <c r="AJ463" s="56"/>
      <c r="AK463" s="56"/>
      <c r="AL463" s="56"/>
      <c r="AS463" s="56"/>
      <c r="AT463" s="56"/>
      <c r="AU463" s="56"/>
    </row>
    <row r="464" spans="1:47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AF464" s="56"/>
      <c r="AG464" s="56"/>
      <c r="AH464" s="56"/>
      <c r="AI464" s="56"/>
      <c r="AJ464" s="56"/>
      <c r="AK464" s="56"/>
      <c r="AL464" s="56"/>
      <c r="AS464" s="56"/>
      <c r="AT464" s="56"/>
      <c r="AU464" s="56"/>
    </row>
    <row r="465" spans="1:47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AF465" s="56"/>
      <c r="AG465" s="56"/>
      <c r="AH465" s="56"/>
      <c r="AI465" s="56"/>
      <c r="AJ465" s="56"/>
      <c r="AK465" s="56"/>
      <c r="AL465" s="56"/>
      <c r="AS465" s="56"/>
      <c r="AT465" s="56"/>
      <c r="AU465" s="56"/>
    </row>
    <row r="466" spans="1:47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AF466" s="56"/>
      <c r="AG466" s="56"/>
      <c r="AH466" s="56"/>
      <c r="AI466" s="56"/>
      <c r="AJ466" s="56"/>
      <c r="AK466" s="56"/>
      <c r="AL466" s="56"/>
      <c r="AS466" s="56"/>
      <c r="AT466" s="56"/>
      <c r="AU466" s="56"/>
    </row>
    <row r="467" spans="1:47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AF467" s="56"/>
      <c r="AG467" s="56"/>
      <c r="AH467" s="56"/>
      <c r="AI467" s="56"/>
      <c r="AJ467" s="56"/>
      <c r="AK467" s="56"/>
      <c r="AL467" s="56"/>
      <c r="AS467" s="56"/>
      <c r="AT467" s="56"/>
      <c r="AU467" s="56"/>
    </row>
    <row r="468" spans="1:47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AF468" s="56"/>
      <c r="AG468" s="56"/>
      <c r="AH468" s="56"/>
      <c r="AI468" s="56"/>
      <c r="AJ468" s="56"/>
      <c r="AK468" s="56"/>
      <c r="AL468" s="56"/>
      <c r="AS468" s="56"/>
      <c r="AT468" s="56"/>
      <c r="AU468" s="56"/>
    </row>
    <row r="469" spans="1:47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AF469" s="56"/>
      <c r="AG469" s="56"/>
      <c r="AH469" s="56"/>
      <c r="AI469" s="56"/>
      <c r="AJ469" s="56"/>
      <c r="AK469" s="56"/>
      <c r="AL469" s="56"/>
      <c r="AS469" s="56"/>
      <c r="AT469" s="56"/>
      <c r="AU469" s="56"/>
    </row>
    <row r="470" spans="1:47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AF470" s="56"/>
      <c r="AG470" s="56"/>
      <c r="AH470" s="56"/>
      <c r="AI470" s="56"/>
      <c r="AJ470" s="56"/>
      <c r="AK470" s="56"/>
      <c r="AL470" s="56"/>
      <c r="AS470" s="56"/>
      <c r="AT470" s="56"/>
      <c r="AU470" s="56"/>
    </row>
    <row r="471" spans="1:47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AF471" s="56"/>
      <c r="AG471" s="56"/>
      <c r="AH471" s="56"/>
      <c r="AI471" s="56"/>
      <c r="AJ471" s="56"/>
      <c r="AK471" s="56"/>
      <c r="AL471" s="56"/>
      <c r="AS471" s="56"/>
      <c r="AT471" s="56"/>
      <c r="AU471" s="56"/>
    </row>
    <row r="472" spans="1:47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AF472" s="56"/>
      <c r="AG472" s="56"/>
      <c r="AH472" s="56"/>
      <c r="AI472" s="56"/>
      <c r="AJ472" s="56"/>
      <c r="AK472" s="56"/>
      <c r="AL472" s="56"/>
      <c r="AS472" s="56"/>
      <c r="AT472" s="56"/>
      <c r="AU472" s="56"/>
    </row>
    <row r="473" spans="1:47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AF473" s="56"/>
      <c r="AG473" s="56"/>
      <c r="AH473" s="56"/>
      <c r="AI473" s="56"/>
      <c r="AJ473" s="56"/>
      <c r="AK473" s="56"/>
      <c r="AL473" s="56"/>
      <c r="AS473" s="56"/>
      <c r="AT473" s="56"/>
      <c r="AU473" s="56"/>
    </row>
    <row r="474" spans="1:47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AF474" s="56"/>
      <c r="AG474" s="56"/>
      <c r="AH474" s="56"/>
      <c r="AI474" s="56"/>
      <c r="AJ474" s="56"/>
      <c r="AK474" s="56"/>
      <c r="AL474" s="56"/>
      <c r="AS474" s="56"/>
      <c r="AT474" s="56"/>
      <c r="AU474" s="56"/>
    </row>
    <row r="475" spans="1:47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AF475" s="56"/>
      <c r="AG475" s="56"/>
      <c r="AH475" s="56"/>
      <c r="AI475" s="56"/>
      <c r="AJ475" s="56"/>
      <c r="AK475" s="56"/>
      <c r="AL475" s="56"/>
      <c r="AS475" s="56"/>
      <c r="AT475" s="56"/>
      <c r="AU475" s="56"/>
    </row>
    <row r="476" spans="1:47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AF476" s="56"/>
      <c r="AG476" s="56"/>
      <c r="AH476" s="56"/>
      <c r="AI476" s="56"/>
      <c r="AJ476" s="56"/>
      <c r="AK476" s="56"/>
      <c r="AL476" s="56"/>
      <c r="AS476" s="56"/>
      <c r="AT476" s="56"/>
      <c r="AU476" s="56"/>
    </row>
    <row r="477" spans="1:47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AF477" s="56"/>
      <c r="AG477" s="56"/>
      <c r="AH477" s="56"/>
      <c r="AI477" s="56"/>
      <c r="AJ477" s="56"/>
      <c r="AK477" s="56"/>
      <c r="AL477" s="56"/>
      <c r="AS477" s="56"/>
      <c r="AT477" s="56"/>
      <c r="AU477" s="56"/>
    </row>
    <row r="478" spans="1:47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AF478" s="56"/>
      <c r="AG478" s="56"/>
      <c r="AH478" s="56"/>
      <c r="AI478" s="56"/>
      <c r="AJ478" s="56"/>
      <c r="AK478" s="56"/>
      <c r="AL478" s="56"/>
      <c r="AS478" s="56"/>
      <c r="AT478" s="56"/>
      <c r="AU478" s="56"/>
    </row>
    <row r="479" spans="1:47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AF479" s="56"/>
      <c r="AG479" s="56"/>
      <c r="AH479" s="56"/>
      <c r="AI479" s="56"/>
      <c r="AJ479" s="56"/>
      <c r="AK479" s="56"/>
      <c r="AL479" s="56"/>
      <c r="AS479" s="56"/>
      <c r="AT479" s="56"/>
      <c r="AU479" s="56"/>
    </row>
    <row r="480" spans="1:47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AF480" s="56"/>
      <c r="AG480" s="56"/>
      <c r="AH480" s="56"/>
      <c r="AI480" s="56"/>
      <c r="AJ480" s="56"/>
      <c r="AK480" s="56"/>
      <c r="AL480" s="56"/>
      <c r="AS480" s="56"/>
      <c r="AT480" s="56"/>
      <c r="AU480" s="56"/>
    </row>
    <row r="481" spans="1:47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AF481" s="56"/>
      <c r="AG481" s="56"/>
      <c r="AH481" s="56"/>
      <c r="AI481" s="56"/>
      <c r="AJ481" s="56"/>
      <c r="AK481" s="56"/>
      <c r="AL481" s="56"/>
      <c r="AS481" s="56"/>
      <c r="AT481" s="56"/>
      <c r="AU481" s="56"/>
    </row>
    <row r="482" spans="1:47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AF482" s="56"/>
      <c r="AG482" s="56"/>
      <c r="AH482" s="56"/>
      <c r="AI482" s="56"/>
      <c r="AJ482" s="56"/>
      <c r="AK482" s="56"/>
      <c r="AL482" s="56"/>
      <c r="AS482" s="56"/>
      <c r="AT482" s="56"/>
      <c r="AU482" s="56"/>
    </row>
    <row r="483" spans="1:47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AF483" s="56"/>
      <c r="AG483" s="56"/>
      <c r="AH483" s="56"/>
      <c r="AI483" s="56"/>
      <c r="AJ483" s="56"/>
      <c r="AK483" s="56"/>
      <c r="AL483" s="56"/>
      <c r="AS483" s="56"/>
      <c r="AT483" s="56"/>
      <c r="AU483" s="56"/>
    </row>
    <row r="484" spans="1:47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AF484" s="56"/>
      <c r="AG484" s="56"/>
      <c r="AH484" s="56"/>
      <c r="AI484" s="56"/>
      <c r="AJ484" s="56"/>
      <c r="AK484" s="56"/>
      <c r="AL484" s="56"/>
      <c r="AS484" s="56"/>
      <c r="AT484" s="56"/>
      <c r="AU484" s="56"/>
    </row>
    <row r="485" spans="1:47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AF485" s="56"/>
      <c r="AG485" s="56"/>
      <c r="AH485" s="56"/>
      <c r="AI485" s="56"/>
      <c r="AJ485" s="56"/>
      <c r="AK485" s="56"/>
      <c r="AL485" s="56"/>
      <c r="AS485" s="56"/>
      <c r="AT485" s="56"/>
      <c r="AU485" s="56"/>
    </row>
    <row r="486" spans="1:47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AF486" s="56"/>
      <c r="AG486" s="56"/>
      <c r="AH486" s="56"/>
      <c r="AI486" s="56"/>
      <c r="AJ486" s="56"/>
      <c r="AK486" s="56"/>
      <c r="AL486" s="56"/>
      <c r="AS486" s="56"/>
      <c r="AT486" s="56"/>
      <c r="AU486" s="56"/>
    </row>
    <row r="487" spans="1:47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AF487" s="56"/>
      <c r="AG487" s="56"/>
      <c r="AH487" s="56"/>
      <c r="AI487" s="56"/>
      <c r="AJ487" s="56"/>
      <c r="AK487" s="56"/>
      <c r="AL487" s="56"/>
      <c r="AS487" s="56"/>
      <c r="AT487" s="56"/>
      <c r="AU487" s="56"/>
    </row>
    <row r="488" spans="1:47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AF488" s="56"/>
      <c r="AG488" s="56"/>
      <c r="AH488" s="56"/>
      <c r="AI488" s="56"/>
      <c r="AJ488" s="56"/>
      <c r="AK488" s="56"/>
      <c r="AL488" s="56"/>
      <c r="AS488" s="56"/>
      <c r="AT488" s="56"/>
      <c r="AU488" s="56"/>
    </row>
    <row r="489" spans="1:47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AF489" s="56"/>
      <c r="AG489" s="56"/>
      <c r="AH489" s="56"/>
      <c r="AI489" s="56"/>
      <c r="AJ489" s="56"/>
      <c r="AK489" s="56"/>
      <c r="AL489" s="56"/>
      <c r="AS489" s="56"/>
      <c r="AT489" s="56"/>
      <c r="AU489" s="56"/>
    </row>
    <row r="490" spans="1:47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AF490" s="56"/>
      <c r="AG490" s="56"/>
      <c r="AH490" s="56"/>
      <c r="AI490" s="56"/>
      <c r="AJ490" s="56"/>
      <c r="AK490" s="56"/>
      <c r="AL490" s="56"/>
      <c r="AS490" s="56"/>
      <c r="AT490" s="56"/>
      <c r="AU490" s="56"/>
    </row>
    <row r="491" spans="1:47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AF491" s="56"/>
      <c r="AG491" s="56"/>
      <c r="AH491" s="56"/>
      <c r="AI491" s="56"/>
      <c r="AJ491" s="56"/>
      <c r="AK491" s="56"/>
      <c r="AL491" s="56"/>
      <c r="AS491" s="56"/>
      <c r="AT491" s="56"/>
      <c r="AU491" s="56"/>
    </row>
    <row r="492" spans="1:47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AF492" s="56"/>
      <c r="AG492" s="56"/>
      <c r="AH492" s="56"/>
      <c r="AI492" s="56"/>
      <c r="AJ492" s="56"/>
      <c r="AK492" s="56"/>
      <c r="AL492" s="56"/>
      <c r="AS492" s="56"/>
      <c r="AT492" s="56"/>
      <c r="AU492" s="56"/>
    </row>
    <row r="493" spans="1:47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AF493" s="56"/>
      <c r="AG493" s="56"/>
      <c r="AH493" s="56"/>
      <c r="AI493" s="56"/>
      <c r="AJ493" s="56"/>
      <c r="AK493" s="56"/>
      <c r="AL493" s="56"/>
      <c r="AS493" s="56"/>
      <c r="AT493" s="56"/>
      <c r="AU493" s="56"/>
    </row>
    <row r="494" spans="1:47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AF494" s="56"/>
      <c r="AG494" s="56"/>
      <c r="AH494" s="56"/>
      <c r="AI494" s="56"/>
      <c r="AJ494" s="56"/>
      <c r="AK494" s="56"/>
      <c r="AL494" s="56"/>
      <c r="AS494" s="56"/>
      <c r="AT494" s="56"/>
      <c r="AU494" s="56"/>
    </row>
    <row r="495" spans="1:47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AF495" s="56"/>
      <c r="AG495" s="56"/>
      <c r="AH495" s="56"/>
      <c r="AI495" s="56"/>
      <c r="AJ495" s="56"/>
      <c r="AK495" s="56"/>
      <c r="AL495" s="56"/>
      <c r="AS495" s="56"/>
      <c r="AT495" s="56"/>
      <c r="AU495" s="56"/>
    </row>
    <row r="496" spans="1:47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AF496" s="56"/>
      <c r="AG496" s="56"/>
      <c r="AH496" s="56"/>
      <c r="AI496" s="56"/>
      <c r="AJ496" s="56"/>
      <c r="AK496" s="56"/>
      <c r="AL496" s="56"/>
      <c r="AS496" s="56"/>
      <c r="AT496" s="56"/>
      <c r="AU496" s="56"/>
    </row>
    <row r="497" spans="1:47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AF497" s="56"/>
      <c r="AG497" s="56"/>
      <c r="AH497" s="56"/>
      <c r="AI497" s="56"/>
      <c r="AJ497" s="56"/>
      <c r="AK497" s="56"/>
      <c r="AL497" s="56"/>
      <c r="AS497" s="56"/>
      <c r="AT497" s="56"/>
      <c r="AU497" s="56"/>
    </row>
    <row r="498" spans="1:47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AF498" s="56"/>
      <c r="AG498" s="56"/>
      <c r="AH498" s="56"/>
      <c r="AI498" s="56"/>
      <c r="AJ498" s="56"/>
      <c r="AK498" s="56"/>
      <c r="AL498" s="56"/>
      <c r="AS498" s="56"/>
      <c r="AT498" s="56"/>
      <c r="AU498" s="56"/>
    </row>
    <row r="499" spans="1:47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AF499" s="56"/>
      <c r="AG499" s="56"/>
      <c r="AH499" s="56"/>
      <c r="AI499" s="56"/>
      <c r="AJ499" s="56"/>
      <c r="AK499" s="56"/>
      <c r="AL499" s="56"/>
      <c r="AS499" s="56"/>
      <c r="AT499" s="56"/>
      <c r="AU499" s="56"/>
    </row>
    <row r="500" spans="1:47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AF500" s="56"/>
      <c r="AG500" s="56"/>
      <c r="AH500" s="56"/>
      <c r="AI500" s="56"/>
      <c r="AJ500" s="56"/>
      <c r="AK500" s="56"/>
      <c r="AL500" s="56"/>
      <c r="AS500" s="56"/>
      <c r="AT500" s="56"/>
      <c r="AU500" s="56"/>
    </row>
    <row r="501" spans="1:47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AF501" s="56"/>
      <c r="AG501" s="56"/>
      <c r="AH501" s="56"/>
      <c r="AI501" s="56"/>
      <c r="AJ501" s="56"/>
      <c r="AK501" s="56"/>
      <c r="AL501" s="56"/>
      <c r="AS501" s="56"/>
      <c r="AT501" s="56"/>
      <c r="AU501" s="56"/>
    </row>
    <row r="502" spans="1:47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AF502" s="56"/>
      <c r="AG502" s="56"/>
      <c r="AH502" s="56"/>
      <c r="AI502" s="56"/>
      <c r="AJ502" s="56"/>
      <c r="AK502" s="56"/>
      <c r="AL502" s="56"/>
      <c r="AS502" s="56"/>
      <c r="AT502" s="56"/>
      <c r="AU502" s="56"/>
    </row>
    <row r="503" spans="1:47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AF503" s="56"/>
      <c r="AG503" s="56"/>
      <c r="AH503" s="56"/>
      <c r="AI503" s="56"/>
      <c r="AJ503" s="56"/>
      <c r="AK503" s="56"/>
      <c r="AL503" s="56"/>
      <c r="AS503" s="56"/>
      <c r="AT503" s="56"/>
      <c r="AU503" s="56"/>
    </row>
    <row r="504" spans="1:47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AF504" s="56"/>
      <c r="AG504" s="56"/>
      <c r="AH504" s="56"/>
      <c r="AI504" s="56"/>
      <c r="AJ504" s="56"/>
      <c r="AK504" s="56"/>
      <c r="AL504" s="56"/>
      <c r="AS504" s="56"/>
      <c r="AT504" s="56"/>
      <c r="AU504" s="56"/>
    </row>
    <row r="505" spans="1:47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AF505" s="56"/>
      <c r="AG505" s="56"/>
      <c r="AH505" s="56"/>
      <c r="AI505" s="56"/>
      <c r="AJ505" s="56"/>
      <c r="AK505" s="56"/>
      <c r="AL505" s="56"/>
      <c r="AS505" s="56"/>
      <c r="AT505" s="56"/>
      <c r="AU505" s="56"/>
    </row>
    <row r="506" spans="1:47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AF506" s="56"/>
      <c r="AG506" s="56"/>
      <c r="AH506" s="56"/>
      <c r="AI506" s="56"/>
      <c r="AJ506" s="56"/>
      <c r="AK506" s="56"/>
      <c r="AL506" s="56"/>
      <c r="AS506" s="56"/>
      <c r="AT506" s="56"/>
      <c r="AU506" s="56"/>
    </row>
    <row r="507" spans="1:47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AF507" s="56"/>
      <c r="AG507" s="56"/>
      <c r="AH507" s="56"/>
      <c r="AI507" s="56"/>
      <c r="AJ507" s="56"/>
      <c r="AK507" s="56"/>
      <c r="AL507" s="56"/>
      <c r="AS507" s="56"/>
      <c r="AT507" s="56"/>
      <c r="AU507" s="56"/>
    </row>
    <row r="508" spans="1:47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AF508" s="56"/>
      <c r="AG508" s="56"/>
      <c r="AH508" s="56"/>
      <c r="AI508" s="56"/>
      <c r="AJ508" s="56"/>
      <c r="AK508" s="56"/>
      <c r="AL508" s="56"/>
      <c r="AS508" s="56"/>
      <c r="AT508" s="56"/>
      <c r="AU508" s="56"/>
    </row>
    <row r="509" spans="1:47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AF509" s="56"/>
      <c r="AG509" s="56"/>
      <c r="AH509" s="56"/>
      <c r="AI509" s="56"/>
      <c r="AJ509" s="56"/>
      <c r="AK509" s="56"/>
      <c r="AL509" s="56"/>
      <c r="AS509" s="56"/>
      <c r="AT509" s="56"/>
      <c r="AU509" s="56"/>
    </row>
    <row r="510" spans="1:47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AF510" s="56"/>
      <c r="AG510" s="56"/>
      <c r="AH510" s="56"/>
      <c r="AI510" s="56"/>
      <c r="AJ510" s="56"/>
      <c r="AK510" s="56"/>
      <c r="AL510" s="56"/>
      <c r="AS510" s="56"/>
      <c r="AT510" s="56"/>
      <c r="AU510" s="56"/>
    </row>
    <row r="511" spans="1:47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AF511" s="56"/>
      <c r="AG511" s="56"/>
      <c r="AH511" s="56"/>
      <c r="AI511" s="56"/>
      <c r="AJ511" s="56"/>
      <c r="AK511" s="56"/>
      <c r="AL511" s="56"/>
      <c r="AS511" s="56"/>
      <c r="AT511" s="56"/>
      <c r="AU511" s="56"/>
    </row>
    <row r="512" spans="1:47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AF512" s="56"/>
      <c r="AG512" s="56"/>
      <c r="AH512" s="56"/>
      <c r="AI512" s="56"/>
      <c r="AJ512" s="56"/>
      <c r="AK512" s="56"/>
      <c r="AL512" s="56"/>
      <c r="AS512" s="56"/>
      <c r="AT512" s="56"/>
      <c r="AU512" s="56"/>
    </row>
    <row r="513" spans="1:47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AF513" s="56"/>
      <c r="AG513" s="56"/>
      <c r="AH513" s="56"/>
      <c r="AI513" s="56"/>
      <c r="AJ513" s="56"/>
      <c r="AK513" s="56"/>
      <c r="AL513" s="56"/>
      <c r="AS513" s="56"/>
      <c r="AT513" s="56"/>
      <c r="AU513" s="56"/>
    </row>
    <row r="514" spans="1:47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AF514" s="56"/>
      <c r="AG514" s="56"/>
      <c r="AH514" s="56"/>
      <c r="AI514" s="56"/>
      <c r="AJ514" s="56"/>
      <c r="AK514" s="56"/>
      <c r="AL514" s="56"/>
      <c r="AS514" s="56"/>
      <c r="AT514" s="56"/>
      <c r="AU514" s="56"/>
    </row>
    <row r="515" spans="1:47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AF515" s="56"/>
      <c r="AG515" s="56"/>
      <c r="AH515" s="56"/>
      <c r="AI515" s="56"/>
      <c r="AJ515" s="56"/>
      <c r="AK515" s="56"/>
      <c r="AL515" s="56"/>
      <c r="AS515" s="56"/>
      <c r="AT515" s="56"/>
      <c r="AU515" s="56"/>
    </row>
    <row r="516" spans="1:47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AF516" s="56"/>
      <c r="AG516" s="56"/>
      <c r="AH516" s="56"/>
      <c r="AI516" s="56"/>
      <c r="AJ516" s="56"/>
      <c r="AK516" s="56"/>
      <c r="AL516" s="56"/>
      <c r="AS516" s="56"/>
      <c r="AT516" s="56"/>
      <c r="AU516" s="56"/>
    </row>
    <row r="517" spans="1:47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AF517" s="56"/>
      <c r="AG517" s="56"/>
      <c r="AH517" s="56"/>
      <c r="AI517" s="56"/>
      <c r="AJ517" s="56"/>
      <c r="AK517" s="56"/>
      <c r="AL517" s="56"/>
      <c r="AS517" s="56"/>
      <c r="AT517" s="56"/>
      <c r="AU517" s="56"/>
    </row>
    <row r="518" spans="1:47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AF518" s="56"/>
      <c r="AG518" s="56"/>
      <c r="AH518" s="56"/>
      <c r="AI518" s="56"/>
      <c r="AJ518" s="56"/>
      <c r="AK518" s="56"/>
      <c r="AL518" s="56"/>
      <c r="AS518" s="56"/>
      <c r="AT518" s="56"/>
      <c r="AU518" s="56"/>
    </row>
    <row r="519" spans="1:47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AF519" s="56"/>
      <c r="AG519" s="56"/>
      <c r="AH519" s="56"/>
      <c r="AI519" s="56"/>
      <c r="AJ519" s="56"/>
      <c r="AK519" s="56"/>
      <c r="AL519" s="56"/>
      <c r="AS519" s="56"/>
      <c r="AT519" s="56"/>
      <c r="AU519" s="56"/>
    </row>
    <row r="520" spans="1:47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AF520" s="56"/>
      <c r="AG520" s="56"/>
      <c r="AH520" s="56"/>
      <c r="AI520" s="56"/>
      <c r="AJ520" s="56"/>
      <c r="AK520" s="56"/>
      <c r="AL520" s="56"/>
      <c r="AS520" s="56"/>
      <c r="AT520" s="56"/>
      <c r="AU520" s="56"/>
    </row>
    <row r="521" spans="1:47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AF521" s="56"/>
      <c r="AG521" s="56"/>
      <c r="AH521" s="56"/>
      <c r="AI521" s="56"/>
      <c r="AJ521" s="56"/>
      <c r="AK521" s="56"/>
      <c r="AL521" s="56"/>
      <c r="AS521" s="56"/>
      <c r="AT521" s="56"/>
      <c r="AU521" s="56"/>
    </row>
    <row r="522" spans="1:47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AF522" s="56"/>
      <c r="AG522" s="56"/>
      <c r="AH522" s="56"/>
      <c r="AI522" s="56"/>
      <c r="AJ522" s="56"/>
      <c r="AK522" s="56"/>
      <c r="AL522" s="56"/>
      <c r="AS522" s="56"/>
      <c r="AT522" s="56"/>
      <c r="AU522" s="56"/>
    </row>
    <row r="523" spans="1:47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AF523" s="56"/>
      <c r="AG523" s="56"/>
      <c r="AH523" s="56"/>
      <c r="AI523" s="56"/>
      <c r="AJ523" s="56"/>
      <c r="AK523" s="56"/>
      <c r="AL523" s="56"/>
      <c r="AS523" s="56"/>
      <c r="AT523" s="56"/>
      <c r="AU523" s="56"/>
    </row>
    <row r="524" spans="1:47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AF524" s="56"/>
      <c r="AG524" s="56"/>
      <c r="AH524" s="56"/>
      <c r="AI524" s="56"/>
      <c r="AJ524" s="56"/>
      <c r="AK524" s="56"/>
      <c r="AL524" s="56"/>
      <c r="AS524" s="56"/>
      <c r="AT524" s="56"/>
      <c r="AU524" s="56"/>
    </row>
    <row r="525" spans="1:47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AF525" s="56"/>
      <c r="AG525" s="56"/>
      <c r="AH525" s="56"/>
      <c r="AI525" s="56"/>
      <c r="AJ525" s="56"/>
      <c r="AK525" s="56"/>
      <c r="AL525" s="56"/>
      <c r="AS525" s="56"/>
      <c r="AT525" s="56"/>
      <c r="AU525" s="56"/>
    </row>
    <row r="526" spans="1:47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AF526" s="56"/>
      <c r="AG526" s="56"/>
      <c r="AH526" s="56"/>
      <c r="AI526" s="56"/>
      <c r="AJ526" s="56"/>
      <c r="AK526" s="56"/>
      <c r="AL526" s="56"/>
      <c r="AS526" s="56"/>
      <c r="AT526" s="56"/>
      <c r="AU526" s="56"/>
    </row>
    <row r="527" spans="1:47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AF527" s="56"/>
      <c r="AG527" s="56"/>
      <c r="AH527" s="56"/>
      <c r="AI527" s="56"/>
      <c r="AJ527" s="56"/>
      <c r="AK527" s="56"/>
      <c r="AL527" s="56"/>
      <c r="AS527" s="56"/>
      <c r="AT527" s="56"/>
      <c r="AU527" s="56"/>
    </row>
    <row r="528" spans="1:47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AF528" s="56"/>
      <c r="AG528" s="56"/>
      <c r="AH528" s="56"/>
      <c r="AI528" s="56"/>
      <c r="AJ528" s="56"/>
      <c r="AK528" s="56"/>
      <c r="AL528" s="56"/>
      <c r="AS528" s="56"/>
      <c r="AT528" s="56"/>
      <c r="AU528" s="56"/>
    </row>
    <row r="529" spans="1:47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AF529" s="56"/>
      <c r="AG529" s="56"/>
      <c r="AH529" s="56"/>
      <c r="AI529" s="56"/>
      <c r="AJ529" s="56"/>
      <c r="AK529" s="56"/>
      <c r="AL529" s="56"/>
      <c r="AS529" s="56"/>
      <c r="AT529" s="56"/>
      <c r="AU529" s="56"/>
    </row>
    <row r="530" spans="1:47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AF530" s="56"/>
      <c r="AG530" s="56"/>
      <c r="AH530" s="56"/>
      <c r="AI530" s="56"/>
      <c r="AJ530" s="56"/>
      <c r="AK530" s="56"/>
      <c r="AL530" s="56"/>
      <c r="AS530" s="56"/>
      <c r="AT530" s="56"/>
      <c r="AU530" s="56"/>
    </row>
    <row r="531" spans="1:47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AF531" s="56"/>
      <c r="AG531" s="56"/>
      <c r="AH531" s="56"/>
      <c r="AI531" s="56"/>
      <c r="AJ531" s="56"/>
      <c r="AK531" s="56"/>
      <c r="AL531" s="56"/>
      <c r="AS531" s="56"/>
      <c r="AT531" s="56"/>
      <c r="AU531" s="56"/>
    </row>
    <row r="532" spans="1:47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AF532" s="56"/>
      <c r="AG532" s="56"/>
      <c r="AH532" s="56"/>
      <c r="AI532" s="56"/>
      <c r="AJ532" s="56"/>
      <c r="AK532" s="56"/>
      <c r="AL532" s="56"/>
      <c r="AS532" s="56"/>
      <c r="AT532" s="56"/>
      <c r="AU532" s="56"/>
    </row>
    <row r="533" spans="1:47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AF533" s="56"/>
      <c r="AG533" s="56"/>
      <c r="AH533" s="56"/>
      <c r="AI533" s="56"/>
      <c r="AJ533" s="56"/>
      <c r="AK533" s="56"/>
      <c r="AL533" s="56"/>
      <c r="AS533" s="56"/>
      <c r="AT533" s="56"/>
      <c r="AU533" s="56"/>
    </row>
    <row r="534" spans="1:47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AF534" s="56"/>
      <c r="AG534" s="56"/>
      <c r="AH534" s="56"/>
      <c r="AI534" s="56"/>
      <c r="AJ534" s="56"/>
      <c r="AK534" s="56"/>
      <c r="AL534" s="56"/>
      <c r="AS534" s="56"/>
      <c r="AT534" s="56"/>
      <c r="AU534" s="56"/>
    </row>
    <row r="535" spans="1:47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AF535" s="56"/>
      <c r="AG535" s="56"/>
      <c r="AH535" s="56"/>
      <c r="AI535" s="56"/>
      <c r="AJ535" s="56"/>
      <c r="AK535" s="56"/>
      <c r="AL535" s="56"/>
      <c r="AS535" s="56"/>
      <c r="AT535" s="56"/>
      <c r="AU535" s="56"/>
    </row>
    <row r="536" spans="1:47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AF536" s="56"/>
      <c r="AG536" s="56"/>
      <c r="AH536" s="56"/>
      <c r="AI536" s="56"/>
      <c r="AJ536" s="56"/>
      <c r="AK536" s="56"/>
      <c r="AL536" s="56"/>
      <c r="AS536" s="56"/>
      <c r="AT536" s="56"/>
      <c r="AU536" s="56"/>
    </row>
    <row r="537" spans="1:47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AF537" s="56"/>
      <c r="AG537" s="56"/>
      <c r="AH537" s="56"/>
      <c r="AI537" s="56"/>
      <c r="AJ537" s="56"/>
      <c r="AK537" s="56"/>
      <c r="AL537" s="56"/>
      <c r="AS537" s="56"/>
      <c r="AT537" s="56"/>
      <c r="AU537" s="56"/>
    </row>
    <row r="538" spans="1:47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AF538" s="56"/>
      <c r="AG538" s="56"/>
      <c r="AH538" s="56"/>
      <c r="AI538" s="56"/>
      <c r="AJ538" s="56"/>
      <c r="AK538" s="56"/>
      <c r="AL538" s="56"/>
      <c r="AS538" s="56"/>
      <c r="AT538" s="56"/>
      <c r="AU538" s="56"/>
    </row>
    <row r="539" spans="1:47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AF539" s="56"/>
      <c r="AG539" s="56"/>
      <c r="AH539" s="56"/>
      <c r="AI539" s="56"/>
      <c r="AJ539" s="56"/>
      <c r="AK539" s="56"/>
      <c r="AL539" s="56"/>
      <c r="AS539" s="56"/>
      <c r="AT539" s="56"/>
      <c r="AU539" s="56"/>
    </row>
    <row r="540" spans="1:47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AF540" s="56"/>
      <c r="AG540" s="56"/>
      <c r="AH540" s="56"/>
      <c r="AI540" s="56"/>
      <c r="AJ540" s="56"/>
      <c r="AK540" s="56"/>
      <c r="AL540" s="56"/>
      <c r="AS540" s="56"/>
      <c r="AT540" s="56"/>
      <c r="AU540" s="56"/>
    </row>
    <row r="541" spans="1:47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AF541" s="56"/>
      <c r="AG541" s="56"/>
      <c r="AH541" s="56"/>
      <c r="AI541" s="56"/>
      <c r="AJ541" s="56"/>
      <c r="AK541" s="56"/>
      <c r="AL541" s="56"/>
      <c r="AS541" s="56"/>
      <c r="AT541" s="56"/>
      <c r="AU541" s="56"/>
    </row>
    <row r="542" spans="1:47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AF542" s="56"/>
      <c r="AG542" s="56"/>
      <c r="AH542" s="56"/>
      <c r="AI542" s="56"/>
      <c r="AJ542" s="56"/>
      <c r="AK542" s="56"/>
      <c r="AL542" s="56"/>
      <c r="AS542" s="56"/>
      <c r="AT542" s="56"/>
      <c r="AU542" s="56"/>
    </row>
    <row r="543" spans="1:47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AF543" s="56"/>
      <c r="AG543" s="56"/>
      <c r="AH543" s="56"/>
      <c r="AI543" s="56"/>
      <c r="AJ543" s="56"/>
      <c r="AK543" s="56"/>
      <c r="AL543" s="56"/>
      <c r="AS543" s="56"/>
      <c r="AT543" s="56"/>
      <c r="AU543" s="56"/>
    </row>
    <row r="544" spans="1:47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AF544" s="56"/>
      <c r="AG544" s="56"/>
      <c r="AH544" s="56"/>
      <c r="AI544" s="56"/>
      <c r="AJ544" s="56"/>
      <c r="AK544" s="56"/>
      <c r="AL544" s="56"/>
      <c r="AS544" s="56"/>
      <c r="AT544" s="56"/>
      <c r="AU544" s="56"/>
    </row>
    <row r="545" spans="1:47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AF545" s="56"/>
      <c r="AG545" s="56"/>
      <c r="AH545" s="56"/>
      <c r="AI545" s="56"/>
      <c r="AJ545" s="56"/>
      <c r="AK545" s="56"/>
      <c r="AL545" s="56"/>
      <c r="AS545" s="56"/>
      <c r="AT545" s="56"/>
      <c r="AU545" s="56"/>
    </row>
    <row r="546" spans="1:47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AF546" s="56"/>
      <c r="AG546" s="56"/>
      <c r="AH546" s="56"/>
      <c r="AI546" s="56"/>
      <c r="AJ546" s="56"/>
      <c r="AK546" s="56"/>
      <c r="AL546" s="56"/>
      <c r="AS546" s="56"/>
      <c r="AT546" s="56"/>
      <c r="AU546" s="56"/>
    </row>
    <row r="547" spans="1:47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AF547" s="56"/>
      <c r="AG547" s="56"/>
      <c r="AH547" s="56"/>
      <c r="AI547" s="56"/>
      <c r="AJ547" s="56"/>
      <c r="AK547" s="56"/>
      <c r="AL547" s="56"/>
      <c r="AS547" s="56"/>
      <c r="AT547" s="56"/>
      <c r="AU547" s="56"/>
    </row>
    <row r="548" spans="1:47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AF548" s="56"/>
      <c r="AG548" s="56"/>
      <c r="AH548" s="56"/>
      <c r="AI548" s="56"/>
      <c r="AJ548" s="56"/>
      <c r="AK548" s="56"/>
      <c r="AL548" s="56"/>
      <c r="AS548" s="56"/>
      <c r="AT548" s="56"/>
      <c r="AU548" s="56"/>
    </row>
    <row r="549" spans="1:47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AF549" s="56"/>
      <c r="AG549" s="56"/>
      <c r="AH549" s="56"/>
      <c r="AI549" s="56"/>
      <c r="AJ549" s="56"/>
      <c r="AK549" s="56"/>
      <c r="AL549" s="56"/>
      <c r="AS549" s="56"/>
      <c r="AT549" s="56"/>
      <c r="AU549" s="56"/>
    </row>
    <row r="550" spans="1:47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AF550" s="56"/>
      <c r="AG550" s="56"/>
      <c r="AH550" s="56"/>
      <c r="AI550" s="56"/>
      <c r="AJ550" s="56"/>
      <c r="AK550" s="56"/>
      <c r="AL550" s="56"/>
      <c r="AS550" s="56"/>
      <c r="AT550" s="56"/>
      <c r="AU550" s="56"/>
    </row>
    <row r="551" spans="1:47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AF551" s="56"/>
      <c r="AG551" s="56"/>
      <c r="AH551" s="56"/>
      <c r="AI551" s="56"/>
      <c r="AJ551" s="56"/>
      <c r="AK551" s="56"/>
      <c r="AL551" s="56"/>
      <c r="AS551" s="56"/>
      <c r="AT551" s="56"/>
      <c r="AU551" s="56"/>
    </row>
    <row r="552" spans="1:47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AF552" s="56"/>
      <c r="AG552" s="56"/>
      <c r="AH552" s="56"/>
      <c r="AI552" s="56"/>
      <c r="AJ552" s="56"/>
      <c r="AK552" s="56"/>
      <c r="AL552" s="56"/>
      <c r="AS552" s="56"/>
      <c r="AT552" s="56"/>
      <c r="AU552" s="56"/>
    </row>
    <row r="553" spans="1:47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AF553" s="56"/>
      <c r="AG553" s="56"/>
      <c r="AH553" s="56"/>
      <c r="AI553" s="56"/>
      <c r="AJ553" s="56"/>
      <c r="AK553" s="56"/>
      <c r="AL553" s="56"/>
      <c r="AS553" s="56"/>
      <c r="AT553" s="56"/>
      <c r="AU553" s="56"/>
    </row>
    <row r="554" spans="1:47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AF554" s="56"/>
      <c r="AG554" s="56"/>
      <c r="AH554" s="56"/>
      <c r="AI554" s="56"/>
      <c r="AJ554" s="56"/>
      <c r="AK554" s="56"/>
      <c r="AL554" s="56"/>
      <c r="AS554" s="56"/>
      <c r="AT554" s="56"/>
      <c r="AU554" s="56"/>
    </row>
    <row r="555" spans="1:47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AF555" s="56"/>
      <c r="AG555" s="56"/>
      <c r="AH555" s="56"/>
      <c r="AI555" s="56"/>
      <c r="AJ555" s="56"/>
      <c r="AK555" s="56"/>
      <c r="AL555" s="56"/>
      <c r="AS555" s="56"/>
      <c r="AT555" s="56"/>
      <c r="AU555" s="56"/>
    </row>
    <row r="556" spans="1:47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AF556" s="56"/>
      <c r="AG556" s="56"/>
      <c r="AH556" s="56"/>
      <c r="AI556" s="56"/>
      <c r="AJ556" s="56"/>
      <c r="AK556" s="56"/>
      <c r="AL556" s="56"/>
      <c r="AS556" s="56"/>
      <c r="AT556" s="56"/>
      <c r="AU556" s="56"/>
    </row>
    <row r="557" spans="1:47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AF557" s="56"/>
      <c r="AG557" s="56"/>
      <c r="AH557" s="56"/>
      <c r="AI557" s="56"/>
      <c r="AJ557" s="56"/>
      <c r="AK557" s="56"/>
      <c r="AL557" s="56"/>
      <c r="AS557" s="56"/>
      <c r="AT557" s="56"/>
      <c r="AU557" s="56"/>
    </row>
    <row r="558" spans="1:47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AF558" s="56"/>
      <c r="AG558" s="56"/>
      <c r="AH558" s="56"/>
      <c r="AI558" s="56"/>
      <c r="AJ558" s="56"/>
      <c r="AK558" s="56"/>
      <c r="AL558" s="56"/>
      <c r="AS558" s="56"/>
      <c r="AT558" s="56"/>
      <c r="AU558" s="56"/>
    </row>
    <row r="559" spans="1:47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AF559" s="56"/>
      <c r="AG559" s="56"/>
      <c r="AH559" s="56"/>
      <c r="AI559" s="56"/>
      <c r="AJ559" s="56"/>
      <c r="AK559" s="56"/>
      <c r="AL559" s="56"/>
      <c r="AS559" s="56"/>
      <c r="AT559" s="56"/>
      <c r="AU559" s="56"/>
    </row>
    <row r="560" spans="1:47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AF560" s="56"/>
      <c r="AG560" s="56"/>
      <c r="AH560" s="56"/>
      <c r="AI560" s="56"/>
      <c r="AJ560" s="56"/>
      <c r="AK560" s="56"/>
      <c r="AL560" s="56"/>
      <c r="AS560" s="56"/>
      <c r="AT560" s="56"/>
      <c r="AU560" s="56"/>
    </row>
    <row r="561" spans="1:47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AF561" s="56"/>
      <c r="AG561" s="56"/>
      <c r="AH561" s="56"/>
      <c r="AI561" s="56"/>
      <c r="AJ561" s="56"/>
      <c r="AK561" s="56"/>
      <c r="AL561" s="56"/>
      <c r="AS561" s="56"/>
      <c r="AT561" s="56"/>
      <c r="AU561" s="56"/>
    </row>
    <row r="562" spans="1:47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AF562" s="56"/>
      <c r="AG562" s="56"/>
      <c r="AH562" s="56"/>
      <c r="AI562" s="56"/>
      <c r="AJ562" s="56"/>
      <c r="AK562" s="56"/>
      <c r="AL562" s="56"/>
      <c r="AS562" s="56"/>
      <c r="AT562" s="56"/>
      <c r="AU562" s="56"/>
    </row>
    <row r="563" spans="1:47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AF563" s="56"/>
      <c r="AG563" s="56"/>
      <c r="AH563" s="56"/>
      <c r="AI563" s="56"/>
      <c r="AJ563" s="56"/>
      <c r="AK563" s="56"/>
      <c r="AL563" s="56"/>
      <c r="AS563" s="56"/>
      <c r="AT563" s="56"/>
      <c r="AU563" s="56"/>
    </row>
    <row r="564" spans="1:47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AF564" s="56"/>
      <c r="AG564" s="56"/>
      <c r="AH564" s="56"/>
      <c r="AI564" s="56"/>
      <c r="AJ564" s="56"/>
      <c r="AK564" s="56"/>
      <c r="AL564" s="56"/>
      <c r="AS564" s="56"/>
      <c r="AT564" s="56"/>
      <c r="AU564" s="56"/>
    </row>
    <row r="565" spans="1:47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AF565" s="56"/>
      <c r="AG565" s="56"/>
      <c r="AH565" s="56"/>
      <c r="AI565" s="56"/>
      <c r="AJ565" s="56"/>
      <c r="AK565" s="56"/>
      <c r="AL565" s="56"/>
      <c r="AS565" s="56"/>
      <c r="AT565" s="56"/>
      <c r="AU565" s="56"/>
    </row>
    <row r="566" spans="1:47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AF566" s="56"/>
      <c r="AG566" s="56"/>
      <c r="AH566" s="56"/>
      <c r="AI566" s="56"/>
      <c r="AJ566" s="56"/>
      <c r="AK566" s="56"/>
      <c r="AL566" s="56"/>
      <c r="AS566" s="56"/>
      <c r="AT566" s="56"/>
      <c r="AU566" s="56"/>
    </row>
    <row r="567" spans="1:47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AF567" s="56"/>
      <c r="AG567" s="56"/>
      <c r="AH567" s="56"/>
      <c r="AI567" s="56"/>
      <c r="AJ567" s="56"/>
      <c r="AK567" s="56"/>
      <c r="AL567" s="56"/>
      <c r="AS567" s="56"/>
      <c r="AT567" s="56"/>
      <c r="AU567" s="56"/>
    </row>
    <row r="568" spans="1:47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AF568" s="56"/>
      <c r="AG568" s="56"/>
      <c r="AH568" s="56"/>
      <c r="AI568" s="56"/>
      <c r="AJ568" s="56"/>
      <c r="AK568" s="56"/>
      <c r="AL568" s="56"/>
      <c r="AS568" s="56"/>
      <c r="AT568" s="56"/>
      <c r="AU568" s="56"/>
    </row>
    <row r="569" spans="1:47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AF569" s="56"/>
      <c r="AG569" s="56"/>
      <c r="AH569" s="56"/>
      <c r="AI569" s="56"/>
      <c r="AJ569" s="56"/>
      <c r="AK569" s="56"/>
      <c r="AL569" s="56"/>
      <c r="AS569" s="56"/>
      <c r="AT569" s="56"/>
      <c r="AU569" s="56"/>
    </row>
    <row r="570" spans="1:47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AF570" s="56"/>
      <c r="AG570" s="56"/>
      <c r="AH570" s="56"/>
      <c r="AI570" s="56"/>
      <c r="AJ570" s="56"/>
      <c r="AK570" s="56"/>
      <c r="AL570" s="56"/>
      <c r="AS570" s="56"/>
      <c r="AT570" s="56"/>
      <c r="AU570" s="56"/>
    </row>
    <row r="571" spans="1:47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AF571" s="56"/>
      <c r="AG571" s="56"/>
      <c r="AH571" s="56"/>
      <c r="AI571" s="56"/>
      <c r="AJ571" s="56"/>
      <c r="AK571" s="56"/>
      <c r="AL571" s="56"/>
      <c r="AS571" s="56"/>
      <c r="AT571" s="56"/>
      <c r="AU571" s="56"/>
    </row>
    <row r="572" spans="1:47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AF572" s="56"/>
      <c r="AG572" s="56"/>
      <c r="AH572" s="56"/>
      <c r="AI572" s="56"/>
      <c r="AJ572" s="56"/>
      <c r="AK572" s="56"/>
      <c r="AL572" s="56"/>
      <c r="AS572" s="56"/>
      <c r="AT572" s="56"/>
      <c r="AU572" s="56"/>
    </row>
    <row r="573" spans="1:47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AF573" s="56"/>
      <c r="AG573" s="56"/>
      <c r="AH573" s="56"/>
      <c r="AI573" s="56"/>
      <c r="AJ573" s="56"/>
      <c r="AK573" s="56"/>
      <c r="AL573" s="56"/>
      <c r="AS573" s="56"/>
      <c r="AT573" s="56"/>
      <c r="AU573" s="56"/>
    </row>
    <row r="574" spans="1:47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AF574" s="56"/>
      <c r="AG574" s="56"/>
      <c r="AH574" s="56"/>
      <c r="AI574" s="56"/>
      <c r="AJ574" s="56"/>
      <c r="AK574" s="56"/>
      <c r="AL574" s="56"/>
      <c r="AS574" s="56"/>
      <c r="AT574" s="56"/>
      <c r="AU574" s="56"/>
    </row>
    <row r="575" spans="1:47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AF575" s="56"/>
      <c r="AG575" s="56"/>
      <c r="AH575" s="56"/>
      <c r="AI575" s="56"/>
      <c r="AJ575" s="56"/>
      <c r="AK575" s="56"/>
      <c r="AL575" s="56"/>
      <c r="AS575" s="56"/>
      <c r="AT575" s="56"/>
      <c r="AU575" s="56"/>
    </row>
    <row r="576" spans="1:47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AF576" s="56"/>
      <c r="AG576" s="56"/>
      <c r="AH576" s="56"/>
      <c r="AI576" s="56"/>
      <c r="AJ576" s="56"/>
      <c r="AK576" s="56"/>
      <c r="AL576" s="56"/>
      <c r="AS576" s="56"/>
      <c r="AT576" s="56"/>
      <c r="AU576" s="56"/>
    </row>
    <row r="577" spans="1:47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AF577" s="56"/>
      <c r="AG577" s="56"/>
      <c r="AH577" s="56"/>
      <c r="AI577" s="56"/>
      <c r="AJ577" s="56"/>
      <c r="AK577" s="56"/>
      <c r="AL577" s="56"/>
      <c r="AS577" s="56"/>
      <c r="AT577" s="56"/>
      <c r="AU577" s="56"/>
    </row>
    <row r="578" spans="1:47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AF578" s="56"/>
      <c r="AG578" s="56"/>
      <c r="AH578" s="56"/>
      <c r="AI578" s="56"/>
      <c r="AJ578" s="56"/>
      <c r="AK578" s="56"/>
      <c r="AL578" s="56"/>
      <c r="AS578" s="56"/>
      <c r="AT578" s="56"/>
      <c r="AU578" s="56"/>
    </row>
    <row r="579" spans="1:47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AF579" s="56"/>
      <c r="AG579" s="56"/>
      <c r="AH579" s="56"/>
      <c r="AI579" s="56"/>
      <c r="AJ579" s="56"/>
      <c r="AK579" s="56"/>
      <c r="AL579" s="56"/>
      <c r="AS579" s="56"/>
      <c r="AT579" s="56"/>
      <c r="AU579" s="56"/>
    </row>
    <row r="580" spans="1:47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AF580" s="56"/>
      <c r="AG580" s="56"/>
      <c r="AH580" s="56"/>
      <c r="AI580" s="56"/>
      <c r="AJ580" s="56"/>
      <c r="AK580" s="56"/>
      <c r="AL580" s="56"/>
      <c r="AS580" s="56"/>
      <c r="AT580" s="56"/>
      <c r="AU580" s="56"/>
    </row>
    <row r="581" spans="1:47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AF581" s="56"/>
      <c r="AG581" s="56"/>
      <c r="AH581" s="56"/>
      <c r="AI581" s="56"/>
      <c r="AJ581" s="56"/>
      <c r="AK581" s="56"/>
      <c r="AL581" s="56"/>
      <c r="AS581" s="56"/>
      <c r="AT581" s="56"/>
      <c r="AU581" s="56"/>
    </row>
    <row r="582" spans="1:47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AF582" s="56"/>
      <c r="AG582" s="56"/>
      <c r="AH582" s="56"/>
      <c r="AI582" s="56"/>
      <c r="AJ582" s="56"/>
      <c r="AK582" s="56"/>
      <c r="AL582" s="56"/>
      <c r="AS582" s="56"/>
      <c r="AT582" s="56"/>
      <c r="AU582" s="56"/>
    </row>
    <row r="583" spans="1:47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AF583" s="56"/>
      <c r="AG583" s="56"/>
      <c r="AH583" s="56"/>
      <c r="AI583" s="56"/>
      <c r="AJ583" s="56"/>
      <c r="AK583" s="56"/>
      <c r="AL583" s="56"/>
      <c r="AS583" s="56"/>
      <c r="AT583" s="56"/>
      <c r="AU583" s="56"/>
    </row>
    <row r="584" spans="1:47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AF584" s="56"/>
      <c r="AG584" s="56"/>
      <c r="AH584" s="56"/>
      <c r="AI584" s="56"/>
      <c r="AJ584" s="56"/>
      <c r="AK584" s="56"/>
      <c r="AL584" s="56"/>
      <c r="AS584" s="56"/>
      <c r="AT584" s="56"/>
      <c r="AU584" s="56"/>
    </row>
    <row r="585" spans="1:47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AF585" s="56"/>
      <c r="AG585" s="56"/>
      <c r="AH585" s="56"/>
      <c r="AI585" s="56"/>
      <c r="AJ585" s="56"/>
      <c r="AK585" s="56"/>
      <c r="AL585" s="56"/>
      <c r="AS585" s="56"/>
      <c r="AT585" s="56"/>
      <c r="AU585" s="56"/>
    </row>
    <row r="586" spans="1:47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AF586" s="56"/>
      <c r="AG586" s="56"/>
      <c r="AH586" s="56"/>
      <c r="AI586" s="56"/>
      <c r="AJ586" s="56"/>
      <c r="AK586" s="56"/>
      <c r="AL586" s="56"/>
      <c r="AS586" s="56"/>
      <c r="AT586" s="56"/>
      <c r="AU586" s="56"/>
    </row>
    <row r="587" spans="1:47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AF587" s="56"/>
      <c r="AG587" s="56"/>
      <c r="AH587" s="56"/>
      <c r="AI587" s="56"/>
      <c r="AJ587" s="56"/>
      <c r="AK587" s="56"/>
      <c r="AL587" s="56"/>
      <c r="AS587" s="56"/>
      <c r="AT587" s="56"/>
      <c r="AU587" s="56"/>
    </row>
    <row r="588" spans="1:47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AF588" s="56"/>
      <c r="AG588" s="56"/>
      <c r="AH588" s="56"/>
      <c r="AI588" s="56"/>
      <c r="AJ588" s="56"/>
      <c r="AK588" s="56"/>
      <c r="AL588" s="56"/>
      <c r="AS588" s="56"/>
      <c r="AT588" s="56"/>
      <c r="AU588" s="56"/>
    </row>
    <row r="589" spans="1:47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AF589" s="56"/>
      <c r="AG589" s="56"/>
      <c r="AH589" s="56"/>
      <c r="AI589" s="56"/>
      <c r="AJ589" s="56"/>
      <c r="AK589" s="56"/>
      <c r="AL589" s="56"/>
      <c r="AS589" s="56"/>
      <c r="AT589" s="56"/>
      <c r="AU589" s="56"/>
    </row>
    <row r="590" spans="1:47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AF590" s="56"/>
      <c r="AG590" s="56"/>
      <c r="AH590" s="56"/>
      <c r="AI590" s="56"/>
      <c r="AJ590" s="56"/>
      <c r="AK590" s="56"/>
      <c r="AL590" s="56"/>
      <c r="AS590" s="56"/>
      <c r="AT590" s="56"/>
      <c r="AU590" s="56"/>
    </row>
    <row r="591" spans="1:47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AF591" s="56"/>
      <c r="AG591" s="56"/>
      <c r="AH591" s="56"/>
      <c r="AI591" s="56"/>
      <c r="AJ591" s="56"/>
      <c r="AK591" s="56"/>
      <c r="AL591" s="56"/>
      <c r="AS591" s="56"/>
      <c r="AT591" s="56"/>
      <c r="AU591" s="56"/>
    </row>
    <row r="592" spans="1:47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AF592" s="56"/>
      <c r="AG592" s="56"/>
      <c r="AH592" s="56"/>
      <c r="AI592" s="56"/>
      <c r="AJ592" s="56"/>
      <c r="AK592" s="56"/>
      <c r="AL592" s="56"/>
      <c r="AS592" s="56"/>
      <c r="AT592" s="56"/>
      <c r="AU592" s="56"/>
    </row>
    <row r="593" spans="1:47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AF593" s="56"/>
      <c r="AG593" s="56"/>
      <c r="AH593" s="56"/>
      <c r="AI593" s="56"/>
      <c r="AJ593" s="56"/>
      <c r="AK593" s="56"/>
      <c r="AL593" s="56"/>
      <c r="AS593" s="56"/>
      <c r="AT593" s="56"/>
      <c r="AU593" s="56"/>
    </row>
    <row r="594" spans="1:47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AF594" s="56"/>
      <c r="AG594" s="56"/>
      <c r="AH594" s="56"/>
      <c r="AI594" s="56"/>
      <c r="AJ594" s="56"/>
      <c r="AK594" s="56"/>
      <c r="AL594" s="56"/>
      <c r="AS594" s="56"/>
      <c r="AT594" s="56"/>
      <c r="AU594" s="56"/>
    </row>
    <row r="595" spans="1:47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AF595" s="56"/>
      <c r="AG595" s="56"/>
      <c r="AH595" s="56"/>
      <c r="AI595" s="56"/>
      <c r="AJ595" s="56"/>
      <c r="AK595" s="56"/>
      <c r="AL595" s="56"/>
      <c r="AS595" s="56"/>
      <c r="AT595" s="56"/>
      <c r="AU595" s="56"/>
    </row>
    <row r="596" spans="1:47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AF596" s="56"/>
      <c r="AG596" s="56"/>
      <c r="AH596" s="56"/>
      <c r="AI596" s="56"/>
      <c r="AJ596" s="56"/>
      <c r="AK596" s="56"/>
      <c r="AL596" s="56"/>
      <c r="AS596" s="56"/>
      <c r="AT596" s="56"/>
      <c r="AU596" s="56"/>
    </row>
    <row r="597" spans="1:47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AF597" s="56"/>
      <c r="AG597" s="56"/>
      <c r="AH597" s="56"/>
      <c r="AI597" s="56"/>
      <c r="AJ597" s="56"/>
      <c r="AK597" s="56"/>
      <c r="AL597" s="56"/>
      <c r="AS597" s="56"/>
      <c r="AT597" s="56"/>
      <c r="AU597" s="56"/>
    </row>
    <row r="598" spans="1:47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AF598" s="56"/>
      <c r="AG598" s="56"/>
      <c r="AH598" s="56"/>
      <c r="AI598" s="56"/>
      <c r="AJ598" s="56"/>
      <c r="AK598" s="56"/>
      <c r="AL598" s="56"/>
      <c r="AS598" s="56"/>
      <c r="AT598" s="56"/>
      <c r="AU598" s="56"/>
    </row>
    <row r="599" spans="1:47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AF599" s="56"/>
      <c r="AG599" s="56"/>
      <c r="AH599" s="56"/>
      <c r="AI599" s="56"/>
      <c r="AJ599" s="56"/>
      <c r="AK599" s="56"/>
      <c r="AL599" s="56"/>
      <c r="AS599" s="56"/>
      <c r="AT599" s="56"/>
      <c r="AU599" s="56"/>
    </row>
    <row r="600" spans="1:47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AF600" s="56"/>
      <c r="AG600" s="56"/>
      <c r="AH600" s="56"/>
      <c r="AI600" s="56"/>
      <c r="AJ600" s="56"/>
      <c r="AK600" s="56"/>
      <c r="AL600" s="56"/>
      <c r="AS600" s="56"/>
      <c r="AT600" s="56"/>
      <c r="AU600" s="56"/>
    </row>
    <row r="601" spans="1:47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AF601" s="56"/>
      <c r="AG601" s="56"/>
      <c r="AH601" s="56"/>
      <c r="AI601" s="56"/>
      <c r="AJ601" s="56"/>
      <c r="AK601" s="56"/>
      <c r="AL601" s="56"/>
      <c r="AS601" s="56"/>
      <c r="AT601" s="56"/>
      <c r="AU601" s="56"/>
    </row>
    <row r="602" spans="1:47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AF602" s="56"/>
      <c r="AG602" s="56"/>
      <c r="AH602" s="56"/>
      <c r="AI602" s="56"/>
      <c r="AJ602" s="56"/>
      <c r="AK602" s="56"/>
      <c r="AL602" s="56"/>
      <c r="AS602" s="56"/>
      <c r="AT602" s="56"/>
      <c r="AU602" s="56"/>
    </row>
    <row r="603" spans="1:47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AF603" s="56"/>
      <c r="AG603" s="56"/>
      <c r="AH603" s="56"/>
      <c r="AI603" s="56"/>
      <c r="AJ603" s="56"/>
      <c r="AK603" s="56"/>
      <c r="AL603" s="56"/>
      <c r="AS603" s="56"/>
      <c r="AT603" s="56"/>
      <c r="AU603" s="56"/>
    </row>
    <row r="604" spans="1:47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AF604" s="56"/>
      <c r="AG604" s="56"/>
      <c r="AH604" s="56"/>
      <c r="AI604" s="56"/>
      <c r="AJ604" s="56"/>
      <c r="AK604" s="56"/>
      <c r="AL604" s="56"/>
      <c r="AS604" s="56"/>
      <c r="AT604" s="56"/>
      <c r="AU604" s="56"/>
    </row>
    <row r="605" spans="1:47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AF605" s="56"/>
      <c r="AG605" s="56"/>
      <c r="AH605" s="56"/>
      <c r="AI605" s="56"/>
      <c r="AJ605" s="56"/>
      <c r="AK605" s="56"/>
      <c r="AL605" s="56"/>
      <c r="AS605" s="56"/>
      <c r="AT605" s="56"/>
      <c r="AU605" s="56"/>
    </row>
    <row r="606" spans="1:47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AF606" s="56"/>
      <c r="AG606" s="56"/>
      <c r="AH606" s="56"/>
      <c r="AI606" s="56"/>
      <c r="AJ606" s="56"/>
      <c r="AK606" s="56"/>
      <c r="AL606" s="56"/>
      <c r="AS606" s="56"/>
      <c r="AT606" s="56"/>
      <c r="AU606" s="56"/>
    </row>
    <row r="607" spans="1:47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AF607" s="56"/>
      <c r="AG607" s="56"/>
      <c r="AH607" s="56"/>
      <c r="AI607" s="56"/>
      <c r="AJ607" s="56"/>
      <c r="AK607" s="56"/>
      <c r="AL607" s="56"/>
      <c r="AS607" s="56"/>
      <c r="AT607" s="56"/>
      <c r="AU607" s="56"/>
    </row>
    <row r="608" spans="1:47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AF608" s="56"/>
      <c r="AG608" s="56"/>
      <c r="AH608" s="56"/>
      <c r="AI608" s="56"/>
      <c r="AJ608" s="56"/>
      <c r="AK608" s="56"/>
      <c r="AL608" s="56"/>
      <c r="AS608" s="56"/>
      <c r="AT608" s="56"/>
      <c r="AU608" s="56"/>
    </row>
    <row r="609" spans="1:47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AF609" s="56"/>
      <c r="AG609" s="56"/>
      <c r="AH609" s="56"/>
      <c r="AI609" s="56"/>
      <c r="AJ609" s="56"/>
      <c r="AK609" s="56"/>
      <c r="AL609" s="56"/>
      <c r="AS609" s="56"/>
      <c r="AT609" s="56"/>
      <c r="AU609" s="56"/>
    </row>
    <row r="610" spans="1:47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AF610" s="56"/>
      <c r="AG610" s="56"/>
      <c r="AH610" s="56"/>
      <c r="AI610" s="56"/>
      <c r="AJ610" s="56"/>
      <c r="AK610" s="56"/>
      <c r="AL610" s="56"/>
      <c r="AS610" s="56"/>
      <c r="AT610" s="56"/>
      <c r="AU610" s="56"/>
    </row>
    <row r="611" spans="1:47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AF611" s="56"/>
      <c r="AG611" s="56"/>
      <c r="AH611" s="56"/>
      <c r="AI611" s="56"/>
      <c r="AJ611" s="56"/>
      <c r="AK611" s="56"/>
      <c r="AL611" s="56"/>
      <c r="AS611" s="56"/>
      <c r="AT611" s="56"/>
      <c r="AU611" s="56"/>
    </row>
    <row r="612" spans="1:47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AF612" s="56"/>
      <c r="AG612" s="56"/>
      <c r="AH612" s="56"/>
      <c r="AI612" s="56"/>
      <c r="AJ612" s="56"/>
      <c r="AK612" s="56"/>
      <c r="AL612" s="56"/>
      <c r="AS612" s="56"/>
      <c r="AT612" s="56"/>
      <c r="AU612" s="56"/>
    </row>
    <row r="613" spans="1:47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AF613" s="56"/>
      <c r="AG613" s="56"/>
      <c r="AH613" s="56"/>
      <c r="AI613" s="56"/>
      <c r="AJ613" s="56"/>
      <c r="AK613" s="56"/>
      <c r="AL613" s="56"/>
      <c r="AS613" s="56"/>
      <c r="AT613" s="56"/>
      <c r="AU613" s="56"/>
    </row>
    <row r="614" spans="1:47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AF614" s="56"/>
      <c r="AG614" s="56"/>
      <c r="AH614" s="56"/>
      <c r="AI614" s="56"/>
      <c r="AJ614" s="56"/>
      <c r="AK614" s="56"/>
      <c r="AL614" s="56"/>
      <c r="AS614" s="56"/>
      <c r="AT614" s="56"/>
      <c r="AU614" s="56"/>
    </row>
    <row r="615" spans="1:47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AF615" s="56"/>
      <c r="AG615" s="56"/>
      <c r="AH615" s="56"/>
      <c r="AI615" s="56"/>
      <c r="AJ615" s="56"/>
      <c r="AK615" s="56"/>
      <c r="AL615" s="56"/>
      <c r="AS615" s="56"/>
      <c r="AT615" s="56"/>
      <c r="AU615" s="56"/>
    </row>
    <row r="616" spans="1:47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AF616" s="56"/>
      <c r="AG616" s="56"/>
      <c r="AH616" s="56"/>
      <c r="AI616" s="56"/>
      <c r="AJ616" s="56"/>
      <c r="AK616" s="56"/>
      <c r="AL616" s="56"/>
      <c r="AS616" s="56"/>
      <c r="AT616" s="56"/>
      <c r="AU616" s="56"/>
    </row>
    <row r="617" spans="1:47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AF617" s="56"/>
      <c r="AG617" s="56"/>
      <c r="AH617" s="56"/>
      <c r="AI617" s="56"/>
      <c r="AJ617" s="56"/>
      <c r="AK617" s="56"/>
      <c r="AL617" s="56"/>
      <c r="AS617" s="56"/>
      <c r="AT617" s="56"/>
      <c r="AU617" s="56"/>
    </row>
    <row r="618" spans="1:47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AF618" s="56"/>
      <c r="AG618" s="56"/>
      <c r="AH618" s="56"/>
      <c r="AI618" s="56"/>
      <c r="AJ618" s="56"/>
      <c r="AK618" s="56"/>
      <c r="AL618" s="56"/>
      <c r="AS618" s="56"/>
      <c r="AT618" s="56"/>
      <c r="AU618" s="56"/>
    </row>
    <row r="619" spans="1:47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AF619" s="56"/>
      <c r="AG619" s="56"/>
      <c r="AH619" s="56"/>
      <c r="AI619" s="56"/>
      <c r="AJ619" s="56"/>
      <c r="AK619" s="56"/>
      <c r="AL619" s="56"/>
      <c r="AS619" s="56"/>
      <c r="AT619" s="56"/>
      <c r="AU619" s="56"/>
    </row>
    <row r="620" spans="1:47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AF620" s="56"/>
      <c r="AG620" s="56"/>
      <c r="AH620" s="56"/>
      <c r="AI620" s="56"/>
      <c r="AJ620" s="56"/>
      <c r="AK620" s="56"/>
      <c r="AL620" s="56"/>
      <c r="AS620" s="56"/>
      <c r="AT620" s="56"/>
      <c r="AU620" s="56"/>
    </row>
    <row r="621" spans="1:47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AF621" s="56"/>
      <c r="AG621" s="56"/>
      <c r="AH621" s="56"/>
      <c r="AI621" s="56"/>
      <c r="AJ621" s="56"/>
      <c r="AK621" s="56"/>
      <c r="AL621" s="56"/>
      <c r="AS621" s="56"/>
      <c r="AT621" s="56"/>
      <c r="AU621" s="56"/>
    </row>
    <row r="622" spans="1:47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AF622" s="56"/>
      <c r="AG622" s="56"/>
      <c r="AH622" s="56"/>
      <c r="AI622" s="56"/>
      <c r="AJ622" s="56"/>
      <c r="AK622" s="56"/>
      <c r="AL622" s="56"/>
      <c r="AS622" s="56"/>
      <c r="AT622" s="56"/>
      <c r="AU622" s="56"/>
    </row>
    <row r="623" spans="1:47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AF623" s="56"/>
      <c r="AG623" s="56"/>
      <c r="AH623" s="56"/>
      <c r="AI623" s="56"/>
      <c r="AJ623" s="56"/>
      <c r="AK623" s="56"/>
      <c r="AL623" s="56"/>
      <c r="AS623" s="56"/>
      <c r="AT623" s="56"/>
      <c r="AU623" s="56"/>
    </row>
    <row r="624" spans="1:47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AF624" s="56"/>
      <c r="AG624" s="56"/>
      <c r="AH624" s="56"/>
      <c r="AI624" s="56"/>
      <c r="AJ624" s="56"/>
      <c r="AK624" s="56"/>
      <c r="AL624" s="56"/>
      <c r="AS624" s="56"/>
      <c r="AT624" s="56"/>
      <c r="AU624" s="56"/>
    </row>
    <row r="625" spans="1:47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AF625" s="56"/>
      <c r="AG625" s="56"/>
      <c r="AH625" s="56"/>
      <c r="AI625" s="56"/>
      <c r="AJ625" s="56"/>
      <c r="AK625" s="56"/>
      <c r="AL625" s="56"/>
      <c r="AS625" s="56"/>
      <c r="AT625" s="56"/>
      <c r="AU625" s="56"/>
    </row>
    <row r="626" spans="1:47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AF626" s="56"/>
      <c r="AG626" s="56"/>
      <c r="AH626" s="56"/>
      <c r="AI626" s="56"/>
      <c r="AJ626" s="56"/>
      <c r="AK626" s="56"/>
      <c r="AL626" s="56"/>
      <c r="AS626" s="56"/>
      <c r="AT626" s="56"/>
      <c r="AU626" s="56"/>
    </row>
    <row r="627" spans="1:47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AF627" s="56"/>
      <c r="AG627" s="56"/>
      <c r="AH627" s="56"/>
      <c r="AI627" s="56"/>
      <c r="AJ627" s="56"/>
      <c r="AK627" s="56"/>
      <c r="AL627" s="56"/>
      <c r="AS627" s="56"/>
      <c r="AT627" s="56"/>
      <c r="AU627" s="56"/>
    </row>
    <row r="628" spans="1:47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AF628" s="56"/>
      <c r="AG628" s="56"/>
      <c r="AH628" s="56"/>
      <c r="AI628" s="56"/>
      <c r="AJ628" s="56"/>
      <c r="AK628" s="56"/>
      <c r="AL628" s="56"/>
      <c r="AS628" s="56"/>
      <c r="AT628" s="56"/>
      <c r="AU628" s="56"/>
    </row>
    <row r="629" spans="1:47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AF629" s="56"/>
      <c r="AG629" s="56"/>
      <c r="AH629" s="56"/>
      <c r="AI629" s="56"/>
      <c r="AJ629" s="56"/>
      <c r="AK629" s="56"/>
      <c r="AL629" s="56"/>
      <c r="AS629" s="56"/>
      <c r="AT629" s="56"/>
      <c r="AU629" s="56"/>
    </row>
    <row r="630" spans="1:47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AF630" s="56"/>
      <c r="AG630" s="56"/>
      <c r="AH630" s="56"/>
      <c r="AI630" s="56"/>
      <c r="AJ630" s="56"/>
      <c r="AK630" s="56"/>
      <c r="AL630" s="56"/>
      <c r="AS630" s="56"/>
      <c r="AT630" s="56"/>
      <c r="AU630" s="56"/>
    </row>
    <row r="631" spans="1:47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AF631" s="56"/>
      <c r="AG631" s="56"/>
      <c r="AH631" s="56"/>
      <c r="AI631" s="56"/>
      <c r="AJ631" s="56"/>
      <c r="AK631" s="56"/>
      <c r="AL631" s="56"/>
      <c r="AS631" s="56"/>
      <c r="AT631" s="56"/>
      <c r="AU631" s="56"/>
    </row>
    <row r="632" spans="1:47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AF632" s="56"/>
      <c r="AG632" s="56"/>
      <c r="AH632" s="56"/>
      <c r="AI632" s="56"/>
      <c r="AJ632" s="56"/>
      <c r="AK632" s="56"/>
      <c r="AL632" s="56"/>
      <c r="AS632" s="56"/>
      <c r="AT632" s="56"/>
      <c r="AU632" s="56"/>
    </row>
    <row r="633" spans="1:47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AF633" s="56"/>
      <c r="AG633" s="56"/>
      <c r="AH633" s="56"/>
      <c r="AI633" s="56"/>
      <c r="AJ633" s="56"/>
      <c r="AK633" s="56"/>
      <c r="AL633" s="56"/>
      <c r="AS633" s="56"/>
      <c r="AT633" s="56"/>
      <c r="AU633" s="56"/>
    </row>
    <row r="634" spans="1:47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AF634" s="56"/>
      <c r="AG634" s="56"/>
      <c r="AH634" s="56"/>
      <c r="AI634" s="56"/>
      <c r="AJ634" s="56"/>
      <c r="AK634" s="56"/>
      <c r="AL634" s="56"/>
      <c r="AS634" s="56"/>
      <c r="AT634" s="56"/>
      <c r="AU634" s="56"/>
    </row>
    <row r="635" spans="1:47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AF635" s="56"/>
      <c r="AG635" s="56"/>
      <c r="AH635" s="56"/>
      <c r="AI635" s="56"/>
      <c r="AJ635" s="56"/>
      <c r="AK635" s="56"/>
      <c r="AL635" s="56"/>
      <c r="AS635" s="56"/>
      <c r="AT635" s="56"/>
      <c r="AU635" s="56"/>
    </row>
    <row r="636" spans="1:47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AF636" s="56"/>
      <c r="AG636" s="56"/>
      <c r="AH636" s="56"/>
      <c r="AI636" s="56"/>
      <c r="AJ636" s="56"/>
      <c r="AK636" s="56"/>
      <c r="AL636" s="56"/>
      <c r="AS636" s="56"/>
      <c r="AT636" s="56"/>
      <c r="AU636" s="56"/>
    </row>
    <row r="637" spans="1:47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AF637" s="56"/>
      <c r="AG637" s="56"/>
      <c r="AH637" s="56"/>
      <c r="AI637" s="56"/>
      <c r="AJ637" s="56"/>
      <c r="AK637" s="56"/>
      <c r="AL637" s="56"/>
      <c r="AS637" s="56"/>
      <c r="AT637" s="56"/>
      <c r="AU637" s="56"/>
    </row>
    <row r="638" spans="1:47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AF638" s="56"/>
      <c r="AG638" s="56"/>
      <c r="AH638" s="56"/>
      <c r="AI638" s="56"/>
      <c r="AJ638" s="56"/>
      <c r="AK638" s="56"/>
      <c r="AL638" s="56"/>
      <c r="AS638" s="56"/>
      <c r="AT638" s="56"/>
      <c r="AU638" s="56"/>
    </row>
    <row r="639" spans="1:47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AF639" s="56"/>
      <c r="AG639" s="56"/>
      <c r="AH639" s="56"/>
      <c r="AI639" s="56"/>
      <c r="AJ639" s="56"/>
      <c r="AK639" s="56"/>
      <c r="AL639" s="56"/>
      <c r="AS639" s="56"/>
      <c r="AT639" s="56"/>
      <c r="AU639" s="56"/>
    </row>
    <row r="640" spans="1:47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AF640" s="56"/>
      <c r="AG640" s="56"/>
      <c r="AH640" s="56"/>
      <c r="AI640" s="56"/>
      <c r="AJ640" s="56"/>
      <c r="AK640" s="56"/>
      <c r="AL640" s="56"/>
      <c r="AS640" s="56"/>
      <c r="AT640" s="56"/>
      <c r="AU640" s="56"/>
    </row>
    <row r="641" spans="1:47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AF641" s="56"/>
      <c r="AG641" s="56"/>
      <c r="AH641" s="56"/>
      <c r="AI641" s="56"/>
      <c r="AJ641" s="56"/>
      <c r="AK641" s="56"/>
      <c r="AL641" s="56"/>
      <c r="AS641" s="56"/>
      <c r="AT641" s="56"/>
      <c r="AU641" s="56"/>
    </row>
    <row r="642" spans="1:47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AF642" s="56"/>
      <c r="AG642" s="56"/>
      <c r="AH642" s="56"/>
      <c r="AI642" s="56"/>
      <c r="AJ642" s="56"/>
      <c r="AK642" s="56"/>
      <c r="AL642" s="56"/>
      <c r="AS642" s="56"/>
      <c r="AT642" s="56"/>
      <c r="AU642" s="56"/>
    </row>
    <row r="643" spans="1:47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AF643" s="56"/>
      <c r="AG643" s="56"/>
      <c r="AH643" s="56"/>
      <c r="AI643" s="56"/>
      <c r="AJ643" s="56"/>
      <c r="AK643" s="56"/>
      <c r="AL643" s="56"/>
      <c r="AS643" s="56"/>
      <c r="AT643" s="56"/>
      <c r="AU643" s="56"/>
    </row>
    <row r="644" spans="1:47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AF644" s="56"/>
      <c r="AG644" s="56"/>
      <c r="AH644" s="56"/>
      <c r="AI644" s="56"/>
      <c r="AJ644" s="56"/>
      <c r="AK644" s="56"/>
      <c r="AL644" s="56"/>
      <c r="AS644" s="56"/>
      <c r="AT644" s="56"/>
      <c r="AU644" s="56"/>
    </row>
    <row r="645" spans="1:47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AF645" s="56"/>
      <c r="AG645" s="56"/>
      <c r="AH645" s="56"/>
      <c r="AI645" s="56"/>
      <c r="AJ645" s="56"/>
      <c r="AK645" s="56"/>
      <c r="AL645" s="56"/>
      <c r="AS645" s="56"/>
      <c r="AT645" s="56"/>
      <c r="AU645" s="56"/>
    </row>
    <row r="646" spans="1:47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AF646" s="56"/>
      <c r="AG646" s="56"/>
      <c r="AH646" s="56"/>
      <c r="AI646" s="56"/>
      <c r="AJ646" s="56"/>
      <c r="AK646" s="56"/>
      <c r="AL646" s="56"/>
      <c r="AS646" s="56"/>
      <c r="AT646" s="56"/>
      <c r="AU646" s="56"/>
    </row>
    <row r="647" spans="1:47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AF647" s="56"/>
      <c r="AG647" s="56"/>
      <c r="AH647" s="56"/>
      <c r="AI647" s="56"/>
      <c r="AJ647" s="56"/>
      <c r="AK647" s="56"/>
      <c r="AL647" s="56"/>
      <c r="AS647" s="56"/>
      <c r="AT647" s="56"/>
      <c r="AU647" s="56"/>
    </row>
    <row r="648" spans="1:47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AF648" s="56"/>
      <c r="AG648" s="56"/>
      <c r="AH648" s="56"/>
      <c r="AI648" s="56"/>
      <c r="AJ648" s="56"/>
      <c r="AK648" s="56"/>
      <c r="AL648" s="56"/>
      <c r="AS648" s="56"/>
      <c r="AT648" s="56"/>
      <c r="AU648" s="56"/>
    </row>
    <row r="649" spans="1:47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AF649" s="56"/>
      <c r="AG649" s="56"/>
      <c r="AH649" s="56"/>
      <c r="AI649" s="56"/>
      <c r="AJ649" s="56"/>
      <c r="AK649" s="56"/>
      <c r="AL649" s="56"/>
      <c r="AS649" s="56"/>
      <c r="AT649" s="56"/>
      <c r="AU649" s="56"/>
    </row>
    <row r="650" spans="1:47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AF650" s="56"/>
      <c r="AG650" s="56"/>
      <c r="AH650" s="56"/>
      <c r="AI650" s="56"/>
      <c r="AJ650" s="56"/>
      <c r="AK650" s="56"/>
      <c r="AL650" s="56"/>
      <c r="AS650" s="56"/>
      <c r="AT650" s="56"/>
      <c r="AU650" s="56"/>
    </row>
    <row r="651" spans="1:47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AF651" s="56"/>
      <c r="AG651" s="56"/>
      <c r="AH651" s="56"/>
      <c r="AI651" s="56"/>
      <c r="AJ651" s="56"/>
      <c r="AK651" s="56"/>
      <c r="AL651" s="56"/>
      <c r="AS651" s="56"/>
      <c r="AT651" s="56"/>
      <c r="AU651" s="56"/>
    </row>
    <row r="652" spans="1:47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AF652" s="56"/>
      <c r="AG652" s="56"/>
      <c r="AH652" s="56"/>
      <c r="AI652" s="56"/>
      <c r="AJ652" s="56"/>
      <c r="AK652" s="56"/>
      <c r="AL652" s="56"/>
      <c r="AS652" s="56"/>
      <c r="AT652" s="56"/>
      <c r="AU652" s="56"/>
    </row>
    <row r="653" spans="1:47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AF653" s="56"/>
      <c r="AG653" s="56"/>
      <c r="AH653" s="56"/>
      <c r="AI653" s="56"/>
      <c r="AJ653" s="56"/>
      <c r="AK653" s="56"/>
      <c r="AL653" s="56"/>
      <c r="AS653" s="56"/>
      <c r="AT653" s="56"/>
      <c r="AU653" s="56"/>
    </row>
    <row r="654" spans="1:47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AF654" s="56"/>
      <c r="AG654" s="56"/>
      <c r="AH654" s="56"/>
      <c r="AI654" s="56"/>
      <c r="AJ654" s="56"/>
      <c r="AK654" s="56"/>
      <c r="AL654" s="56"/>
      <c r="AS654" s="56"/>
      <c r="AT654" s="56"/>
      <c r="AU654" s="56"/>
    </row>
    <row r="655" spans="1:47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AF655" s="56"/>
      <c r="AG655" s="56"/>
      <c r="AH655" s="56"/>
      <c r="AI655" s="56"/>
      <c r="AJ655" s="56"/>
      <c r="AK655" s="56"/>
      <c r="AL655" s="56"/>
      <c r="AS655" s="56"/>
      <c r="AT655" s="56"/>
      <c r="AU655" s="56"/>
    </row>
    <row r="656" spans="1:47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AF656" s="56"/>
      <c r="AG656" s="56"/>
      <c r="AH656" s="56"/>
      <c r="AI656" s="56"/>
      <c r="AJ656" s="56"/>
      <c r="AK656" s="56"/>
      <c r="AL656" s="56"/>
      <c r="AS656" s="56"/>
      <c r="AT656" s="56"/>
      <c r="AU656" s="56"/>
    </row>
    <row r="657" spans="1:47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AF657" s="56"/>
      <c r="AG657" s="56"/>
      <c r="AH657" s="56"/>
      <c r="AI657" s="56"/>
      <c r="AJ657" s="56"/>
      <c r="AK657" s="56"/>
      <c r="AL657" s="56"/>
      <c r="AS657" s="56"/>
      <c r="AT657" s="56"/>
      <c r="AU657" s="56"/>
    </row>
    <row r="658" spans="1:47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AF658" s="56"/>
      <c r="AG658" s="56"/>
      <c r="AH658" s="56"/>
      <c r="AI658" s="56"/>
      <c r="AJ658" s="56"/>
      <c r="AK658" s="56"/>
      <c r="AL658" s="56"/>
      <c r="AS658" s="56"/>
      <c r="AT658" s="56"/>
      <c r="AU658" s="56"/>
    </row>
    <row r="659" spans="1:47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AF659" s="56"/>
      <c r="AG659" s="56"/>
      <c r="AH659" s="56"/>
      <c r="AI659" s="56"/>
      <c r="AJ659" s="56"/>
      <c r="AK659" s="56"/>
      <c r="AL659" s="56"/>
      <c r="AS659" s="56"/>
      <c r="AT659" s="56"/>
      <c r="AU659" s="56"/>
    </row>
    <row r="660" spans="1:47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AF660" s="56"/>
      <c r="AG660" s="56"/>
      <c r="AH660" s="56"/>
      <c r="AI660" s="56"/>
      <c r="AJ660" s="56"/>
      <c r="AK660" s="56"/>
      <c r="AL660" s="56"/>
      <c r="AS660" s="56"/>
      <c r="AT660" s="56"/>
      <c r="AU660" s="56"/>
    </row>
    <row r="661" spans="1:47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AF661" s="56"/>
      <c r="AG661" s="56"/>
      <c r="AH661" s="56"/>
      <c r="AI661" s="56"/>
      <c r="AJ661" s="56"/>
      <c r="AK661" s="56"/>
      <c r="AL661" s="56"/>
      <c r="AS661" s="56"/>
      <c r="AT661" s="56"/>
      <c r="AU661" s="56"/>
    </row>
    <row r="662" spans="1:47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AF662" s="56"/>
      <c r="AG662" s="56"/>
      <c r="AH662" s="56"/>
      <c r="AI662" s="56"/>
      <c r="AJ662" s="56"/>
      <c r="AK662" s="56"/>
      <c r="AL662" s="56"/>
      <c r="AS662" s="56"/>
      <c r="AT662" s="56"/>
      <c r="AU662" s="56"/>
    </row>
    <row r="663" spans="1:47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AF663" s="56"/>
      <c r="AG663" s="56"/>
      <c r="AH663" s="56"/>
      <c r="AI663" s="56"/>
      <c r="AJ663" s="56"/>
      <c r="AK663" s="56"/>
      <c r="AL663" s="56"/>
      <c r="AS663" s="56"/>
      <c r="AT663" s="56"/>
      <c r="AU663" s="56"/>
    </row>
    <row r="664" spans="1:47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AF664" s="56"/>
      <c r="AG664" s="56"/>
      <c r="AH664" s="56"/>
      <c r="AI664" s="56"/>
      <c r="AJ664" s="56"/>
      <c r="AK664" s="56"/>
      <c r="AL664" s="56"/>
      <c r="AS664" s="56"/>
      <c r="AT664" s="56"/>
      <c r="AU664" s="56"/>
    </row>
    <row r="665" spans="1:47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AF665" s="56"/>
      <c r="AG665" s="56"/>
      <c r="AH665" s="56"/>
      <c r="AI665" s="56"/>
      <c r="AJ665" s="56"/>
      <c r="AK665" s="56"/>
      <c r="AL665" s="56"/>
      <c r="AS665" s="56"/>
      <c r="AT665" s="56"/>
      <c r="AU665" s="56"/>
    </row>
    <row r="666" spans="1:47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AF666" s="56"/>
      <c r="AG666" s="56"/>
      <c r="AH666" s="56"/>
      <c r="AI666" s="56"/>
      <c r="AJ666" s="56"/>
      <c r="AK666" s="56"/>
      <c r="AL666" s="56"/>
      <c r="AS666" s="56"/>
      <c r="AT666" s="56"/>
      <c r="AU666" s="56"/>
    </row>
    <row r="667" spans="1:47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AF667" s="56"/>
      <c r="AG667" s="56"/>
      <c r="AH667" s="56"/>
      <c r="AI667" s="56"/>
      <c r="AJ667" s="56"/>
      <c r="AK667" s="56"/>
      <c r="AL667" s="56"/>
      <c r="AS667" s="56"/>
      <c r="AT667" s="56"/>
      <c r="AU667" s="56"/>
    </row>
    <row r="668" spans="1:47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AF668" s="56"/>
      <c r="AG668" s="56"/>
      <c r="AH668" s="56"/>
      <c r="AI668" s="56"/>
      <c r="AJ668" s="56"/>
      <c r="AK668" s="56"/>
      <c r="AL668" s="56"/>
      <c r="AS668" s="56"/>
      <c r="AT668" s="56"/>
      <c r="AU668" s="56"/>
    </row>
    <row r="669" spans="1:47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AF669" s="56"/>
      <c r="AG669" s="56"/>
      <c r="AH669" s="56"/>
      <c r="AI669" s="56"/>
      <c r="AJ669" s="56"/>
      <c r="AK669" s="56"/>
      <c r="AL669" s="56"/>
      <c r="AS669" s="56"/>
      <c r="AT669" s="56"/>
      <c r="AU669" s="56"/>
    </row>
    <row r="670" spans="1:47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AF670" s="56"/>
      <c r="AG670" s="56"/>
      <c r="AH670" s="56"/>
      <c r="AI670" s="56"/>
      <c r="AJ670" s="56"/>
      <c r="AK670" s="56"/>
      <c r="AL670" s="56"/>
      <c r="AS670" s="56"/>
      <c r="AT670" s="56"/>
      <c r="AU670" s="56"/>
    </row>
    <row r="671" spans="1:47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AF671" s="56"/>
      <c r="AG671" s="56"/>
      <c r="AH671" s="56"/>
      <c r="AI671" s="56"/>
      <c r="AJ671" s="56"/>
      <c r="AK671" s="56"/>
      <c r="AL671" s="56"/>
      <c r="AS671" s="56"/>
      <c r="AT671" s="56"/>
      <c r="AU671" s="56"/>
    </row>
    <row r="672" spans="1:47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AF672" s="56"/>
      <c r="AG672" s="56"/>
      <c r="AH672" s="56"/>
      <c r="AI672" s="56"/>
      <c r="AJ672" s="56"/>
      <c r="AK672" s="56"/>
      <c r="AL672" s="56"/>
      <c r="AS672" s="56"/>
      <c r="AT672" s="56"/>
      <c r="AU672" s="56"/>
    </row>
    <row r="673" spans="1:47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AF673" s="56"/>
      <c r="AG673" s="56"/>
      <c r="AH673" s="56"/>
      <c r="AI673" s="56"/>
      <c r="AJ673" s="56"/>
      <c r="AK673" s="56"/>
      <c r="AL673" s="56"/>
      <c r="AS673" s="56"/>
      <c r="AT673" s="56"/>
      <c r="AU673" s="56"/>
    </row>
    <row r="674" spans="1:47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AF674" s="56"/>
      <c r="AG674" s="56"/>
      <c r="AH674" s="56"/>
      <c r="AI674" s="56"/>
      <c r="AJ674" s="56"/>
      <c r="AK674" s="56"/>
      <c r="AL674" s="56"/>
      <c r="AS674" s="56"/>
      <c r="AT674" s="56"/>
      <c r="AU674" s="56"/>
    </row>
    <row r="675" spans="1:47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AF675" s="56"/>
      <c r="AG675" s="56"/>
      <c r="AH675" s="56"/>
      <c r="AI675" s="56"/>
      <c r="AJ675" s="56"/>
      <c r="AK675" s="56"/>
      <c r="AL675" s="56"/>
      <c r="AS675" s="56"/>
      <c r="AT675" s="56"/>
      <c r="AU675" s="56"/>
    </row>
    <row r="676" spans="1:47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AF676" s="56"/>
      <c r="AG676" s="56"/>
      <c r="AH676" s="56"/>
      <c r="AI676" s="56"/>
      <c r="AJ676" s="56"/>
      <c r="AK676" s="56"/>
      <c r="AL676" s="56"/>
      <c r="AS676" s="56"/>
      <c r="AT676" s="56"/>
      <c r="AU676" s="56"/>
    </row>
    <row r="677" spans="1:47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AF677" s="56"/>
      <c r="AG677" s="56"/>
      <c r="AH677" s="56"/>
      <c r="AI677" s="56"/>
      <c r="AJ677" s="56"/>
      <c r="AK677" s="56"/>
      <c r="AL677" s="56"/>
      <c r="AS677" s="56"/>
      <c r="AT677" s="56"/>
      <c r="AU677" s="56"/>
    </row>
    <row r="678" spans="1:47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AF678" s="56"/>
      <c r="AG678" s="56"/>
      <c r="AH678" s="56"/>
      <c r="AI678" s="56"/>
      <c r="AJ678" s="56"/>
      <c r="AK678" s="56"/>
      <c r="AL678" s="56"/>
      <c r="AS678" s="56"/>
      <c r="AT678" s="56"/>
      <c r="AU678" s="56"/>
    </row>
    <row r="679" spans="1:47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AF679" s="56"/>
      <c r="AG679" s="56"/>
      <c r="AH679" s="56"/>
      <c r="AI679" s="56"/>
      <c r="AJ679" s="56"/>
      <c r="AK679" s="56"/>
      <c r="AL679" s="56"/>
      <c r="AS679" s="56"/>
      <c r="AT679" s="56"/>
      <c r="AU679" s="56"/>
    </row>
    <row r="680" spans="1:47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AF680" s="56"/>
      <c r="AG680" s="56"/>
      <c r="AH680" s="56"/>
      <c r="AI680" s="56"/>
      <c r="AJ680" s="56"/>
      <c r="AK680" s="56"/>
      <c r="AL680" s="56"/>
      <c r="AS680" s="56"/>
      <c r="AT680" s="56"/>
      <c r="AU680" s="56"/>
    </row>
    <row r="681" spans="1:47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AF681" s="56"/>
      <c r="AG681" s="56"/>
      <c r="AH681" s="56"/>
      <c r="AI681" s="56"/>
      <c r="AJ681" s="56"/>
      <c r="AK681" s="56"/>
      <c r="AL681" s="56"/>
      <c r="AS681" s="56"/>
      <c r="AT681" s="56"/>
      <c r="AU681" s="56"/>
    </row>
    <row r="682" spans="1:47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AF682" s="56"/>
      <c r="AG682" s="56"/>
      <c r="AH682" s="56"/>
      <c r="AI682" s="56"/>
      <c r="AJ682" s="56"/>
      <c r="AK682" s="56"/>
      <c r="AL682" s="56"/>
      <c r="AS682" s="56"/>
      <c r="AT682" s="56"/>
      <c r="AU682" s="56"/>
    </row>
    <row r="683" spans="1:47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AF683" s="56"/>
      <c r="AG683" s="56"/>
      <c r="AH683" s="56"/>
      <c r="AI683" s="56"/>
      <c r="AJ683" s="56"/>
      <c r="AK683" s="56"/>
      <c r="AL683" s="56"/>
      <c r="AS683" s="56"/>
      <c r="AT683" s="56"/>
      <c r="AU683" s="56"/>
    </row>
    <row r="684" spans="1:47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AF684" s="56"/>
      <c r="AG684" s="56"/>
      <c r="AH684" s="56"/>
      <c r="AI684" s="56"/>
      <c r="AJ684" s="56"/>
      <c r="AK684" s="56"/>
      <c r="AL684" s="56"/>
      <c r="AS684" s="56"/>
      <c r="AT684" s="56"/>
      <c r="AU684" s="56"/>
    </row>
    <row r="685" spans="1:47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AF685" s="56"/>
      <c r="AG685" s="56"/>
      <c r="AH685" s="56"/>
      <c r="AI685" s="56"/>
      <c r="AJ685" s="56"/>
      <c r="AK685" s="56"/>
      <c r="AL685" s="56"/>
      <c r="AS685" s="56"/>
      <c r="AT685" s="56"/>
      <c r="AU685" s="56"/>
    </row>
    <row r="686" spans="1:47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AF686" s="56"/>
      <c r="AG686" s="56"/>
      <c r="AH686" s="56"/>
      <c r="AI686" s="56"/>
      <c r="AJ686" s="56"/>
      <c r="AK686" s="56"/>
      <c r="AL686" s="56"/>
      <c r="AS686" s="56"/>
      <c r="AT686" s="56"/>
      <c r="AU686" s="56"/>
    </row>
    <row r="687" spans="1:47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AF687" s="56"/>
      <c r="AG687" s="56"/>
      <c r="AH687" s="56"/>
      <c r="AI687" s="56"/>
      <c r="AJ687" s="56"/>
      <c r="AK687" s="56"/>
      <c r="AL687" s="56"/>
      <c r="AS687" s="56"/>
      <c r="AT687" s="56"/>
      <c r="AU687" s="56"/>
    </row>
    <row r="688" spans="1:47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AF688" s="56"/>
      <c r="AG688" s="56"/>
      <c r="AH688" s="56"/>
      <c r="AI688" s="56"/>
      <c r="AJ688" s="56"/>
      <c r="AK688" s="56"/>
      <c r="AL688" s="56"/>
      <c r="AS688" s="56"/>
      <c r="AT688" s="56"/>
      <c r="AU688" s="56"/>
    </row>
    <row r="689" spans="1:47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AF689" s="56"/>
      <c r="AG689" s="56"/>
      <c r="AH689" s="56"/>
      <c r="AI689" s="56"/>
      <c r="AJ689" s="56"/>
      <c r="AK689" s="56"/>
      <c r="AL689" s="56"/>
      <c r="AS689" s="56"/>
      <c r="AT689" s="56"/>
      <c r="AU689" s="56"/>
    </row>
    <row r="690" spans="1:47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AF690" s="56"/>
      <c r="AG690" s="56"/>
      <c r="AH690" s="56"/>
      <c r="AI690" s="56"/>
      <c r="AJ690" s="56"/>
      <c r="AK690" s="56"/>
      <c r="AL690" s="56"/>
      <c r="AS690" s="56"/>
      <c r="AT690" s="56"/>
      <c r="AU690" s="56"/>
    </row>
    <row r="691" spans="1:47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AF691" s="56"/>
      <c r="AG691" s="56"/>
      <c r="AH691" s="56"/>
      <c r="AI691" s="56"/>
      <c r="AJ691" s="56"/>
      <c r="AK691" s="56"/>
      <c r="AL691" s="56"/>
      <c r="AS691" s="56"/>
      <c r="AT691" s="56"/>
      <c r="AU691" s="56"/>
    </row>
    <row r="692" spans="1:47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AF692" s="56"/>
      <c r="AG692" s="56"/>
      <c r="AH692" s="56"/>
      <c r="AI692" s="56"/>
      <c r="AJ692" s="56"/>
      <c r="AK692" s="56"/>
      <c r="AL692" s="56"/>
      <c r="AS692" s="56"/>
      <c r="AT692" s="56"/>
      <c r="AU692" s="56"/>
    </row>
    <row r="693" spans="1:47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AF693" s="56"/>
      <c r="AG693" s="56"/>
      <c r="AH693" s="56"/>
      <c r="AI693" s="56"/>
      <c r="AJ693" s="56"/>
      <c r="AK693" s="56"/>
      <c r="AL693" s="56"/>
      <c r="AS693" s="56"/>
      <c r="AT693" s="56"/>
      <c r="AU693" s="56"/>
    </row>
    <row r="694" spans="1:47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AF694" s="56"/>
      <c r="AG694" s="56"/>
      <c r="AH694" s="56"/>
      <c r="AI694" s="56"/>
      <c r="AJ694" s="56"/>
      <c r="AK694" s="56"/>
      <c r="AL694" s="56"/>
      <c r="AS694" s="56"/>
      <c r="AT694" s="56"/>
      <c r="AU694" s="56"/>
    </row>
    <row r="695" spans="1:47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AF695" s="56"/>
      <c r="AG695" s="56"/>
      <c r="AH695" s="56"/>
      <c r="AI695" s="56"/>
      <c r="AJ695" s="56"/>
      <c r="AK695" s="56"/>
      <c r="AL695" s="56"/>
      <c r="AS695" s="56"/>
      <c r="AT695" s="56"/>
      <c r="AU695" s="56"/>
    </row>
    <row r="696" spans="1:47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AF696" s="56"/>
      <c r="AG696" s="56"/>
      <c r="AH696" s="56"/>
      <c r="AI696" s="56"/>
      <c r="AJ696" s="56"/>
      <c r="AK696" s="56"/>
      <c r="AL696" s="56"/>
      <c r="AS696" s="56"/>
      <c r="AT696" s="56"/>
      <c r="AU696" s="56"/>
    </row>
    <row r="697" spans="1:47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AF697" s="56"/>
      <c r="AG697" s="56"/>
      <c r="AH697" s="56"/>
      <c r="AI697" s="56"/>
      <c r="AJ697" s="56"/>
      <c r="AK697" s="56"/>
      <c r="AL697" s="56"/>
      <c r="AS697" s="56"/>
      <c r="AT697" s="56"/>
      <c r="AU697" s="56"/>
    </row>
    <row r="698" spans="1:47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AF698" s="56"/>
      <c r="AG698" s="56"/>
      <c r="AH698" s="56"/>
      <c r="AI698" s="56"/>
      <c r="AJ698" s="56"/>
      <c r="AK698" s="56"/>
      <c r="AL698" s="56"/>
      <c r="AS698" s="56"/>
      <c r="AT698" s="56"/>
      <c r="AU698" s="56"/>
    </row>
    <row r="699" spans="1:47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AF699" s="56"/>
      <c r="AG699" s="56"/>
      <c r="AH699" s="56"/>
      <c r="AI699" s="56"/>
      <c r="AJ699" s="56"/>
      <c r="AK699" s="56"/>
      <c r="AL699" s="56"/>
      <c r="AS699" s="56"/>
      <c r="AT699" s="56"/>
      <c r="AU699" s="56"/>
    </row>
    <row r="700" spans="1:47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AF700" s="56"/>
      <c r="AG700" s="56"/>
      <c r="AH700" s="56"/>
      <c r="AI700" s="56"/>
      <c r="AJ700" s="56"/>
      <c r="AK700" s="56"/>
      <c r="AL700" s="56"/>
      <c r="AS700" s="56"/>
      <c r="AT700" s="56"/>
      <c r="AU700" s="56"/>
    </row>
    <row r="701" spans="1:47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AF701" s="56"/>
      <c r="AG701" s="56"/>
      <c r="AH701" s="56"/>
      <c r="AI701" s="56"/>
      <c r="AJ701" s="56"/>
      <c r="AK701" s="56"/>
      <c r="AL701" s="56"/>
      <c r="AS701" s="56"/>
      <c r="AT701" s="56"/>
      <c r="AU701" s="56"/>
    </row>
    <row r="702" spans="1:47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AF702" s="56"/>
      <c r="AG702" s="56"/>
      <c r="AH702" s="56"/>
      <c r="AI702" s="56"/>
      <c r="AJ702" s="56"/>
      <c r="AK702" s="56"/>
      <c r="AL702" s="56"/>
      <c r="AS702" s="56"/>
      <c r="AT702" s="56"/>
      <c r="AU702" s="56"/>
    </row>
    <row r="703" spans="1:47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AF703" s="56"/>
      <c r="AG703" s="56"/>
      <c r="AH703" s="56"/>
      <c r="AI703" s="56"/>
      <c r="AJ703" s="56"/>
      <c r="AK703" s="56"/>
      <c r="AL703" s="56"/>
      <c r="AS703" s="56"/>
      <c r="AT703" s="56"/>
      <c r="AU703" s="56"/>
    </row>
    <row r="704" spans="1:47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AF704" s="56"/>
      <c r="AG704" s="56"/>
      <c r="AH704" s="56"/>
      <c r="AI704" s="56"/>
      <c r="AJ704" s="56"/>
      <c r="AK704" s="56"/>
      <c r="AL704" s="56"/>
      <c r="AS704" s="56"/>
      <c r="AT704" s="56"/>
      <c r="AU704" s="56"/>
    </row>
    <row r="705" spans="1:47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AF705" s="56"/>
      <c r="AG705" s="56"/>
      <c r="AH705" s="56"/>
      <c r="AI705" s="56"/>
      <c r="AJ705" s="56"/>
      <c r="AK705" s="56"/>
      <c r="AL705" s="56"/>
      <c r="AS705" s="56"/>
      <c r="AT705" s="56"/>
      <c r="AU705" s="56"/>
    </row>
    <row r="706" spans="1:47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AF706" s="56"/>
      <c r="AG706" s="56"/>
      <c r="AH706" s="56"/>
      <c r="AI706" s="56"/>
      <c r="AJ706" s="56"/>
      <c r="AK706" s="56"/>
      <c r="AL706" s="56"/>
      <c r="AS706" s="56"/>
      <c r="AT706" s="56"/>
      <c r="AU706" s="56"/>
    </row>
    <row r="707" spans="1:47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AF707" s="56"/>
      <c r="AG707" s="56"/>
      <c r="AH707" s="56"/>
      <c r="AI707" s="56"/>
      <c r="AJ707" s="56"/>
      <c r="AK707" s="56"/>
      <c r="AL707" s="56"/>
      <c r="AS707" s="56"/>
      <c r="AT707" s="56"/>
      <c r="AU707" s="56"/>
    </row>
    <row r="708" spans="1:47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AF708" s="56"/>
      <c r="AG708" s="56"/>
      <c r="AH708" s="56"/>
      <c r="AI708" s="56"/>
      <c r="AJ708" s="56"/>
      <c r="AK708" s="56"/>
      <c r="AL708" s="56"/>
      <c r="AS708" s="56"/>
      <c r="AT708" s="56"/>
      <c r="AU708" s="56"/>
    </row>
    <row r="709" spans="1:47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AF709" s="56"/>
      <c r="AG709" s="56"/>
      <c r="AH709" s="56"/>
      <c r="AI709" s="56"/>
      <c r="AJ709" s="56"/>
      <c r="AK709" s="56"/>
      <c r="AL709" s="56"/>
      <c r="AS709" s="56"/>
      <c r="AT709" s="56"/>
      <c r="AU709" s="56"/>
    </row>
    <row r="710" spans="1:47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AF710" s="56"/>
      <c r="AG710" s="56"/>
      <c r="AH710" s="56"/>
      <c r="AI710" s="56"/>
      <c r="AJ710" s="56"/>
      <c r="AK710" s="56"/>
      <c r="AL710" s="56"/>
      <c r="AS710" s="56"/>
      <c r="AT710" s="56"/>
      <c r="AU710" s="56"/>
    </row>
    <row r="711" spans="1:47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AF711" s="56"/>
      <c r="AG711" s="56"/>
      <c r="AH711" s="56"/>
      <c r="AI711" s="56"/>
      <c r="AJ711" s="56"/>
      <c r="AK711" s="56"/>
      <c r="AL711" s="56"/>
      <c r="AS711" s="56"/>
      <c r="AT711" s="56"/>
      <c r="AU711" s="56"/>
    </row>
    <row r="712" spans="1:47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AF712" s="56"/>
      <c r="AG712" s="56"/>
      <c r="AH712" s="56"/>
      <c r="AI712" s="56"/>
      <c r="AJ712" s="56"/>
      <c r="AK712" s="56"/>
      <c r="AL712" s="56"/>
      <c r="AS712" s="56"/>
      <c r="AT712" s="56"/>
      <c r="AU712" s="56"/>
    </row>
    <row r="713" spans="1:47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AF713" s="56"/>
      <c r="AG713" s="56"/>
      <c r="AH713" s="56"/>
      <c r="AI713" s="56"/>
      <c r="AJ713" s="56"/>
      <c r="AK713" s="56"/>
      <c r="AL713" s="56"/>
      <c r="AS713" s="56"/>
      <c r="AT713" s="56"/>
      <c r="AU713" s="56"/>
    </row>
    <row r="714" spans="1:47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AF714" s="56"/>
      <c r="AG714" s="56"/>
      <c r="AH714" s="56"/>
      <c r="AI714" s="56"/>
      <c r="AJ714" s="56"/>
      <c r="AK714" s="56"/>
      <c r="AL714" s="56"/>
      <c r="AS714" s="56"/>
      <c r="AT714" s="56"/>
      <c r="AU714" s="56"/>
    </row>
    <row r="715" spans="1:47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AF715" s="56"/>
      <c r="AG715" s="56"/>
      <c r="AH715" s="56"/>
      <c r="AI715" s="56"/>
      <c r="AJ715" s="56"/>
      <c r="AK715" s="56"/>
      <c r="AL715" s="56"/>
      <c r="AS715" s="56"/>
      <c r="AT715" s="56"/>
      <c r="AU715" s="56"/>
    </row>
    <row r="716" spans="1:47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AF716" s="56"/>
      <c r="AG716" s="56"/>
      <c r="AH716" s="56"/>
      <c r="AI716" s="56"/>
      <c r="AJ716" s="56"/>
      <c r="AK716" s="56"/>
      <c r="AL716" s="56"/>
      <c r="AS716" s="56"/>
      <c r="AT716" s="56"/>
      <c r="AU716" s="56"/>
    </row>
    <row r="717" spans="1:47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AF717" s="56"/>
      <c r="AG717" s="56"/>
      <c r="AH717" s="56"/>
      <c r="AI717" s="56"/>
      <c r="AJ717" s="56"/>
      <c r="AK717" s="56"/>
      <c r="AL717" s="56"/>
      <c r="AS717" s="56"/>
      <c r="AT717" s="56"/>
      <c r="AU717" s="56"/>
    </row>
    <row r="718" spans="1:47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AF718" s="56"/>
      <c r="AG718" s="56"/>
      <c r="AH718" s="56"/>
      <c r="AI718" s="56"/>
      <c r="AJ718" s="56"/>
      <c r="AK718" s="56"/>
      <c r="AL718" s="56"/>
      <c r="AS718" s="56"/>
      <c r="AT718" s="56"/>
      <c r="AU718" s="56"/>
    </row>
    <row r="719" spans="1:47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AF719" s="56"/>
      <c r="AG719" s="56"/>
      <c r="AH719" s="56"/>
      <c r="AI719" s="56"/>
      <c r="AJ719" s="56"/>
      <c r="AK719" s="56"/>
      <c r="AL719" s="56"/>
      <c r="AS719" s="56"/>
      <c r="AT719" s="56"/>
      <c r="AU719" s="56"/>
    </row>
    <row r="720" spans="1:47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AF720" s="56"/>
      <c r="AG720" s="56"/>
      <c r="AH720" s="56"/>
      <c r="AI720" s="56"/>
      <c r="AJ720" s="56"/>
      <c r="AK720" s="56"/>
      <c r="AL720" s="56"/>
      <c r="AS720" s="56"/>
      <c r="AT720" s="56"/>
      <c r="AU720" s="56"/>
    </row>
    <row r="721" spans="1:47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AF721" s="56"/>
      <c r="AG721" s="56"/>
      <c r="AH721" s="56"/>
      <c r="AI721" s="56"/>
      <c r="AJ721" s="56"/>
      <c r="AK721" s="56"/>
      <c r="AL721" s="56"/>
      <c r="AS721" s="56"/>
      <c r="AT721" s="56"/>
      <c r="AU721" s="56"/>
    </row>
    <row r="722" spans="1:47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AF722" s="56"/>
      <c r="AG722" s="56"/>
      <c r="AH722" s="56"/>
      <c r="AI722" s="56"/>
      <c r="AJ722" s="56"/>
      <c r="AK722" s="56"/>
      <c r="AL722" s="56"/>
      <c r="AS722" s="56"/>
      <c r="AT722" s="56"/>
      <c r="AU722" s="56"/>
    </row>
    <row r="723" spans="1:47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AF723" s="56"/>
      <c r="AG723" s="56"/>
      <c r="AH723" s="56"/>
      <c r="AI723" s="56"/>
      <c r="AJ723" s="56"/>
      <c r="AK723" s="56"/>
      <c r="AL723" s="56"/>
      <c r="AS723" s="56"/>
      <c r="AT723" s="56"/>
      <c r="AU723" s="56"/>
    </row>
    <row r="724" spans="1:47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AF724" s="56"/>
      <c r="AG724" s="56"/>
      <c r="AH724" s="56"/>
      <c r="AI724" s="56"/>
      <c r="AJ724" s="56"/>
      <c r="AK724" s="56"/>
      <c r="AL724" s="56"/>
      <c r="AS724" s="56"/>
      <c r="AT724" s="56"/>
      <c r="AU724" s="56"/>
    </row>
    <row r="725" spans="1:47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AF725" s="56"/>
      <c r="AG725" s="56"/>
      <c r="AH725" s="56"/>
      <c r="AI725" s="56"/>
      <c r="AJ725" s="56"/>
      <c r="AK725" s="56"/>
      <c r="AL725" s="56"/>
      <c r="AS725" s="56"/>
      <c r="AT725" s="56"/>
      <c r="AU725" s="56"/>
    </row>
    <row r="726" spans="1:47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AF726" s="56"/>
      <c r="AG726" s="56"/>
      <c r="AH726" s="56"/>
      <c r="AI726" s="56"/>
      <c r="AJ726" s="56"/>
      <c r="AK726" s="56"/>
      <c r="AL726" s="56"/>
      <c r="AS726" s="56"/>
      <c r="AT726" s="56"/>
      <c r="AU726" s="56"/>
    </row>
    <row r="727" spans="1:47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AF727" s="56"/>
      <c r="AG727" s="56"/>
      <c r="AH727" s="56"/>
      <c r="AI727" s="56"/>
      <c r="AJ727" s="56"/>
      <c r="AK727" s="56"/>
      <c r="AL727" s="56"/>
      <c r="AS727" s="56"/>
      <c r="AT727" s="56"/>
      <c r="AU727" s="56"/>
    </row>
    <row r="728" spans="1:47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AF728" s="56"/>
      <c r="AG728" s="56"/>
      <c r="AH728" s="56"/>
      <c r="AI728" s="56"/>
      <c r="AJ728" s="56"/>
      <c r="AK728" s="56"/>
      <c r="AL728" s="56"/>
      <c r="AS728" s="56"/>
      <c r="AT728" s="56"/>
      <c r="AU728" s="56"/>
    </row>
    <row r="729" spans="1:47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AF729" s="56"/>
      <c r="AG729" s="56"/>
      <c r="AH729" s="56"/>
      <c r="AI729" s="56"/>
      <c r="AJ729" s="56"/>
      <c r="AK729" s="56"/>
      <c r="AL729" s="56"/>
      <c r="AS729" s="56"/>
      <c r="AT729" s="56"/>
      <c r="AU729" s="56"/>
    </row>
    <row r="730" spans="1:47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AF730" s="56"/>
      <c r="AG730" s="56"/>
      <c r="AH730" s="56"/>
      <c r="AI730" s="56"/>
      <c r="AJ730" s="56"/>
      <c r="AK730" s="56"/>
      <c r="AL730" s="56"/>
      <c r="AS730" s="56"/>
      <c r="AT730" s="56"/>
      <c r="AU730" s="56"/>
    </row>
    <row r="731" spans="1:47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AF731" s="56"/>
      <c r="AG731" s="56"/>
      <c r="AH731" s="56"/>
      <c r="AI731" s="56"/>
      <c r="AJ731" s="56"/>
      <c r="AK731" s="56"/>
      <c r="AL731" s="56"/>
      <c r="AS731" s="56"/>
      <c r="AT731" s="56"/>
      <c r="AU731" s="56"/>
    </row>
    <row r="732" spans="1:47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AF732" s="56"/>
      <c r="AG732" s="56"/>
      <c r="AH732" s="56"/>
      <c r="AI732" s="56"/>
      <c r="AJ732" s="56"/>
      <c r="AK732" s="56"/>
      <c r="AL732" s="56"/>
      <c r="AS732" s="56"/>
      <c r="AT732" s="56"/>
      <c r="AU732" s="56"/>
    </row>
    <row r="733" spans="1:47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AF733" s="56"/>
      <c r="AG733" s="56"/>
      <c r="AH733" s="56"/>
      <c r="AI733" s="56"/>
      <c r="AJ733" s="56"/>
      <c r="AK733" s="56"/>
      <c r="AL733" s="56"/>
      <c r="AS733" s="56"/>
      <c r="AT733" s="56"/>
      <c r="AU733" s="56"/>
    </row>
    <row r="734" spans="1:47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AF734" s="56"/>
      <c r="AG734" s="56"/>
      <c r="AH734" s="56"/>
      <c r="AI734" s="56"/>
      <c r="AJ734" s="56"/>
      <c r="AK734" s="56"/>
      <c r="AL734" s="56"/>
      <c r="AS734" s="56"/>
      <c r="AT734" s="56"/>
      <c r="AU734" s="56"/>
    </row>
    <row r="735" spans="1:47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AF735" s="56"/>
      <c r="AG735" s="56"/>
      <c r="AH735" s="56"/>
      <c r="AI735" s="56"/>
      <c r="AJ735" s="56"/>
      <c r="AK735" s="56"/>
      <c r="AL735" s="56"/>
      <c r="AS735" s="56"/>
      <c r="AT735" s="56"/>
      <c r="AU735" s="56"/>
    </row>
    <row r="736" spans="1:47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AF736" s="56"/>
      <c r="AG736" s="56"/>
      <c r="AH736" s="56"/>
      <c r="AI736" s="56"/>
      <c r="AJ736" s="56"/>
      <c r="AK736" s="56"/>
      <c r="AL736" s="56"/>
      <c r="AS736" s="56"/>
      <c r="AT736" s="56"/>
      <c r="AU736" s="56"/>
    </row>
    <row r="737" spans="1:47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AF737" s="56"/>
      <c r="AG737" s="56"/>
      <c r="AH737" s="56"/>
      <c r="AI737" s="56"/>
      <c r="AJ737" s="56"/>
      <c r="AK737" s="56"/>
      <c r="AL737" s="56"/>
      <c r="AS737" s="56"/>
      <c r="AT737" s="56"/>
      <c r="AU737" s="56"/>
    </row>
    <row r="738" spans="1:47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AF738" s="56"/>
      <c r="AG738" s="56"/>
      <c r="AH738" s="56"/>
      <c r="AI738" s="56"/>
      <c r="AJ738" s="56"/>
      <c r="AK738" s="56"/>
      <c r="AL738" s="56"/>
      <c r="AS738" s="56"/>
      <c r="AT738" s="56"/>
      <c r="AU738" s="56"/>
    </row>
    <row r="739" spans="1:47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AF739" s="56"/>
      <c r="AG739" s="56"/>
      <c r="AH739" s="56"/>
      <c r="AI739" s="56"/>
      <c r="AJ739" s="56"/>
      <c r="AK739" s="56"/>
      <c r="AL739" s="56"/>
      <c r="AS739" s="56"/>
      <c r="AT739" s="56"/>
      <c r="AU739" s="56"/>
    </row>
    <row r="740" spans="1:47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AF740" s="56"/>
      <c r="AG740" s="56"/>
      <c r="AH740" s="56"/>
      <c r="AI740" s="56"/>
      <c r="AJ740" s="56"/>
      <c r="AK740" s="56"/>
      <c r="AL740" s="56"/>
      <c r="AS740" s="56"/>
      <c r="AT740" s="56"/>
      <c r="AU740" s="56"/>
    </row>
    <row r="741" spans="1:47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AF741" s="56"/>
      <c r="AG741" s="56"/>
      <c r="AH741" s="56"/>
      <c r="AI741" s="56"/>
      <c r="AJ741" s="56"/>
      <c r="AK741" s="56"/>
      <c r="AL741" s="56"/>
      <c r="AS741" s="56"/>
      <c r="AT741" s="56"/>
      <c r="AU741" s="56"/>
    </row>
    <row r="742" spans="1:47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AF742" s="56"/>
      <c r="AG742" s="56"/>
      <c r="AH742" s="56"/>
      <c r="AI742" s="56"/>
      <c r="AJ742" s="56"/>
      <c r="AK742" s="56"/>
      <c r="AL742" s="56"/>
      <c r="AS742" s="56"/>
      <c r="AT742" s="56"/>
      <c r="AU742" s="56"/>
    </row>
    <row r="743" spans="1:47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AF743" s="56"/>
      <c r="AG743" s="56"/>
      <c r="AH743" s="56"/>
      <c r="AI743" s="56"/>
      <c r="AJ743" s="56"/>
      <c r="AK743" s="56"/>
      <c r="AL743" s="56"/>
      <c r="AS743" s="56"/>
      <c r="AT743" s="56"/>
      <c r="AU743" s="56"/>
    </row>
    <row r="744" spans="1:47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AF744" s="56"/>
      <c r="AG744" s="56"/>
      <c r="AH744" s="56"/>
      <c r="AI744" s="56"/>
      <c r="AJ744" s="56"/>
      <c r="AK744" s="56"/>
      <c r="AL744" s="56"/>
      <c r="AS744" s="56"/>
      <c r="AT744" s="56"/>
      <c r="AU744" s="56"/>
    </row>
    <row r="745" spans="1:47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AF745" s="56"/>
      <c r="AG745" s="56"/>
      <c r="AH745" s="56"/>
      <c r="AI745" s="56"/>
      <c r="AJ745" s="56"/>
      <c r="AK745" s="56"/>
      <c r="AL745" s="56"/>
      <c r="AS745" s="56"/>
      <c r="AT745" s="56"/>
      <c r="AU745" s="56"/>
    </row>
    <row r="746" spans="1:47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AF746" s="56"/>
      <c r="AG746" s="56"/>
      <c r="AH746" s="56"/>
      <c r="AI746" s="56"/>
      <c r="AJ746" s="56"/>
      <c r="AK746" s="56"/>
      <c r="AL746" s="56"/>
      <c r="AS746" s="56"/>
      <c r="AT746" s="56"/>
      <c r="AU746" s="56"/>
    </row>
    <row r="747" spans="1:47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AF747" s="56"/>
      <c r="AG747" s="56"/>
      <c r="AH747" s="56"/>
      <c r="AI747" s="56"/>
      <c r="AJ747" s="56"/>
      <c r="AK747" s="56"/>
      <c r="AL747" s="56"/>
      <c r="AS747" s="56"/>
      <c r="AT747" s="56"/>
      <c r="AU747" s="56"/>
    </row>
    <row r="748" spans="1:47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AF748" s="56"/>
      <c r="AG748" s="56"/>
      <c r="AH748" s="56"/>
      <c r="AI748" s="56"/>
      <c r="AJ748" s="56"/>
      <c r="AK748" s="56"/>
      <c r="AL748" s="56"/>
      <c r="AS748" s="56"/>
      <c r="AT748" s="56"/>
      <c r="AU748" s="56"/>
    </row>
    <row r="749" spans="1:47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AF749" s="56"/>
      <c r="AG749" s="56"/>
      <c r="AH749" s="56"/>
      <c r="AI749" s="56"/>
      <c r="AJ749" s="56"/>
      <c r="AK749" s="56"/>
      <c r="AL749" s="56"/>
      <c r="AS749" s="56"/>
      <c r="AT749" s="56"/>
      <c r="AU749" s="56"/>
    </row>
    <row r="750" spans="1:47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AF750" s="56"/>
      <c r="AG750" s="56"/>
      <c r="AH750" s="56"/>
      <c r="AI750" s="56"/>
      <c r="AJ750" s="56"/>
      <c r="AK750" s="56"/>
      <c r="AL750" s="56"/>
      <c r="AS750" s="56"/>
      <c r="AT750" s="56"/>
      <c r="AU750" s="56"/>
    </row>
    <row r="751" spans="1:47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AF751" s="56"/>
      <c r="AG751" s="56"/>
      <c r="AH751" s="56"/>
      <c r="AI751" s="56"/>
      <c r="AJ751" s="56"/>
      <c r="AK751" s="56"/>
      <c r="AL751" s="56"/>
      <c r="AS751" s="56"/>
      <c r="AT751" s="56"/>
      <c r="AU751" s="56"/>
    </row>
    <row r="752" spans="1:47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AF752" s="56"/>
      <c r="AG752" s="56"/>
      <c r="AH752" s="56"/>
      <c r="AI752" s="56"/>
      <c r="AJ752" s="56"/>
      <c r="AK752" s="56"/>
      <c r="AL752" s="56"/>
      <c r="AS752" s="56"/>
      <c r="AT752" s="56"/>
      <c r="AU752" s="56"/>
    </row>
    <row r="753" spans="1:47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AF753" s="56"/>
      <c r="AG753" s="56"/>
      <c r="AH753" s="56"/>
      <c r="AI753" s="56"/>
      <c r="AJ753" s="56"/>
      <c r="AK753" s="56"/>
      <c r="AL753" s="56"/>
      <c r="AS753" s="56"/>
      <c r="AT753" s="56"/>
      <c r="AU753" s="56"/>
    </row>
    <row r="754" spans="1:47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AF754" s="56"/>
      <c r="AG754" s="56"/>
      <c r="AH754" s="56"/>
      <c r="AI754" s="56"/>
      <c r="AJ754" s="56"/>
      <c r="AK754" s="56"/>
      <c r="AL754" s="56"/>
      <c r="AS754" s="56"/>
      <c r="AT754" s="56"/>
      <c r="AU754" s="56"/>
    </row>
    <row r="755" spans="1:47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AF755" s="56"/>
      <c r="AG755" s="56"/>
      <c r="AH755" s="56"/>
      <c r="AI755" s="56"/>
      <c r="AJ755" s="56"/>
      <c r="AK755" s="56"/>
      <c r="AL755" s="56"/>
      <c r="AS755" s="56"/>
      <c r="AT755" s="56"/>
      <c r="AU755" s="56"/>
    </row>
    <row r="756" spans="1:47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AF756" s="56"/>
      <c r="AG756" s="56"/>
      <c r="AH756" s="56"/>
      <c r="AI756" s="56"/>
      <c r="AJ756" s="56"/>
      <c r="AK756" s="56"/>
      <c r="AL756" s="56"/>
      <c r="AS756" s="56"/>
      <c r="AT756" s="56"/>
      <c r="AU756" s="56"/>
    </row>
    <row r="757" spans="1:47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AF757" s="56"/>
      <c r="AG757" s="56"/>
      <c r="AH757" s="56"/>
      <c r="AI757" s="56"/>
      <c r="AJ757" s="56"/>
      <c r="AK757" s="56"/>
      <c r="AL757" s="56"/>
      <c r="AS757" s="56"/>
      <c r="AT757" s="56"/>
      <c r="AU757" s="56"/>
    </row>
    <row r="758" spans="1:47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AF758" s="56"/>
      <c r="AG758" s="56"/>
      <c r="AH758" s="56"/>
      <c r="AI758" s="56"/>
      <c r="AJ758" s="56"/>
      <c r="AK758" s="56"/>
      <c r="AL758" s="56"/>
      <c r="AS758" s="56"/>
      <c r="AT758" s="56"/>
      <c r="AU758" s="56"/>
    </row>
    <row r="759" spans="1:47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AF759" s="56"/>
      <c r="AG759" s="56"/>
      <c r="AH759" s="56"/>
      <c r="AI759" s="56"/>
      <c r="AJ759" s="56"/>
      <c r="AK759" s="56"/>
      <c r="AL759" s="56"/>
      <c r="AS759" s="56"/>
      <c r="AT759" s="56"/>
      <c r="AU759" s="56"/>
    </row>
    <row r="760" spans="1:47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AF760" s="56"/>
      <c r="AG760" s="56"/>
      <c r="AH760" s="56"/>
      <c r="AI760" s="56"/>
      <c r="AJ760" s="56"/>
      <c r="AK760" s="56"/>
      <c r="AL760" s="56"/>
      <c r="AS760" s="56"/>
      <c r="AT760" s="56"/>
      <c r="AU760" s="56"/>
    </row>
    <row r="761" spans="1:47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AF761" s="56"/>
      <c r="AG761" s="56"/>
      <c r="AH761" s="56"/>
      <c r="AI761" s="56"/>
      <c r="AJ761" s="56"/>
      <c r="AK761" s="56"/>
      <c r="AL761" s="56"/>
      <c r="AS761" s="56"/>
      <c r="AT761" s="56"/>
      <c r="AU761" s="56"/>
    </row>
    <row r="762" spans="1:47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AF762" s="56"/>
      <c r="AG762" s="56"/>
      <c r="AH762" s="56"/>
      <c r="AI762" s="56"/>
      <c r="AJ762" s="56"/>
      <c r="AK762" s="56"/>
      <c r="AL762" s="56"/>
      <c r="AS762" s="56"/>
      <c r="AT762" s="56"/>
      <c r="AU762" s="56"/>
    </row>
    <row r="763" spans="1:47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AF763" s="56"/>
      <c r="AG763" s="56"/>
      <c r="AH763" s="56"/>
      <c r="AI763" s="56"/>
      <c r="AJ763" s="56"/>
      <c r="AK763" s="56"/>
      <c r="AL763" s="56"/>
      <c r="AS763" s="56"/>
      <c r="AT763" s="56"/>
      <c r="AU763" s="56"/>
    </row>
    <row r="764" spans="1:47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AF764" s="56"/>
      <c r="AG764" s="56"/>
      <c r="AH764" s="56"/>
      <c r="AI764" s="56"/>
      <c r="AJ764" s="56"/>
      <c r="AK764" s="56"/>
      <c r="AL764" s="56"/>
      <c r="AS764" s="56"/>
      <c r="AT764" s="56"/>
      <c r="AU764" s="56"/>
    </row>
    <row r="765" spans="1:47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AF765" s="56"/>
      <c r="AG765" s="56"/>
      <c r="AH765" s="56"/>
      <c r="AI765" s="56"/>
      <c r="AJ765" s="56"/>
      <c r="AK765" s="56"/>
      <c r="AL765" s="56"/>
      <c r="AS765" s="56"/>
      <c r="AT765" s="56"/>
      <c r="AU765" s="56"/>
    </row>
    <row r="766" spans="1:47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AF766" s="56"/>
      <c r="AG766" s="56"/>
      <c r="AH766" s="56"/>
      <c r="AI766" s="56"/>
      <c r="AJ766" s="56"/>
      <c r="AK766" s="56"/>
      <c r="AL766" s="56"/>
      <c r="AS766" s="56"/>
      <c r="AT766" s="56"/>
      <c r="AU766" s="56"/>
    </row>
    <row r="767" spans="1:47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AF767" s="56"/>
      <c r="AG767" s="56"/>
      <c r="AH767" s="56"/>
      <c r="AI767" s="56"/>
      <c r="AJ767" s="56"/>
      <c r="AK767" s="56"/>
      <c r="AL767" s="56"/>
      <c r="AS767" s="56"/>
      <c r="AT767" s="56"/>
      <c r="AU767" s="56"/>
    </row>
    <row r="768" spans="1:47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AF768" s="56"/>
      <c r="AG768" s="56"/>
      <c r="AH768" s="56"/>
      <c r="AI768" s="56"/>
      <c r="AJ768" s="56"/>
      <c r="AK768" s="56"/>
      <c r="AL768" s="56"/>
      <c r="AS768" s="56"/>
      <c r="AT768" s="56"/>
      <c r="AU768" s="56"/>
    </row>
    <row r="769" spans="1:47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AF769" s="56"/>
      <c r="AG769" s="56"/>
      <c r="AH769" s="56"/>
      <c r="AI769" s="56"/>
      <c r="AJ769" s="56"/>
      <c r="AK769" s="56"/>
      <c r="AL769" s="56"/>
      <c r="AS769" s="56"/>
      <c r="AT769" s="56"/>
      <c r="AU769" s="56"/>
    </row>
    <row r="770" spans="1:47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AF770" s="56"/>
      <c r="AG770" s="56"/>
      <c r="AH770" s="56"/>
      <c r="AI770" s="56"/>
      <c r="AJ770" s="56"/>
      <c r="AK770" s="56"/>
      <c r="AL770" s="56"/>
      <c r="AS770" s="56"/>
      <c r="AT770" s="56"/>
      <c r="AU770" s="56"/>
    </row>
    <row r="771" spans="1:47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AF771" s="56"/>
      <c r="AG771" s="56"/>
      <c r="AH771" s="56"/>
      <c r="AI771" s="56"/>
      <c r="AJ771" s="56"/>
      <c r="AK771" s="56"/>
      <c r="AL771" s="56"/>
      <c r="AS771" s="56"/>
      <c r="AT771" s="56"/>
      <c r="AU771" s="56"/>
    </row>
    <row r="772" spans="1:47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AF772" s="56"/>
      <c r="AG772" s="56"/>
      <c r="AH772" s="56"/>
      <c r="AI772" s="56"/>
      <c r="AJ772" s="56"/>
      <c r="AK772" s="56"/>
      <c r="AL772" s="56"/>
      <c r="AS772" s="56"/>
      <c r="AT772" s="56"/>
      <c r="AU772" s="56"/>
    </row>
    <row r="773" spans="1:47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AF773" s="56"/>
      <c r="AG773" s="56"/>
      <c r="AH773" s="56"/>
      <c r="AI773" s="56"/>
      <c r="AJ773" s="56"/>
      <c r="AK773" s="56"/>
      <c r="AL773" s="56"/>
      <c r="AS773" s="56"/>
      <c r="AT773" s="56"/>
      <c r="AU773" s="56"/>
    </row>
    <row r="774" spans="1:47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AF774" s="56"/>
      <c r="AG774" s="56"/>
      <c r="AH774" s="56"/>
      <c r="AI774" s="56"/>
      <c r="AJ774" s="56"/>
      <c r="AK774" s="56"/>
      <c r="AL774" s="56"/>
      <c r="AS774" s="56"/>
      <c r="AT774" s="56"/>
      <c r="AU774" s="56"/>
    </row>
    <row r="775" spans="1:47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AF775" s="56"/>
      <c r="AG775" s="56"/>
      <c r="AH775" s="56"/>
      <c r="AI775" s="56"/>
      <c r="AJ775" s="56"/>
      <c r="AK775" s="56"/>
      <c r="AL775" s="56"/>
      <c r="AS775" s="56"/>
      <c r="AT775" s="56"/>
      <c r="AU775" s="56"/>
    </row>
    <row r="776" spans="1:47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AF776" s="56"/>
      <c r="AG776" s="56"/>
      <c r="AH776" s="56"/>
      <c r="AI776" s="56"/>
      <c r="AJ776" s="56"/>
      <c r="AK776" s="56"/>
      <c r="AL776" s="56"/>
      <c r="AS776" s="56"/>
      <c r="AT776" s="56"/>
      <c r="AU776" s="56"/>
    </row>
    <row r="777" spans="1:47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AF777" s="56"/>
      <c r="AG777" s="56"/>
      <c r="AH777" s="56"/>
      <c r="AI777" s="56"/>
      <c r="AJ777" s="56"/>
      <c r="AK777" s="56"/>
      <c r="AL777" s="56"/>
      <c r="AS777" s="56"/>
      <c r="AT777" s="56"/>
      <c r="AU777" s="56"/>
    </row>
    <row r="778" spans="1:47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AF778" s="56"/>
      <c r="AG778" s="56"/>
      <c r="AH778" s="56"/>
      <c r="AI778" s="56"/>
      <c r="AJ778" s="56"/>
      <c r="AK778" s="56"/>
      <c r="AL778" s="56"/>
      <c r="AS778" s="56"/>
      <c r="AT778" s="56"/>
      <c r="AU778" s="56"/>
    </row>
    <row r="779" spans="1:47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AF779" s="56"/>
      <c r="AG779" s="56"/>
      <c r="AH779" s="56"/>
      <c r="AI779" s="56"/>
      <c r="AJ779" s="56"/>
      <c r="AK779" s="56"/>
      <c r="AL779" s="56"/>
      <c r="AS779" s="56"/>
      <c r="AT779" s="56"/>
      <c r="AU779" s="56"/>
    </row>
    <row r="780" spans="1:47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AF780" s="56"/>
      <c r="AG780" s="56"/>
      <c r="AH780" s="56"/>
      <c r="AI780" s="56"/>
      <c r="AJ780" s="56"/>
      <c r="AK780" s="56"/>
      <c r="AL780" s="56"/>
      <c r="AS780" s="56"/>
      <c r="AT780" s="56"/>
      <c r="AU780" s="56"/>
    </row>
    <row r="781" spans="1:47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AF781" s="56"/>
      <c r="AG781" s="56"/>
      <c r="AH781" s="56"/>
      <c r="AI781" s="56"/>
      <c r="AJ781" s="56"/>
      <c r="AK781" s="56"/>
      <c r="AL781" s="56"/>
      <c r="AS781" s="56"/>
      <c r="AT781" s="56"/>
      <c r="AU781" s="56"/>
    </row>
    <row r="782" spans="1:47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AF782" s="56"/>
      <c r="AG782" s="56"/>
      <c r="AH782" s="56"/>
      <c r="AI782" s="56"/>
      <c r="AJ782" s="56"/>
      <c r="AK782" s="56"/>
      <c r="AL782" s="56"/>
      <c r="AS782" s="56"/>
      <c r="AT782" s="56"/>
      <c r="AU782" s="56"/>
    </row>
    <row r="783" spans="1:47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AF783" s="56"/>
      <c r="AG783" s="56"/>
      <c r="AH783" s="56"/>
      <c r="AI783" s="56"/>
      <c r="AJ783" s="56"/>
      <c r="AK783" s="56"/>
      <c r="AL783" s="56"/>
      <c r="AS783" s="56"/>
      <c r="AT783" s="56"/>
      <c r="AU783" s="56"/>
    </row>
    <row r="784" spans="1:47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AF784" s="56"/>
      <c r="AG784" s="56"/>
      <c r="AH784" s="56"/>
      <c r="AI784" s="56"/>
      <c r="AJ784" s="56"/>
      <c r="AK784" s="56"/>
      <c r="AL784" s="56"/>
      <c r="AS784" s="56"/>
      <c r="AT784" s="56"/>
      <c r="AU784" s="56"/>
    </row>
    <row r="785" spans="1:47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AF785" s="56"/>
      <c r="AG785" s="56"/>
      <c r="AH785" s="56"/>
      <c r="AI785" s="56"/>
      <c r="AJ785" s="56"/>
      <c r="AK785" s="56"/>
      <c r="AL785" s="56"/>
      <c r="AS785" s="56"/>
      <c r="AT785" s="56"/>
      <c r="AU785" s="56"/>
    </row>
    <row r="786" spans="1:47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AF786" s="56"/>
      <c r="AG786" s="56"/>
      <c r="AH786" s="56"/>
      <c r="AI786" s="56"/>
      <c r="AJ786" s="56"/>
      <c r="AK786" s="56"/>
      <c r="AL786" s="56"/>
      <c r="AS786" s="56"/>
      <c r="AT786" s="56"/>
      <c r="AU786" s="56"/>
    </row>
    <row r="787" spans="1:47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AF787" s="56"/>
      <c r="AG787" s="56"/>
      <c r="AH787" s="56"/>
      <c r="AI787" s="56"/>
      <c r="AJ787" s="56"/>
      <c r="AK787" s="56"/>
      <c r="AL787" s="56"/>
      <c r="AS787" s="56"/>
      <c r="AT787" s="56"/>
      <c r="AU787" s="56"/>
    </row>
    <row r="788" spans="1:47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AF788" s="56"/>
      <c r="AG788" s="56"/>
      <c r="AH788" s="56"/>
      <c r="AI788" s="56"/>
      <c r="AJ788" s="56"/>
      <c r="AK788" s="56"/>
      <c r="AL788" s="56"/>
      <c r="AS788" s="56"/>
      <c r="AT788" s="56"/>
      <c r="AU788" s="56"/>
    </row>
    <row r="789" spans="1:47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AF789" s="56"/>
      <c r="AG789" s="56"/>
      <c r="AH789" s="56"/>
      <c r="AI789" s="56"/>
      <c r="AJ789" s="56"/>
      <c r="AK789" s="56"/>
      <c r="AL789" s="56"/>
      <c r="AS789" s="56"/>
      <c r="AT789" s="56"/>
      <c r="AU789" s="56"/>
    </row>
    <row r="790" spans="1:47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AF790" s="56"/>
      <c r="AG790" s="56"/>
      <c r="AH790" s="56"/>
      <c r="AI790" s="56"/>
      <c r="AJ790" s="56"/>
      <c r="AK790" s="56"/>
      <c r="AL790" s="56"/>
      <c r="AS790" s="56"/>
      <c r="AT790" s="56"/>
      <c r="AU790" s="56"/>
    </row>
    <row r="791" spans="1:47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AF791" s="56"/>
      <c r="AG791" s="56"/>
      <c r="AH791" s="56"/>
      <c r="AI791" s="56"/>
      <c r="AJ791" s="56"/>
      <c r="AK791" s="56"/>
      <c r="AL791" s="56"/>
      <c r="AS791" s="56"/>
      <c r="AT791" s="56"/>
      <c r="AU791" s="56"/>
    </row>
    <row r="792" spans="1:47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AF792" s="56"/>
      <c r="AG792" s="56"/>
      <c r="AH792" s="56"/>
      <c r="AI792" s="56"/>
      <c r="AJ792" s="56"/>
      <c r="AK792" s="56"/>
      <c r="AL792" s="56"/>
      <c r="AS792" s="56"/>
      <c r="AT792" s="56"/>
      <c r="AU792" s="56"/>
    </row>
    <row r="793" spans="1:47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AF793" s="56"/>
      <c r="AG793" s="56"/>
      <c r="AH793" s="56"/>
      <c r="AI793" s="56"/>
      <c r="AJ793" s="56"/>
      <c r="AK793" s="56"/>
      <c r="AL793" s="56"/>
      <c r="AS793" s="56"/>
      <c r="AT793" s="56"/>
      <c r="AU793" s="56"/>
    </row>
    <row r="794" spans="1:47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AF794" s="56"/>
      <c r="AG794" s="56"/>
      <c r="AH794" s="56"/>
      <c r="AI794" s="56"/>
      <c r="AJ794" s="56"/>
      <c r="AK794" s="56"/>
      <c r="AL794" s="56"/>
      <c r="AS794" s="56"/>
      <c r="AT794" s="56"/>
      <c r="AU794" s="56"/>
    </row>
    <row r="795" spans="1:47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AF795" s="56"/>
      <c r="AG795" s="56"/>
      <c r="AH795" s="56"/>
      <c r="AI795" s="56"/>
      <c r="AJ795" s="56"/>
      <c r="AK795" s="56"/>
      <c r="AL795" s="56"/>
      <c r="AS795" s="56"/>
      <c r="AT795" s="56"/>
      <c r="AU795" s="56"/>
    </row>
    <row r="796" spans="1:47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AF796" s="56"/>
      <c r="AG796" s="56"/>
      <c r="AH796" s="56"/>
      <c r="AI796" s="56"/>
      <c r="AJ796" s="56"/>
      <c r="AK796" s="56"/>
      <c r="AL796" s="56"/>
      <c r="AS796" s="56"/>
      <c r="AT796" s="56"/>
      <c r="AU796" s="56"/>
    </row>
    <row r="797" spans="1:47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AF797" s="56"/>
      <c r="AG797" s="56"/>
      <c r="AH797" s="56"/>
      <c r="AI797" s="56"/>
      <c r="AJ797" s="56"/>
      <c r="AK797" s="56"/>
      <c r="AL797" s="56"/>
      <c r="AS797" s="56"/>
      <c r="AT797" s="56"/>
      <c r="AU797" s="56"/>
    </row>
    <row r="798" spans="1:47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AF798" s="56"/>
      <c r="AG798" s="56"/>
      <c r="AH798" s="56"/>
      <c r="AI798" s="56"/>
      <c r="AJ798" s="56"/>
      <c r="AK798" s="56"/>
      <c r="AL798" s="56"/>
      <c r="AS798" s="56"/>
      <c r="AT798" s="56"/>
      <c r="AU798" s="56"/>
    </row>
    <row r="799" spans="1:47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AF799" s="56"/>
      <c r="AG799" s="56"/>
      <c r="AH799" s="56"/>
      <c r="AI799" s="56"/>
      <c r="AJ799" s="56"/>
      <c r="AK799" s="56"/>
      <c r="AL799" s="56"/>
      <c r="AS799" s="56"/>
      <c r="AT799" s="56"/>
      <c r="AU799" s="56"/>
    </row>
    <row r="800" spans="1:47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AF800" s="56"/>
      <c r="AG800" s="56"/>
      <c r="AH800" s="56"/>
      <c r="AI800" s="56"/>
      <c r="AJ800" s="56"/>
      <c r="AK800" s="56"/>
      <c r="AL800" s="56"/>
      <c r="AS800" s="56"/>
      <c r="AT800" s="56"/>
      <c r="AU800" s="56"/>
    </row>
    <row r="801" spans="1:47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AF801" s="56"/>
      <c r="AG801" s="56"/>
      <c r="AH801" s="56"/>
      <c r="AI801" s="56"/>
      <c r="AJ801" s="56"/>
      <c r="AK801" s="56"/>
      <c r="AL801" s="56"/>
      <c r="AS801" s="56"/>
      <c r="AT801" s="56"/>
      <c r="AU801" s="56"/>
    </row>
    <row r="802" spans="1:47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AF802" s="56"/>
      <c r="AG802" s="56"/>
      <c r="AH802" s="56"/>
      <c r="AI802" s="56"/>
      <c r="AJ802" s="56"/>
      <c r="AK802" s="56"/>
      <c r="AL802" s="56"/>
      <c r="AS802" s="56"/>
      <c r="AT802" s="56"/>
      <c r="AU802" s="56"/>
    </row>
    <row r="803" spans="1:47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AF803" s="56"/>
      <c r="AG803" s="56"/>
      <c r="AH803" s="56"/>
      <c r="AI803" s="56"/>
      <c r="AJ803" s="56"/>
      <c r="AK803" s="56"/>
      <c r="AL803" s="56"/>
      <c r="AS803" s="56"/>
      <c r="AT803" s="56"/>
      <c r="AU803" s="56"/>
    </row>
    <row r="804" spans="1:47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AF804" s="56"/>
      <c r="AG804" s="56"/>
      <c r="AH804" s="56"/>
      <c r="AI804" s="56"/>
      <c r="AJ804" s="56"/>
      <c r="AK804" s="56"/>
      <c r="AL804" s="56"/>
      <c r="AS804" s="56"/>
      <c r="AT804" s="56"/>
      <c r="AU804" s="56"/>
    </row>
    <row r="805" spans="1:47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AF805" s="56"/>
      <c r="AG805" s="56"/>
      <c r="AH805" s="56"/>
      <c r="AI805" s="56"/>
      <c r="AJ805" s="56"/>
      <c r="AK805" s="56"/>
      <c r="AL805" s="56"/>
      <c r="AS805" s="56"/>
      <c r="AT805" s="56"/>
      <c r="AU805" s="56"/>
    </row>
    <row r="806" spans="1:47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AF806" s="56"/>
      <c r="AG806" s="56"/>
      <c r="AH806" s="56"/>
      <c r="AI806" s="56"/>
      <c r="AJ806" s="56"/>
      <c r="AK806" s="56"/>
      <c r="AL806" s="56"/>
      <c r="AS806" s="56"/>
      <c r="AT806" s="56"/>
      <c r="AU806" s="56"/>
    </row>
    <row r="807" spans="1:47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AF807" s="56"/>
      <c r="AG807" s="56"/>
      <c r="AH807" s="56"/>
      <c r="AI807" s="56"/>
      <c r="AJ807" s="56"/>
      <c r="AK807" s="56"/>
      <c r="AL807" s="56"/>
      <c r="AS807" s="56"/>
      <c r="AT807" s="56"/>
      <c r="AU807" s="56"/>
    </row>
    <row r="808" spans="1:47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AF808" s="56"/>
      <c r="AG808" s="56"/>
      <c r="AH808" s="56"/>
      <c r="AI808" s="56"/>
      <c r="AJ808" s="56"/>
      <c r="AK808" s="56"/>
      <c r="AL808" s="56"/>
      <c r="AS808" s="56"/>
      <c r="AT808" s="56"/>
      <c r="AU808" s="56"/>
    </row>
    <row r="809" spans="1:47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AF809" s="56"/>
      <c r="AG809" s="56"/>
      <c r="AH809" s="56"/>
      <c r="AI809" s="56"/>
      <c r="AJ809" s="56"/>
      <c r="AK809" s="56"/>
      <c r="AL809" s="56"/>
      <c r="AS809" s="56"/>
      <c r="AT809" s="56"/>
      <c r="AU809" s="56"/>
    </row>
    <row r="810" spans="1:47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AF810" s="56"/>
      <c r="AG810" s="56"/>
      <c r="AH810" s="56"/>
      <c r="AI810" s="56"/>
      <c r="AJ810" s="56"/>
      <c r="AK810" s="56"/>
      <c r="AL810" s="56"/>
      <c r="AS810" s="56"/>
      <c r="AT810" s="56"/>
      <c r="AU810" s="56"/>
    </row>
    <row r="811" spans="1:47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AF811" s="56"/>
      <c r="AG811" s="56"/>
      <c r="AH811" s="56"/>
      <c r="AI811" s="56"/>
      <c r="AJ811" s="56"/>
      <c r="AK811" s="56"/>
      <c r="AL811" s="56"/>
      <c r="AS811" s="56"/>
      <c r="AT811" s="56"/>
      <c r="AU811" s="56"/>
    </row>
    <row r="812" spans="1:47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AF812" s="56"/>
      <c r="AG812" s="56"/>
      <c r="AH812" s="56"/>
      <c r="AI812" s="56"/>
      <c r="AJ812" s="56"/>
      <c r="AK812" s="56"/>
      <c r="AL812" s="56"/>
      <c r="AS812" s="56"/>
      <c r="AT812" s="56"/>
      <c r="AU812" s="56"/>
    </row>
    <row r="813" spans="1:47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AF813" s="56"/>
      <c r="AG813" s="56"/>
      <c r="AH813" s="56"/>
      <c r="AI813" s="56"/>
      <c r="AJ813" s="56"/>
      <c r="AK813" s="56"/>
      <c r="AL813" s="56"/>
      <c r="AS813" s="56"/>
      <c r="AT813" s="56"/>
      <c r="AU813" s="56"/>
    </row>
    <row r="814" spans="1:47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AF814" s="56"/>
      <c r="AG814" s="56"/>
      <c r="AH814" s="56"/>
      <c r="AI814" s="56"/>
      <c r="AJ814" s="56"/>
      <c r="AK814" s="56"/>
      <c r="AL814" s="56"/>
      <c r="AS814" s="56"/>
      <c r="AT814" s="56"/>
      <c r="AU814" s="56"/>
    </row>
    <row r="815" spans="1:47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AF815" s="56"/>
      <c r="AG815" s="56"/>
      <c r="AH815" s="56"/>
      <c r="AI815" s="56"/>
      <c r="AJ815" s="56"/>
      <c r="AK815" s="56"/>
      <c r="AL815" s="56"/>
      <c r="AS815" s="56"/>
      <c r="AT815" s="56"/>
      <c r="AU815" s="56"/>
    </row>
    <row r="816" spans="1:47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AF816" s="56"/>
      <c r="AG816" s="56"/>
      <c r="AH816" s="56"/>
      <c r="AI816" s="56"/>
      <c r="AJ816" s="56"/>
      <c r="AK816" s="56"/>
      <c r="AL816" s="56"/>
      <c r="AS816" s="56"/>
      <c r="AT816" s="56"/>
      <c r="AU816" s="56"/>
    </row>
    <row r="817" spans="1:47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AF817" s="56"/>
      <c r="AG817" s="56"/>
      <c r="AH817" s="56"/>
      <c r="AI817" s="56"/>
      <c r="AJ817" s="56"/>
      <c r="AK817" s="56"/>
      <c r="AL817" s="56"/>
      <c r="AS817" s="56"/>
      <c r="AT817" s="56"/>
      <c r="AU817" s="56"/>
    </row>
    <row r="818" spans="1:47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AF818" s="56"/>
      <c r="AG818" s="56"/>
      <c r="AH818" s="56"/>
      <c r="AI818" s="56"/>
      <c r="AJ818" s="56"/>
      <c r="AK818" s="56"/>
      <c r="AL818" s="56"/>
      <c r="AS818" s="56"/>
      <c r="AT818" s="56"/>
      <c r="AU818" s="56"/>
    </row>
    <row r="819" spans="1:47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AF819" s="56"/>
      <c r="AG819" s="56"/>
      <c r="AH819" s="56"/>
      <c r="AI819" s="56"/>
      <c r="AJ819" s="56"/>
      <c r="AK819" s="56"/>
      <c r="AL819" s="56"/>
      <c r="AS819" s="56"/>
      <c r="AT819" s="56"/>
      <c r="AU819" s="56"/>
    </row>
    <row r="820" spans="1:47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AF820" s="56"/>
      <c r="AG820" s="56"/>
      <c r="AH820" s="56"/>
      <c r="AI820" s="56"/>
      <c r="AJ820" s="56"/>
      <c r="AK820" s="56"/>
      <c r="AL820" s="56"/>
      <c r="AS820" s="56"/>
      <c r="AT820" s="56"/>
      <c r="AU820" s="56"/>
    </row>
    <row r="821" spans="1:47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AF821" s="56"/>
      <c r="AG821" s="56"/>
      <c r="AH821" s="56"/>
      <c r="AI821" s="56"/>
      <c r="AJ821" s="56"/>
      <c r="AK821" s="56"/>
      <c r="AL821" s="56"/>
      <c r="AS821" s="56"/>
      <c r="AT821" s="56"/>
      <c r="AU821" s="56"/>
    </row>
    <row r="822" spans="1:47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AF822" s="56"/>
      <c r="AG822" s="56"/>
      <c r="AH822" s="56"/>
      <c r="AI822" s="56"/>
      <c r="AJ822" s="56"/>
      <c r="AK822" s="56"/>
      <c r="AL822" s="56"/>
      <c r="AS822" s="56"/>
      <c r="AT822" s="56"/>
      <c r="AU822" s="56"/>
    </row>
    <row r="823" spans="1:47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AF823" s="56"/>
      <c r="AG823" s="56"/>
      <c r="AH823" s="56"/>
      <c r="AI823" s="56"/>
      <c r="AJ823" s="56"/>
      <c r="AK823" s="56"/>
      <c r="AL823" s="56"/>
      <c r="AS823" s="56"/>
      <c r="AT823" s="56"/>
      <c r="AU823" s="56"/>
    </row>
    <row r="824" spans="1:47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AF824" s="56"/>
      <c r="AG824" s="56"/>
      <c r="AH824" s="56"/>
      <c r="AI824" s="56"/>
      <c r="AJ824" s="56"/>
      <c r="AK824" s="56"/>
      <c r="AL824" s="56"/>
      <c r="AS824" s="56"/>
      <c r="AT824" s="56"/>
      <c r="AU824" s="56"/>
    </row>
    <row r="825" spans="1:47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AF825" s="56"/>
      <c r="AG825" s="56"/>
      <c r="AH825" s="56"/>
      <c r="AI825" s="56"/>
      <c r="AJ825" s="56"/>
      <c r="AK825" s="56"/>
      <c r="AL825" s="56"/>
      <c r="AS825" s="56"/>
      <c r="AT825" s="56"/>
      <c r="AU825" s="56"/>
    </row>
    <row r="826" spans="1:47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AF826" s="56"/>
      <c r="AG826" s="56"/>
      <c r="AH826" s="56"/>
      <c r="AI826" s="56"/>
      <c r="AJ826" s="56"/>
      <c r="AK826" s="56"/>
      <c r="AL826" s="56"/>
      <c r="AS826" s="56"/>
      <c r="AT826" s="56"/>
      <c r="AU826" s="56"/>
    </row>
    <row r="827" spans="1:47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AF827" s="56"/>
      <c r="AG827" s="56"/>
      <c r="AH827" s="56"/>
      <c r="AI827" s="56"/>
      <c r="AJ827" s="56"/>
      <c r="AK827" s="56"/>
      <c r="AL827" s="56"/>
      <c r="AS827" s="56"/>
      <c r="AT827" s="56"/>
      <c r="AU827" s="56"/>
    </row>
    <row r="828" spans="1:47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AF828" s="56"/>
      <c r="AG828" s="56"/>
      <c r="AH828" s="56"/>
      <c r="AI828" s="56"/>
      <c r="AJ828" s="56"/>
      <c r="AK828" s="56"/>
      <c r="AL828" s="56"/>
      <c r="AS828" s="56"/>
      <c r="AT828" s="56"/>
      <c r="AU828" s="56"/>
    </row>
    <row r="829" spans="1:47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AF829" s="56"/>
      <c r="AG829" s="56"/>
      <c r="AH829" s="56"/>
      <c r="AI829" s="56"/>
      <c r="AJ829" s="56"/>
      <c r="AK829" s="56"/>
      <c r="AL829" s="56"/>
      <c r="AS829" s="56"/>
      <c r="AT829" s="56"/>
      <c r="AU829" s="56"/>
    </row>
    <row r="830" spans="1:47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AF830" s="56"/>
      <c r="AG830" s="56"/>
      <c r="AH830" s="56"/>
      <c r="AI830" s="56"/>
      <c r="AJ830" s="56"/>
      <c r="AK830" s="56"/>
      <c r="AL830" s="56"/>
      <c r="AS830" s="56"/>
      <c r="AT830" s="56"/>
      <c r="AU830" s="56"/>
    </row>
    <row r="831" spans="1:47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AF831" s="56"/>
      <c r="AG831" s="56"/>
      <c r="AH831" s="56"/>
      <c r="AI831" s="56"/>
      <c r="AJ831" s="56"/>
      <c r="AK831" s="56"/>
      <c r="AL831" s="56"/>
      <c r="AS831" s="56"/>
      <c r="AT831" s="56"/>
      <c r="AU831" s="56"/>
    </row>
    <row r="832" spans="1:47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AF832" s="56"/>
      <c r="AG832" s="56"/>
      <c r="AH832" s="56"/>
      <c r="AI832" s="56"/>
      <c r="AJ832" s="56"/>
      <c r="AK832" s="56"/>
      <c r="AL832" s="56"/>
      <c r="AS832" s="56"/>
      <c r="AT832" s="56"/>
      <c r="AU832" s="56"/>
    </row>
    <row r="833" spans="1:47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AF833" s="56"/>
      <c r="AG833" s="56"/>
      <c r="AH833" s="56"/>
      <c r="AI833" s="56"/>
      <c r="AJ833" s="56"/>
      <c r="AK833" s="56"/>
      <c r="AL833" s="56"/>
      <c r="AS833" s="56"/>
      <c r="AT833" s="56"/>
      <c r="AU833" s="56"/>
    </row>
    <row r="834" spans="1:47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AF834" s="56"/>
      <c r="AG834" s="56"/>
      <c r="AH834" s="56"/>
      <c r="AI834" s="56"/>
      <c r="AJ834" s="56"/>
      <c r="AK834" s="56"/>
      <c r="AL834" s="56"/>
      <c r="AS834" s="56"/>
      <c r="AT834" s="56"/>
      <c r="AU834" s="56"/>
    </row>
    <row r="835" spans="1:47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AF835" s="56"/>
      <c r="AG835" s="56"/>
      <c r="AH835" s="56"/>
      <c r="AI835" s="56"/>
      <c r="AJ835" s="56"/>
      <c r="AK835" s="56"/>
      <c r="AL835" s="56"/>
      <c r="AS835" s="56"/>
      <c r="AT835" s="56"/>
      <c r="AU835" s="56"/>
    </row>
    <row r="836" spans="1:47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AF836" s="56"/>
      <c r="AG836" s="56"/>
      <c r="AH836" s="56"/>
      <c r="AI836" s="56"/>
      <c r="AJ836" s="56"/>
      <c r="AK836" s="56"/>
      <c r="AL836" s="56"/>
      <c r="AS836" s="56"/>
      <c r="AT836" s="56"/>
      <c r="AU836" s="56"/>
    </row>
    <row r="837" spans="1:47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AF837" s="56"/>
      <c r="AG837" s="56"/>
      <c r="AH837" s="56"/>
      <c r="AI837" s="56"/>
      <c r="AJ837" s="56"/>
      <c r="AK837" s="56"/>
      <c r="AL837" s="56"/>
      <c r="AS837" s="56"/>
      <c r="AT837" s="56"/>
      <c r="AU837" s="56"/>
    </row>
    <row r="838" spans="1:47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AF838" s="56"/>
      <c r="AG838" s="56"/>
      <c r="AH838" s="56"/>
      <c r="AI838" s="56"/>
      <c r="AJ838" s="56"/>
      <c r="AK838" s="56"/>
      <c r="AL838" s="56"/>
      <c r="AS838" s="56"/>
      <c r="AT838" s="56"/>
      <c r="AU838" s="56"/>
    </row>
    <row r="839" spans="1:47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AF839" s="56"/>
      <c r="AG839" s="56"/>
      <c r="AH839" s="56"/>
      <c r="AI839" s="56"/>
      <c r="AJ839" s="56"/>
      <c r="AK839" s="56"/>
      <c r="AL839" s="56"/>
      <c r="AS839" s="56"/>
      <c r="AT839" s="56"/>
      <c r="AU839" s="56"/>
    </row>
    <row r="840" spans="1:47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AF840" s="56"/>
      <c r="AG840" s="56"/>
      <c r="AH840" s="56"/>
      <c r="AI840" s="56"/>
      <c r="AJ840" s="56"/>
      <c r="AK840" s="56"/>
      <c r="AL840" s="56"/>
      <c r="AS840" s="56"/>
      <c r="AT840" s="56"/>
      <c r="AU840" s="56"/>
    </row>
    <row r="841" spans="1:47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AF841" s="56"/>
      <c r="AG841" s="56"/>
      <c r="AH841" s="56"/>
      <c r="AI841" s="56"/>
      <c r="AJ841" s="56"/>
      <c r="AK841" s="56"/>
      <c r="AL841" s="56"/>
      <c r="AS841" s="56"/>
      <c r="AT841" s="56"/>
      <c r="AU841" s="56"/>
    </row>
    <row r="842" spans="1:47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AF842" s="56"/>
      <c r="AG842" s="56"/>
      <c r="AH842" s="56"/>
      <c r="AI842" s="56"/>
      <c r="AJ842" s="56"/>
      <c r="AK842" s="56"/>
      <c r="AL842" s="56"/>
      <c r="AS842" s="56"/>
      <c r="AT842" s="56"/>
      <c r="AU842" s="56"/>
    </row>
    <row r="843" spans="1:47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AF843" s="56"/>
      <c r="AG843" s="56"/>
      <c r="AH843" s="56"/>
      <c r="AI843" s="56"/>
      <c r="AJ843" s="56"/>
      <c r="AK843" s="56"/>
      <c r="AL843" s="56"/>
      <c r="AS843" s="56"/>
      <c r="AT843" s="56"/>
      <c r="AU843" s="56"/>
    </row>
    <row r="844" spans="1:47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AF844" s="56"/>
      <c r="AG844" s="56"/>
      <c r="AH844" s="56"/>
      <c r="AI844" s="56"/>
      <c r="AJ844" s="56"/>
      <c r="AK844" s="56"/>
      <c r="AL844" s="56"/>
      <c r="AS844" s="56"/>
      <c r="AT844" s="56"/>
      <c r="AU844" s="56"/>
    </row>
    <row r="845" spans="1:47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AF845" s="56"/>
      <c r="AG845" s="56"/>
      <c r="AH845" s="56"/>
      <c r="AI845" s="56"/>
      <c r="AJ845" s="56"/>
      <c r="AK845" s="56"/>
      <c r="AL845" s="56"/>
      <c r="AS845" s="56"/>
      <c r="AT845" s="56"/>
      <c r="AU845" s="56"/>
    </row>
    <row r="846" spans="1:47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AF846" s="56"/>
      <c r="AG846" s="56"/>
      <c r="AH846" s="56"/>
      <c r="AI846" s="56"/>
      <c r="AJ846" s="56"/>
      <c r="AK846" s="56"/>
      <c r="AL846" s="56"/>
      <c r="AS846" s="56"/>
      <c r="AT846" s="56"/>
      <c r="AU846" s="56"/>
    </row>
    <row r="847" spans="1:47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AF847" s="56"/>
      <c r="AG847" s="56"/>
      <c r="AH847" s="56"/>
      <c r="AI847" s="56"/>
      <c r="AJ847" s="56"/>
      <c r="AK847" s="56"/>
      <c r="AL847" s="56"/>
      <c r="AS847" s="56"/>
      <c r="AT847" s="56"/>
      <c r="AU847" s="56"/>
    </row>
    <row r="848" spans="1:47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AF848" s="56"/>
      <c r="AG848" s="56"/>
      <c r="AH848" s="56"/>
      <c r="AI848" s="56"/>
      <c r="AJ848" s="56"/>
      <c r="AK848" s="56"/>
      <c r="AL848" s="56"/>
      <c r="AS848" s="56"/>
      <c r="AT848" s="56"/>
      <c r="AU848" s="56"/>
    </row>
    <row r="849" spans="1:47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AF849" s="56"/>
      <c r="AG849" s="56"/>
      <c r="AH849" s="56"/>
      <c r="AI849" s="56"/>
      <c r="AJ849" s="56"/>
      <c r="AK849" s="56"/>
      <c r="AL849" s="56"/>
      <c r="AS849" s="56"/>
      <c r="AT849" s="56"/>
      <c r="AU849" s="56"/>
    </row>
    <row r="850" spans="1:47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AF850" s="56"/>
      <c r="AG850" s="56"/>
      <c r="AH850" s="56"/>
      <c r="AI850" s="56"/>
      <c r="AJ850" s="56"/>
      <c r="AK850" s="56"/>
      <c r="AL850" s="56"/>
      <c r="AS850" s="56"/>
      <c r="AT850" s="56"/>
      <c r="AU850" s="56"/>
    </row>
    <row r="851" spans="1:47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AF851" s="56"/>
      <c r="AG851" s="56"/>
      <c r="AH851" s="56"/>
      <c r="AI851" s="56"/>
      <c r="AJ851" s="56"/>
      <c r="AK851" s="56"/>
      <c r="AL851" s="56"/>
      <c r="AS851" s="56"/>
      <c r="AT851" s="56"/>
      <c r="AU851" s="56"/>
    </row>
    <row r="852" spans="1:47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AF852" s="56"/>
      <c r="AG852" s="56"/>
      <c r="AH852" s="56"/>
      <c r="AI852" s="56"/>
      <c r="AJ852" s="56"/>
      <c r="AK852" s="56"/>
      <c r="AL852" s="56"/>
      <c r="AS852" s="56"/>
      <c r="AT852" s="56"/>
      <c r="AU852" s="56"/>
    </row>
    <row r="853" spans="1:47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AF853" s="56"/>
      <c r="AG853" s="56"/>
      <c r="AH853" s="56"/>
      <c r="AI853" s="56"/>
      <c r="AJ853" s="56"/>
      <c r="AK853" s="56"/>
      <c r="AL853" s="56"/>
      <c r="AS853" s="56"/>
      <c r="AT853" s="56"/>
      <c r="AU853" s="56"/>
    </row>
    <row r="854" spans="1:47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AF854" s="56"/>
      <c r="AG854" s="56"/>
      <c r="AH854" s="56"/>
      <c r="AI854" s="56"/>
      <c r="AJ854" s="56"/>
      <c r="AK854" s="56"/>
      <c r="AL854" s="56"/>
      <c r="AS854" s="56"/>
      <c r="AT854" s="56"/>
      <c r="AU854" s="56"/>
    </row>
    <row r="855" spans="1:47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AF855" s="56"/>
      <c r="AG855" s="56"/>
      <c r="AH855" s="56"/>
      <c r="AI855" s="56"/>
      <c r="AJ855" s="56"/>
      <c r="AK855" s="56"/>
      <c r="AL855" s="56"/>
      <c r="AS855" s="56"/>
      <c r="AT855" s="56"/>
      <c r="AU855" s="56"/>
    </row>
    <row r="856" spans="1:47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AF856" s="56"/>
      <c r="AG856" s="56"/>
      <c r="AH856" s="56"/>
      <c r="AI856" s="56"/>
      <c r="AJ856" s="56"/>
      <c r="AK856" s="56"/>
      <c r="AL856" s="56"/>
      <c r="AS856" s="56"/>
      <c r="AT856" s="56"/>
      <c r="AU856" s="56"/>
    </row>
    <row r="857" spans="1:47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AF857" s="56"/>
      <c r="AG857" s="56"/>
      <c r="AH857" s="56"/>
      <c r="AI857" s="56"/>
      <c r="AJ857" s="56"/>
      <c r="AK857" s="56"/>
      <c r="AL857" s="56"/>
      <c r="AS857" s="56"/>
      <c r="AT857" s="56"/>
      <c r="AU857" s="56"/>
    </row>
    <row r="858" spans="1:47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AF858" s="56"/>
      <c r="AG858" s="56"/>
      <c r="AH858" s="56"/>
      <c r="AI858" s="56"/>
      <c r="AJ858" s="56"/>
      <c r="AK858" s="56"/>
      <c r="AL858" s="56"/>
      <c r="AS858" s="56"/>
      <c r="AT858" s="56"/>
      <c r="AU858" s="56"/>
    </row>
    <row r="859" spans="1:47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AF859" s="56"/>
      <c r="AG859" s="56"/>
      <c r="AH859" s="56"/>
      <c r="AI859" s="56"/>
      <c r="AJ859" s="56"/>
      <c r="AK859" s="56"/>
      <c r="AL859" s="56"/>
      <c r="AS859" s="56"/>
      <c r="AT859" s="56"/>
      <c r="AU859" s="56"/>
    </row>
    <row r="860" spans="1:47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AF860" s="56"/>
      <c r="AG860" s="56"/>
      <c r="AH860" s="56"/>
      <c r="AI860" s="56"/>
      <c r="AJ860" s="56"/>
      <c r="AK860" s="56"/>
      <c r="AL860" s="56"/>
      <c r="AS860" s="56"/>
      <c r="AT860" s="56"/>
      <c r="AU860" s="56"/>
    </row>
    <row r="861" spans="1:47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AF861" s="56"/>
      <c r="AG861" s="56"/>
      <c r="AH861" s="56"/>
      <c r="AI861" s="56"/>
      <c r="AJ861" s="56"/>
      <c r="AK861" s="56"/>
      <c r="AL861" s="56"/>
      <c r="AS861" s="56"/>
      <c r="AT861" s="56"/>
      <c r="AU861" s="56"/>
    </row>
    <row r="862" spans="1:47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AF862" s="56"/>
      <c r="AG862" s="56"/>
      <c r="AH862" s="56"/>
      <c r="AI862" s="56"/>
      <c r="AJ862" s="56"/>
      <c r="AK862" s="56"/>
      <c r="AL862" s="56"/>
      <c r="AS862" s="56"/>
      <c r="AT862" s="56"/>
      <c r="AU862" s="56"/>
    </row>
    <row r="863" spans="1:47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AF863" s="56"/>
      <c r="AG863" s="56"/>
      <c r="AH863" s="56"/>
      <c r="AI863" s="56"/>
      <c r="AJ863" s="56"/>
      <c r="AK863" s="56"/>
      <c r="AL863" s="56"/>
      <c r="AS863" s="56"/>
      <c r="AT863" s="56"/>
      <c r="AU863" s="56"/>
    </row>
    <row r="864" spans="1:47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AF864" s="56"/>
      <c r="AG864" s="56"/>
      <c r="AH864" s="56"/>
      <c r="AI864" s="56"/>
      <c r="AJ864" s="56"/>
      <c r="AK864" s="56"/>
      <c r="AL864" s="56"/>
      <c r="AS864" s="56"/>
      <c r="AT864" s="56"/>
      <c r="AU864" s="56"/>
    </row>
    <row r="865" spans="1:47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AF865" s="56"/>
      <c r="AG865" s="56"/>
      <c r="AH865" s="56"/>
      <c r="AI865" s="56"/>
      <c r="AJ865" s="56"/>
      <c r="AK865" s="56"/>
      <c r="AL865" s="56"/>
      <c r="AS865" s="56"/>
      <c r="AT865" s="56"/>
      <c r="AU865" s="56"/>
    </row>
    <row r="866" spans="1:47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AF866" s="56"/>
      <c r="AG866" s="56"/>
      <c r="AH866" s="56"/>
      <c r="AI866" s="56"/>
      <c r="AJ866" s="56"/>
      <c r="AK866" s="56"/>
      <c r="AL866" s="56"/>
      <c r="AS866" s="56"/>
      <c r="AT866" s="56"/>
      <c r="AU866" s="56"/>
    </row>
    <row r="867" spans="1:47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AF867" s="56"/>
      <c r="AG867" s="56"/>
      <c r="AH867" s="56"/>
      <c r="AI867" s="56"/>
      <c r="AJ867" s="56"/>
      <c r="AK867" s="56"/>
      <c r="AL867" s="56"/>
      <c r="AS867" s="56"/>
      <c r="AT867" s="56"/>
      <c r="AU867" s="56"/>
    </row>
    <row r="868" spans="1:47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AF868" s="56"/>
      <c r="AG868" s="56"/>
      <c r="AH868" s="56"/>
      <c r="AI868" s="56"/>
      <c r="AJ868" s="56"/>
      <c r="AK868" s="56"/>
      <c r="AL868" s="56"/>
      <c r="AS868" s="56"/>
      <c r="AT868" s="56"/>
      <c r="AU868" s="56"/>
    </row>
    <row r="869" spans="1:47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AF869" s="56"/>
      <c r="AG869" s="56"/>
      <c r="AH869" s="56"/>
      <c r="AI869" s="56"/>
      <c r="AJ869" s="56"/>
      <c r="AK869" s="56"/>
      <c r="AL869" s="56"/>
      <c r="AS869" s="56"/>
      <c r="AT869" s="56"/>
      <c r="AU869" s="56"/>
    </row>
    <row r="870" spans="1:47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AF870" s="56"/>
      <c r="AG870" s="56"/>
      <c r="AH870" s="56"/>
      <c r="AI870" s="56"/>
      <c r="AJ870" s="56"/>
      <c r="AK870" s="56"/>
      <c r="AL870" s="56"/>
      <c r="AS870" s="56"/>
      <c r="AT870" s="56"/>
      <c r="AU870" s="56"/>
    </row>
    <row r="871" spans="1:47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AF871" s="56"/>
      <c r="AG871" s="56"/>
      <c r="AH871" s="56"/>
      <c r="AI871" s="56"/>
      <c r="AJ871" s="56"/>
      <c r="AK871" s="56"/>
      <c r="AL871" s="56"/>
      <c r="AS871" s="56"/>
      <c r="AT871" s="56"/>
      <c r="AU871" s="56"/>
    </row>
    <row r="872" spans="1:47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AF872" s="56"/>
      <c r="AG872" s="56"/>
      <c r="AH872" s="56"/>
      <c r="AI872" s="56"/>
      <c r="AJ872" s="56"/>
      <c r="AK872" s="56"/>
      <c r="AL872" s="56"/>
      <c r="AS872" s="56"/>
      <c r="AT872" s="56"/>
      <c r="AU872" s="56"/>
    </row>
    <row r="873" spans="1:47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AF873" s="56"/>
      <c r="AG873" s="56"/>
      <c r="AH873" s="56"/>
      <c r="AI873" s="56"/>
      <c r="AJ873" s="56"/>
      <c r="AK873" s="56"/>
      <c r="AL873" s="56"/>
      <c r="AS873" s="56"/>
      <c r="AT873" s="56"/>
      <c r="AU873" s="56"/>
    </row>
    <row r="874" spans="1:47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AF874" s="56"/>
      <c r="AG874" s="56"/>
      <c r="AH874" s="56"/>
      <c r="AI874" s="56"/>
      <c r="AJ874" s="56"/>
      <c r="AK874" s="56"/>
      <c r="AL874" s="56"/>
      <c r="AS874" s="56"/>
      <c r="AT874" s="56"/>
      <c r="AU874" s="56"/>
    </row>
    <row r="875" spans="1:47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AF875" s="56"/>
      <c r="AG875" s="56"/>
      <c r="AH875" s="56"/>
      <c r="AI875" s="56"/>
      <c r="AJ875" s="56"/>
      <c r="AK875" s="56"/>
      <c r="AL875" s="56"/>
      <c r="AS875" s="56"/>
      <c r="AT875" s="56"/>
      <c r="AU875" s="56"/>
    </row>
    <row r="876" spans="1:47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AF876" s="56"/>
      <c r="AG876" s="56"/>
      <c r="AH876" s="56"/>
      <c r="AI876" s="56"/>
      <c r="AJ876" s="56"/>
      <c r="AK876" s="56"/>
      <c r="AL876" s="56"/>
      <c r="AS876" s="56"/>
      <c r="AT876" s="56"/>
      <c r="AU876" s="56"/>
    </row>
    <row r="877" spans="1:47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AF877" s="56"/>
      <c r="AG877" s="56"/>
      <c r="AH877" s="56"/>
      <c r="AI877" s="56"/>
      <c r="AJ877" s="56"/>
      <c r="AK877" s="56"/>
      <c r="AL877" s="56"/>
      <c r="AS877" s="56"/>
      <c r="AT877" s="56"/>
      <c r="AU877" s="56"/>
    </row>
    <row r="878" spans="1:47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AF878" s="56"/>
      <c r="AG878" s="56"/>
      <c r="AH878" s="56"/>
      <c r="AI878" s="56"/>
      <c r="AJ878" s="56"/>
      <c r="AK878" s="56"/>
      <c r="AL878" s="56"/>
      <c r="AS878" s="56"/>
      <c r="AT878" s="56"/>
      <c r="AU878" s="56"/>
    </row>
    <row r="879" spans="1:47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AF879" s="56"/>
      <c r="AG879" s="56"/>
      <c r="AH879" s="56"/>
      <c r="AI879" s="56"/>
      <c r="AJ879" s="56"/>
      <c r="AK879" s="56"/>
      <c r="AL879" s="56"/>
      <c r="AS879" s="56"/>
      <c r="AT879" s="56"/>
      <c r="AU879" s="56"/>
    </row>
    <row r="880" spans="1:47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AF880" s="56"/>
      <c r="AG880" s="56"/>
      <c r="AH880" s="56"/>
      <c r="AI880" s="56"/>
      <c r="AJ880" s="56"/>
      <c r="AK880" s="56"/>
      <c r="AL880" s="56"/>
      <c r="AS880" s="56"/>
      <c r="AT880" s="56"/>
      <c r="AU880" s="56"/>
    </row>
    <row r="881" spans="1:47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AF881" s="56"/>
      <c r="AG881" s="56"/>
      <c r="AH881" s="56"/>
      <c r="AI881" s="56"/>
      <c r="AJ881" s="56"/>
      <c r="AK881" s="56"/>
      <c r="AL881" s="56"/>
      <c r="AS881" s="56"/>
      <c r="AT881" s="56"/>
      <c r="AU881" s="56"/>
    </row>
    <row r="882" spans="1:47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AF882" s="56"/>
      <c r="AG882" s="56"/>
      <c r="AH882" s="56"/>
      <c r="AI882" s="56"/>
      <c r="AJ882" s="56"/>
      <c r="AK882" s="56"/>
      <c r="AL882" s="56"/>
      <c r="AS882" s="56"/>
      <c r="AT882" s="56"/>
      <c r="AU882" s="56"/>
    </row>
    <row r="883" spans="1:47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AF883" s="56"/>
      <c r="AG883" s="56"/>
      <c r="AH883" s="56"/>
      <c r="AI883" s="56"/>
      <c r="AJ883" s="56"/>
      <c r="AK883" s="56"/>
      <c r="AL883" s="56"/>
      <c r="AS883" s="56"/>
      <c r="AT883" s="56"/>
      <c r="AU883" s="56"/>
    </row>
    <row r="884" spans="1:47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AF884" s="56"/>
      <c r="AG884" s="56"/>
      <c r="AH884" s="56"/>
      <c r="AI884" s="56"/>
      <c r="AJ884" s="56"/>
      <c r="AK884" s="56"/>
      <c r="AL884" s="56"/>
      <c r="AS884" s="56"/>
      <c r="AT884" s="56"/>
      <c r="AU884" s="56"/>
    </row>
    <row r="885" spans="1:47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AF885" s="56"/>
      <c r="AG885" s="56"/>
      <c r="AH885" s="56"/>
      <c r="AI885" s="56"/>
      <c r="AJ885" s="56"/>
      <c r="AK885" s="56"/>
      <c r="AL885" s="56"/>
      <c r="AS885" s="56"/>
      <c r="AT885" s="56"/>
      <c r="AU885" s="56"/>
    </row>
    <row r="886" spans="1:47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AF886" s="56"/>
      <c r="AG886" s="56"/>
      <c r="AH886" s="56"/>
      <c r="AI886" s="56"/>
      <c r="AJ886" s="56"/>
      <c r="AK886" s="56"/>
      <c r="AL886" s="56"/>
      <c r="AS886" s="56"/>
      <c r="AT886" s="56"/>
      <c r="AU886" s="56"/>
    </row>
    <row r="887" spans="1:47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AF887" s="56"/>
      <c r="AG887" s="56"/>
      <c r="AH887" s="56"/>
      <c r="AI887" s="56"/>
      <c r="AJ887" s="56"/>
      <c r="AK887" s="56"/>
      <c r="AL887" s="56"/>
      <c r="AS887" s="56"/>
      <c r="AT887" s="56"/>
      <c r="AU887" s="56"/>
    </row>
    <row r="888" spans="1:47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AF888" s="56"/>
      <c r="AG888" s="56"/>
      <c r="AH888" s="56"/>
      <c r="AI888" s="56"/>
      <c r="AJ888" s="56"/>
      <c r="AK888" s="56"/>
      <c r="AL888" s="56"/>
      <c r="AS888" s="56"/>
      <c r="AT888" s="56"/>
      <c r="AU888" s="56"/>
    </row>
    <row r="889" spans="1:47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AF889" s="56"/>
      <c r="AG889" s="56"/>
      <c r="AH889" s="56"/>
      <c r="AI889" s="56"/>
      <c r="AJ889" s="56"/>
      <c r="AK889" s="56"/>
      <c r="AL889" s="56"/>
      <c r="AS889" s="56"/>
      <c r="AT889" s="56"/>
      <c r="AU889" s="56"/>
    </row>
    <row r="890" spans="1:47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AF890" s="56"/>
      <c r="AG890" s="56"/>
      <c r="AH890" s="56"/>
      <c r="AI890" s="56"/>
      <c r="AJ890" s="56"/>
      <c r="AK890" s="56"/>
      <c r="AL890" s="56"/>
      <c r="AS890" s="56"/>
      <c r="AT890" s="56"/>
      <c r="AU890" s="56"/>
    </row>
    <row r="891" spans="1:47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AF891" s="56"/>
      <c r="AG891" s="56"/>
      <c r="AH891" s="56"/>
      <c r="AI891" s="56"/>
      <c r="AJ891" s="56"/>
      <c r="AK891" s="56"/>
      <c r="AL891" s="56"/>
      <c r="AS891" s="56"/>
      <c r="AT891" s="56"/>
      <c r="AU891" s="56"/>
    </row>
    <row r="892" spans="1:47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AF892" s="56"/>
      <c r="AG892" s="56"/>
      <c r="AH892" s="56"/>
      <c r="AI892" s="56"/>
      <c r="AJ892" s="56"/>
      <c r="AK892" s="56"/>
      <c r="AL892" s="56"/>
      <c r="AS892" s="56"/>
      <c r="AT892" s="56"/>
      <c r="AU892" s="56"/>
    </row>
    <row r="893" spans="1:47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AF893" s="56"/>
      <c r="AG893" s="56"/>
      <c r="AH893" s="56"/>
      <c r="AI893" s="56"/>
      <c r="AJ893" s="56"/>
      <c r="AK893" s="56"/>
      <c r="AL893" s="56"/>
      <c r="AS893" s="56"/>
      <c r="AT893" s="56"/>
      <c r="AU893" s="56"/>
    </row>
    <row r="894" spans="1:47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AF894" s="56"/>
      <c r="AG894" s="56"/>
      <c r="AH894" s="56"/>
      <c r="AI894" s="56"/>
      <c r="AJ894" s="56"/>
      <c r="AK894" s="56"/>
      <c r="AL894" s="56"/>
      <c r="AS894" s="56"/>
      <c r="AT894" s="56"/>
      <c r="AU894" s="56"/>
    </row>
    <row r="895" spans="1:47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AF895" s="56"/>
      <c r="AG895" s="56"/>
      <c r="AH895" s="56"/>
      <c r="AI895" s="56"/>
      <c r="AJ895" s="56"/>
      <c r="AK895" s="56"/>
      <c r="AL895" s="56"/>
      <c r="AS895" s="56"/>
      <c r="AT895" s="56"/>
      <c r="AU895" s="56"/>
    </row>
    <row r="896" spans="1:47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AF896" s="56"/>
      <c r="AG896" s="56"/>
      <c r="AH896" s="56"/>
      <c r="AI896" s="56"/>
      <c r="AJ896" s="56"/>
      <c r="AK896" s="56"/>
      <c r="AL896" s="56"/>
      <c r="AS896" s="56"/>
      <c r="AT896" s="56"/>
      <c r="AU896" s="56"/>
    </row>
    <row r="897" spans="1:47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AF897" s="56"/>
      <c r="AG897" s="56"/>
      <c r="AH897" s="56"/>
      <c r="AI897" s="56"/>
      <c r="AJ897" s="56"/>
      <c r="AK897" s="56"/>
      <c r="AL897" s="56"/>
      <c r="AS897" s="56"/>
      <c r="AT897" s="56"/>
      <c r="AU897" s="56"/>
    </row>
    <row r="898" spans="1:47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AF898" s="56"/>
      <c r="AG898" s="56"/>
      <c r="AH898" s="56"/>
      <c r="AI898" s="56"/>
      <c r="AJ898" s="56"/>
      <c r="AK898" s="56"/>
      <c r="AL898" s="56"/>
      <c r="AS898" s="56"/>
      <c r="AT898" s="56"/>
      <c r="AU898" s="56"/>
    </row>
    <row r="899" spans="1:47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AF899" s="56"/>
      <c r="AG899" s="56"/>
      <c r="AH899" s="56"/>
      <c r="AI899" s="56"/>
      <c r="AJ899" s="56"/>
      <c r="AK899" s="56"/>
      <c r="AL899" s="56"/>
      <c r="AS899" s="56"/>
      <c r="AT899" s="56"/>
      <c r="AU899" s="56"/>
    </row>
    <row r="900" spans="1:47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AF900" s="56"/>
      <c r="AG900" s="56"/>
      <c r="AH900" s="56"/>
      <c r="AI900" s="56"/>
      <c r="AJ900" s="56"/>
      <c r="AK900" s="56"/>
      <c r="AL900" s="56"/>
      <c r="AS900" s="56"/>
      <c r="AT900" s="56"/>
      <c r="AU900" s="56"/>
    </row>
    <row r="901" spans="1:47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AF901" s="56"/>
      <c r="AG901" s="56"/>
      <c r="AH901" s="56"/>
      <c r="AI901" s="56"/>
      <c r="AJ901" s="56"/>
      <c r="AK901" s="56"/>
      <c r="AL901" s="56"/>
      <c r="AS901" s="56"/>
      <c r="AT901" s="56"/>
      <c r="AU901" s="56"/>
    </row>
    <row r="902" spans="1:47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AF902" s="56"/>
      <c r="AG902" s="56"/>
      <c r="AH902" s="56"/>
      <c r="AI902" s="56"/>
      <c r="AJ902" s="56"/>
      <c r="AK902" s="56"/>
      <c r="AL902" s="56"/>
      <c r="AS902" s="56"/>
      <c r="AT902" s="56"/>
      <c r="AU902" s="56"/>
    </row>
    <row r="903" spans="1:47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AF903" s="56"/>
      <c r="AG903" s="56"/>
      <c r="AH903" s="56"/>
      <c r="AI903" s="56"/>
      <c r="AJ903" s="56"/>
      <c r="AK903" s="56"/>
      <c r="AL903" s="56"/>
      <c r="AS903" s="56"/>
      <c r="AT903" s="56"/>
      <c r="AU903" s="56"/>
    </row>
    <row r="904" spans="1:47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AF904" s="56"/>
      <c r="AG904" s="56"/>
      <c r="AH904" s="56"/>
      <c r="AI904" s="56"/>
      <c r="AJ904" s="56"/>
      <c r="AK904" s="56"/>
      <c r="AL904" s="56"/>
      <c r="AS904" s="56"/>
      <c r="AT904" s="56"/>
      <c r="AU904" s="56"/>
    </row>
    <row r="905" spans="1:47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AF905" s="56"/>
      <c r="AG905" s="56"/>
      <c r="AH905" s="56"/>
      <c r="AI905" s="56"/>
      <c r="AJ905" s="56"/>
      <c r="AK905" s="56"/>
      <c r="AL905" s="56"/>
      <c r="AS905" s="56"/>
      <c r="AT905" s="56"/>
      <c r="AU905" s="56"/>
    </row>
    <row r="906" spans="1:47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AF906" s="56"/>
      <c r="AG906" s="56"/>
      <c r="AH906" s="56"/>
      <c r="AI906" s="56"/>
      <c r="AJ906" s="56"/>
      <c r="AK906" s="56"/>
      <c r="AL906" s="56"/>
      <c r="AS906" s="56"/>
      <c r="AT906" s="56"/>
      <c r="AU906" s="56"/>
    </row>
    <row r="907" spans="1:47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AF907" s="56"/>
      <c r="AG907" s="56"/>
      <c r="AH907" s="56"/>
      <c r="AI907" s="56"/>
      <c r="AJ907" s="56"/>
      <c r="AK907" s="56"/>
      <c r="AL907" s="56"/>
      <c r="AS907" s="56"/>
      <c r="AT907" s="56"/>
      <c r="AU907" s="56"/>
    </row>
    <row r="908" spans="1:47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AF908" s="56"/>
      <c r="AG908" s="56"/>
      <c r="AH908" s="56"/>
      <c r="AI908" s="56"/>
      <c r="AJ908" s="56"/>
      <c r="AK908" s="56"/>
      <c r="AL908" s="56"/>
      <c r="AS908" s="56"/>
      <c r="AT908" s="56"/>
      <c r="AU908" s="56"/>
    </row>
    <row r="909" spans="1:47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AF909" s="56"/>
      <c r="AG909" s="56"/>
      <c r="AH909" s="56"/>
      <c r="AI909" s="56"/>
      <c r="AJ909" s="56"/>
      <c r="AK909" s="56"/>
      <c r="AL909" s="56"/>
      <c r="AS909" s="56"/>
      <c r="AT909" s="56"/>
      <c r="AU909" s="56"/>
    </row>
    <row r="910" spans="1:47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AF910" s="56"/>
      <c r="AG910" s="56"/>
      <c r="AH910" s="56"/>
      <c r="AI910" s="56"/>
      <c r="AJ910" s="56"/>
      <c r="AK910" s="56"/>
      <c r="AL910" s="56"/>
      <c r="AS910" s="56"/>
      <c r="AT910" s="56"/>
      <c r="AU910" s="56"/>
    </row>
    <row r="911" spans="1:47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AF911" s="56"/>
      <c r="AG911" s="56"/>
      <c r="AH911" s="56"/>
      <c r="AI911" s="56"/>
      <c r="AJ911" s="56"/>
      <c r="AK911" s="56"/>
      <c r="AL911" s="56"/>
      <c r="AS911" s="56"/>
      <c r="AT911" s="56"/>
      <c r="AU911" s="56"/>
    </row>
    <row r="912" spans="1:47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AF912" s="56"/>
      <c r="AG912" s="56"/>
      <c r="AH912" s="56"/>
      <c r="AI912" s="56"/>
      <c r="AJ912" s="56"/>
      <c r="AK912" s="56"/>
      <c r="AL912" s="56"/>
      <c r="AS912" s="56"/>
      <c r="AT912" s="56"/>
      <c r="AU912" s="56"/>
    </row>
    <row r="913" spans="1:47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AF913" s="56"/>
      <c r="AG913" s="56"/>
      <c r="AH913" s="56"/>
      <c r="AI913" s="56"/>
      <c r="AJ913" s="56"/>
      <c r="AK913" s="56"/>
      <c r="AL913" s="56"/>
      <c r="AS913" s="56"/>
      <c r="AT913" s="56"/>
      <c r="AU913" s="56"/>
    </row>
    <row r="914" spans="1:47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AF914" s="56"/>
      <c r="AG914" s="56"/>
      <c r="AH914" s="56"/>
      <c r="AI914" s="56"/>
      <c r="AJ914" s="56"/>
      <c r="AK914" s="56"/>
      <c r="AL914" s="56"/>
      <c r="AS914" s="56"/>
      <c r="AT914" s="56"/>
      <c r="AU914" s="56"/>
    </row>
    <row r="915" spans="1:47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AF915" s="56"/>
      <c r="AG915" s="56"/>
      <c r="AH915" s="56"/>
      <c r="AI915" s="56"/>
      <c r="AJ915" s="56"/>
      <c r="AK915" s="56"/>
      <c r="AL915" s="56"/>
      <c r="AS915" s="56"/>
      <c r="AT915" s="56"/>
      <c r="AU915" s="56"/>
    </row>
    <row r="916" spans="1:47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AF916" s="56"/>
      <c r="AG916" s="56"/>
      <c r="AH916" s="56"/>
      <c r="AI916" s="56"/>
      <c r="AJ916" s="56"/>
      <c r="AK916" s="56"/>
      <c r="AL916" s="56"/>
      <c r="AS916" s="56"/>
      <c r="AT916" s="56"/>
      <c r="AU916" s="56"/>
    </row>
    <row r="917" spans="1:47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AF917" s="56"/>
      <c r="AG917" s="56"/>
      <c r="AH917" s="56"/>
      <c r="AI917" s="56"/>
      <c r="AJ917" s="56"/>
      <c r="AK917" s="56"/>
      <c r="AL917" s="56"/>
      <c r="AS917" s="56"/>
      <c r="AT917" s="56"/>
      <c r="AU917" s="56"/>
    </row>
    <row r="918" spans="1:47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AF918" s="56"/>
      <c r="AG918" s="56"/>
      <c r="AH918" s="56"/>
      <c r="AI918" s="56"/>
      <c r="AJ918" s="56"/>
      <c r="AK918" s="56"/>
      <c r="AL918" s="56"/>
      <c r="AS918" s="56"/>
      <c r="AT918" s="56"/>
      <c r="AU918" s="56"/>
    </row>
    <row r="919" spans="1:47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AF919" s="56"/>
      <c r="AG919" s="56"/>
      <c r="AH919" s="56"/>
      <c r="AI919" s="56"/>
      <c r="AJ919" s="56"/>
      <c r="AK919" s="56"/>
      <c r="AL919" s="56"/>
      <c r="AS919" s="56"/>
      <c r="AT919" s="56"/>
      <c r="AU919" s="56"/>
    </row>
    <row r="920" spans="1:47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AF920" s="56"/>
      <c r="AG920" s="56"/>
      <c r="AH920" s="56"/>
      <c r="AI920" s="56"/>
      <c r="AJ920" s="56"/>
      <c r="AK920" s="56"/>
      <c r="AL920" s="56"/>
      <c r="AS920" s="56"/>
      <c r="AT920" s="56"/>
      <c r="AU920" s="56"/>
    </row>
    <row r="921" spans="1:47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AF921" s="56"/>
      <c r="AG921" s="56"/>
      <c r="AH921" s="56"/>
      <c r="AI921" s="56"/>
      <c r="AJ921" s="56"/>
      <c r="AK921" s="56"/>
      <c r="AL921" s="56"/>
      <c r="AS921" s="56"/>
      <c r="AT921" s="56"/>
      <c r="AU921" s="56"/>
    </row>
    <row r="922" spans="1:47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AF922" s="56"/>
      <c r="AG922" s="56"/>
      <c r="AH922" s="56"/>
      <c r="AI922" s="56"/>
      <c r="AJ922" s="56"/>
      <c r="AK922" s="56"/>
      <c r="AL922" s="56"/>
      <c r="AS922" s="56"/>
      <c r="AT922" s="56"/>
      <c r="AU922" s="56"/>
    </row>
    <row r="923" spans="1:47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AF923" s="56"/>
      <c r="AG923" s="56"/>
      <c r="AH923" s="56"/>
      <c r="AI923" s="56"/>
      <c r="AJ923" s="56"/>
      <c r="AK923" s="56"/>
      <c r="AL923" s="56"/>
      <c r="AS923" s="56"/>
      <c r="AT923" s="56"/>
      <c r="AU923" s="56"/>
    </row>
    <row r="924" spans="1:47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AF924" s="56"/>
      <c r="AG924" s="56"/>
      <c r="AH924" s="56"/>
      <c r="AI924" s="56"/>
      <c r="AJ924" s="56"/>
      <c r="AK924" s="56"/>
      <c r="AL924" s="56"/>
      <c r="AS924" s="56"/>
      <c r="AT924" s="56"/>
      <c r="AU924" s="56"/>
    </row>
    <row r="925" spans="1:47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AF925" s="56"/>
      <c r="AG925" s="56"/>
      <c r="AH925" s="56"/>
      <c r="AI925" s="56"/>
      <c r="AJ925" s="56"/>
      <c r="AK925" s="56"/>
      <c r="AL925" s="56"/>
      <c r="AS925" s="56"/>
      <c r="AT925" s="56"/>
      <c r="AU925" s="56"/>
    </row>
    <row r="926" spans="1:47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AF926" s="56"/>
      <c r="AG926" s="56"/>
      <c r="AH926" s="56"/>
      <c r="AI926" s="56"/>
      <c r="AJ926" s="56"/>
      <c r="AK926" s="56"/>
      <c r="AL926" s="56"/>
      <c r="AS926" s="56"/>
      <c r="AT926" s="56"/>
      <c r="AU926" s="56"/>
    </row>
    <row r="927" spans="1:47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AF927" s="56"/>
      <c r="AG927" s="56"/>
      <c r="AH927" s="56"/>
      <c r="AI927" s="56"/>
      <c r="AJ927" s="56"/>
      <c r="AK927" s="56"/>
      <c r="AL927" s="56"/>
      <c r="AS927" s="56"/>
      <c r="AT927" s="56"/>
      <c r="AU927" s="56"/>
    </row>
    <row r="928" spans="1:47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AF928" s="56"/>
      <c r="AG928" s="56"/>
      <c r="AH928" s="56"/>
      <c r="AI928" s="56"/>
      <c r="AJ928" s="56"/>
      <c r="AK928" s="56"/>
      <c r="AL928" s="56"/>
      <c r="AS928" s="56"/>
      <c r="AT928" s="56"/>
      <c r="AU928" s="56"/>
    </row>
    <row r="929" spans="1:47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AF929" s="56"/>
      <c r="AG929" s="56"/>
      <c r="AH929" s="56"/>
      <c r="AI929" s="56"/>
      <c r="AJ929" s="56"/>
      <c r="AK929" s="56"/>
      <c r="AL929" s="56"/>
      <c r="AS929" s="56"/>
      <c r="AT929" s="56"/>
      <c r="AU929" s="56"/>
    </row>
    <row r="930" spans="1:47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AF930" s="56"/>
      <c r="AG930" s="56"/>
      <c r="AH930" s="56"/>
      <c r="AI930" s="56"/>
      <c r="AJ930" s="56"/>
      <c r="AK930" s="56"/>
      <c r="AL930" s="56"/>
      <c r="AS930" s="56"/>
      <c r="AT930" s="56"/>
      <c r="AU930" s="56"/>
    </row>
    <row r="931" spans="1:47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AF931" s="56"/>
      <c r="AG931" s="56"/>
      <c r="AH931" s="56"/>
      <c r="AI931" s="56"/>
      <c r="AJ931" s="56"/>
      <c r="AK931" s="56"/>
      <c r="AL931" s="56"/>
      <c r="AS931" s="56"/>
      <c r="AT931" s="56"/>
      <c r="AU931" s="56"/>
    </row>
    <row r="932" spans="1:47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AF932" s="56"/>
      <c r="AG932" s="56"/>
      <c r="AH932" s="56"/>
      <c r="AI932" s="56"/>
      <c r="AJ932" s="56"/>
      <c r="AK932" s="56"/>
      <c r="AL932" s="56"/>
      <c r="AS932" s="56"/>
      <c r="AT932" s="56"/>
      <c r="AU932" s="56"/>
    </row>
    <row r="933" spans="1:47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AF933" s="56"/>
      <c r="AG933" s="56"/>
      <c r="AH933" s="56"/>
      <c r="AI933" s="56"/>
      <c r="AJ933" s="56"/>
      <c r="AK933" s="56"/>
      <c r="AL933" s="56"/>
      <c r="AS933" s="56"/>
      <c r="AT933" s="56"/>
      <c r="AU933" s="56"/>
    </row>
    <row r="934" spans="1:47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AF934" s="56"/>
      <c r="AG934" s="56"/>
      <c r="AH934" s="56"/>
      <c r="AI934" s="56"/>
      <c r="AJ934" s="56"/>
      <c r="AK934" s="56"/>
      <c r="AL934" s="56"/>
      <c r="AS934" s="56"/>
      <c r="AT934" s="56"/>
      <c r="AU934" s="56"/>
    </row>
    <row r="935" spans="1:47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AF935" s="56"/>
      <c r="AG935" s="56"/>
      <c r="AH935" s="56"/>
      <c r="AI935" s="56"/>
      <c r="AJ935" s="56"/>
      <c r="AK935" s="56"/>
      <c r="AL935" s="56"/>
      <c r="AS935" s="56"/>
      <c r="AT935" s="56"/>
      <c r="AU935" s="56"/>
    </row>
    <row r="936" spans="1:47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AF936" s="56"/>
      <c r="AG936" s="56"/>
      <c r="AH936" s="56"/>
      <c r="AI936" s="56"/>
      <c r="AJ936" s="56"/>
      <c r="AK936" s="56"/>
      <c r="AL936" s="56"/>
      <c r="AS936" s="56"/>
      <c r="AT936" s="56"/>
      <c r="AU936" s="56"/>
    </row>
    <row r="937" spans="1:47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AF937" s="56"/>
      <c r="AG937" s="56"/>
      <c r="AH937" s="56"/>
      <c r="AI937" s="56"/>
      <c r="AJ937" s="56"/>
      <c r="AK937" s="56"/>
      <c r="AL937" s="56"/>
      <c r="AS937" s="56"/>
      <c r="AT937" s="56"/>
      <c r="AU937" s="56"/>
    </row>
    <row r="938" spans="1:47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AF938" s="56"/>
      <c r="AG938" s="56"/>
      <c r="AH938" s="56"/>
      <c r="AI938" s="56"/>
      <c r="AJ938" s="56"/>
      <c r="AK938" s="56"/>
      <c r="AL938" s="56"/>
      <c r="AS938" s="56"/>
      <c r="AT938" s="56"/>
      <c r="AU938" s="56"/>
    </row>
    <row r="939" spans="1:47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AF939" s="56"/>
      <c r="AG939" s="56"/>
      <c r="AH939" s="56"/>
      <c r="AI939" s="56"/>
      <c r="AJ939" s="56"/>
      <c r="AK939" s="56"/>
      <c r="AL939" s="56"/>
      <c r="AS939" s="56"/>
      <c r="AT939" s="56"/>
      <c r="AU939" s="56"/>
    </row>
    <row r="940" spans="1:47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AF940" s="56"/>
      <c r="AG940" s="56"/>
      <c r="AH940" s="56"/>
      <c r="AI940" s="56"/>
      <c r="AJ940" s="56"/>
      <c r="AK940" s="56"/>
      <c r="AL940" s="56"/>
      <c r="AS940" s="56"/>
      <c r="AT940" s="56"/>
      <c r="AU940" s="56"/>
    </row>
    <row r="941" spans="1:47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AF941" s="56"/>
      <c r="AG941" s="56"/>
      <c r="AH941" s="56"/>
      <c r="AI941" s="56"/>
      <c r="AJ941" s="56"/>
      <c r="AK941" s="56"/>
      <c r="AL941" s="56"/>
      <c r="AS941" s="56"/>
      <c r="AT941" s="56"/>
      <c r="AU941" s="56"/>
    </row>
    <row r="942" spans="1:47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AF942" s="56"/>
      <c r="AG942" s="56"/>
      <c r="AH942" s="56"/>
      <c r="AI942" s="56"/>
      <c r="AJ942" s="56"/>
      <c r="AK942" s="56"/>
      <c r="AL942" s="56"/>
      <c r="AS942" s="56"/>
      <c r="AT942" s="56"/>
      <c r="AU942" s="56"/>
    </row>
    <row r="943" spans="1:47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AF943" s="56"/>
      <c r="AG943" s="56"/>
      <c r="AH943" s="56"/>
      <c r="AI943" s="56"/>
      <c r="AJ943" s="56"/>
      <c r="AK943" s="56"/>
      <c r="AL943" s="56"/>
      <c r="AS943" s="56"/>
      <c r="AT943" s="56"/>
      <c r="AU943" s="56"/>
    </row>
    <row r="944" spans="1:47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AF944" s="56"/>
      <c r="AG944" s="56"/>
      <c r="AH944" s="56"/>
      <c r="AI944" s="56"/>
      <c r="AJ944" s="56"/>
      <c r="AK944" s="56"/>
      <c r="AL944" s="56"/>
      <c r="AS944" s="56"/>
      <c r="AT944" s="56"/>
      <c r="AU944" s="56"/>
    </row>
    <row r="945" spans="1:47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AF945" s="56"/>
      <c r="AG945" s="56"/>
      <c r="AH945" s="56"/>
      <c r="AI945" s="56"/>
      <c r="AJ945" s="56"/>
      <c r="AK945" s="56"/>
      <c r="AL945" s="56"/>
      <c r="AS945" s="56"/>
      <c r="AT945" s="56"/>
      <c r="AU945" s="56"/>
    </row>
    <row r="946" spans="1:47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AF946" s="56"/>
      <c r="AG946" s="56"/>
      <c r="AH946" s="56"/>
      <c r="AI946" s="56"/>
      <c r="AJ946" s="56"/>
      <c r="AK946" s="56"/>
      <c r="AL946" s="56"/>
      <c r="AS946" s="56"/>
      <c r="AT946" s="56"/>
      <c r="AU946" s="56"/>
    </row>
    <row r="947" spans="1:47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AF947" s="56"/>
      <c r="AG947" s="56"/>
      <c r="AH947" s="56"/>
      <c r="AI947" s="56"/>
      <c r="AJ947" s="56"/>
      <c r="AK947" s="56"/>
      <c r="AL947" s="56"/>
      <c r="AS947" s="56"/>
      <c r="AT947" s="56"/>
      <c r="AU947" s="56"/>
    </row>
    <row r="948" spans="1:47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AF948" s="56"/>
      <c r="AG948" s="56"/>
      <c r="AH948" s="56"/>
      <c r="AI948" s="56"/>
      <c r="AJ948" s="56"/>
      <c r="AK948" s="56"/>
      <c r="AL948" s="56"/>
      <c r="AS948" s="56"/>
      <c r="AT948" s="56"/>
      <c r="AU948" s="56"/>
    </row>
    <row r="949" spans="1:47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AF949" s="56"/>
      <c r="AG949" s="56"/>
      <c r="AH949" s="56"/>
      <c r="AI949" s="56"/>
      <c r="AJ949" s="56"/>
      <c r="AK949" s="56"/>
      <c r="AL949" s="56"/>
      <c r="AS949" s="56"/>
      <c r="AT949" s="56"/>
      <c r="AU949" s="56"/>
    </row>
    <row r="950" spans="1:47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AF950" s="56"/>
      <c r="AG950" s="56"/>
      <c r="AH950" s="56"/>
      <c r="AI950" s="56"/>
      <c r="AJ950" s="56"/>
      <c r="AK950" s="56"/>
      <c r="AL950" s="56"/>
      <c r="AS950" s="56"/>
      <c r="AT950" s="56"/>
      <c r="AU950" s="56"/>
    </row>
    <row r="951" spans="1:47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AF951" s="56"/>
      <c r="AG951" s="56"/>
      <c r="AH951" s="56"/>
      <c r="AI951" s="56"/>
      <c r="AJ951" s="56"/>
      <c r="AK951" s="56"/>
      <c r="AL951" s="56"/>
      <c r="AS951" s="56"/>
      <c r="AT951" s="56"/>
      <c r="AU951" s="56"/>
    </row>
    <row r="952" spans="1:47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AF952" s="56"/>
      <c r="AG952" s="56"/>
      <c r="AH952" s="56"/>
      <c r="AI952" s="56"/>
      <c r="AJ952" s="56"/>
      <c r="AK952" s="56"/>
      <c r="AL952" s="56"/>
      <c r="AS952" s="56"/>
      <c r="AT952" s="56"/>
      <c r="AU952" s="56"/>
    </row>
    <row r="953" spans="1:47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AF953" s="56"/>
      <c r="AG953" s="56"/>
      <c r="AH953" s="56"/>
      <c r="AI953" s="56"/>
      <c r="AJ953" s="56"/>
      <c r="AK953" s="56"/>
      <c r="AL953" s="56"/>
      <c r="AS953" s="56"/>
      <c r="AT953" s="56"/>
      <c r="AU953" s="56"/>
    </row>
    <row r="954" spans="1:47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AF954" s="56"/>
      <c r="AG954" s="56"/>
      <c r="AH954" s="56"/>
      <c r="AI954" s="56"/>
      <c r="AJ954" s="56"/>
      <c r="AK954" s="56"/>
      <c r="AL954" s="56"/>
      <c r="AS954" s="56"/>
      <c r="AT954" s="56"/>
      <c r="AU954" s="56"/>
    </row>
    <row r="955" spans="1:47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AF955" s="56"/>
      <c r="AG955" s="56"/>
      <c r="AH955" s="56"/>
      <c r="AI955" s="56"/>
      <c r="AJ955" s="56"/>
      <c r="AK955" s="56"/>
      <c r="AL955" s="56"/>
      <c r="AS955" s="56"/>
      <c r="AT955" s="56"/>
      <c r="AU955" s="56"/>
    </row>
    <row r="956" spans="1:47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AF956" s="56"/>
      <c r="AG956" s="56"/>
      <c r="AH956" s="56"/>
      <c r="AI956" s="56"/>
      <c r="AJ956" s="56"/>
      <c r="AK956" s="56"/>
      <c r="AL956" s="56"/>
      <c r="AS956" s="56"/>
      <c r="AT956" s="56"/>
      <c r="AU956" s="56"/>
    </row>
    <row r="957" spans="1:47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AF957" s="56"/>
      <c r="AG957" s="56"/>
      <c r="AH957" s="56"/>
      <c r="AI957" s="56"/>
      <c r="AJ957" s="56"/>
      <c r="AK957" s="56"/>
      <c r="AL957" s="56"/>
      <c r="AS957" s="56"/>
      <c r="AT957" s="56"/>
      <c r="AU957" s="56"/>
    </row>
    <row r="958" spans="1:47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AF958" s="56"/>
      <c r="AG958" s="56"/>
      <c r="AH958" s="56"/>
      <c r="AI958" s="56"/>
      <c r="AJ958" s="56"/>
      <c r="AK958" s="56"/>
      <c r="AL958" s="56"/>
      <c r="AS958" s="56"/>
      <c r="AT958" s="56"/>
      <c r="AU958" s="56"/>
    </row>
    <row r="959" spans="1:47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AF959" s="56"/>
      <c r="AG959" s="56"/>
      <c r="AH959" s="56"/>
      <c r="AI959" s="56"/>
      <c r="AJ959" s="56"/>
      <c r="AK959" s="56"/>
      <c r="AL959" s="56"/>
      <c r="AS959" s="56"/>
      <c r="AT959" s="56"/>
      <c r="AU959" s="56"/>
    </row>
    <row r="960" spans="1:47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AF960" s="56"/>
      <c r="AG960" s="56"/>
      <c r="AH960" s="56"/>
      <c r="AI960" s="56"/>
      <c r="AJ960" s="56"/>
      <c r="AK960" s="56"/>
      <c r="AL960" s="56"/>
      <c r="AS960" s="56"/>
      <c r="AT960" s="56"/>
      <c r="AU960" s="56"/>
    </row>
    <row r="961" spans="1:47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AF961" s="56"/>
      <c r="AG961" s="56"/>
      <c r="AH961" s="56"/>
      <c r="AI961" s="56"/>
      <c r="AJ961" s="56"/>
      <c r="AK961" s="56"/>
      <c r="AL961" s="56"/>
      <c r="AS961" s="56"/>
      <c r="AT961" s="56"/>
      <c r="AU961" s="56"/>
    </row>
    <row r="962" spans="1:47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AF962" s="56"/>
      <c r="AG962" s="56"/>
      <c r="AH962" s="56"/>
      <c r="AI962" s="56"/>
      <c r="AJ962" s="56"/>
      <c r="AK962" s="56"/>
      <c r="AL962" s="56"/>
      <c r="AS962" s="56"/>
      <c r="AT962" s="56"/>
      <c r="AU962" s="56"/>
    </row>
    <row r="963" spans="1:47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AF963" s="56"/>
      <c r="AG963" s="56"/>
      <c r="AH963" s="56"/>
      <c r="AI963" s="56"/>
      <c r="AJ963" s="56"/>
      <c r="AK963" s="56"/>
      <c r="AL963" s="56"/>
      <c r="AS963" s="56"/>
      <c r="AT963" s="56"/>
      <c r="AU963" s="56"/>
    </row>
    <row r="964" spans="1:47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AF964" s="56"/>
      <c r="AG964" s="56"/>
      <c r="AH964" s="56"/>
      <c r="AI964" s="56"/>
      <c r="AJ964" s="56"/>
      <c r="AK964" s="56"/>
      <c r="AL964" s="56"/>
      <c r="AS964" s="56"/>
      <c r="AT964" s="56"/>
      <c r="AU964" s="56"/>
    </row>
    <row r="965" spans="1:47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AF965" s="56"/>
      <c r="AG965" s="56"/>
      <c r="AH965" s="56"/>
      <c r="AI965" s="56"/>
      <c r="AJ965" s="56"/>
      <c r="AK965" s="56"/>
      <c r="AL965" s="56"/>
      <c r="AS965" s="56"/>
      <c r="AT965" s="56"/>
      <c r="AU965" s="56"/>
    </row>
    <row r="966" spans="1:47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AF966" s="56"/>
      <c r="AG966" s="56"/>
      <c r="AH966" s="56"/>
      <c r="AI966" s="56"/>
      <c r="AJ966" s="56"/>
      <c r="AK966" s="56"/>
      <c r="AL966" s="56"/>
      <c r="AS966" s="56"/>
      <c r="AT966" s="56"/>
      <c r="AU966" s="56"/>
    </row>
    <row r="967" spans="1:47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AF967" s="56"/>
      <c r="AG967" s="56"/>
      <c r="AH967" s="56"/>
      <c r="AI967" s="56"/>
      <c r="AJ967" s="56"/>
      <c r="AK967" s="56"/>
      <c r="AL967" s="56"/>
      <c r="AS967" s="56"/>
      <c r="AT967" s="56"/>
      <c r="AU967" s="56"/>
    </row>
    <row r="968" spans="1:47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AF968" s="56"/>
      <c r="AG968" s="56"/>
      <c r="AH968" s="56"/>
      <c r="AI968" s="56"/>
      <c r="AJ968" s="56"/>
      <c r="AK968" s="56"/>
      <c r="AL968" s="56"/>
      <c r="AS968" s="56"/>
      <c r="AT968" s="56"/>
      <c r="AU968" s="56"/>
    </row>
    <row r="969" spans="1:47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AF969" s="56"/>
      <c r="AG969" s="56"/>
      <c r="AH969" s="56"/>
      <c r="AI969" s="56"/>
      <c r="AJ969" s="56"/>
      <c r="AK969" s="56"/>
      <c r="AL969" s="56"/>
      <c r="AS969" s="56"/>
      <c r="AT969" s="56"/>
      <c r="AU969" s="56"/>
    </row>
    <row r="970" spans="1:47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AF970" s="56"/>
      <c r="AG970" s="56"/>
      <c r="AH970" s="56"/>
      <c r="AI970" s="56"/>
      <c r="AJ970" s="56"/>
      <c r="AK970" s="56"/>
      <c r="AL970" s="56"/>
      <c r="AS970" s="56"/>
      <c r="AT970" s="56"/>
      <c r="AU970" s="56"/>
    </row>
    <row r="971" spans="1:47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AF971" s="56"/>
      <c r="AG971" s="56"/>
      <c r="AH971" s="56"/>
      <c r="AI971" s="56"/>
      <c r="AJ971" s="56"/>
      <c r="AK971" s="56"/>
      <c r="AL971" s="56"/>
      <c r="AS971" s="56"/>
      <c r="AT971" s="56"/>
      <c r="AU971" s="56"/>
    </row>
    <row r="972" spans="1:47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AF972" s="56"/>
      <c r="AG972" s="56"/>
      <c r="AH972" s="56"/>
      <c r="AI972" s="56"/>
      <c r="AJ972" s="56"/>
      <c r="AK972" s="56"/>
      <c r="AL972" s="56"/>
      <c r="AS972" s="56"/>
      <c r="AT972" s="56"/>
      <c r="AU972" s="56"/>
    </row>
    <row r="973" spans="1:47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AF973" s="56"/>
      <c r="AG973" s="56"/>
      <c r="AH973" s="56"/>
      <c r="AI973" s="56"/>
      <c r="AJ973" s="56"/>
      <c r="AK973" s="56"/>
      <c r="AL973" s="56"/>
      <c r="AS973" s="56"/>
      <c r="AT973" s="56"/>
      <c r="AU973" s="56"/>
    </row>
    <row r="974" spans="1:47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AF974" s="56"/>
      <c r="AG974" s="56"/>
      <c r="AH974" s="56"/>
      <c r="AI974" s="56"/>
      <c r="AJ974" s="56"/>
      <c r="AK974" s="56"/>
      <c r="AL974" s="56"/>
      <c r="AS974" s="56"/>
      <c r="AT974" s="56"/>
      <c r="AU974" s="56"/>
    </row>
    <row r="975" spans="1:47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AF975" s="56"/>
      <c r="AG975" s="56"/>
      <c r="AH975" s="56"/>
      <c r="AI975" s="56"/>
      <c r="AJ975" s="56"/>
      <c r="AK975" s="56"/>
      <c r="AL975" s="56"/>
      <c r="AS975" s="56"/>
      <c r="AT975" s="56"/>
      <c r="AU975" s="56"/>
    </row>
    <row r="976" spans="1:47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AF976" s="56"/>
      <c r="AG976" s="56"/>
      <c r="AH976" s="56"/>
      <c r="AI976" s="56"/>
      <c r="AJ976" s="56"/>
      <c r="AK976" s="56"/>
      <c r="AL976" s="56"/>
      <c r="AS976" s="56"/>
      <c r="AT976" s="56"/>
      <c r="AU976" s="56"/>
    </row>
    <row r="977" spans="1:47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AF977" s="56"/>
      <c r="AG977" s="56"/>
      <c r="AH977" s="56"/>
      <c r="AI977" s="56"/>
      <c r="AJ977" s="56"/>
      <c r="AK977" s="56"/>
      <c r="AL977" s="56"/>
      <c r="AS977" s="56"/>
      <c r="AT977" s="56"/>
      <c r="AU977" s="56"/>
    </row>
    <row r="978" spans="1:47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AF978" s="56"/>
      <c r="AG978" s="56"/>
      <c r="AH978" s="56"/>
      <c r="AI978" s="56"/>
      <c r="AJ978" s="56"/>
      <c r="AK978" s="56"/>
      <c r="AL978" s="56"/>
      <c r="AS978" s="56"/>
      <c r="AT978" s="56"/>
      <c r="AU978" s="56"/>
    </row>
    <row r="979" spans="1:47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AF979" s="56"/>
      <c r="AG979" s="56"/>
      <c r="AH979" s="56"/>
      <c r="AI979" s="56"/>
      <c r="AJ979" s="56"/>
      <c r="AK979" s="56"/>
      <c r="AL979" s="56"/>
      <c r="AS979" s="56"/>
      <c r="AT979" s="56"/>
      <c r="AU979" s="56"/>
    </row>
    <row r="980" spans="1:47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AF980" s="56"/>
      <c r="AG980" s="56"/>
      <c r="AH980" s="56"/>
      <c r="AI980" s="56"/>
      <c r="AJ980" s="56"/>
      <c r="AK980" s="56"/>
      <c r="AL980" s="56"/>
      <c r="AS980" s="56"/>
      <c r="AT980" s="56"/>
      <c r="AU980" s="56"/>
    </row>
    <row r="981" spans="1:47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AF981" s="56"/>
      <c r="AG981" s="56"/>
      <c r="AH981" s="56"/>
      <c r="AI981" s="56"/>
      <c r="AJ981" s="56"/>
      <c r="AK981" s="56"/>
      <c r="AL981" s="56"/>
      <c r="AS981" s="56"/>
      <c r="AT981" s="56"/>
      <c r="AU981" s="56"/>
    </row>
    <row r="982" spans="1:47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AF982" s="56"/>
      <c r="AG982" s="56"/>
      <c r="AH982" s="56"/>
      <c r="AI982" s="56"/>
      <c r="AJ982" s="56"/>
      <c r="AK982" s="56"/>
      <c r="AL982" s="56"/>
      <c r="AS982" s="56"/>
      <c r="AT982" s="56"/>
      <c r="AU982" s="56"/>
    </row>
    <row r="983" spans="1:47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AF983" s="56"/>
      <c r="AG983" s="56"/>
      <c r="AH983" s="56"/>
      <c r="AI983" s="56"/>
      <c r="AJ983" s="56"/>
      <c r="AK983" s="56"/>
      <c r="AL983" s="56"/>
      <c r="AS983" s="56"/>
      <c r="AT983" s="56"/>
      <c r="AU983" s="56"/>
    </row>
    <row r="984" spans="1:47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AF984" s="56"/>
      <c r="AG984" s="56"/>
      <c r="AH984" s="56"/>
      <c r="AI984" s="56"/>
      <c r="AJ984" s="56"/>
      <c r="AK984" s="56"/>
      <c r="AL984" s="56"/>
      <c r="AS984" s="56"/>
      <c r="AT984" s="56"/>
      <c r="AU984" s="56"/>
    </row>
    <row r="985" spans="1:47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AF985" s="56"/>
      <c r="AG985" s="56"/>
      <c r="AH985" s="56"/>
      <c r="AI985" s="56"/>
      <c r="AJ985" s="56"/>
      <c r="AK985" s="56"/>
      <c r="AL985" s="56"/>
      <c r="AS985" s="56"/>
      <c r="AT985" s="56"/>
      <c r="AU985" s="56"/>
    </row>
    <row r="986" spans="1:47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AF986" s="56"/>
      <c r="AG986" s="56"/>
      <c r="AH986" s="56"/>
      <c r="AI986" s="56"/>
      <c r="AJ986" s="56"/>
      <c r="AK986" s="56"/>
      <c r="AL986" s="56"/>
      <c r="AS986" s="56"/>
      <c r="AT986" s="56"/>
      <c r="AU986" s="56"/>
    </row>
    <row r="987" spans="1:47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AF987" s="56"/>
      <c r="AG987" s="56"/>
      <c r="AH987" s="56"/>
      <c r="AI987" s="56"/>
      <c r="AJ987" s="56"/>
      <c r="AK987" s="56"/>
      <c r="AL987" s="56"/>
      <c r="AS987" s="56"/>
      <c r="AT987" s="56"/>
      <c r="AU987" s="56"/>
    </row>
    <row r="988" spans="1:47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AF988" s="56"/>
      <c r="AG988" s="56"/>
      <c r="AH988" s="56"/>
      <c r="AI988" s="56"/>
      <c r="AJ988" s="56"/>
      <c r="AK988" s="56"/>
      <c r="AL988" s="56"/>
      <c r="AS988" s="56"/>
      <c r="AT988" s="56"/>
      <c r="AU988" s="56"/>
    </row>
    <row r="989" spans="1:47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AF989" s="56"/>
      <c r="AG989" s="56"/>
      <c r="AH989" s="56"/>
      <c r="AI989" s="56"/>
      <c r="AJ989" s="56"/>
      <c r="AK989" s="56"/>
      <c r="AL989" s="56"/>
      <c r="AS989" s="56"/>
      <c r="AT989" s="56"/>
      <c r="AU989" s="56"/>
    </row>
    <row r="990" spans="1:47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AF990" s="56"/>
      <c r="AG990" s="56"/>
      <c r="AH990" s="56"/>
      <c r="AI990" s="56"/>
      <c r="AJ990" s="56"/>
      <c r="AK990" s="56"/>
      <c r="AL990" s="56"/>
      <c r="AS990" s="56"/>
      <c r="AT990" s="56"/>
      <c r="AU990" s="56"/>
    </row>
    <row r="991" spans="1:47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AF991" s="56"/>
      <c r="AG991" s="56"/>
      <c r="AH991" s="56"/>
      <c r="AI991" s="56"/>
      <c r="AJ991" s="56"/>
      <c r="AK991" s="56"/>
      <c r="AL991" s="56"/>
      <c r="AS991" s="56"/>
      <c r="AT991" s="56"/>
      <c r="AU991" s="56"/>
    </row>
    <row r="992" spans="1:47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AF992" s="56"/>
      <c r="AG992" s="56"/>
      <c r="AH992" s="56"/>
      <c r="AI992" s="56"/>
      <c r="AJ992" s="56"/>
      <c r="AK992" s="56"/>
      <c r="AL992" s="56"/>
      <c r="AS992" s="56"/>
      <c r="AT992" s="56"/>
      <c r="AU992" s="56"/>
    </row>
    <row r="993" spans="1:47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AF993" s="56"/>
      <c r="AG993" s="56"/>
      <c r="AH993" s="56"/>
      <c r="AI993" s="56"/>
      <c r="AJ993" s="56"/>
      <c r="AK993" s="56"/>
      <c r="AL993" s="56"/>
      <c r="AS993" s="56"/>
      <c r="AT993" s="56"/>
      <c r="AU993" s="56"/>
    </row>
    <row r="994" spans="1:47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AF994" s="56"/>
      <c r="AG994" s="56"/>
      <c r="AH994" s="56"/>
      <c r="AI994" s="56"/>
      <c r="AJ994" s="56"/>
      <c r="AK994" s="56"/>
      <c r="AL994" s="56"/>
      <c r="AS994" s="56"/>
      <c r="AT994" s="56"/>
      <c r="AU994" s="56"/>
    </row>
    <row r="995" spans="1:47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AF995" s="56"/>
      <c r="AG995" s="56"/>
      <c r="AH995" s="56"/>
      <c r="AI995" s="56"/>
      <c r="AJ995" s="56"/>
      <c r="AK995" s="56"/>
      <c r="AL995" s="56"/>
      <c r="AS995" s="56"/>
      <c r="AT995" s="56"/>
      <c r="AU995" s="56"/>
    </row>
    <row r="996" spans="1:47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AF996" s="56"/>
      <c r="AG996" s="56"/>
      <c r="AH996" s="56"/>
      <c r="AI996" s="56"/>
      <c r="AJ996" s="56"/>
      <c r="AK996" s="56"/>
      <c r="AL996" s="56"/>
      <c r="AS996" s="56"/>
      <c r="AT996" s="56"/>
      <c r="AU996" s="56"/>
    </row>
    <row r="997" spans="1:47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AF997" s="56"/>
      <c r="AG997" s="56"/>
      <c r="AH997" s="56"/>
      <c r="AI997" s="56"/>
      <c r="AJ997" s="56"/>
      <c r="AK997" s="56"/>
      <c r="AL997" s="56"/>
      <c r="AS997" s="56"/>
      <c r="AT997" s="56"/>
      <c r="AU997" s="56"/>
    </row>
    <row r="998" spans="1:47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AF998" s="56"/>
      <c r="AG998" s="56"/>
      <c r="AH998" s="56"/>
      <c r="AI998" s="56"/>
      <c r="AJ998" s="56"/>
      <c r="AK998" s="56"/>
      <c r="AL998" s="56"/>
      <c r="AS998" s="56"/>
      <c r="AT998" s="56"/>
      <c r="AU998" s="56"/>
    </row>
    <row r="999" spans="1:47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AF999" s="56"/>
      <c r="AG999" s="56"/>
      <c r="AH999" s="56"/>
      <c r="AI999" s="56"/>
      <c r="AJ999" s="56"/>
      <c r="AK999" s="56"/>
      <c r="AL999" s="56"/>
      <c r="AS999" s="56"/>
      <c r="AT999" s="56"/>
      <c r="AU999" s="56"/>
    </row>
    <row r="1000" spans="1:47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AF1000" s="56"/>
      <c r="AG1000" s="56"/>
      <c r="AH1000" s="56"/>
      <c r="AI1000" s="56"/>
      <c r="AJ1000" s="56"/>
      <c r="AK1000" s="56"/>
      <c r="AL1000" s="56"/>
      <c r="AS1000" s="56"/>
      <c r="AT1000" s="56"/>
      <c r="AU1000" s="56"/>
    </row>
    <row r="1001" spans="1:47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AF1001" s="56"/>
      <c r="AG1001" s="56"/>
      <c r="AH1001" s="56"/>
      <c r="AI1001" s="56"/>
      <c r="AJ1001" s="56"/>
      <c r="AK1001" s="56"/>
      <c r="AL1001" s="56"/>
      <c r="AS1001" s="56"/>
      <c r="AT1001" s="56"/>
      <c r="AU1001" s="56"/>
    </row>
    <row r="1002" spans="1:47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AF1002" s="56"/>
      <c r="AG1002" s="56"/>
      <c r="AH1002" s="56"/>
      <c r="AI1002" s="56"/>
      <c r="AJ1002" s="56"/>
      <c r="AK1002" s="56"/>
      <c r="AL1002" s="56"/>
      <c r="AS1002" s="56"/>
      <c r="AT1002" s="56"/>
      <c r="AU1002" s="56"/>
    </row>
    <row r="1003" spans="1:47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AF1003" s="56"/>
      <c r="AG1003" s="56"/>
      <c r="AH1003" s="56"/>
      <c r="AI1003" s="56"/>
      <c r="AJ1003" s="56"/>
      <c r="AK1003" s="56"/>
      <c r="AL1003" s="56"/>
      <c r="AS1003" s="56"/>
      <c r="AT1003" s="56"/>
      <c r="AU1003" s="56"/>
    </row>
    <row r="1004" spans="1:47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AF1004" s="56"/>
      <c r="AG1004" s="56"/>
      <c r="AH1004" s="56"/>
      <c r="AI1004" s="56"/>
      <c r="AJ1004" s="56"/>
      <c r="AK1004" s="56"/>
      <c r="AL1004" s="56"/>
      <c r="AS1004" s="56"/>
      <c r="AT1004" s="56"/>
      <c r="AU1004" s="56"/>
    </row>
    <row r="1005" spans="1:47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AF1005" s="56"/>
      <c r="AG1005" s="56"/>
      <c r="AH1005" s="56"/>
      <c r="AI1005" s="56"/>
      <c r="AJ1005" s="56"/>
      <c r="AK1005" s="56"/>
      <c r="AL1005" s="56"/>
      <c r="AS1005" s="56"/>
      <c r="AT1005" s="56"/>
      <c r="AU1005" s="56"/>
    </row>
    <row r="1006" spans="1:47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AF1006" s="56"/>
      <c r="AG1006" s="56"/>
      <c r="AH1006" s="56"/>
      <c r="AI1006" s="56"/>
      <c r="AJ1006" s="56"/>
      <c r="AK1006" s="56"/>
      <c r="AL1006" s="56"/>
      <c r="AS1006" s="56"/>
      <c r="AT1006" s="56"/>
      <c r="AU1006" s="56"/>
    </row>
    <row r="1007" spans="1:47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AF1007" s="56"/>
      <c r="AG1007" s="56"/>
      <c r="AH1007" s="56"/>
      <c r="AI1007" s="56"/>
      <c r="AJ1007" s="56"/>
      <c r="AK1007" s="56"/>
      <c r="AL1007" s="56"/>
      <c r="AS1007" s="56"/>
      <c r="AT1007" s="56"/>
      <c r="AU1007" s="56"/>
    </row>
    <row r="1008" spans="1:47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AF1008" s="56"/>
      <c r="AG1008" s="56"/>
      <c r="AH1008" s="56"/>
      <c r="AI1008" s="56"/>
      <c r="AJ1008" s="56"/>
      <c r="AK1008" s="56"/>
      <c r="AL1008" s="56"/>
      <c r="AS1008" s="56"/>
      <c r="AT1008" s="56"/>
      <c r="AU1008" s="56"/>
    </row>
    <row r="1009" spans="1:47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AF1009" s="56"/>
      <c r="AG1009" s="56"/>
      <c r="AH1009" s="56"/>
      <c r="AI1009" s="56"/>
      <c r="AJ1009" s="56"/>
      <c r="AK1009" s="56"/>
      <c r="AL1009" s="56"/>
      <c r="AS1009" s="56"/>
      <c r="AT1009" s="56"/>
      <c r="AU1009" s="56"/>
    </row>
    <row r="1010" spans="1:47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AF1010" s="56"/>
      <c r="AG1010" s="56"/>
      <c r="AH1010" s="56"/>
      <c r="AI1010" s="56"/>
      <c r="AJ1010" s="56"/>
      <c r="AK1010" s="56"/>
      <c r="AL1010" s="56"/>
      <c r="AS1010" s="56"/>
      <c r="AT1010" s="56"/>
      <c r="AU1010" s="56"/>
    </row>
    <row r="1011" spans="1:47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AF1011" s="56"/>
      <c r="AG1011" s="56"/>
      <c r="AH1011" s="56"/>
      <c r="AI1011" s="56"/>
      <c r="AJ1011" s="56"/>
      <c r="AK1011" s="56"/>
      <c r="AL1011" s="56"/>
      <c r="AS1011" s="56"/>
      <c r="AT1011" s="56"/>
      <c r="AU1011" s="56"/>
    </row>
    <row r="1012" spans="1:47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AF1012" s="56"/>
      <c r="AG1012" s="56"/>
      <c r="AH1012" s="56"/>
      <c r="AI1012" s="56"/>
      <c r="AJ1012" s="56"/>
      <c r="AK1012" s="56"/>
      <c r="AL1012" s="56"/>
      <c r="AS1012" s="56"/>
      <c r="AT1012" s="56"/>
      <c r="AU1012" s="56"/>
    </row>
    <row r="1013" spans="1:47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AF1013" s="56"/>
      <c r="AG1013" s="56"/>
      <c r="AH1013" s="56"/>
      <c r="AI1013" s="56"/>
      <c r="AJ1013" s="56"/>
      <c r="AK1013" s="56"/>
      <c r="AL1013" s="56"/>
      <c r="AS1013" s="56"/>
      <c r="AT1013" s="56"/>
      <c r="AU1013" s="56"/>
    </row>
    <row r="1014" spans="1:47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AF1014" s="56"/>
      <c r="AG1014" s="56"/>
      <c r="AH1014" s="56"/>
      <c r="AI1014" s="56"/>
      <c r="AJ1014" s="56"/>
      <c r="AK1014" s="56"/>
      <c r="AL1014" s="56"/>
      <c r="AS1014" s="56"/>
      <c r="AT1014" s="56"/>
      <c r="AU1014" s="56"/>
    </row>
    <row r="1015" spans="1:47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AF1015" s="56"/>
      <c r="AG1015" s="56"/>
      <c r="AH1015" s="56"/>
      <c r="AI1015" s="56"/>
      <c r="AJ1015" s="56"/>
      <c r="AK1015" s="56"/>
      <c r="AL1015" s="56"/>
      <c r="AS1015" s="56"/>
      <c r="AT1015" s="56"/>
      <c r="AU1015" s="56"/>
    </row>
    <row r="1016" spans="1:47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AF1016" s="56"/>
      <c r="AG1016" s="56"/>
      <c r="AH1016" s="56"/>
      <c r="AI1016" s="56"/>
      <c r="AJ1016" s="56"/>
      <c r="AK1016" s="56"/>
      <c r="AL1016" s="56"/>
      <c r="AS1016" s="56"/>
      <c r="AT1016" s="56"/>
      <c r="AU1016" s="56"/>
    </row>
    <row r="1017" spans="1:47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AF1017" s="56"/>
      <c r="AG1017" s="56"/>
      <c r="AH1017" s="56"/>
      <c r="AI1017" s="56"/>
      <c r="AJ1017" s="56"/>
      <c r="AK1017" s="56"/>
      <c r="AL1017" s="56"/>
      <c r="AS1017" s="56"/>
      <c r="AT1017" s="56"/>
      <c r="AU1017" s="56"/>
    </row>
    <row r="1018" spans="1:47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AF1018" s="56"/>
      <c r="AG1018" s="56"/>
      <c r="AH1018" s="56"/>
      <c r="AI1018" s="56"/>
      <c r="AJ1018" s="56"/>
      <c r="AK1018" s="56"/>
      <c r="AL1018" s="56"/>
      <c r="AS1018" s="56"/>
      <c r="AT1018" s="56"/>
      <c r="AU1018" s="56"/>
    </row>
    <row r="1019" spans="1:47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AF1019" s="56"/>
      <c r="AG1019" s="56"/>
      <c r="AH1019" s="56"/>
      <c r="AI1019" s="56"/>
      <c r="AJ1019" s="56"/>
      <c r="AK1019" s="56"/>
      <c r="AL1019" s="56"/>
      <c r="AS1019" s="56"/>
      <c r="AT1019" s="56"/>
      <c r="AU1019" s="56"/>
    </row>
    <row r="1020" spans="1:47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AF1020" s="56"/>
      <c r="AG1020" s="56"/>
      <c r="AH1020" s="56"/>
      <c r="AI1020" s="56"/>
      <c r="AJ1020" s="56"/>
      <c r="AK1020" s="56"/>
      <c r="AL1020" s="56"/>
      <c r="AS1020" s="56"/>
      <c r="AT1020" s="56"/>
      <c r="AU1020" s="56"/>
    </row>
    <row r="1021" spans="1:47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AF1021" s="56"/>
      <c r="AG1021" s="56"/>
      <c r="AH1021" s="56"/>
      <c r="AI1021" s="56"/>
      <c r="AJ1021" s="56"/>
      <c r="AK1021" s="56"/>
      <c r="AL1021" s="56"/>
      <c r="AS1021" s="56"/>
      <c r="AT1021" s="56"/>
      <c r="AU1021" s="56"/>
    </row>
    <row r="1022" spans="1:47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AF1022" s="56"/>
      <c r="AG1022" s="56"/>
      <c r="AH1022" s="56"/>
      <c r="AI1022" s="56"/>
      <c r="AJ1022" s="56"/>
      <c r="AK1022" s="56"/>
      <c r="AL1022" s="56"/>
      <c r="AS1022" s="56"/>
      <c r="AT1022" s="56"/>
      <c r="AU1022" s="56"/>
    </row>
    <row r="1023" spans="1:47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AF1023" s="56"/>
      <c r="AG1023" s="56"/>
      <c r="AH1023" s="56"/>
      <c r="AI1023" s="56"/>
      <c r="AJ1023" s="56"/>
      <c r="AK1023" s="56"/>
      <c r="AL1023" s="56"/>
      <c r="AS1023" s="56"/>
      <c r="AT1023" s="56"/>
      <c r="AU1023" s="56"/>
    </row>
    <row r="1024" spans="1:47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AF1024" s="56"/>
      <c r="AG1024" s="56"/>
      <c r="AH1024" s="56"/>
      <c r="AI1024" s="56"/>
      <c r="AJ1024" s="56"/>
      <c r="AK1024" s="56"/>
      <c r="AL1024" s="56"/>
      <c r="AS1024" s="56"/>
      <c r="AT1024" s="56"/>
      <c r="AU1024" s="56"/>
    </row>
    <row r="1025" spans="1:47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AF1025" s="56"/>
      <c r="AG1025" s="56"/>
      <c r="AH1025" s="56"/>
      <c r="AI1025" s="56"/>
      <c r="AJ1025" s="56"/>
      <c r="AK1025" s="56"/>
      <c r="AL1025" s="56"/>
      <c r="AS1025" s="56"/>
      <c r="AT1025" s="56"/>
      <c r="AU1025" s="56"/>
    </row>
    <row r="1026" spans="1:47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AF1026" s="56"/>
      <c r="AG1026" s="56"/>
      <c r="AH1026" s="56"/>
      <c r="AI1026" s="56"/>
      <c r="AJ1026" s="56"/>
      <c r="AK1026" s="56"/>
      <c r="AL1026" s="56"/>
      <c r="AS1026" s="56"/>
      <c r="AT1026" s="56"/>
      <c r="AU1026" s="56"/>
    </row>
    <row r="1027" spans="1:47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AF1027" s="56"/>
      <c r="AG1027" s="56"/>
      <c r="AH1027" s="56"/>
      <c r="AI1027" s="56"/>
      <c r="AJ1027" s="56"/>
      <c r="AK1027" s="56"/>
      <c r="AL1027" s="56"/>
      <c r="AS1027" s="56"/>
      <c r="AT1027" s="56"/>
      <c r="AU1027" s="56"/>
    </row>
    <row r="1028" spans="1:47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AF1028" s="56"/>
      <c r="AG1028" s="56"/>
      <c r="AH1028" s="56"/>
      <c r="AI1028" s="56"/>
      <c r="AJ1028" s="56"/>
      <c r="AK1028" s="56"/>
      <c r="AL1028" s="56"/>
      <c r="AS1028" s="56"/>
      <c r="AT1028" s="56"/>
      <c r="AU1028" s="56"/>
    </row>
    <row r="1029" spans="1:47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AF1029" s="56"/>
      <c r="AG1029" s="56"/>
      <c r="AH1029" s="56"/>
      <c r="AI1029" s="56"/>
      <c r="AJ1029" s="56"/>
      <c r="AK1029" s="56"/>
      <c r="AL1029" s="56"/>
      <c r="AS1029" s="56"/>
      <c r="AT1029" s="56"/>
      <c r="AU1029" s="56"/>
    </row>
    <row r="1030" spans="1:47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AF1030" s="56"/>
      <c r="AG1030" s="56"/>
      <c r="AH1030" s="56"/>
      <c r="AI1030" s="56"/>
      <c r="AJ1030" s="56"/>
      <c r="AK1030" s="56"/>
      <c r="AL1030" s="56"/>
      <c r="AS1030" s="56"/>
      <c r="AT1030" s="56"/>
      <c r="AU1030" s="56"/>
    </row>
    <row r="1031" spans="1:47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AF1031" s="56"/>
      <c r="AG1031" s="56"/>
      <c r="AH1031" s="56"/>
      <c r="AI1031" s="56"/>
      <c r="AJ1031" s="56"/>
      <c r="AK1031" s="56"/>
      <c r="AL1031" s="56"/>
      <c r="AS1031" s="56"/>
      <c r="AT1031" s="56"/>
      <c r="AU1031" s="56"/>
    </row>
    <row r="1032" spans="1:47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AF1032" s="56"/>
      <c r="AG1032" s="56"/>
      <c r="AH1032" s="56"/>
      <c r="AI1032" s="56"/>
      <c r="AJ1032" s="56"/>
      <c r="AK1032" s="56"/>
      <c r="AL1032" s="56"/>
      <c r="AS1032" s="56"/>
      <c r="AT1032" s="56"/>
      <c r="AU1032" s="56"/>
    </row>
    <row r="1033" spans="1:47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AF1033" s="56"/>
      <c r="AG1033" s="56"/>
      <c r="AH1033" s="56"/>
      <c r="AI1033" s="56"/>
      <c r="AJ1033" s="56"/>
      <c r="AK1033" s="56"/>
      <c r="AL1033" s="56"/>
      <c r="AS1033" s="56"/>
      <c r="AT1033" s="56"/>
      <c r="AU1033" s="56"/>
    </row>
    <row r="1034" spans="1:47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AF1034" s="56"/>
      <c r="AG1034" s="56"/>
      <c r="AH1034" s="56"/>
      <c r="AI1034" s="56"/>
      <c r="AJ1034" s="56"/>
      <c r="AK1034" s="56"/>
      <c r="AL1034" s="56"/>
      <c r="AS1034" s="56"/>
      <c r="AT1034" s="56"/>
      <c r="AU1034" s="56"/>
    </row>
    <row r="1035" spans="1:47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AF1035" s="56"/>
      <c r="AG1035" s="56"/>
      <c r="AH1035" s="56"/>
      <c r="AI1035" s="56"/>
      <c r="AJ1035" s="56"/>
      <c r="AK1035" s="56"/>
      <c r="AL1035" s="56"/>
      <c r="AS1035" s="56"/>
      <c r="AT1035" s="56"/>
      <c r="AU1035" s="56"/>
    </row>
    <row r="1036" spans="1:47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AF1036" s="56"/>
      <c r="AG1036" s="56"/>
      <c r="AH1036" s="56"/>
      <c r="AI1036" s="56"/>
      <c r="AJ1036" s="56"/>
      <c r="AK1036" s="56"/>
      <c r="AL1036" s="56"/>
      <c r="AS1036" s="56"/>
      <c r="AT1036" s="56"/>
      <c r="AU1036" s="56"/>
    </row>
    <row r="1037" spans="1:47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AF1037" s="56"/>
      <c r="AG1037" s="56"/>
      <c r="AH1037" s="56"/>
      <c r="AI1037" s="56"/>
      <c r="AJ1037" s="56"/>
      <c r="AK1037" s="56"/>
      <c r="AL1037" s="56"/>
      <c r="AS1037" s="56"/>
      <c r="AT1037" s="56"/>
      <c r="AU1037" s="56"/>
    </row>
    <row r="1038" spans="1:47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AF1038" s="56"/>
      <c r="AG1038" s="56"/>
      <c r="AH1038" s="56"/>
      <c r="AI1038" s="56"/>
      <c r="AJ1038" s="56"/>
      <c r="AK1038" s="56"/>
      <c r="AL1038" s="56"/>
      <c r="AS1038" s="56"/>
      <c r="AT1038" s="56"/>
      <c r="AU1038" s="56"/>
    </row>
    <row r="1039" spans="1:47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AF1039" s="56"/>
      <c r="AG1039" s="56"/>
      <c r="AH1039" s="56"/>
      <c r="AI1039" s="56"/>
      <c r="AJ1039" s="56"/>
      <c r="AK1039" s="56"/>
      <c r="AL1039" s="56"/>
      <c r="AS1039" s="56"/>
      <c r="AT1039" s="56"/>
      <c r="AU1039" s="56"/>
    </row>
    <row r="1040" spans="1:47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AF1040" s="56"/>
      <c r="AG1040" s="56"/>
      <c r="AH1040" s="56"/>
      <c r="AI1040" s="56"/>
      <c r="AJ1040" s="56"/>
      <c r="AK1040" s="56"/>
      <c r="AL1040" s="56"/>
      <c r="AS1040" s="56"/>
      <c r="AT1040" s="56"/>
      <c r="AU1040" s="56"/>
    </row>
    <row r="1041" spans="1:47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AF1041" s="56"/>
      <c r="AG1041" s="56"/>
      <c r="AH1041" s="56"/>
      <c r="AI1041" s="56"/>
      <c r="AJ1041" s="56"/>
      <c r="AK1041" s="56"/>
      <c r="AL1041" s="56"/>
      <c r="AS1041" s="56"/>
      <c r="AT1041" s="56"/>
      <c r="AU1041" s="56"/>
    </row>
    <row r="1042" spans="1:47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AF1042" s="56"/>
      <c r="AG1042" s="56"/>
      <c r="AH1042" s="56"/>
      <c r="AI1042" s="56"/>
      <c r="AJ1042" s="56"/>
      <c r="AK1042" s="56"/>
      <c r="AL1042" s="56"/>
      <c r="AS1042" s="56"/>
      <c r="AT1042" s="56"/>
      <c r="AU1042" s="56"/>
    </row>
    <row r="1043" spans="1:47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AF1043" s="56"/>
      <c r="AG1043" s="56"/>
      <c r="AH1043" s="56"/>
      <c r="AI1043" s="56"/>
      <c r="AJ1043" s="56"/>
      <c r="AK1043" s="56"/>
      <c r="AL1043" s="56"/>
      <c r="AS1043" s="56"/>
      <c r="AT1043" s="56"/>
      <c r="AU1043" s="56"/>
    </row>
    <row r="1044" spans="1:47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AF1044" s="56"/>
      <c r="AG1044" s="56"/>
      <c r="AH1044" s="56"/>
      <c r="AI1044" s="56"/>
      <c r="AJ1044" s="56"/>
      <c r="AK1044" s="56"/>
      <c r="AL1044" s="56"/>
      <c r="AS1044" s="56"/>
      <c r="AT1044" s="56"/>
      <c r="AU1044" s="56"/>
    </row>
    <row r="1045" spans="1:47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AF1045" s="56"/>
      <c r="AG1045" s="56"/>
      <c r="AH1045" s="56"/>
      <c r="AI1045" s="56"/>
      <c r="AJ1045" s="56"/>
      <c r="AK1045" s="56"/>
      <c r="AL1045" s="56"/>
      <c r="AS1045" s="56"/>
      <c r="AT1045" s="56"/>
      <c r="AU1045" s="56"/>
    </row>
    <row r="1046" spans="1:47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AF1046" s="56"/>
      <c r="AG1046" s="56"/>
      <c r="AH1046" s="56"/>
      <c r="AI1046" s="56"/>
      <c r="AJ1046" s="56"/>
      <c r="AK1046" s="56"/>
      <c r="AL1046" s="56"/>
      <c r="AS1046" s="56"/>
      <c r="AT1046" s="56"/>
      <c r="AU1046" s="56"/>
    </row>
    <row r="1047" spans="1:47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AF1047" s="56"/>
      <c r="AG1047" s="56"/>
      <c r="AH1047" s="56"/>
      <c r="AI1047" s="56"/>
      <c r="AJ1047" s="56"/>
      <c r="AK1047" s="56"/>
      <c r="AL1047" s="56"/>
      <c r="AS1047" s="56"/>
      <c r="AT1047" s="56"/>
      <c r="AU1047" s="56"/>
    </row>
    <row r="1048" spans="1:47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AF1048" s="56"/>
      <c r="AG1048" s="56"/>
      <c r="AH1048" s="56"/>
      <c r="AI1048" s="56"/>
      <c r="AJ1048" s="56"/>
      <c r="AK1048" s="56"/>
      <c r="AL1048" s="56"/>
      <c r="AS1048" s="56"/>
      <c r="AT1048" s="56"/>
      <c r="AU1048" s="56"/>
    </row>
    <row r="1049" spans="1:47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AF1049" s="56"/>
      <c r="AG1049" s="56"/>
      <c r="AH1049" s="56"/>
      <c r="AI1049" s="56"/>
      <c r="AJ1049" s="56"/>
      <c r="AK1049" s="56"/>
      <c r="AL1049" s="56"/>
      <c r="AS1049" s="56"/>
      <c r="AT1049" s="56"/>
      <c r="AU1049" s="56"/>
    </row>
    <row r="1050" spans="1:47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AF1050" s="56"/>
      <c r="AG1050" s="56"/>
      <c r="AH1050" s="56"/>
      <c r="AI1050" s="56"/>
      <c r="AJ1050" s="56"/>
      <c r="AK1050" s="56"/>
      <c r="AL1050" s="56"/>
      <c r="AS1050" s="56"/>
      <c r="AT1050" s="56"/>
      <c r="AU1050" s="56"/>
    </row>
    <row r="1051" spans="1:47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AF1051" s="56"/>
      <c r="AG1051" s="56"/>
      <c r="AH1051" s="56"/>
      <c r="AI1051" s="56"/>
      <c r="AJ1051" s="56"/>
      <c r="AK1051" s="56"/>
      <c r="AL1051" s="56"/>
      <c r="AS1051" s="56"/>
      <c r="AT1051" s="56"/>
      <c r="AU1051" s="56"/>
    </row>
    <row r="1052" spans="1:47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AF1052" s="56"/>
      <c r="AG1052" s="56"/>
      <c r="AH1052" s="56"/>
      <c r="AI1052" s="56"/>
      <c r="AJ1052" s="56"/>
      <c r="AK1052" s="56"/>
      <c r="AL1052" s="56"/>
      <c r="AS1052" s="56"/>
      <c r="AT1052" s="56"/>
      <c r="AU1052" s="56"/>
    </row>
    <row r="1053" spans="1:47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AF1053" s="56"/>
      <c r="AG1053" s="56"/>
      <c r="AH1053" s="56"/>
      <c r="AI1053" s="56"/>
      <c r="AJ1053" s="56"/>
      <c r="AK1053" s="56"/>
      <c r="AL1053" s="56"/>
      <c r="AS1053" s="56"/>
      <c r="AT1053" s="56"/>
      <c r="AU1053" s="56"/>
    </row>
    <row r="1054" spans="1:47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AF1054" s="56"/>
      <c r="AG1054" s="56"/>
      <c r="AH1054" s="56"/>
      <c r="AI1054" s="56"/>
      <c r="AJ1054" s="56"/>
      <c r="AK1054" s="56"/>
      <c r="AL1054" s="56"/>
      <c r="AS1054" s="56"/>
      <c r="AT1054" s="56"/>
      <c r="AU1054" s="56"/>
    </row>
    <row r="1055" spans="1:47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AF1055" s="56"/>
      <c r="AG1055" s="56"/>
      <c r="AH1055" s="56"/>
      <c r="AI1055" s="56"/>
      <c r="AJ1055" s="56"/>
      <c r="AK1055" s="56"/>
      <c r="AL1055" s="56"/>
      <c r="AS1055" s="56"/>
      <c r="AT1055" s="56"/>
      <c r="AU1055" s="56"/>
    </row>
    <row r="1056" spans="1:47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AF1056" s="56"/>
      <c r="AG1056" s="56"/>
      <c r="AH1056" s="56"/>
      <c r="AI1056" s="56"/>
      <c r="AJ1056" s="56"/>
      <c r="AK1056" s="56"/>
      <c r="AL1056" s="56"/>
      <c r="AS1056" s="56"/>
      <c r="AT1056" s="56"/>
      <c r="AU1056" s="56"/>
    </row>
    <row r="1057" spans="1:47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AF1057" s="56"/>
      <c r="AG1057" s="56"/>
      <c r="AH1057" s="56"/>
      <c r="AI1057" s="56"/>
      <c r="AJ1057" s="56"/>
      <c r="AK1057" s="56"/>
      <c r="AL1057" s="56"/>
      <c r="AS1057" s="56"/>
      <c r="AT1057" s="56"/>
      <c r="AU1057" s="56"/>
    </row>
    <row r="1058" spans="1:47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AF1058" s="56"/>
      <c r="AG1058" s="56"/>
      <c r="AH1058" s="56"/>
      <c r="AI1058" s="56"/>
      <c r="AJ1058" s="56"/>
      <c r="AK1058" s="56"/>
      <c r="AL1058" s="56"/>
      <c r="AS1058" s="56"/>
      <c r="AT1058" s="56"/>
      <c r="AU1058" s="56"/>
    </row>
    <row r="1059" spans="1:47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AF1059" s="56"/>
      <c r="AG1059" s="56"/>
      <c r="AH1059" s="56"/>
      <c r="AI1059" s="56"/>
      <c r="AJ1059" s="56"/>
      <c r="AK1059" s="56"/>
      <c r="AL1059" s="56"/>
      <c r="AS1059" s="56"/>
      <c r="AT1059" s="56"/>
      <c r="AU1059" s="56"/>
    </row>
    <row r="1060" spans="1:47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AF1060" s="56"/>
      <c r="AG1060" s="56"/>
      <c r="AH1060" s="56"/>
      <c r="AI1060" s="56"/>
      <c r="AJ1060" s="56"/>
      <c r="AK1060" s="56"/>
      <c r="AL1060" s="56"/>
      <c r="AS1060" s="56"/>
      <c r="AT1060" s="56"/>
      <c r="AU1060" s="56"/>
    </row>
    <row r="1061" spans="1:47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AF1061" s="56"/>
      <c r="AG1061" s="56"/>
      <c r="AH1061" s="56"/>
      <c r="AI1061" s="56"/>
      <c r="AJ1061" s="56"/>
      <c r="AK1061" s="56"/>
      <c r="AL1061" s="56"/>
      <c r="AS1061" s="56"/>
      <c r="AT1061" s="56"/>
      <c r="AU1061" s="56"/>
    </row>
    <row r="1062" spans="1:47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AF1062" s="56"/>
      <c r="AG1062" s="56"/>
      <c r="AH1062" s="56"/>
      <c r="AI1062" s="56"/>
      <c r="AJ1062" s="56"/>
      <c r="AK1062" s="56"/>
      <c r="AL1062" s="56"/>
      <c r="AS1062" s="56"/>
      <c r="AT1062" s="56"/>
      <c r="AU1062" s="56"/>
    </row>
    <row r="1063" spans="1:47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AF1063" s="56"/>
      <c r="AG1063" s="56"/>
      <c r="AH1063" s="56"/>
      <c r="AI1063" s="56"/>
      <c r="AJ1063" s="56"/>
      <c r="AK1063" s="56"/>
      <c r="AL1063" s="56"/>
      <c r="AS1063" s="56"/>
      <c r="AT1063" s="56"/>
      <c r="AU1063" s="56"/>
    </row>
    <row r="1064" spans="1:47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AF1064" s="56"/>
      <c r="AG1064" s="56"/>
      <c r="AH1064" s="56"/>
      <c r="AI1064" s="56"/>
      <c r="AJ1064" s="56"/>
      <c r="AK1064" s="56"/>
      <c r="AL1064" s="56"/>
      <c r="AS1064" s="56"/>
      <c r="AT1064" s="56"/>
      <c r="AU1064" s="56"/>
    </row>
    <row r="1065" spans="1:47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AF1065" s="56"/>
      <c r="AG1065" s="56"/>
      <c r="AH1065" s="56"/>
      <c r="AI1065" s="56"/>
      <c r="AJ1065" s="56"/>
      <c r="AK1065" s="56"/>
      <c r="AL1065" s="56"/>
      <c r="AS1065" s="56"/>
      <c r="AT1065" s="56"/>
      <c r="AU1065" s="56"/>
    </row>
    <row r="1066" spans="1:47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AF1066" s="56"/>
      <c r="AG1066" s="56"/>
      <c r="AH1066" s="56"/>
      <c r="AI1066" s="56"/>
      <c r="AJ1066" s="56"/>
      <c r="AK1066" s="56"/>
      <c r="AL1066" s="56"/>
      <c r="AS1066" s="56"/>
      <c r="AT1066" s="56"/>
      <c r="AU1066" s="56"/>
    </row>
    <row r="1067" spans="1:47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AF1067" s="56"/>
      <c r="AG1067" s="56"/>
      <c r="AH1067" s="56"/>
      <c r="AI1067" s="56"/>
      <c r="AJ1067" s="56"/>
      <c r="AK1067" s="56"/>
      <c r="AL1067" s="56"/>
      <c r="AS1067" s="56"/>
      <c r="AT1067" s="56"/>
      <c r="AU1067" s="56"/>
    </row>
    <row r="1068" spans="1:47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AF1068" s="56"/>
      <c r="AG1068" s="56"/>
      <c r="AH1068" s="56"/>
      <c r="AI1068" s="56"/>
      <c r="AJ1068" s="56"/>
      <c r="AK1068" s="56"/>
      <c r="AL1068" s="56"/>
      <c r="AS1068" s="56"/>
      <c r="AT1068" s="56"/>
      <c r="AU1068" s="56"/>
    </row>
    <row r="1069" spans="1:47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AF1069" s="56"/>
      <c r="AG1069" s="56"/>
      <c r="AH1069" s="56"/>
      <c r="AI1069" s="56"/>
      <c r="AJ1069" s="56"/>
      <c r="AK1069" s="56"/>
      <c r="AL1069" s="56"/>
      <c r="AS1069" s="56"/>
      <c r="AT1069" s="56"/>
      <c r="AU1069" s="56"/>
    </row>
    <row r="1070" spans="1:47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AF1070" s="56"/>
      <c r="AG1070" s="56"/>
      <c r="AH1070" s="56"/>
      <c r="AI1070" s="56"/>
      <c r="AJ1070" s="56"/>
      <c r="AK1070" s="56"/>
      <c r="AL1070" s="56"/>
      <c r="AS1070" s="56"/>
      <c r="AT1070" s="56"/>
      <c r="AU1070" s="56"/>
    </row>
    <row r="1071" spans="1:47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AF1071" s="56"/>
      <c r="AG1071" s="56"/>
      <c r="AH1071" s="56"/>
      <c r="AI1071" s="56"/>
      <c r="AJ1071" s="56"/>
      <c r="AK1071" s="56"/>
      <c r="AL1071" s="56"/>
      <c r="AS1071" s="56"/>
      <c r="AT1071" s="56"/>
      <c r="AU1071" s="56"/>
    </row>
    <row r="1072" spans="1:47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AF1072" s="56"/>
      <c r="AG1072" s="56"/>
      <c r="AH1072" s="56"/>
      <c r="AI1072" s="56"/>
      <c r="AJ1072" s="56"/>
      <c r="AK1072" s="56"/>
      <c r="AL1072" s="56"/>
      <c r="AS1072" s="56"/>
      <c r="AT1072" s="56"/>
      <c r="AU1072" s="56"/>
    </row>
    <row r="1073" spans="1:47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AF1073" s="56"/>
      <c r="AG1073" s="56"/>
      <c r="AH1073" s="56"/>
      <c r="AI1073" s="56"/>
      <c r="AJ1073" s="56"/>
      <c r="AK1073" s="56"/>
      <c r="AL1073" s="56"/>
      <c r="AS1073" s="56"/>
      <c r="AT1073" s="56"/>
      <c r="AU1073" s="56"/>
    </row>
    <row r="1074" spans="1:47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AF1074" s="56"/>
      <c r="AG1074" s="56"/>
      <c r="AH1074" s="56"/>
      <c r="AI1074" s="56"/>
      <c r="AJ1074" s="56"/>
      <c r="AK1074" s="56"/>
      <c r="AL1074" s="56"/>
      <c r="AS1074" s="56"/>
      <c r="AT1074" s="56"/>
      <c r="AU1074" s="56"/>
    </row>
    <row r="1075" spans="1:47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AF1075" s="56"/>
      <c r="AG1075" s="56"/>
      <c r="AH1075" s="56"/>
      <c r="AI1075" s="56"/>
      <c r="AJ1075" s="56"/>
      <c r="AK1075" s="56"/>
      <c r="AL1075" s="56"/>
      <c r="AS1075" s="56"/>
      <c r="AT1075" s="56"/>
      <c r="AU1075" s="56"/>
    </row>
    <row r="1076" spans="1:47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AF1076" s="56"/>
      <c r="AG1076" s="56"/>
      <c r="AH1076" s="56"/>
      <c r="AI1076" s="56"/>
      <c r="AJ1076" s="56"/>
      <c r="AK1076" s="56"/>
      <c r="AL1076" s="56"/>
      <c r="AS1076" s="56"/>
      <c r="AT1076" s="56"/>
      <c r="AU1076" s="56"/>
    </row>
    <row r="1077" spans="1:47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AF1077" s="56"/>
      <c r="AG1077" s="56"/>
      <c r="AH1077" s="56"/>
      <c r="AI1077" s="56"/>
      <c r="AJ1077" s="56"/>
      <c r="AK1077" s="56"/>
      <c r="AL1077" s="56"/>
      <c r="AS1077" s="56"/>
      <c r="AT1077" s="56"/>
      <c r="AU1077" s="56"/>
    </row>
    <row r="1078" spans="1:47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AF1078" s="56"/>
      <c r="AG1078" s="56"/>
      <c r="AH1078" s="56"/>
      <c r="AI1078" s="56"/>
      <c r="AJ1078" s="56"/>
      <c r="AK1078" s="56"/>
      <c r="AL1078" s="56"/>
      <c r="AS1078" s="56"/>
      <c r="AT1078" s="56"/>
      <c r="AU1078" s="56"/>
    </row>
    <row r="1079" spans="1:47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AF1079" s="56"/>
      <c r="AG1079" s="56"/>
      <c r="AH1079" s="56"/>
      <c r="AI1079" s="56"/>
      <c r="AJ1079" s="56"/>
      <c r="AK1079" s="56"/>
      <c r="AL1079" s="56"/>
      <c r="AS1079" s="56"/>
      <c r="AT1079" s="56"/>
      <c r="AU1079" s="56"/>
    </row>
    <row r="1080" spans="1:47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AF1080" s="56"/>
      <c r="AG1080" s="56"/>
      <c r="AH1080" s="56"/>
      <c r="AI1080" s="56"/>
      <c r="AJ1080" s="56"/>
      <c r="AK1080" s="56"/>
      <c r="AL1080" s="56"/>
      <c r="AS1080" s="56"/>
      <c r="AT1080" s="56"/>
      <c r="AU1080" s="56"/>
    </row>
    <row r="1081" spans="1:47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AF1081" s="56"/>
      <c r="AG1081" s="56"/>
      <c r="AH1081" s="56"/>
      <c r="AI1081" s="56"/>
      <c r="AJ1081" s="56"/>
      <c r="AK1081" s="56"/>
      <c r="AL1081" s="56"/>
      <c r="AS1081" s="56"/>
      <c r="AT1081" s="56"/>
      <c r="AU1081" s="56"/>
    </row>
    <row r="1082" spans="1:47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AF1082" s="56"/>
      <c r="AG1082" s="56"/>
      <c r="AH1082" s="56"/>
      <c r="AI1082" s="56"/>
      <c r="AJ1082" s="56"/>
      <c r="AK1082" s="56"/>
      <c r="AL1082" s="56"/>
      <c r="AS1082" s="56"/>
      <c r="AT1082" s="56"/>
      <c r="AU1082" s="56"/>
    </row>
    <row r="1083" spans="1:47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AF1083" s="56"/>
      <c r="AG1083" s="56"/>
      <c r="AH1083" s="56"/>
      <c r="AI1083" s="56"/>
      <c r="AJ1083" s="56"/>
      <c r="AK1083" s="56"/>
      <c r="AL1083" s="56"/>
      <c r="AS1083" s="56"/>
      <c r="AT1083" s="56"/>
      <c r="AU1083" s="56"/>
    </row>
    <row r="1084" spans="1:47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AF1084" s="56"/>
      <c r="AG1084" s="56"/>
      <c r="AH1084" s="56"/>
      <c r="AI1084" s="56"/>
      <c r="AJ1084" s="56"/>
      <c r="AK1084" s="56"/>
      <c r="AL1084" s="56"/>
      <c r="AS1084" s="56"/>
      <c r="AT1084" s="56"/>
      <c r="AU1084" s="56"/>
    </row>
    <row r="1085" spans="1:47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AF1085" s="56"/>
      <c r="AG1085" s="56"/>
      <c r="AH1085" s="56"/>
      <c r="AI1085" s="56"/>
      <c r="AJ1085" s="56"/>
      <c r="AK1085" s="56"/>
      <c r="AL1085" s="56"/>
      <c r="AS1085" s="56"/>
      <c r="AT1085" s="56"/>
      <c r="AU1085" s="56"/>
    </row>
    <row r="1086" spans="1:47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AF1086" s="56"/>
      <c r="AG1086" s="56"/>
      <c r="AH1086" s="56"/>
      <c r="AI1086" s="56"/>
      <c r="AJ1086" s="56"/>
      <c r="AK1086" s="56"/>
      <c r="AL1086" s="56"/>
      <c r="AS1086" s="56"/>
      <c r="AT1086" s="56"/>
      <c r="AU1086" s="56"/>
    </row>
    <row r="1087" spans="1:47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AF1087" s="56"/>
      <c r="AG1087" s="56"/>
      <c r="AH1087" s="56"/>
      <c r="AI1087" s="56"/>
      <c r="AJ1087" s="56"/>
      <c r="AK1087" s="56"/>
      <c r="AL1087" s="56"/>
      <c r="AS1087" s="56"/>
      <c r="AT1087" s="56"/>
      <c r="AU1087" s="56"/>
    </row>
    <row r="1088" spans="1:47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AF1088" s="56"/>
      <c r="AG1088" s="56"/>
      <c r="AH1088" s="56"/>
      <c r="AI1088" s="56"/>
      <c r="AJ1088" s="56"/>
      <c r="AK1088" s="56"/>
      <c r="AL1088" s="56"/>
      <c r="AS1088" s="56"/>
      <c r="AT1088" s="56"/>
      <c r="AU1088" s="56"/>
    </row>
    <row r="1089" spans="1:47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AF1089" s="56"/>
      <c r="AG1089" s="56"/>
      <c r="AH1089" s="56"/>
      <c r="AI1089" s="56"/>
      <c r="AJ1089" s="56"/>
      <c r="AK1089" s="56"/>
      <c r="AL1089" s="56"/>
      <c r="AS1089" s="56"/>
      <c r="AT1089" s="56"/>
      <c r="AU1089" s="56"/>
    </row>
    <row r="1090" spans="1:47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AF1090" s="56"/>
      <c r="AG1090" s="56"/>
      <c r="AH1090" s="56"/>
      <c r="AI1090" s="56"/>
      <c r="AJ1090" s="56"/>
      <c r="AK1090" s="56"/>
      <c r="AL1090" s="56"/>
      <c r="AS1090" s="56"/>
      <c r="AT1090" s="56"/>
      <c r="AU1090" s="56"/>
    </row>
    <row r="1091" spans="1:47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AF1091" s="56"/>
      <c r="AG1091" s="56"/>
      <c r="AH1091" s="56"/>
      <c r="AI1091" s="56"/>
      <c r="AJ1091" s="56"/>
      <c r="AK1091" s="56"/>
      <c r="AL1091" s="56"/>
      <c r="AS1091" s="56"/>
      <c r="AT1091" s="56"/>
      <c r="AU1091" s="56"/>
    </row>
    <row r="1092" spans="1:47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AF1092" s="56"/>
      <c r="AG1092" s="56"/>
      <c r="AH1092" s="56"/>
      <c r="AI1092" s="56"/>
      <c r="AJ1092" s="56"/>
      <c r="AK1092" s="56"/>
      <c r="AL1092" s="56"/>
      <c r="AS1092" s="56"/>
      <c r="AT1092" s="56"/>
      <c r="AU1092" s="56"/>
    </row>
    <row r="1093" spans="1:47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AF1093" s="56"/>
      <c r="AG1093" s="56"/>
      <c r="AH1093" s="56"/>
      <c r="AI1093" s="56"/>
      <c r="AJ1093" s="56"/>
      <c r="AK1093" s="56"/>
      <c r="AL1093" s="56"/>
      <c r="AS1093" s="56"/>
      <c r="AT1093" s="56"/>
      <c r="AU1093" s="56"/>
    </row>
    <row r="1094" spans="1:47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AF1094" s="56"/>
      <c r="AG1094" s="56"/>
      <c r="AH1094" s="56"/>
      <c r="AI1094" s="56"/>
      <c r="AJ1094" s="56"/>
      <c r="AK1094" s="56"/>
      <c r="AL1094" s="56"/>
      <c r="AS1094" s="56"/>
      <c r="AT1094" s="56"/>
      <c r="AU1094" s="56"/>
    </row>
    <row r="1095" spans="1:47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AF1095" s="56"/>
      <c r="AG1095" s="56"/>
      <c r="AH1095" s="56"/>
      <c r="AI1095" s="56"/>
      <c r="AJ1095" s="56"/>
      <c r="AK1095" s="56"/>
      <c r="AL1095" s="56"/>
      <c r="AS1095" s="56"/>
      <c r="AT1095" s="56"/>
      <c r="AU1095" s="56"/>
    </row>
    <row r="1096" spans="1:47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AF1096" s="56"/>
      <c r="AG1096" s="56"/>
      <c r="AH1096" s="56"/>
      <c r="AI1096" s="56"/>
      <c r="AJ1096" s="56"/>
      <c r="AK1096" s="56"/>
      <c r="AL1096" s="56"/>
      <c r="AS1096" s="56"/>
      <c r="AT1096" s="56"/>
      <c r="AU1096" s="56"/>
    </row>
    <row r="1097" spans="1:47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AF1097" s="56"/>
      <c r="AG1097" s="56"/>
      <c r="AH1097" s="56"/>
      <c r="AI1097" s="56"/>
      <c r="AJ1097" s="56"/>
      <c r="AK1097" s="56"/>
      <c r="AL1097" s="56"/>
      <c r="AS1097" s="56"/>
      <c r="AT1097" s="56"/>
      <c r="AU1097" s="56"/>
    </row>
    <row r="1098" spans="1:47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AF1098" s="56"/>
      <c r="AG1098" s="56"/>
      <c r="AH1098" s="56"/>
      <c r="AI1098" s="56"/>
      <c r="AJ1098" s="56"/>
      <c r="AK1098" s="56"/>
      <c r="AL1098" s="56"/>
      <c r="AS1098" s="56"/>
      <c r="AT1098" s="56"/>
      <c r="AU1098" s="56"/>
    </row>
    <row r="1099" spans="1:47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AF1099" s="56"/>
      <c r="AG1099" s="56"/>
      <c r="AH1099" s="56"/>
      <c r="AI1099" s="56"/>
      <c r="AJ1099" s="56"/>
      <c r="AK1099" s="56"/>
      <c r="AL1099" s="56"/>
      <c r="AS1099" s="56"/>
      <c r="AT1099" s="56"/>
      <c r="AU1099" s="56"/>
    </row>
    <row r="1100" spans="1:47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AF1100" s="56"/>
      <c r="AG1100" s="56"/>
      <c r="AH1100" s="56"/>
      <c r="AI1100" s="56"/>
      <c r="AJ1100" s="56"/>
      <c r="AK1100" s="56"/>
      <c r="AL1100" s="56"/>
      <c r="AS1100" s="56"/>
      <c r="AT1100" s="56"/>
      <c r="AU1100" s="56"/>
    </row>
    <row r="1101" spans="1:47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AF1101" s="56"/>
      <c r="AG1101" s="56"/>
      <c r="AH1101" s="56"/>
      <c r="AI1101" s="56"/>
      <c r="AJ1101" s="56"/>
      <c r="AK1101" s="56"/>
      <c r="AL1101" s="56"/>
      <c r="AS1101" s="56"/>
      <c r="AT1101" s="56"/>
      <c r="AU1101" s="56"/>
    </row>
    <row r="1102" spans="1:47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AF1102" s="56"/>
      <c r="AG1102" s="56"/>
      <c r="AH1102" s="56"/>
      <c r="AI1102" s="56"/>
      <c r="AJ1102" s="56"/>
      <c r="AK1102" s="56"/>
      <c r="AL1102" s="56"/>
      <c r="AS1102" s="56"/>
      <c r="AT1102" s="56"/>
      <c r="AU1102" s="56"/>
    </row>
    <row r="1103" spans="1:47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AF1103" s="56"/>
      <c r="AG1103" s="56"/>
      <c r="AH1103" s="56"/>
      <c r="AI1103" s="56"/>
      <c r="AJ1103" s="56"/>
      <c r="AK1103" s="56"/>
      <c r="AL1103" s="56"/>
      <c r="AS1103" s="56"/>
      <c r="AT1103" s="56"/>
      <c r="AU1103" s="56"/>
    </row>
    <row r="1104" spans="1:47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AF1104" s="56"/>
      <c r="AG1104" s="56"/>
      <c r="AH1104" s="56"/>
      <c r="AI1104" s="56"/>
      <c r="AJ1104" s="56"/>
      <c r="AK1104" s="56"/>
      <c r="AL1104" s="56"/>
      <c r="AS1104" s="56"/>
      <c r="AT1104" s="56"/>
      <c r="AU1104" s="56"/>
    </row>
    <row r="1105" spans="1:47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AF1105" s="56"/>
      <c r="AG1105" s="56"/>
      <c r="AH1105" s="56"/>
      <c r="AI1105" s="56"/>
      <c r="AJ1105" s="56"/>
      <c r="AK1105" s="56"/>
      <c r="AL1105" s="56"/>
      <c r="AS1105" s="56"/>
      <c r="AT1105" s="56"/>
      <c r="AU1105" s="56"/>
    </row>
    <row r="1106" spans="1:47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AF1106" s="56"/>
      <c r="AG1106" s="56"/>
      <c r="AH1106" s="56"/>
      <c r="AI1106" s="56"/>
      <c r="AJ1106" s="56"/>
      <c r="AK1106" s="56"/>
      <c r="AL1106" s="56"/>
      <c r="AS1106" s="56"/>
      <c r="AT1106" s="56"/>
      <c r="AU1106" s="56"/>
    </row>
    <row r="1107" spans="1:47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AF1107" s="56"/>
      <c r="AG1107" s="56"/>
      <c r="AH1107" s="56"/>
      <c r="AI1107" s="56"/>
      <c r="AJ1107" s="56"/>
      <c r="AK1107" s="56"/>
      <c r="AL1107" s="56"/>
      <c r="AS1107" s="56"/>
      <c r="AT1107" s="56"/>
      <c r="AU1107" s="56"/>
    </row>
    <row r="1108" spans="1:47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AF1108" s="56"/>
      <c r="AG1108" s="56"/>
      <c r="AH1108" s="56"/>
      <c r="AI1108" s="56"/>
      <c r="AJ1108" s="56"/>
      <c r="AK1108" s="56"/>
      <c r="AL1108" s="56"/>
      <c r="AS1108" s="56"/>
      <c r="AT1108" s="56"/>
      <c r="AU1108" s="56"/>
    </row>
    <row r="1109" spans="1:47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AF1109" s="56"/>
      <c r="AG1109" s="56"/>
      <c r="AH1109" s="56"/>
      <c r="AI1109" s="56"/>
      <c r="AJ1109" s="56"/>
      <c r="AK1109" s="56"/>
      <c r="AL1109" s="56"/>
      <c r="AS1109" s="56"/>
      <c r="AT1109" s="56"/>
      <c r="AU1109" s="56"/>
    </row>
    <row r="1110" spans="1:47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AF1110" s="56"/>
      <c r="AG1110" s="56"/>
      <c r="AH1110" s="56"/>
      <c r="AI1110" s="56"/>
      <c r="AJ1110" s="56"/>
      <c r="AK1110" s="56"/>
      <c r="AL1110" s="56"/>
      <c r="AS1110" s="56"/>
      <c r="AT1110" s="56"/>
      <c r="AU1110" s="56"/>
    </row>
    <row r="1111" spans="1:47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AF1111" s="56"/>
      <c r="AG1111" s="56"/>
      <c r="AH1111" s="56"/>
      <c r="AI1111" s="56"/>
      <c r="AJ1111" s="56"/>
      <c r="AK1111" s="56"/>
      <c r="AL1111" s="56"/>
      <c r="AS1111" s="56"/>
      <c r="AT1111" s="56"/>
      <c r="AU1111" s="56"/>
    </row>
    <row r="1112" spans="1:47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AF1112" s="56"/>
      <c r="AG1112" s="56"/>
      <c r="AH1112" s="56"/>
      <c r="AI1112" s="56"/>
      <c r="AJ1112" s="56"/>
      <c r="AK1112" s="56"/>
      <c r="AL1112" s="56"/>
      <c r="AS1112" s="56"/>
      <c r="AT1112" s="56"/>
      <c r="AU1112" s="56"/>
    </row>
    <row r="1113" spans="1:47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AF1113" s="56"/>
      <c r="AG1113" s="56"/>
      <c r="AH1113" s="56"/>
      <c r="AI1113" s="56"/>
      <c r="AJ1113" s="56"/>
      <c r="AK1113" s="56"/>
      <c r="AL1113" s="56"/>
      <c r="AS1113" s="56"/>
      <c r="AT1113" s="56"/>
      <c r="AU1113" s="56"/>
    </row>
    <row r="1114" spans="1:47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AF1114" s="56"/>
      <c r="AG1114" s="56"/>
      <c r="AH1114" s="56"/>
      <c r="AI1114" s="56"/>
      <c r="AJ1114" s="56"/>
      <c r="AK1114" s="56"/>
      <c r="AL1114" s="56"/>
      <c r="AS1114" s="56"/>
      <c r="AT1114" s="56"/>
      <c r="AU1114" s="56"/>
    </row>
    <row r="1115" spans="1:47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AF1115" s="56"/>
      <c r="AG1115" s="56"/>
      <c r="AH1115" s="56"/>
      <c r="AI1115" s="56"/>
      <c r="AJ1115" s="56"/>
      <c r="AK1115" s="56"/>
      <c r="AL1115" s="56"/>
      <c r="AS1115" s="56"/>
      <c r="AT1115" s="56"/>
      <c r="AU1115" s="56"/>
    </row>
    <row r="1116" spans="1:47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AF1116" s="56"/>
      <c r="AG1116" s="56"/>
      <c r="AH1116" s="56"/>
      <c r="AI1116" s="56"/>
      <c r="AJ1116" s="56"/>
      <c r="AK1116" s="56"/>
      <c r="AL1116" s="56"/>
      <c r="AS1116" s="56"/>
      <c r="AT1116" s="56"/>
      <c r="AU1116" s="56"/>
    </row>
    <row r="1117" spans="1:47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AF1117" s="56"/>
      <c r="AG1117" s="56"/>
      <c r="AH1117" s="56"/>
      <c r="AI1117" s="56"/>
      <c r="AJ1117" s="56"/>
      <c r="AK1117" s="56"/>
      <c r="AL1117" s="56"/>
      <c r="AS1117" s="56"/>
      <c r="AT1117" s="56"/>
      <c r="AU1117" s="56"/>
    </row>
    <row r="1118" spans="1:47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AF1118" s="56"/>
      <c r="AG1118" s="56"/>
      <c r="AH1118" s="56"/>
      <c r="AI1118" s="56"/>
      <c r="AJ1118" s="56"/>
      <c r="AK1118" s="56"/>
      <c r="AL1118" s="56"/>
      <c r="AS1118" s="56"/>
      <c r="AT1118" s="56"/>
      <c r="AU1118" s="56"/>
    </row>
    <row r="1119" spans="1:47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AF1119" s="56"/>
      <c r="AG1119" s="56"/>
      <c r="AH1119" s="56"/>
      <c r="AI1119" s="56"/>
      <c r="AJ1119" s="56"/>
      <c r="AK1119" s="56"/>
      <c r="AL1119" s="56"/>
      <c r="AS1119" s="56"/>
      <c r="AT1119" s="56"/>
      <c r="AU1119" s="56"/>
    </row>
    <row r="1120" spans="1:47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AF1120" s="56"/>
      <c r="AG1120" s="56"/>
      <c r="AH1120" s="56"/>
      <c r="AI1120" s="56"/>
      <c r="AJ1120" s="56"/>
      <c r="AK1120" s="56"/>
      <c r="AL1120" s="56"/>
      <c r="AS1120" s="56"/>
      <c r="AT1120" s="56"/>
      <c r="AU1120" s="56"/>
    </row>
    <row r="1121" spans="1:47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AF1121" s="56"/>
      <c r="AG1121" s="56"/>
      <c r="AH1121" s="56"/>
      <c r="AI1121" s="56"/>
      <c r="AJ1121" s="56"/>
      <c r="AK1121" s="56"/>
      <c r="AL1121" s="56"/>
      <c r="AS1121" s="56"/>
      <c r="AT1121" s="56"/>
      <c r="AU1121" s="56"/>
    </row>
    <row r="1122" spans="1:47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AF1122" s="56"/>
      <c r="AG1122" s="56"/>
      <c r="AH1122" s="56"/>
      <c r="AI1122" s="56"/>
      <c r="AJ1122" s="56"/>
      <c r="AK1122" s="56"/>
      <c r="AL1122" s="56"/>
      <c r="AS1122" s="56"/>
      <c r="AT1122" s="56"/>
      <c r="AU1122" s="56"/>
    </row>
    <row r="1123" spans="1:47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AF1123" s="56"/>
      <c r="AG1123" s="56"/>
      <c r="AH1123" s="56"/>
      <c r="AI1123" s="56"/>
      <c r="AJ1123" s="56"/>
      <c r="AK1123" s="56"/>
      <c r="AL1123" s="56"/>
      <c r="AS1123" s="56"/>
      <c r="AT1123" s="56"/>
      <c r="AU1123" s="56"/>
    </row>
    <row r="1124" spans="1:47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AF1124" s="56"/>
      <c r="AG1124" s="56"/>
      <c r="AH1124" s="56"/>
      <c r="AI1124" s="56"/>
      <c r="AJ1124" s="56"/>
      <c r="AK1124" s="56"/>
      <c r="AL1124" s="56"/>
      <c r="AS1124" s="56"/>
      <c r="AT1124" s="56"/>
      <c r="AU1124" s="56"/>
    </row>
    <row r="1125" spans="1:47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AF1125" s="56"/>
      <c r="AG1125" s="56"/>
      <c r="AH1125" s="56"/>
      <c r="AI1125" s="56"/>
      <c r="AJ1125" s="56"/>
      <c r="AK1125" s="56"/>
      <c r="AL1125" s="56"/>
      <c r="AS1125" s="56"/>
      <c r="AT1125" s="56"/>
      <c r="AU1125" s="56"/>
    </row>
    <row r="1126" spans="1:47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AF1126" s="56"/>
      <c r="AG1126" s="56"/>
      <c r="AH1126" s="56"/>
      <c r="AI1126" s="56"/>
      <c r="AJ1126" s="56"/>
      <c r="AK1126" s="56"/>
      <c r="AL1126" s="56"/>
      <c r="AS1126" s="56"/>
      <c r="AT1126" s="56"/>
      <c r="AU1126" s="56"/>
    </row>
    <row r="1127" spans="1:47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AF1127" s="56"/>
      <c r="AG1127" s="56"/>
      <c r="AH1127" s="56"/>
      <c r="AI1127" s="56"/>
      <c r="AJ1127" s="56"/>
      <c r="AK1127" s="56"/>
      <c r="AL1127" s="56"/>
      <c r="AS1127" s="56"/>
      <c r="AT1127" s="56"/>
      <c r="AU1127" s="56"/>
    </row>
    <row r="1128" spans="1:47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AF1128" s="56"/>
      <c r="AG1128" s="56"/>
      <c r="AH1128" s="56"/>
      <c r="AI1128" s="56"/>
      <c r="AJ1128" s="56"/>
      <c r="AK1128" s="56"/>
      <c r="AL1128" s="56"/>
      <c r="AS1128" s="56"/>
      <c r="AT1128" s="56"/>
      <c r="AU1128" s="56"/>
    </row>
    <row r="1129" spans="1:47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AF1129" s="56"/>
      <c r="AG1129" s="56"/>
      <c r="AH1129" s="56"/>
      <c r="AI1129" s="56"/>
      <c r="AJ1129" s="56"/>
      <c r="AK1129" s="56"/>
      <c r="AL1129" s="56"/>
      <c r="AS1129" s="56"/>
      <c r="AT1129" s="56"/>
      <c r="AU1129" s="56"/>
    </row>
    <row r="1130" spans="1:47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AF1130" s="56"/>
      <c r="AG1130" s="56"/>
      <c r="AH1130" s="56"/>
      <c r="AI1130" s="56"/>
      <c r="AJ1130" s="56"/>
      <c r="AK1130" s="56"/>
      <c r="AL1130" s="56"/>
      <c r="AS1130" s="56"/>
      <c r="AT1130" s="56"/>
      <c r="AU1130" s="56"/>
    </row>
    <row r="1131" spans="1:47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AF1131" s="56"/>
      <c r="AG1131" s="56"/>
      <c r="AH1131" s="56"/>
      <c r="AI1131" s="56"/>
      <c r="AJ1131" s="56"/>
      <c r="AK1131" s="56"/>
      <c r="AL1131" s="56"/>
      <c r="AS1131" s="56"/>
      <c r="AT1131" s="56"/>
      <c r="AU1131" s="56"/>
    </row>
    <row r="1132" spans="1:47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AF1132" s="56"/>
      <c r="AG1132" s="56"/>
      <c r="AH1132" s="56"/>
      <c r="AI1132" s="56"/>
      <c r="AJ1132" s="56"/>
      <c r="AK1132" s="56"/>
      <c r="AL1132" s="56"/>
      <c r="AS1132" s="56"/>
      <c r="AT1132" s="56"/>
      <c r="AU1132" s="56"/>
    </row>
    <row r="1133" spans="1:47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AF1133" s="56"/>
      <c r="AG1133" s="56"/>
      <c r="AH1133" s="56"/>
      <c r="AI1133" s="56"/>
      <c r="AJ1133" s="56"/>
      <c r="AK1133" s="56"/>
      <c r="AL1133" s="56"/>
      <c r="AS1133" s="56"/>
      <c r="AT1133" s="56"/>
      <c r="AU1133" s="56"/>
    </row>
    <row r="1134" spans="1:47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AF1134" s="56"/>
      <c r="AG1134" s="56"/>
      <c r="AH1134" s="56"/>
      <c r="AI1134" s="56"/>
      <c r="AJ1134" s="56"/>
      <c r="AK1134" s="56"/>
      <c r="AL1134" s="56"/>
      <c r="AS1134" s="56"/>
      <c r="AT1134" s="56"/>
      <c r="AU1134" s="56"/>
    </row>
    <row r="1135" spans="1:47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AF1135" s="56"/>
      <c r="AG1135" s="56"/>
      <c r="AH1135" s="56"/>
      <c r="AI1135" s="56"/>
      <c r="AJ1135" s="56"/>
      <c r="AK1135" s="56"/>
      <c r="AL1135" s="56"/>
      <c r="AS1135" s="56"/>
      <c r="AT1135" s="56"/>
      <c r="AU1135" s="56"/>
    </row>
    <row r="1136" spans="1:47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AF1136" s="56"/>
      <c r="AG1136" s="56"/>
      <c r="AH1136" s="56"/>
      <c r="AI1136" s="56"/>
      <c r="AJ1136" s="56"/>
      <c r="AK1136" s="56"/>
      <c r="AL1136" s="56"/>
      <c r="AS1136" s="56"/>
      <c r="AT1136" s="56"/>
      <c r="AU1136" s="56"/>
    </row>
    <row r="1137" spans="1:47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AF1137" s="56"/>
      <c r="AG1137" s="56"/>
      <c r="AH1137" s="56"/>
      <c r="AI1137" s="56"/>
      <c r="AJ1137" s="56"/>
      <c r="AK1137" s="56"/>
      <c r="AL1137" s="56"/>
      <c r="AS1137" s="56"/>
      <c r="AT1137" s="56"/>
      <c r="AU1137" s="56"/>
    </row>
    <row r="1138" spans="1:47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AF1138" s="56"/>
      <c r="AG1138" s="56"/>
      <c r="AH1138" s="56"/>
      <c r="AI1138" s="56"/>
      <c r="AJ1138" s="56"/>
      <c r="AK1138" s="56"/>
      <c r="AL1138" s="56"/>
      <c r="AS1138" s="56"/>
      <c r="AT1138" s="56"/>
      <c r="AU1138" s="56"/>
    </row>
    <row r="1139" spans="1:47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AF1139" s="56"/>
      <c r="AG1139" s="56"/>
      <c r="AH1139" s="56"/>
      <c r="AI1139" s="56"/>
      <c r="AJ1139" s="56"/>
      <c r="AK1139" s="56"/>
      <c r="AL1139" s="56"/>
      <c r="AS1139" s="56"/>
      <c r="AT1139" s="56"/>
      <c r="AU1139" s="56"/>
    </row>
    <row r="1140" spans="1:47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AF1140" s="56"/>
      <c r="AG1140" s="56"/>
      <c r="AH1140" s="56"/>
      <c r="AI1140" s="56"/>
      <c r="AJ1140" s="56"/>
      <c r="AK1140" s="56"/>
      <c r="AL1140" s="56"/>
      <c r="AS1140" s="56"/>
      <c r="AT1140" s="56"/>
      <c r="AU1140" s="56"/>
    </row>
    <row r="1141" spans="1:47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AF1141" s="56"/>
      <c r="AG1141" s="56"/>
      <c r="AH1141" s="56"/>
      <c r="AI1141" s="56"/>
      <c r="AJ1141" s="56"/>
      <c r="AK1141" s="56"/>
      <c r="AL1141" s="56"/>
      <c r="AS1141" s="56"/>
      <c r="AT1141" s="56"/>
      <c r="AU1141" s="56"/>
    </row>
    <row r="1142" spans="1:47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AF1142" s="56"/>
      <c r="AG1142" s="56"/>
      <c r="AH1142" s="56"/>
      <c r="AI1142" s="56"/>
      <c r="AJ1142" s="56"/>
      <c r="AK1142" s="56"/>
      <c r="AL1142" s="56"/>
      <c r="AS1142" s="56"/>
      <c r="AT1142" s="56"/>
      <c r="AU1142" s="56"/>
    </row>
    <row r="1143" spans="1:47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AF1143" s="56"/>
      <c r="AG1143" s="56"/>
      <c r="AH1143" s="56"/>
      <c r="AI1143" s="56"/>
      <c r="AJ1143" s="56"/>
      <c r="AK1143" s="56"/>
      <c r="AL1143" s="56"/>
      <c r="AS1143" s="56"/>
      <c r="AT1143" s="56"/>
      <c r="AU1143" s="56"/>
    </row>
    <row r="1144" spans="1:47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AF1144" s="56"/>
      <c r="AG1144" s="56"/>
      <c r="AH1144" s="56"/>
      <c r="AI1144" s="56"/>
      <c r="AJ1144" s="56"/>
      <c r="AK1144" s="56"/>
      <c r="AL1144" s="56"/>
      <c r="AS1144" s="56"/>
      <c r="AT1144" s="56"/>
      <c r="AU1144" s="56"/>
    </row>
    <row r="1145" spans="1:47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AF1145" s="56"/>
      <c r="AG1145" s="56"/>
      <c r="AH1145" s="56"/>
      <c r="AI1145" s="56"/>
      <c r="AJ1145" s="56"/>
      <c r="AK1145" s="56"/>
      <c r="AL1145" s="56"/>
      <c r="AS1145" s="56"/>
      <c r="AT1145" s="56"/>
      <c r="AU1145" s="56"/>
    </row>
    <row r="1146" spans="1:47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AF1146" s="56"/>
      <c r="AG1146" s="56"/>
      <c r="AH1146" s="56"/>
      <c r="AI1146" s="56"/>
      <c r="AJ1146" s="56"/>
      <c r="AK1146" s="56"/>
      <c r="AL1146" s="56"/>
      <c r="AS1146" s="56"/>
      <c r="AT1146" s="56"/>
      <c r="AU1146" s="56"/>
    </row>
    <row r="1147" spans="1:47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AF1147" s="56"/>
      <c r="AG1147" s="56"/>
      <c r="AH1147" s="56"/>
      <c r="AI1147" s="56"/>
      <c r="AJ1147" s="56"/>
      <c r="AK1147" s="56"/>
      <c r="AL1147" s="56"/>
      <c r="AS1147" s="56"/>
      <c r="AT1147" s="56"/>
      <c r="AU1147" s="56"/>
    </row>
    <row r="1148" spans="1:47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AF1148" s="56"/>
      <c r="AG1148" s="56"/>
      <c r="AH1148" s="56"/>
      <c r="AI1148" s="56"/>
      <c r="AJ1148" s="56"/>
      <c r="AK1148" s="56"/>
      <c r="AL1148" s="56"/>
      <c r="AS1148" s="56"/>
      <c r="AT1148" s="56"/>
      <c r="AU1148" s="56"/>
    </row>
    <row r="1149" spans="1:47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AF1149" s="56"/>
      <c r="AG1149" s="56"/>
      <c r="AH1149" s="56"/>
      <c r="AI1149" s="56"/>
      <c r="AJ1149" s="56"/>
      <c r="AK1149" s="56"/>
      <c r="AL1149" s="56"/>
      <c r="AS1149" s="56"/>
      <c r="AT1149" s="56"/>
      <c r="AU1149" s="56"/>
    </row>
    <row r="1150" spans="1:47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AF1150" s="56"/>
      <c r="AG1150" s="56"/>
      <c r="AH1150" s="56"/>
      <c r="AI1150" s="56"/>
      <c r="AJ1150" s="56"/>
      <c r="AK1150" s="56"/>
      <c r="AL1150" s="56"/>
      <c r="AS1150" s="56"/>
      <c r="AT1150" s="56"/>
      <c r="AU1150" s="56"/>
    </row>
    <row r="1151" spans="1:47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AF1151" s="56"/>
      <c r="AG1151" s="56"/>
      <c r="AH1151" s="56"/>
      <c r="AI1151" s="56"/>
      <c r="AJ1151" s="56"/>
      <c r="AK1151" s="56"/>
      <c r="AL1151" s="56"/>
      <c r="AS1151" s="56"/>
      <c r="AT1151" s="56"/>
      <c r="AU1151" s="56"/>
    </row>
    <row r="1152" spans="1:47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AF1152" s="56"/>
      <c r="AG1152" s="56"/>
      <c r="AH1152" s="56"/>
      <c r="AI1152" s="56"/>
      <c r="AJ1152" s="56"/>
      <c r="AK1152" s="56"/>
      <c r="AL1152" s="56"/>
      <c r="AS1152" s="56"/>
      <c r="AT1152" s="56"/>
      <c r="AU1152" s="56"/>
    </row>
    <row r="1153" spans="3:47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AF1153" s="56"/>
      <c r="AG1153" s="56"/>
      <c r="AH1153" s="56"/>
      <c r="AI1153" s="56"/>
      <c r="AJ1153" s="56"/>
      <c r="AK1153" s="56"/>
      <c r="AL1153" s="56"/>
      <c r="AS1153" s="56"/>
      <c r="AT1153" s="56"/>
      <c r="AU1153" s="56"/>
    </row>
    <row r="1154" spans="3:47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AF1154" s="56"/>
      <c r="AG1154" s="56"/>
      <c r="AH1154" s="56"/>
      <c r="AI1154" s="56"/>
      <c r="AJ1154" s="56"/>
      <c r="AK1154" s="56"/>
      <c r="AL1154" s="56"/>
      <c r="AS1154" s="56"/>
      <c r="AT1154" s="56"/>
      <c r="AU1154" s="56"/>
    </row>
  </sheetData>
  <mergeCells count="1">
    <mergeCell ref="A1:A2"/>
  </mergeCells>
  <conditionalFormatting sqref="J7:AE7">
    <cfRule type="expression" dxfId="344" priority="1">
      <formula>$AF7=0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"/>
  <dimension ref="A1:DJ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31" width="11.5703125" style="1" customWidth="1"/>
    <col min="32" max="45" width="8.85546875"/>
    <col min="46" max="47" width="9.140625" style="56"/>
    <col min="48" max="54" width="11.5703125" style="1" customWidth="1"/>
    <col min="55" max="60" width="13" style="1" customWidth="1"/>
    <col min="61" max="62" width="11.5703125" style="56" customWidth="1"/>
    <col min="63" max="63" width="12.42578125" style="56" customWidth="1"/>
    <col min="64" max="64" width="12.5703125" style="56" customWidth="1"/>
    <col min="65" max="65" width="12.140625" style="56" customWidth="1"/>
    <col min="66" max="68" width="13" style="56" customWidth="1"/>
    <col min="69" max="72" width="11.5703125" style="1" customWidth="1"/>
    <col min="73" max="86" width="8.85546875"/>
    <col min="87" max="98" width="13" style="56" customWidth="1"/>
    <col min="99" max="103" width="11.5703125" style="56" customWidth="1"/>
    <col min="104" max="114" width="13" style="56" customWidth="1"/>
    <col min="115" max="16384" width="9.140625" style="56"/>
  </cols>
  <sheetData>
    <row r="1" spans="1:114" s="1" customFormat="1" ht="23.25" x14ac:dyDescent="0.35">
      <c r="A1" s="96"/>
      <c r="C1" s="70" t="s">
        <v>1314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5"/>
      <c r="AV1" s="74" t="s">
        <v>447</v>
      </c>
      <c r="AW1" s="75"/>
      <c r="AX1" s="75"/>
      <c r="AY1" s="74" t="s">
        <v>446</v>
      </c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</row>
    <row r="2" spans="1:114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</row>
    <row r="3" spans="1:114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1635</v>
      </c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2" t="s">
        <v>1487</v>
      </c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86" t="s">
        <v>1630</v>
      </c>
      <c r="AU3" s="86"/>
      <c r="AV3" s="48" t="s">
        <v>106</v>
      </c>
      <c r="AW3" s="50"/>
      <c r="AX3" s="50"/>
      <c r="AY3" s="64" t="s">
        <v>1640</v>
      </c>
      <c r="AZ3" s="65"/>
      <c r="BA3" s="65"/>
      <c r="BB3" s="65"/>
      <c r="BC3" s="65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6"/>
      <c r="BQ3" s="64" t="s">
        <v>1641</v>
      </c>
      <c r="BR3" s="65"/>
      <c r="BS3" s="65"/>
      <c r="BT3" s="65"/>
      <c r="BU3" s="65"/>
      <c r="BV3" s="65"/>
      <c r="BW3" s="65"/>
      <c r="BX3" s="65"/>
      <c r="BY3" s="65"/>
      <c r="BZ3" s="65"/>
      <c r="CA3" s="65"/>
      <c r="CB3" s="65"/>
      <c r="CC3" s="65"/>
      <c r="CD3" s="65"/>
      <c r="CE3" s="65"/>
      <c r="CF3" s="65"/>
      <c r="CG3" s="65"/>
      <c r="CH3" s="66"/>
    </row>
    <row r="4" spans="1:114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13" t="s">
        <v>82</v>
      </c>
      <c r="N4" s="13" t="s">
        <v>83</v>
      </c>
      <c r="O4" s="13" t="s">
        <v>84</v>
      </c>
      <c r="P4" s="13" t="s">
        <v>86</v>
      </c>
      <c r="Q4" s="13" t="s">
        <v>87</v>
      </c>
      <c r="R4" s="13" t="s">
        <v>88</v>
      </c>
      <c r="S4" s="13" t="s">
        <v>89</v>
      </c>
      <c r="T4" s="13" t="s">
        <v>90</v>
      </c>
      <c r="U4" s="13" t="s">
        <v>91</v>
      </c>
      <c r="V4" s="13" t="s">
        <v>92</v>
      </c>
      <c r="W4" s="13" t="s">
        <v>93</v>
      </c>
      <c r="X4" s="13" t="s">
        <v>94</v>
      </c>
      <c r="Y4" s="13" t="s">
        <v>95</v>
      </c>
      <c r="Z4" s="13" t="s">
        <v>96</v>
      </c>
      <c r="AA4" s="13" t="s">
        <v>97</v>
      </c>
      <c r="AB4" s="8" t="s">
        <v>509</v>
      </c>
      <c r="AC4" s="13" t="s">
        <v>510</v>
      </c>
      <c r="AD4" s="13" t="s">
        <v>511</v>
      </c>
      <c r="AE4" s="13" t="s">
        <v>512</v>
      </c>
      <c r="AF4" s="13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87" t="s">
        <v>1637</v>
      </c>
      <c r="AU4" s="87" t="s">
        <v>1638</v>
      </c>
      <c r="AV4" s="10" t="s">
        <v>404</v>
      </c>
      <c r="AW4" s="11" t="s">
        <v>422</v>
      </c>
      <c r="AX4" s="11" t="s">
        <v>423</v>
      </c>
      <c r="AY4" s="67" t="s">
        <v>80</v>
      </c>
      <c r="AZ4" s="68" t="s">
        <v>85</v>
      </c>
      <c r="BA4" s="68" t="s">
        <v>81</v>
      </c>
      <c r="BB4" s="68" t="s">
        <v>82</v>
      </c>
      <c r="BC4" s="68" t="s">
        <v>83</v>
      </c>
      <c r="BD4" s="68" t="s">
        <v>84</v>
      </c>
      <c r="BE4" s="68" t="s">
        <v>86</v>
      </c>
      <c r="BF4" s="68" t="s">
        <v>87</v>
      </c>
      <c r="BG4" s="68" t="s">
        <v>88</v>
      </c>
      <c r="BH4" s="68" t="s">
        <v>89</v>
      </c>
      <c r="BI4" s="68" t="s">
        <v>90</v>
      </c>
      <c r="BJ4" s="68" t="s">
        <v>91</v>
      </c>
      <c r="BK4" s="68" t="s">
        <v>92</v>
      </c>
      <c r="BL4" s="68" t="s">
        <v>93</v>
      </c>
      <c r="BM4" s="68" t="s">
        <v>94</v>
      </c>
      <c r="BN4" s="68" t="s">
        <v>95</v>
      </c>
      <c r="BO4" s="68" t="s">
        <v>96</v>
      </c>
      <c r="BP4" s="69" t="s">
        <v>97</v>
      </c>
      <c r="BQ4" s="67" t="s">
        <v>509</v>
      </c>
      <c r="BR4" s="68" t="s">
        <v>510</v>
      </c>
      <c r="BS4" s="68" t="s">
        <v>511</v>
      </c>
      <c r="BT4" s="68" t="s">
        <v>512</v>
      </c>
      <c r="BU4" s="68" t="s">
        <v>513</v>
      </c>
      <c r="BV4" s="68" t="s">
        <v>514</v>
      </c>
      <c r="BW4" s="68" t="s">
        <v>515</v>
      </c>
      <c r="BX4" s="68" t="s">
        <v>516</v>
      </c>
      <c r="BY4" s="68" t="s">
        <v>517</v>
      </c>
      <c r="BZ4" s="68" t="s">
        <v>518</v>
      </c>
      <c r="CA4" s="68" t="s">
        <v>519</v>
      </c>
      <c r="CB4" s="68" t="s">
        <v>520</v>
      </c>
      <c r="CC4" s="68" t="s">
        <v>521</v>
      </c>
      <c r="CD4" s="68" t="s">
        <v>522</v>
      </c>
      <c r="CE4" s="68" t="s">
        <v>523</v>
      </c>
      <c r="CF4" s="68" t="s">
        <v>524</v>
      </c>
      <c r="CG4" s="68" t="s">
        <v>525</v>
      </c>
      <c r="CH4" s="69" t="s">
        <v>526</v>
      </c>
    </row>
    <row r="5" spans="1:114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Y5" s="47">
        <f>SUBTOTAL(109,tbclinic_T[hts_tst_tbclinic_u1_unk_pos])</f>
        <v>0</v>
      </c>
      <c r="AZ5" s="47">
        <f>SUBTOTAL(109,tbclinic_T[hts_tst_tbclinic_0109_unk_pos])</f>
        <v>0</v>
      </c>
      <c r="BA5" s="47">
        <f>SUBTOTAL(109,tbclinic_T[hts_tst_tbclinic_1014_f_pos])</f>
        <v>0</v>
      </c>
      <c r="BB5" s="47">
        <f>SUBTOTAL(109,tbclinic_T[hts_tst_tbclinic_1014_m_pos])</f>
        <v>0</v>
      </c>
      <c r="BC5" s="47">
        <f>SUBTOTAL(109,tbclinic_T[hts_tst_tbclinic_1519_f_pos])</f>
        <v>0</v>
      </c>
      <c r="BD5" s="47">
        <f>SUBTOTAL(109,tbclinic_T[hts_tst_tbclinic_1519_m_pos])</f>
        <v>0</v>
      </c>
      <c r="BE5" s="47">
        <f>SUBTOTAL(109,tbclinic_T[hts_tst_tbclinic_2024_f_pos])</f>
        <v>0</v>
      </c>
      <c r="BF5" s="47">
        <f>SUBTOTAL(109,tbclinic_T[hts_tst_tbclinic_2024_m_pos])</f>
        <v>0</v>
      </c>
      <c r="BG5" s="47">
        <f>SUBTOTAL(109,tbclinic_T[hts_tst_tbclinic_2529_f_pos])</f>
        <v>0</v>
      </c>
      <c r="BH5" s="47">
        <f>SUBTOTAL(109,tbclinic_T[hts_tst_tbclinic_2529_m_pos])</f>
        <v>0</v>
      </c>
      <c r="BI5" s="47">
        <f>SUBTOTAL(109,tbclinic_T[hts_tst_tbclinic_3034_f_pos])</f>
        <v>0</v>
      </c>
      <c r="BJ5" s="47">
        <f>SUBTOTAL(109,tbclinic_T[hts_tst_tbclinic_3034_m_pos])</f>
        <v>0</v>
      </c>
      <c r="BK5" s="47">
        <f>SUBTOTAL(109,tbclinic_T[hts_tst_tbclinic_3539_f_pos])</f>
        <v>0</v>
      </c>
      <c r="BL5" s="47">
        <f>SUBTOTAL(109,tbclinic_T[hts_tst_tbclinic_3539_m_pos])</f>
        <v>0</v>
      </c>
      <c r="BM5" s="47">
        <f>SUBTOTAL(109,tbclinic_T[hts_tst_tbclinic_4049_f_pos])</f>
        <v>0</v>
      </c>
      <c r="BN5" s="47">
        <f>SUBTOTAL(109,tbclinic_T[hts_tst_tbclinic_4049_m_pos])</f>
        <v>0</v>
      </c>
      <c r="BO5" s="47">
        <f>SUBTOTAL(109,tbclinic_T[hts_tst_tbclinic_o50_f_pos])</f>
        <v>0</v>
      </c>
      <c r="BP5" s="47">
        <f>SUBTOTAL(109,tbclinic_T[hts_tst_tbclinic_o50_m_pos])</f>
        <v>0</v>
      </c>
      <c r="BQ5" s="47">
        <f>SUBTOTAL(109,tbclinic_T[hts_tst_tbclinic_u1_unk_neg])</f>
        <v>0</v>
      </c>
      <c r="BR5" s="47">
        <f>SUBTOTAL(109,tbclinic_T[hts_tst_tbclinic_0109_unk_neg])</f>
        <v>0</v>
      </c>
      <c r="BS5" s="47">
        <f>SUBTOTAL(109,tbclinic_T[hts_tst_tbclinic_1014_f_neg])</f>
        <v>0</v>
      </c>
      <c r="BT5" s="47">
        <f>SUBTOTAL(109,tbclinic_T[hts_tst_tbclinic_1014_m_neg])</f>
        <v>0</v>
      </c>
      <c r="BU5" s="47">
        <f>SUBTOTAL(109,tbclinic_T[hts_tst_tbclinic_1519_f_neg])</f>
        <v>0</v>
      </c>
      <c r="BV5" s="47">
        <f>SUBTOTAL(109,tbclinic_T[hts_tst_tbclinic_1519_m_neg])</f>
        <v>0</v>
      </c>
      <c r="BW5" s="47">
        <f>SUBTOTAL(109,tbclinic_T[hts_tst_tbclinic_2024_f_neg])</f>
        <v>0</v>
      </c>
      <c r="BX5" s="47">
        <f>SUBTOTAL(109,tbclinic_T[hts_tst_tbclinic_2024_m_neg])</f>
        <v>0</v>
      </c>
      <c r="BY5" s="47">
        <f>SUBTOTAL(109,tbclinic_T[hts_tst_tbclinic_2529_f_neg])</f>
        <v>0</v>
      </c>
      <c r="BZ5" s="47">
        <f>SUBTOTAL(109,tbclinic_T[hts_tst_tbclinic_2529_m_neg])</f>
        <v>0</v>
      </c>
      <c r="CA5" s="47">
        <f>SUBTOTAL(109,tbclinic_T[hts_tst_tbclinic_3034_f_neg])</f>
        <v>0</v>
      </c>
      <c r="CB5" s="47">
        <f>SUBTOTAL(109,tbclinic_T[hts_tst_tbclinic_3034_m_neg])</f>
        <v>0</v>
      </c>
      <c r="CC5" s="47">
        <f>SUBTOTAL(109,tbclinic_T[hts_tst_tbclinic_3539_f_neg])</f>
        <v>0</v>
      </c>
      <c r="CD5" s="47">
        <f>SUBTOTAL(109,tbclinic_T[hts_tst_tbclinic_3539_m_neg])</f>
        <v>0</v>
      </c>
      <c r="CE5" s="47">
        <f>SUBTOTAL(109,tbclinic_T[hts_tst_tbclinic_4049_f_neg])</f>
        <v>0</v>
      </c>
      <c r="CF5" s="47">
        <f>SUBTOTAL(109,tbclinic_T[hts_tst_tbclinic_4049_m_neg])</f>
        <v>0</v>
      </c>
      <c r="CG5" s="47">
        <f>SUBTOTAL(109,tbclinic_T[hts_tst_tbclinic_o50_f_neg])</f>
        <v>0</v>
      </c>
      <c r="CH5" s="47">
        <f>SUBTOTAL(109,tbclinic_T[hts_tst_tbclinic_o50_m_neg])</f>
        <v>0</v>
      </c>
    </row>
    <row r="6" spans="1:114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1315</v>
      </c>
      <c r="K6" s="25" t="s">
        <v>1316</v>
      </c>
      <c r="L6" s="25" t="s">
        <v>1317</v>
      </c>
      <c r="M6" s="25" t="s">
        <v>1318</v>
      </c>
      <c r="N6" s="25" t="s">
        <v>1323</v>
      </c>
      <c r="O6" s="25" t="s">
        <v>1324</v>
      </c>
      <c r="P6" s="25" t="s">
        <v>1325</v>
      </c>
      <c r="Q6" s="25" t="s">
        <v>1326</v>
      </c>
      <c r="R6" s="25" t="s">
        <v>1327</v>
      </c>
      <c r="S6" s="25" t="s">
        <v>1328</v>
      </c>
      <c r="T6" s="25" t="s">
        <v>1329</v>
      </c>
      <c r="U6" s="25" t="s">
        <v>1330</v>
      </c>
      <c r="V6" s="25" t="s">
        <v>1331</v>
      </c>
      <c r="W6" s="25" t="s">
        <v>1332</v>
      </c>
      <c r="X6" s="25" t="s">
        <v>1333</v>
      </c>
      <c r="Y6" s="25" t="s">
        <v>1334</v>
      </c>
      <c r="Z6" s="25" t="s">
        <v>1335</v>
      </c>
      <c r="AA6" s="25" t="s">
        <v>1336</v>
      </c>
      <c r="AB6" s="25" t="s">
        <v>1319</v>
      </c>
      <c r="AC6" s="25" t="s">
        <v>1320</v>
      </c>
      <c r="AD6" s="25" t="s">
        <v>1321</v>
      </c>
      <c r="AE6" s="25" t="s">
        <v>1322</v>
      </c>
      <c r="AF6" s="25" t="s">
        <v>1337</v>
      </c>
      <c r="AG6" s="25" t="s">
        <v>1338</v>
      </c>
      <c r="AH6" s="25" t="s">
        <v>1339</v>
      </c>
      <c r="AI6" s="25" t="s">
        <v>1340</v>
      </c>
      <c r="AJ6" s="25" t="s">
        <v>1341</v>
      </c>
      <c r="AK6" s="25" t="s">
        <v>1342</v>
      </c>
      <c r="AL6" s="25" t="s">
        <v>1343</v>
      </c>
      <c r="AM6" s="25" t="s">
        <v>1344</v>
      </c>
      <c r="AN6" s="25" t="s">
        <v>1345</v>
      </c>
      <c r="AO6" s="25" t="s">
        <v>1346</v>
      </c>
      <c r="AP6" s="25" t="s">
        <v>1347</v>
      </c>
      <c r="AQ6" s="25" t="s">
        <v>1348</v>
      </c>
      <c r="AR6" s="25" t="s">
        <v>1349</v>
      </c>
      <c r="AS6" s="25" t="s">
        <v>1350</v>
      </c>
      <c r="AT6" s="25" t="s">
        <v>1631</v>
      </c>
      <c r="AU6" s="25" t="s">
        <v>1632</v>
      </c>
      <c r="AV6" s="25" t="s">
        <v>417</v>
      </c>
      <c r="AW6" s="25" t="s">
        <v>435</v>
      </c>
      <c r="AX6" s="25" t="s">
        <v>436</v>
      </c>
      <c r="AY6" s="25" t="s">
        <v>1351</v>
      </c>
      <c r="AZ6" s="25" t="s">
        <v>1352</v>
      </c>
      <c r="BA6" s="25" t="s">
        <v>1353</v>
      </c>
      <c r="BB6" s="25" t="s">
        <v>1354</v>
      </c>
      <c r="BC6" s="25" t="s">
        <v>1359</v>
      </c>
      <c r="BD6" s="25" t="s">
        <v>1360</v>
      </c>
      <c r="BE6" s="25" t="s">
        <v>1361</v>
      </c>
      <c r="BF6" s="25" t="s">
        <v>1362</v>
      </c>
      <c r="BG6" s="25" t="s">
        <v>1363</v>
      </c>
      <c r="BH6" s="25" t="s">
        <v>1364</v>
      </c>
      <c r="BI6" s="25" t="s">
        <v>1365</v>
      </c>
      <c r="BJ6" s="25" t="s">
        <v>1366</v>
      </c>
      <c r="BK6" s="25" t="s">
        <v>1367</v>
      </c>
      <c r="BL6" s="25" t="s">
        <v>1368</v>
      </c>
      <c r="BM6" s="25" t="s">
        <v>1369</v>
      </c>
      <c r="BN6" s="25" t="s">
        <v>1370</v>
      </c>
      <c r="BO6" s="25" t="s">
        <v>1371</v>
      </c>
      <c r="BP6" s="25" t="s">
        <v>1372</v>
      </c>
      <c r="BQ6" s="25" t="s">
        <v>1355</v>
      </c>
      <c r="BR6" s="25" t="s">
        <v>1356</v>
      </c>
      <c r="BS6" s="25" t="s">
        <v>1357</v>
      </c>
      <c r="BT6" s="25" t="s">
        <v>1358</v>
      </c>
      <c r="BU6" s="25" t="s">
        <v>1373</v>
      </c>
      <c r="BV6" s="25" t="s">
        <v>1374</v>
      </c>
      <c r="BW6" s="25" t="s">
        <v>1375</v>
      </c>
      <c r="BX6" s="25" t="s">
        <v>1376</v>
      </c>
      <c r="BY6" s="25" t="s">
        <v>1377</v>
      </c>
      <c r="BZ6" s="25" t="s">
        <v>1378</v>
      </c>
      <c r="CA6" s="25" t="s">
        <v>1379</v>
      </c>
      <c r="CB6" s="25" t="s">
        <v>1380</v>
      </c>
      <c r="CC6" s="25" t="s">
        <v>1381</v>
      </c>
      <c r="CD6" s="25" t="s">
        <v>1382</v>
      </c>
      <c r="CE6" s="25" t="s">
        <v>1383</v>
      </c>
      <c r="CF6" s="25" t="s">
        <v>1384</v>
      </c>
      <c r="CG6" s="25" t="s">
        <v>1385</v>
      </c>
      <c r="CH6" s="25" t="s">
        <v>1386</v>
      </c>
    </row>
    <row r="7" spans="1:114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SUM(tbclinic_T[[#This Row],[A_hts_tst_tbclinic_u1_unk_pos]:[A_hts_tst_tbclinic_o50_m_pos]])</f>
        <v>0</v>
      </c>
      <c r="AU7" s="94">
        <f>SUM(tbclinic_T[[#This Row],[A_hts_tst_tbclinic_u1_unk_neg]:[A_hts_tst_tbclinic_o50_m_neg]])</f>
        <v>0</v>
      </c>
      <c r="AV7" s="41"/>
      <c r="AW7" s="41"/>
      <c r="AX7" s="41"/>
      <c r="AY7" s="41">
        <f>tbclinic_T[[D_tb_stat_newpos_fy19]:[D_tb_stat_newpos_fy19]]*tbclinic_T[A_hts_tst_tbclinic_u1_unk_pos]</f>
        <v>0</v>
      </c>
      <c r="AZ7" s="41">
        <f>tbclinic_T[[D_tb_stat_newpos_fy19]:[D_tb_stat_newpos_fy19]]*tbclinic_T[A_hts_tst_tbclinic_0109_unk_pos]</f>
        <v>0</v>
      </c>
      <c r="BA7" s="41">
        <f>tbclinic_T[[D_tb_stat_newpos_fy19]:[D_tb_stat_newpos_fy19]]*tbclinic_T[A_hts_tst_tbclinic_1014_f_pos]</f>
        <v>0</v>
      </c>
      <c r="BB7" s="41">
        <f>tbclinic_T[[D_tb_stat_newpos_fy19]:[D_tb_stat_newpos_fy19]]*tbclinic_T[A_hts_tst_tbclinic_1014_m_pos]</f>
        <v>0</v>
      </c>
      <c r="BC7" s="41">
        <f>tbclinic_T[[D_tb_stat_newpos_fy19]:[D_tb_stat_newpos_fy19]]*tbclinic_T[A_hts_tst_tbclinic_1519_f_pos]</f>
        <v>0</v>
      </c>
      <c r="BD7" s="41">
        <f>tbclinic_T[[D_tb_stat_newpos_fy19]:[D_tb_stat_newpos_fy19]]*tbclinic_T[A_hts_tst_tbclinic_1519_m_pos]</f>
        <v>0</v>
      </c>
      <c r="BE7" s="41">
        <f>tbclinic_T[[D_tb_stat_newpos_fy19]:[D_tb_stat_newpos_fy19]]*tbclinic_T[A_hts_tst_tbclinic_2024_f_pos]</f>
        <v>0</v>
      </c>
      <c r="BF7" s="41">
        <f>tbclinic_T[[D_tb_stat_newpos_fy19]:[D_tb_stat_newpos_fy19]]*tbclinic_T[A_hts_tst_tbclinic_2024_m_pos]</f>
        <v>0</v>
      </c>
      <c r="BG7" s="41">
        <f>tbclinic_T[[D_tb_stat_newpos_fy19]:[D_tb_stat_newpos_fy19]]*tbclinic_T[A_hts_tst_tbclinic_2529_f_pos]</f>
        <v>0</v>
      </c>
      <c r="BH7" s="41">
        <f>tbclinic_T[[D_tb_stat_newpos_fy19]:[D_tb_stat_newpos_fy19]]*tbclinic_T[A_hts_tst_tbclinic_2529_m_pos]</f>
        <v>0</v>
      </c>
      <c r="BI7" s="41">
        <f>tbclinic_T[[D_tb_stat_newpos_fy19]:[D_tb_stat_newpos_fy19]]*tbclinic_T[A_hts_tst_tbclinic_3034_f_pos]</f>
        <v>0</v>
      </c>
      <c r="BJ7" s="41">
        <f>tbclinic_T[[D_tb_stat_newpos_fy19]:[D_tb_stat_newpos_fy19]]*tbclinic_T[A_hts_tst_tbclinic_3034_m__pos]</f>
        <v>0</v>
      </c>
      <c r="BK7" s="41">
        <f>tbclinic_T[[D_tb_stat_newpos_fy19]:[D_tb_stat_newpos_fy19]]*tbclinic_T[A_hts_tst_tbclinic_3539_f_pos]</f>
        <v>0</v>
      </c>
      <c r="BL7" s="41">
        <f>tbclinic_T[[D_tb_stat_newpos_fy19]:[D_tb_stat_newpos_fy19]]*tbclinic_T[A_hts_tst_tbclinic_3539_m__pos]</f>
        <v>0</v>
      </c>
      <c r="BM7" s="41">
        <f>tbclinic_T[[D_tb_stat_newpos_fy19]:[D_tb_stat_newpos_fy19]]*tbclinic_T[A_hts_tst_tbclinic_4049_f_pos]</f>
        <v>0</v>
      </c>
      <c r="BN7" s="41">
        <f>tbclinic_T[[D_tb_stat_newpos_fy19]:[D_tb_stat_newpos_fy19]]*tbclinic_T[A_hts_tst_tbclinic_4049_m_pos]</f>
        <v>0</v>
      </c>
      <c r="BO7" s="41">
        <f>tbclinic_T[[D_tb_stat_newpos_fy19]:[D_tb_stat_newpos_fy19]]*tbclinic_T[A_hts_tst_tbclinic_o50_f_pos]</f>
        <v>0</v>
      </c>
      <c r="BP7" s="41">
        <f>tbclinic_T[[D_tb_stat_newpos_fy19]:[D_tb_stat_newpos_fy19]]*tbclinic_T[A_hts_tst_tbclinic_o50_m_pos]</f>
        <v>0</v>
      </c>
      <c r="BQ7" s="41">
        <f>tbclinic_T[[D_tb_stat_newneg_fy19]:[D_tb_stat_newneg_fy19]]*tbclinic_T[A_hts_tst_tbclinic_u1_unk_neg]</f>
        <v>0</v>
      </c>
      <c r="BR7" s="41">
        <f>tbclinic_T[[D_tb_stat_newneg_fy19]:[D_tb_stat_newneg_fy19]]*tbclinic_T[A_hts_tst_tbclinic_0109_unk_neg]</f>
        <v>0</v>
      </c>
      <c r="BS7" s="41">
        <f>tbclinic_T[[D_tb_stat_newneg_fy19]:[D_tb_stat_newneg_fy19]]*tbclinic_T[A_hts_tst_tbclinic_1014_f_neg]</f>
        <v>0</v>
      </c>
      <c r="BT7" s="41">
        <f>tbclinic_T[[D_tb_stat_newneg_fy19]:[D_tb_stat_newneg_fy19]]*tbclinic_T[A_hts_tst_tbclinic_1014_m_neg]</f>
        <v>0</v>
      </c>
      <c r="BU7" s="41">
        <f>tbclinic_T[[D_tb_stat_newneg_fy19]:[D_tb_stat_newneg_fy19]]*tbclinic_T[A_hts_tst_tbclinic_1519_f_neg]</f>
        <v>0</v>
      </c>
      <c r="BV7" s="41">
        <f>tbclinic_T[[D_tb_stat_newneg_fy19]:[D_tb_stat_newneg_fy19]]*tbclinic_T[A_hts_tst_tbclinic_1519_m_neg]</f>
        <v>0</v>
      </c>
      <c r="BW7" s="41">
        <f>tbclinic_T[[D_tb_stat_newneg_fy19]:[D_tb_stat_newneg_fy19]]*tbclinic_T[A_hts_tst_tbclinic_2024_f_neg]</f>
        <v>0</v>
      </c>
      <c r="BX7" s="41">
        <f>tbclinic_T[[D_tb_stat_newneg_fy19]:[D_tb_stat_newneg_fy19]]*tbclinic_T[A_hts_tst_tbclinic_2024_m_neg]</f>
        <v>0</v>
      </c>
      <c r="BY7" s="41">
        <f>tbclinic_T[[D_tb_stat_newneg_fy19]:[D_tb_stat_newneg_fy19]]*tbclinic_T[A_hts_tst_tbclinic_2529_f_neg]</f>
        <v>0</v>
      </c>
      <c r="BZ7" s="41">
        <f>tbclinic_T[[D_tb_stat_newneg_fy19]:[D_tb_stat_newneg_fy19]]*tbclinic_T[A_hts_tst_tbclinic_2529_m_neg]</f>
        <v>0</v>
      </c>
      <c r="CA7" s="41">
        <f>tbclinic_T[[D_tb_stat_newneg_fy19]:[D_tb_stat_newneg_fy19]]*tbclinic_T[A_hts_tst_tbclinic_3034_f_neg]</f>
        <v>0</v>
      </c>
      <c r="CB7" s="41">
        <f>tbclinic_T[[D_tb_stat_newneg_fy19]:[D_tb_stat_newneg_fy19]]*tbclinic_T[A_hts_tst_tbclinic_3034_m_neg]</f>
        <v>0</v>
      </c>
      <c r="CC7" s="41">
        <f>tbclinic_T[[D_tb_stat_newneg_fy19]:[D_tb_stat_newneg_fy19]]*tbclinic_T[A_hts_tst_tbclinic_3539_f_neg]</f>
        <v>0</v>
      </c>
      <c r="CD7" s="41">
        <f>tbclinic_T[[D_tb_stat_newneg_fy19]:[D_tb_stat_newneg_fy19]]*tbclinic_T[A_hts_tst_tbclinic_3539_m_neg]</f>
        <v>0</v>
      </c>
      <c r="CE7" s="41">
        <f>tbclinic_T[[D_tb_stat_newneg_fy19]:[D_tb_stat_newneg_fy19]]*tbclinic_T[A_hts_tst_tbclinic_4049_f_neg]</f>
        <v>0</v>
      </c>
      <c r="CF7" s="41">
        <f>tbclinic_T[[D_tb_stat_newneg_fy19]:[D_tb_stat_newneg_fy19]]*tbclinic_T[A_hts_tst_tbclinic_4049_m_neg]</f>
        <v>0</v>
      </c>
      <c r="CG7" s="41">
        <f>tbclinic_T[[D_tb_stat_newneg_fy19]:[D_tb_stat_newneg_fy19]]*tbclinic_T[A_hts_tst_tbclinic_o50_f_neg]</f>
        <v>0</v>
      </c>
      <c r="CH7" s="41">
        <f>tbclinic_T[[D_tb_stat_newneg_fy19]:[D_tb_stat_newneg_fy19]]*tbclinic_T[A_hts_tst_tbclinic_o50_m_neg]</f>
        <v>0</v>
      </c>
    </row>
    <row r="8" spans="1:114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</row>
    <row r="9" spans="1:114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</row>
    <row r="10" spans="1:114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Q10" s="19"/>
      <c r="BR10" s="19"/>
      <c r="BS10" s="19"/>
      <c r="BT10" s="19"/>
    </row>
    <row r="11" spans="1:114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</row>
    <row r="12" spans="1:114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Q12" s="56"/>
      <c r="BR12" s="56"/>
      <c r="BS12" s="56"/>
      <c r="BT12" s="56"/>
    </row>
    <row r="13" spans="1:114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Q13" s="56"/>
      <c r="BR13" s="56"/>
      <c r="BS13" s="56"/>
      <c r="BT13" s="56"/>
    </row>
    <row r="14" spans="1:114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Q14" s="56"/>
      <c r="BR14" s="56"/>
      <c r="BS14" s="56"/>
      <c r="BT14" s="56"/>
    </row>
    <row r="15" spans="1:114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Q15" s="56"/>
      <c r="BR15" s="56"/>
      <c r="BS15" s="56"/>
      <c r="BT15" s="56"/>
    </row>
    <row r="16" spans="1:114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Q16" s="56"/>
      <c r="BR16" s="56"/>
      <c r="BS16" s="56"/>
      <c r="BT16" s="56"/>
    </row>
    <row r="17" spans="1:72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Q17" s="56"/>
      <c r="BR17" s="56"/>
      <c r="BS17" s="56"/>
      <c r="BT17" s="56"/>
    </row>
    <row r="18" spans="1:72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Q18" s="56"/>
      <c r="BR18" s="56"/>
      <c r="BS18" s="56"/>
      <c r="BT18" s="56"/>
    </row>
    <row r="19" spans="1:72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Q19" s="56"/>
      <c r="BR19" s="56"/>
      <c r="BS19" s="56"/>
      <c r="BT19" s="56"/>
    </row>
    <row r="20" spans="1:72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Q20" s="56"/>
      <c r="BR20" s="56"/>
      <c r="BS20" s="56"/>
      <c r="BT20" s="56"/>
    </row>
    <row r="21" spans="1:72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Q21" s="56"/>
      <c r="BR21" s="56"/>
      <c r="BS21" s="56"/>
      <c r="BT21" s="56"/>
    </row>
    <row r="22" spans="1:72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Q22" s="56"/>
      <c r="BR22" s="56"/>
      <c r="BS22" s="56"/>
      <c r="BT22" s="56"/>
    </row>
    <row r="23" spans="1:72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Q23" s="56"/>
      <c r="BR23" s="56"/>
      <c r="BS23" s="56"/>
      <c r="BT23" s="56"/>
    </row>
    <row r="24" spans="1:72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Q24" s="56"/>
      <c r="BR24" s="56"/>
      <c r="BS24" s="56"/>
      <c r="BT24" s="56"/>
    </row>
    <row r="25" spans="1:72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Q25" s="56"/>
      <c r="BR25" s="56"/>
      <c r="BS25" s="56"/>
      <c r="BT25" s="56"/>
    </row>
    <row r="26" spans="1:72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Q26" s="56"/>
      <c r="BR26" s="56"/>
      <c r="BS26" s="56"/>
      <c r="BT26" s="56"/>
    </row>
    <row r="27" spans="1:72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Q27" s="56"/>
      <c r="BR27" s="56"/>
      <c r="BS27" s="56"/>
      <c r="BT27" s="56"/>
    </row>
    <row r="28" spans="1:72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Q28" s="56"/>
      <c r="BR28" s="56"/>
      <c r="BS28" s="56"/>
      <c r="BT28" s="56"/>
    </row>
    <row r="29" spans="1:72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Q29" s="56"/>
      <c r="BR29" s="56"/>
      <c r="BS29" s="56"/>
      <c r="BT29" s="56"/>
    </row>
    <row r="30" spans="1:72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Q30" s="56"/>
      <c r="BR30" s="56"/>
      <c r="BS30" s="56"/>
      <c r="BT30" s="56"/>
    </row>
    <row r="31" spans="1:72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Q31" s="56"/>
      <c r="BR31" s="56"/>
      <c r="BS31" s="56"/>
      <c r="BT31" s="56"/>
    </row>
    <row r="32" spans="1:72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Q32" s="56"/>
      <c r="BR32" s="56"/>
      <c r="BS32" s="56"/>
      <c r="BT32" s="56"/>
    </row>
    <row r="33" spans="1:72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Q33" s="56"/>
      <c r="BR33" s="56"/>
      <c r="BS33" s="56"/>
      <c r="BT33" s="56"/>
    </row>
    <row r="34" spans="1:72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Q34" s="56"/>
      <c r="BR34" s="56"/>
      <c r="BS34" s="56"/>
      <c r="BT34" s="56"/>
    </row>
    <row r="35" spans="1:72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Q35" s="56"/>
      <c r="BR35" s="56"/>
      <c r="BS35" s="56"/>
      <c r="BT35" s="56"/>
    </row>
    <row r="36" spans="1:72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Q36" s="56"/>
      <c r="BR36" s="56"/>
      <c r="BS36" s="56"/>
      <c r="BT36" s="56"/>
    </row>
    <row r="37" spans="1:72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Q37" s="56"/>
      <c r="BR37" s="56"/>
      <c r="BS37" s="56"/>
      <c r="BT37" s="56"/>
    </row>
    <row r="38" spans="1:72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Q38" s="56"/>
      <c r="BR38" s="56"/>
      <c r="BS38" s="56"/>
      <c r="BT38" s="56"/>
    </row>
    <row r="39" spans="1:72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Q39" s="56"/>
      <c r="BR39" s="56"/>
      <c r="BS39" s="56"/>
      <c r="BT39" s="56"/>
    </row>
    <row r="40" spans="1:72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Q40" s="56"/>
      <c r="BR40" s="56"/>
      <c r="BS40" s="56"/>
      <c r="BT40" s="56"/>
    </row>
    <row r="41" spans="1:72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Q41" s="56"/>
      <c r="BR41" s="56"/>
      <c r="BS41" s="56"/>
      <c r="BT41" s="56"/>
    </row>
    <row r="42" spans="1:72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Q42" s="56"/>
      <c r="BR42" s="56"/>
      <c r="BS42" s="56"/>
      <c r="BT42" s="56"/>
    </row>
    <row r="43" spans="1:72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Q43" s="56"/>
      <c r="BR43" s="56"/>
      <c r="BS43" s="56"/>
      <c r="BT43" s="56"/>
    </row>
    <row r="44" spans="1:72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Q44" s="56"/>
      <c r="BR44" s="56"/>
      <c r="BS44" s="56"/>
      <c r="BT44" s="56"/>
    </row>
    <row r="45" spans="1:72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Q45" s="56"/>
      <c r="BR45" s="56"/>
      <c r="BS45" s="56"/>
      <c r="BT45" s="56"/>
    </row>
    <row r="46" spans="1:72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Q46" s="56"/>
      <c r="BR46" s="56"/>
      <c r="BS46" s="56"/>
      <c r="BT46" s="56"/>
    </row>
    <row r="47" spans="1:72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Q47" s="56"/>
      <c r="BR47" s="56"/>
      <c r="BS47" s="56"/>
      <c r="BT47" s="56"/>
    </row>
    <row r="48" spans="1:72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Q48" s="56"/>
      <c r="BR48" s="56"/>
      <c r="BS48" s="56"/>
      <c r="BT48" s="56"/>
    </row>
    <row r="49" spans="1:72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Q49" s="56"/>
      <c r="BR49" s="56"/>
      <c r="BS49" s="56"/>
      <c r="BT49" s="56"/>
    </row>
    <row r="50" spans="1:72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Q50" s="56"/>
      <c r="BR50" s="56"/>
      <c r="BS50" s="56"/>
      <c r="BT50" s="56"/>
    </row>
    <row r="51" spans="1:72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Q51" s="56"/>
      <c r="BR51" s="56"/>
      <c r="BS51" s="56"/>
      <c r="BT51" s="56"/>
    </row>
    <row r="52" spans="1:72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Q52" s="56"/>
      <c r="BR52" s="56"/>
      <c r="BS52" s="56"/>
      <c r="BT52" s="56"/>
    </row>
    <row r="53" spans="1:72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Q53" s="56"/>
      <c r="BR53" s="56"/>
      <c r="BS53" s="56"/>
      <c r="BT53" s="56"/>
    </row>
    <row r="54" spans="1:72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Q54" s="56"/>
      <c r="BR54" s="56"/>
      <c r="BS54" s="56"/>
      <c r="BT54" s="56"/>
    </row>
    <row r="55" spans="1:72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Q55" s="56"/>
      <c r="BR55" s="56"/>
      <c r="BS55" s="56"/>
      <c r="BT55" s="56"/>
    </row>
    <row r="56" spans="1:72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Q56" s="56"/>
      <c r="BR56" s="56"/>
      <c r="BS56" s="56"/>
      <c r="BT56" s="56"/>
    </row>
    <row r="57" spans="1:72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Q57" s="56"/>
      <c r="BR57" s="56"/>
      <c r="BS57" s="56"/>
      <c r="BT57" s="56"/>
    </row>
    <row r="58" spans="1:72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Q58" s="56"/>
      <c r="BR58" s="56"/>
      <c r="BS58" s="56"/>
      <c r="BT58" s="56"/>
    </row>
    <row r="59" spans="1:72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Q59" s="56"/>
      <c r="BR59" s="56"/>
      <c r="BS59" s="56"/>
      <c r="BT59" s="56"/>
    </row>
    <row r="60" spans="1:72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Q60" s="56"/>
      <c r="BR60" s="56"/>
      <c r="BS60" s="56"/>
      <c r="BT60" s="56"/>
    </row>
    <row r="61" spans="1:72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Q61" s="56"/>
      <c r="BR61" s="56"/>
      <c r="BS61" s="56"/>
      <c r="BT61" s="56"/>
    </row>
    <row r="62" spans="1:72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Q62" s="56"/>
      <c r="BR62" s="56"/>
      <c r="BS62" s="56"/>
      <c r="BT62" s="56"/>
    </row>
    <row r="63" spans="1:72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Q63" s="56"/>
      <c r="BR63" s="56"/>
      <c r="BS63" s="56"/>
      <c r="BT63" s="56"/>
    </row>
    <row r="64" spans="1:72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Q64" s="56"/>
      <c r="BR64" s="56"/>
      <c r="BS64" s="56"/>
      <c r="BT64" s="56"/>
    </row>
    <row r="65" spans="1:72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Q65" s="56"/>
      <c r="BR65" s="56"/>
      <c r="BS65" s="56"/>
      <c r="BT65" s="56"/>
    </row>
    <row r="66" spans="1:72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Q66" s="56"/>
      <c r="BR66" s="56"/>
      <c r="BS66" s="56"/>
      <c r="BT66" s="56"/>
    </row>
    <row r="67" spans="1:72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Q67" s="56"/>
      <c r="BR67" s="56"/>
      <c r="BS67" s="56"/>
      <c r="BT67" s="56"/>
    </row>
    <row r="68" spans="1:72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Q68" s="56"/>
      <c r="BR68" s="56"/>
      <c r="BS68" s="56"/>
      <c r="BT68" s="56"/>
    </row>
    <row r="69" spans="1:72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Q69" s="56"/>
      <c r="BR69" s="56"/>
      <c r="BS69" s="56"/>
      <c r="BT69" s="56"/>
    </row>
    <row r="70" spans="1:72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Q70" s="56"/>
      <c r="BR70" s="56"/>
      <c r="BS70" s="56"/>
      <c r="BT70" s="56"/>
    </row>
    <row r="71" spans="1:72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Q71" s="56"/>
      <c r="BR71" s="56"/>
      <c r="BS71" s="56"/>
      <c r="BT71" s="56"/>
    </row>
    <row r="72" spans="1:72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Q72" s="56"/>
      <c r="BR72" s="56"/>
      <c r="BS72" s="56"/>
      <c r="BT72" s="56"/>
    </row>
    <row r="73" spans="1:72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Q73" s="56"/>
      <c r="BR73" s="56"/>
      <c r="BS73" s="56"/>
      <c r="BT73" s="56"/>
    </row>
    <row r="74" spans="1:72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Q74" s="56"/>
      <c r="BR74" s="56"/>
      <c r="BS74" s="56"/>
      <c r="BT74" s="56"/>
    </row>
    <row r="75" spans="1:72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Q75" s="56"/>
      <c r="BR75" s="56"/>
      <c r="BS75" s="56"/>
      <c r="BT75" s="56"/>
    </row>
    <row r="76" spans="1:72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Q76" s="56"/>
      <c r="BR76" s="56"/>
      <c r="BS76" s="56"/>
      <c r="BT76" s="56"/>
    </row>
    <row r="77" spans="1:72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Q77" s="56"/>
      <c r="BR77" s="56"/>
      <c r="BS77" s="56"/>
      <c r="BT77" s="56"/>
    </row>
    <row r="78" spans="1:72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Q78" s="56"/>
      <c r="BR78" s="56"/>
      <c r="BS78" s="56"/>
      <c r="BT78" s="56"/>
    </row>
    <row r="79" spans="1:72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Q79" s="56"/>
      <c r="BR79" s="56"/>
      <c r="BS79" s="56"/>
      <c r="BT79" s="56"/>
    </row>
    <row r="80" spans="1:72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Q80" s="56"/>
      <c r="BR80" s="56"/>
      <c r="BS80" s="56"/>
      <c r="BT80" s="56"/>
    </row>
    <row r="81" spans="1:72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Q81" s="56"/>
      <c r="BR81" s="56"/>
      <c r="BS81" s="56"/>
      <c r="BT81" s="56"/>
    </row>
    <row r="82" spans="1:72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Q82" s="56"/>
      <c r="BR82" s="56"/>
      <c r="BS82" s="56"/>
      <c r="BT82" s="56"/>
    </row>
    <row r="83" spans="1:72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Q83" s="56"/>
      <c r="BR83" s="56"/>
      <c r="BS83" s="56"/>
      <c r="BT83" s="56"/>
    </row>
    <row r="84" spans="1:72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Q84" s="56"/>
      <c r="BR84" s="56"/>
      <c r="BS84" s="56"/>
      <c r="BT84" s="56"/>
    </row>
    <row r="85" spans="1:72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Q85" s="56"/>
      <c r="BR85" s="56"/>
      <c r="BS85" s="56"/>
      <c r="BT85" s="56"/>
    </row>
    <row r="86" spans="1:72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Q86" s="56"/>
      <c r="BR86" s="56"/>
      <c r="BS86" s="56"/>
      <c r="BT86" s="56"/>
    </row>
    <row r="87" spans="1:72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Q87" s="56"/>
      <c r="BR87" s="56"/>
      <c r="BS87" s="56"/>
      <c r="BT87" s="56"/>
    </row>
    <row r="88" spans="1:72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Q88" s="56"/>
      <c r="BR88" s="56"/>
      <c r="BS88" s="56"/>
      <c r="BT88" s="56"/>
    </row>
    <row r="89" spans="1:72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Q89" s="56"/>
      <c r="BR89" s="56"/>
      <c r="BS89" s="56"/>
      <c r="BT89" s="56"/>
    </row>
    <row r="90" spans="1:72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Q90" s="56"/>
      <c r="BR90" s="56"/>
      <c r="BS90" s="56"/>
      <c r="BT90" s="56"/>
    </row>
    <row r="91" spans="1:72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Q91" s="56"/>
      <c r="BR91" s="56"/>
      <c r="BS91" s="56"/>
      <c r="BT91" s="56"/>
    </row>
    <row r="92" spans="1:72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Q92" s="56"/>
      <c r="BR92" s="56"/>
      <c r="BS92" s="56"/>
      <c r="BT92" s="56"/>
    </row>
    <row r="93" spans="1:72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Q93" s="56"/>
      <c r="BR93" s="56"/>
      <c r="BS93" s="56"/>
      <c r="BT93" s="56"/>
    </row>
    <row r="94" spans="1:72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Q94" s="56"/>
      <c r="BR94" s="56"/>
      <c r="BS94" s="56"/>
      <c r="BT94" s="56"/>
    </row>
    <row r="95" spans="1:72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Q95" s="56"/>
      <c r="BR95" s="56"/>
      <c r="BS95" s="56"/>
      <c r="BT95" s="56"/>
    </row>
    <row r="96" spans="1:72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Q96" s="56"/>
      <c r="BR96" s="56"/>
      <c r="BS96" s="56"/>
      <c r="BT96" s="56"/>
    </row>
    <row r="97" spans="1:72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Q97" s="56"/>
      <c r="BR97" s="56"/>
      <c r="BS97" s="56"/>
      <c r="BT97" s="56"/>
    </row>
    <row r="98" spans="1:72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Q98" s="56"/>
      <c r="BR98" s="56"/>
      <c r="BS98" s="56"/>
      <c r="BT98" s="56"/>
    </row>
    <row r="99" spans="1:72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Q99" s="56"/>
      <c r="BR99" s="56"/>
      <c r="BS99" s="56"/>
      <c r="BT99" s="56"/>
    </row>
    <row r="100" spans="1:72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Q100" s="56"/>
      <c r="BR100" s="56"/>
      <c r="BS100" s="56"/>
      <c r="BT100" s="56"/>
    </row>
    <row r="101" spans="1:72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Q101" s="56"/>
      <c r="BR101" s="56"/>
      <c r="BS101" s="56"/>
      <c r="BT101" s="56"/>
    </row>
    <row r="102" spans="1:72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Q102" s="56"/>
      <c r="BR102" s="56"/>
      <c r="BS102" s="56"/>
      <c r="BT102" s="56"/>
    </row>
    <row r="103" spans="1:72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Q103" s="56"/>
      <c r="BR103" s="56"/>
      <c r="BS103" s="56"/>
      <c r="BT103" s="56"/>
    </row>
    <row r="104" spans="1:72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Q104" s="56"/>
      <c r="BR104" s="56"/>
      <c r="BS104" s="56"/>
      <c r="BT104" s="56"/>
    </row>
    <row r="105" spans="1:72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Q105" s="56"/>
      <c r="BR105" s="56"/>
      <c r="BS105" s="56"/>
      <c r="BT105" s="56"/>
    </row>
    <row r="106" spans="1:72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Q106" s="56"/>
      <c r="BR106" s="56"/>
      <c r="BS106" s="56"/>
      <c r="BT106" s="56"/>
    </row>
    <row r="107" spans="1:72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Q107" s="56"/>
      <c r="BR107" s="56"/>
      <c r="BS107" s="56"/>
      <c r="BT107" s="56"/>
    </row>
    <row r="108" spans="1:72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Q108" s="56"/>
      <c r="BR108" s="56"/>
      <c r="BS108" s="56"/>
      <c r="BT108" s="56"/>
    </row>
    <row r="109" spans="1:72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Q109" s="56"/>
      <c r="BR109" s="56"/>
      <c r="BS109" s="56"/>
      <c r="BT109" s="56"/>
    </row>
    <row r="110" spans="1:72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Q110" s="56"/>
      <c r="BR110" s="56"/>
      <c r="BS110" s="56"/>
      <c r="BT110" s="56"/>
    </row>
    <row r="111" spans="1:72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Q111" s="56"/>
      <c r="BR111" s="56"/>
      <c r="BS111" s="56"/>
      <c r="BT111" s="56"/>
    </row>
    <row r="112" spans="1:72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Q112" s="56"/>
      <c r="BR112" s="56"/>
      <c r="BS112" s="56"/>
      <c r="BT112" s="56"/>
    </row>
    <row r="113" spans="1:72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Q113" s="56"/>
      <c r="BR113" s="56"/>
      <c r="BS113" s="56"/>
      <c r="BT113" s="56"/>
    </row>
    <row r="114" spans="1:72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Q114" s="56"/>
      <c r="BR114" s="56"/>
      <c r="BS114" s="56"/>
      <c r="BT114" s="56"/>
    </row>
    <row r="115" spans="1:72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Q115" s="56"/>
      <c r="BR115" s="56"/>
      <c r="BS115" s="56"/>
      <c r="BT115" s="56"/>
    </row>
    <row r="116" spans="1:72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Q116" s="56"/>
      <c r="BR116" s="56"/>
      <c r="BS116" s="56"/>
      <c r="BT116" s="56"/>
    </row>
    <row r="117" spans="1:72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Q117" s="56"/>
      <c r="BR117" s="56"/>
      <c r="BS117" s="56"/>
      <c r="BT117" s="56"/>
    </row>
    <row r="118" spans="1:72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Q118" s="56"/>
      <c r="BR118" s="56"/>
      <c r="BS118" s="56"/>
      <c r="BT118" s="56"/>
    </row>
    <row r="119" spans="1:72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Q119" s="56"/>
      <c r="BR119" s="56"/>
      <c r="BS119" s="56"/>
      <c r="BT119" s="56"/>
    </row>
    <row r="120" spans="1:72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Q120" s="56"/>
      <c r="BR120" s="56"/>
      <c r="BS120" s="56"/>
      <c r="BT120" s="56"/>
    </row>
    <row r="121" spans="1:72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Q121" s="56"/>
      <c r="BR121" s="56"/>
      <c r="BS121" s="56"/>
      <c r="BT121" s="56"/>
    </row>
    <row r="122" spans="1:72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Q122" s="56"/>
      <c r="BR122" s="56"/>
      <c r="BS122" s="56"/>
      <c r="BT122" s="56"/>
    </row>
    <row r="123" spans="1:72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Q123" s="56"/>
      <c r="BR123" s="56"/>
      <c r="BS123" s="56"/>
      <c r="BT123" s="56"/>
    </row>
    <row r="124" spans="1:72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Q124" s="56"/>
      <c r="BR124" s="56"/>
      <c r="BS124" s="56"/>
      <c r="BT124" s="56"/>
    </row>
    <row r="125" spans="1:72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Q125" s="56"/>
      <c r="BR125" s="56"/>
      <c r="BS125" s="56"/>
      <c r="BT125" s="56"/>
    </row>
    <row r="126" spans="1:72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Q126" s="56"/>
      <c r="BR126" s="56"/>
      <c r="BS126" s="56"/>
      <c r="BT126" s="56"/>
    </row>
    <row r="127" spans="1:72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Q127" s="56"/>
      <c r="BR127" s="56"/>
      <c r="BS127" s="56"/>
      <c r="BT127" s="56"/>
    </row>
    <row r="128" spans="1:72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Q128" s="56"/>
      <c r="BR128" s="56"/>
      <c r="BS128" s="56"/>
      <c r="BT128" s="56"/>
    </row>
    <row r="129" spans="1:72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Q129" s="56"/>
      <c r="BR129" s="56"/>
      <c r="BS129" s="56"/>
      <c r="BT129" s="56"/>
    </row>
    <row r="130" spans="1:72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Q130" s="56"/>
      <c r="BR130" s="56"/>
      <c r="BS130" s="56"/>
      <c r="BT130" s="56"/>
    </row>
    <row r="131" spans="1:72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Q131" s="56"/>
      <c r="BR131" s="56"/>
      <c r="BS131" s="56"/>
      <c r="BT131" s="56"/>
    </row>
    <row r="132" spans="1:72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Q132" s="56"/>
      <c r="BR132" s="56"/>
      <c r="BS132" s="56"/>
      <c r="BT132" s="56"/>
    </row>
    <row r="133" spans="1:72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Q133" s="56"/>
      <c r="BR133" s="56"/>
      <c r="BS133" s="56"/>
      <c r="BT133" s="56"/>
    </row>
    <row r="134" spans="1:72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Q134" s="56"/>
      <c r="BR134" s="56"/>
      <c r="BS134" s="56"/>
      <c r="BT134" s="56"/>
    </row>
    <row r="135" spans="1:72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Q135" s="56"/>
      <c r="BR135" s="56"/>
      <c r="BS135" s="56"/>
      <c r="BT135" s="56"/>
    </row>
    <row r="136" spans="1:72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Q136" s="56"/>
      <c r="BR136" s="56"/>
      <c r="BS136" s="56"/>
      <c r="BT136" s="56"/>
    </row>
    <row r="137" spans="1:72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Q137" s="56"/>
      <c r="BR137" s="56"/>
      <c r="BS137" s="56"/>
      <c r="BT137" s="56"/>
    </row>
    <row r="138" spans="1:72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Q138" s="56"/>
      <c r="BR138" s="56"/>
      <c r="BS138" s="56"/>
      <c r="BT138" s="56"/>
    </row>
    <row r="139" spans="1:72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Q139" s="56"/>
      <c r="BR139" s="56"/>
      <c r="BS139" s="56"/>
      <c r="BT139" s="56"/>
    </row>
    <row r="140" spans="1:72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Q140" s="56"/>
      <c r="BR140" s="56"/>
      <c r="BS140" s="56"/>
      <c r="BT140" s="56"/>
    </row>
    <row r="141" spans="1:72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Q141" s="56"/>
      <c r="BR141" s="56"/>
      <c r="BS141" s="56"/>
      <c r="BT141" s="56"/>
    </row>
    <row r="142" spans="1:72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Q142" s="56"/>
      <c r="BR142" s="56"/>
      <c r="BS142" s="56"/>
      <c r="BT142" s="56"/>
    </row>
    <row r="143" spans="1:72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Q143" s="56"/>
      <c r="BR143" s="56"/>
      <c r="BS143" s="56"/>
      <c r="BT143" s="56"/>
    </row>
    <row r="144" spans="1:72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Q144" s="56"/>
      <c r="BR144" s="56"/>
      <c r="BS144" s="56"/>
      <c r="BT144" s="56"/>
    </row>
    <row r="145" spans="1:72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Q145" s="56"/>
      <c r="BR145" s="56"/>
      <c r="BS145" s="56"/>
      <c r="BT145" s="56"/>
    </row>
    <row r="146" spans="1:72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Q146" s="56"/>
      <c r="BR146" s="56"/>
      <c r="BS146" s="56"/>
      <c r="BT146" s="56"/>
    </row>
    <row r="147" spans="1:72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Q147" s="56"/>
      <c r="BR147" s="56"/>
      <c r="BS147" s="56"/>
      <c r="BT147" s="56"/>
    </row>
    <row r="148" spans="1:72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Q148" s="56"/>
      <c r="BR148" s="56"/>
      <c r="BS148" s="56"/>
      <c r="BT148" s="56"/>
    </row>
    <row r="149" spans="1:72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Q149" s="56"/>
      <c r="BR149" s="56"/>
      <c r="BS149" s="56"/>
      <c r="BT149" s="56"/>
    </row>
    <row r="150" spans="1:72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Q150" s="56"/>
      <c r="BR150" s="56"/>
      <c r="BS150" s="56"/>
      <c r="BT150" s="56"/>
    </row>
    <row r="151" spans="1:72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Q151" s="56"/>
      <c r="BR151" s="56"/>
      <c r="BS151" s="56"/>
      <c r="BT151" s="56"/>
    </row>
    <row r="152" spans="1:72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Q152" s="56"/>
      <c r="BR152" s="56"/>
      <c r="BS152" s="56"/>
      <c r="BT152" s="56"/>
    </row>
    <row r="153" spans="1:72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Q153" s="56"/>
      <c r="BR153" s="56"/>
      <c r="BS153" s="56"/>
      <c r="BT153" s="56"/>
    </row>
    <row r="154" spans="1:72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Q154" s="56"/>
      <c r="BR154" s="56"/>
      <c r="BS154" s="56"/>
      <c r="BT154" s="56"/>
    </row>
    <row r="155" spans="1:72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Q155" s="56"/>
      <c r="BR155" s="56"/>
      <c r="BS155" s="56"/>
      <c r="BT155" s="56"/>
    </row>
    <row r="156" spans="1:72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Q156" s="56"/>
      <c r="BR156" s="56"/>
      <c r="BS156" s="56"/>
      <c r="BT156" s="56"/>
    </row>
    <row r="157" spans="1:72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Q157" s="56"/>
      <c r="BR157" s="56"/>
      <c r="BS157" s="56"/>
      <c r="BT157" s="56"/>
    </row>
    <row r="158" spans="1:72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Q158" s="56"/>
      <c r="BR158" s="56"/>
      <c r="BS158" s="56"/>
      <c r="BT158" s="56"/>
    </row>
    <row r="159" spans="1:72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Q159" s="56"/>
      <c r="BR159" s="56"/>
      <c r="BS159" s="56"/>
      <c r="BT159" s="56"/>
    </row>
    <row r="160" spans="1:72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Q160" s="56"/>
      <c r="BR160" s="56"/>
      <c r="BS160" s="56"/>
      <c r="BT160" s="56"/>
    </row>
    <row r="161" spans="1:72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Q161" s="56"/>
      <c r="BR161" s="56"/>
      <c r="BS161" s="56"/>
      <c r="BT161" s="56"/>
    </row>
    <row r="162" spans="1:72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Q162" s="56"/>
      <c r="BR162" s="56"/>
      <c r="BS162" s="56"/>
      <c r="BT162" s="56"/>
    </row>
    <row r="163" spans="1:72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Q163" s="56"/>
      <c r="BR163" s="56"/>
      <c r="BS163" s="56"/>
      <c r="BT163" s="56"/>
    </row>
    <row r="164" spans="1:72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Q164" s="56"/>
      <c r="BR164" s="56"/>
      <c r="BS164" s="56"/>
      <c r="BT164" s="56"/>
    </row>
    <row r="165" spans="1:72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Q165" s="56"/>
      <c r="BR165" s="56"/>
      <c r="BS165" s="56"/>
      <c r="BT165" s="56"/>
    </row>
    <row r="166" spans="1:72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Q166" s="56"/>
      <c r="BR166" s="56"/>
      <c r="BS166" s="56"/>
      <c r="BT166" s="56"/>
    </row>
    <row r="167" spans="1:72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Q167" s="56"/>
      <c r="BR167" s="56"/>
      <c r="BS167" s="56"/>
      <c r="BT167" s="56"/>
    </row>
    <row r="168" spans="1:72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Q168" s="56"/>
      <c r="BR168" s="56"/>
      <c r="BS168" s="56"/>
      <c r="BT168" s="56"/>
    </row>
    <row r="169" spans="1:72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Q169" s="56"/>
      <c r="BR169" s="56"/>
      <c r="BS169" s="56"/>
      <c r="BT169" s="56"/>
    </row>
    <row r="170" spans="1:72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Q170" s="56"/>
      <c r="BR170" s="56"/>
      <c r="BS170" s="56"/>
      <c r="BT170" s="56"/>
    </row>
    <row r="171" spans="1:72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Q171" s="56"/>
      <c r="BR171" s="56"/>
      <c r="BS171" s="56"/>
      <c r="BT171" s="56"/>
    </row>
    <row r="172" spans="1:72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Q172" s="56"/>
      <c r="BR172" s="56"/>
      <c r="BS172" s="56"/>
      <c r="BT172" s="56"/>
    </row>
    <row r="173" spans="1:72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Q173" s="56"/>
      <c r="BR173" s="56"/>
      <c r="BS173" s="56"/>
      <c r="BT173" s="56"/>
    </row>
    <row r="174" spans="1:72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Q174" s="56"/>
      <c r="BR174" s="56"/>
      <c r="BS174" s="56"/>
      <c r="BT174" s="56"/>
    </row>
    <row r="175" spans="1:72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Q175" s="56"/>
      <c r="BR175" s="56"/>
      <c r="BS175" s="56"/>
      <c r="BT175" s="56"/>
    </row>
    <row r="176" spans="1:72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Q176" s="56"/>
      <c r="BR176" s="56"/>
      <c r="BS176" s="56"/>
      <c r="BT176" s="56"/>
    </row>
    <row r="177" spans="1:72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Q177" s="56"/>
      <c r="BR177" s="56"/>
      <c r="BS177" s="56"/>
      <c r="BT177" s="56"/>
    </row>
    <row r="178" spans="1:72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Q178" s="56"/>
      <c r="BR178" s="56"/>
      <c r="BS178" s="56"/>
      <c r="BT178" s="56"/>
    </row>
    <row r="179" spans="1:72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Q179" s="56"/>
      <c r="BR179" s="56"/>
      <c r="BS179" s="56"/>
      <c r="BT179" s="56"/>
    </row>
    <row r="180" spans="1:72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Q180" s="56"/>
      <c r="BR180" s="56"/>
      <c r="BS180" s="56"/>
      <c r="BT180" s="56"/>
    </row>
    <row r="181" spans="1:72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Q181" s="56"/>
      <c r="BR181" s="56"/>
      <c r="BS181" s="56"/>
      <c r="BT181" s="56"/>
    </row>
    <row r="182" spans="1:72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Q182" s="56"/>
      <c r="BR182" s="56"/>
      <c r="BS182" s="56"/>
      <c r="BT182" s="56"/>
    </row>
    <row r="183" spans="1:72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Q183" s="56"/>
      <c r="BR183" s="56"/>
      <c r="BS183" s="56"/>
      <c r="BT183" s="56"/>
    </row>
    <row r="184" spans="1:72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Q184" s="56"/>
      <c r="BR184" s="56"/>
      <c r="BS184" s="56"/>
      <c r="BT184" s="56"/>
    </row>
    <row r="185" spans="1:72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Q185" s="56"/>
      <c r="BR185" s="56"/>
      <c r="BS185" s="56"/>
      <c r="BT185" s="56"/>
    </row>
    <row r="186" spans="1:72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Q186" s="56"/>
      <c r="BR186" s="56"/>
      <c r="BS186" s="56"/>
      <c r="BT186" s="56"/>
    </row>
    <row r="187" spans="1:72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Q187" s="56"/>
      <c r="BR187" s="56"/>
      <c r="BS187" s="56"/>
      <c r="BT187" s="56"/>
    </row>
    <row r="188" spans="1:72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Q188" s="56"/>
      <c r="BR188" s="56"/>
      <c r="BS188" s="56"/>
      <c r="BT188" s="56"/>
    </row>
    <row r="189" spans="1:72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Q189" s="56"/>
      <c r="BR189" s="56"/>
      <c r="BS189" s="56"/>
      <c r="BT189" s="56"/>
    </row>
    <row r="190" spans="1:72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Q190" s="56"/>
      <c r="BR190" s="56"/>
      <c r="BS190" s="56"/>
      <c r="BT190" s="56"/>
    </row>
    <row r="191" spans="1:72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Q191" s="56"/>
      <c r="BR191" s="56"/>
      <c r="BS191" s="56"/>
      <c r="BT191" s="56"/>
    </row>
    <row r="192" spans="1:72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Q192" s="56"/>
      <c r="BR192" s="56"/>
      <c r="BS192" s="56"/>
      <c r="BT192" s="56"/>
    </row>
    <row r="193" spans="1:72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Q193" s="56"/>
      <c r="BR193" s="56"/>
      <c r="BS193" s="56"/>
      <c r="BT193" s="56"/>
    </row>
    <row r="194" spans="1:72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Q194" s="56"/>
      <c r="BR194" s="56"/>
      <c r="BS194" s="56"/>
      <c r="BT194" s="56"/>
    </row>
    <row r="195" spans="1:72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Q195" s="56"/>
      <c r="BR195" s="56"/>
      <c r="BS195" s="56"/>
      <c r="BT195" s="56"/>
    </row>
    <row r="196" spans="1:72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Q196" s="56"/>
      <c r="BR196" s="56"/>
      <c r="BS196" s="56"/>
      <c r="BT196" s="56"/>
    </row>
    <row r="197" spans="1:72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Q197" s="56"/>
      <c r="BR197" s="56"/>
      <c r="BS197" s="56"/>
      <c r="BT197" s="56"/>
    </row>
    <row r="198" spans="1:72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Q198" s="56"/>
      <c r="BR198" s="56"/>
      <c r="BS198" s="56"/>
      <c r="BT198" s="56"/>
    </row>
    <row r="199" spans="1:72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Q199" s="56"/>
      <c r="BR199" s="56"/>
      <c r="BS199" s="56"/>
      <c r="BT199" s="56"/>
    </row>
    <row r="200" spans="1:72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Q200" s="56"/>
      <c r="BR200" s="56"/>
      <c r="BS200" s="56"/>
      <c r="BT200" s="56"/>
    </row>
    <row r="201" spans="1:72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Q201" s="56"/>
      <c r="BR201" s="56"/>
      <c r="BS201" s="56"/>
      <c r="BT201" s="56"/>
    </row>
    <row r="202" spans="1:72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Q202" s="56"/>
      <c r="BR202" s="56"/>
      <c r="BS202" s="56"/>
      <c r="BT202" s="56"/>
    </row>
    <row r="203" spans="1:72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Q203" s="56"/>
      <c r="BR203" s="56"/>
      <c r="BS203" s="56"/>
      <c r="BT203" s="56"/>
    </row>
    <row r="204" spans="1:72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Q204" s="56"/>
      <c r="BR204" s="56"/>
      <c r="BS204" s="56"/>
      <c r="BT204" s="56"/>
    </row>
    <row r="205" spans="1:72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Q205" s="56"/>
      <c r="BR205" s="56"/>
      <c r="BS205" s="56"/>
      <c r="BT205" s="56"/>
    </row>
    <row r="206" spans="1:72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Q206" s="56"/>
      <c r="BR206" s="56"/>
      <c r="BS206" s="56"/>
      <c r="BT206" s="56"/>
    </row>
    <row r="207" spans="1:72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Q207" s="56"/>
      <c r="BR207" s="56"/>
      <c r="BS207" s="56"/>
      <c r="BT207" s="56"/>
    </row>
    <row r="208" spans="1:72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Q208" s="56"/>
      <c r="BR208" s="56"/>
      <c r="BS208" s="56"/>
      <c r="BT208" s="56"/>
    </row>
    <row r="209" spans="1:72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Q209" s="56"/>
      <c r="BR209" s="56"/>
      <c r="BS209" s="56"/>
      <c r="BT209" s="56"/>
    </row>
    <row r="210" spans="1:72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Q210" s="56"/>
      <c r="BR210" s="56"/>
      <c r="BS210" s="56"/>
      <c r="BT210" s="56"/>
    </row>
    <row r="211" spans="1:72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Q211" s="56"/>
      <c r="BR211" s="56"/>
      <c r="BS211" s="56"/>
      <c r="BT211" s="56"/>
    </row>
    <row r="212" spans="1:72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Q212" s="56"/>
      <c r="BR212" s="56"/>
      <c r="BS212" s="56"/>
      <c r="BT212" s="56"/>
    </row>
    <row r="213" spans="1:72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Q213" s="56"/>
      <c r="BR213" s="56"/>
      <c r="BS213" s="56"/>
      <c r="BT213" s="56"/>
    </row>
    <row r="214" spans="1:72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Q214" s="56"/>
      <c r="BR214" s="56"/>
      <c r="BS214" s="56"/>
      <c r="BT214" s="56"/>
    </row>
    <row r="215" spans="1:72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Q215" s="56"/>
      <c r="BR215" s="56"/>
      <c r="BS215" s="56"/>
      <c r="BT215" s="56"/>
    </row>
    <row r="216" spans="1:72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Q216" s="56"/>
      <c r="BR216" s="56"/>
      <c r="BS216" s="56"/>
      <c r="BT216" s="56"/>
    </row>
    <row r="217" spans="1:72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Q217" s="56"/>
      <c r="BR217" s="56"/>
      <c r="BS217" s="56"/>
      <c r="BT217" s="56"/>
    </row>
    <row r="218" spans="1:72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Q218" s="56"/>
      <c r="BR218" s="56"/>
      <c r="BS218" s="56"/>
      <c r="BT218" s="56"/>
    </row>
    <row r="219" spans="1:72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Q219" s="56"/>
      <c r="BR219" s="56"/>
      <c r="BS219" s="56"/>
      <c r="BT219" s="56"/>
    </row>
    <row r="220" spans="1:72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Q220" s="56"/>
      <c r="BR220" s="56"/>
      <c r="BS220" s="56"/>
      <c r="BT220" s="56"/>
    </row>
    <row r="221" spans="1:72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Q221" s="56"/>
      <c r="BR221" s="56"/>
      <c r="BS221" s="56"/>
      <c r="BT221" s="56"/>
    </row>
    <row r="222" spans="1:72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Q222" s="56"/>
      <c r="BR222" s="56"/>
      <c r="BS222" s="56"/>
      <c r="BT222" s="56"/>
    </row>
    <row r="223" spans="1:72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Q223" s="56"/>
      <c r="BR223" s="56"/>
      <c r="BS223" s="56"/>
      <c r="BT223" s="56"/>
    </row>
    <row r="224" spans="1:72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Q224" s="56"/>
      <c r="BR224" s="56"/>
      <c r="BS224" s="56"/>
      <c r="BT224" s="56"/>
    </row>
    <row r="225" spans="1:72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Q225" s="56"/>
      <c r="BR225" s="56"/>
      <c r="BS225" s="56"/>
      <c r="BT225" s="56"/>
    </row>
    <row r="226" spans="1:72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Q226" s="56"/>
      <c r="BR226" s="56"/>
      <c r="BS226" s="56"/>
      <c r="BT226" s="56"/>
    </row>
    <row r="227" spans="1:72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Q227" s="56"/>
      <c r="BR227" s="56"/>
      <c r="BS227" s="56"/>
      <c r="BT227" s="56"/>
    </row>
    <row r="228" spans="1:72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Q228" s="56"/>
      <c r="BR228" s="56"/>
      <c r="BS228" s="56"/>
      <c r="BT228" s="56"/>
    </row>
    <row r="229" spans="1:72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Q229" s="56"/>
      <c r="BR229" s="56"/>
      <c r="BS229" s="56"/>
      <c r="BT229" s="56"/>
    </row>
    <row r="230" spans="1:72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Q230" s="56"/>
      <c r="BR230" s="56"/>
      <c r="BS230" s="56"/>
      <c r="BT230" s="56"/>
    </row>
    <row r="231" spans="1:72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Q231" s="56"/>
      <c r="BR231" s="56"/>
      <c r="BS231" s="56"/>
      <c r="BT231" s="56"/>
    </row>
    <row r="232" spans="1:72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Q232" s="56"/>
      <c r="BR232" s="56"/>
      <c r="BS232" s="56"/>
      <c r="BT232" s="56"/>
    </row>
    <row r="233" spans="1:72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Q233" s="56"/>
      <c r="BR233" s="56"/>
      <c r="BS233" s="56"/>
      <c r="BT233" s="56"/>
    </row>
    <row r="234" spans="1:72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Q234" s="56"/>
      <c r="BR234" s="56"/>
      <c r="BS234" s="56"/>
      <c r="BT234" s="56"/>
    </row>
    <row r="235" spans="1:72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Q235" s="56"/>
      <c r="BR235" s="56"/>
      <c r="BS235" s="56"/>
      <c r="BT235" s="56"/>
    </row>
    <row r="236" spans="1:72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Q236" s="56"/>
      <c r="BR236" s="56"/>
      <c r="BS236" s="56"/>
      <c r="BT236" s="56"/>
    </row>
    <row r="237" spans="1:72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Q237" s="56"/>
      <c r="BR237" s="56"/>
      <c r="BS237" s="56"/>
      <c r="BT237" s="56"/>
    </row>
    <row r="238" spans="1:72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Q238" s="56"/>
      <c r="BR238" s="56"/>
      <c r="BS238" s="56"/>
      <c r="BT238" s="56"/>
    </row>
    <row r="239" spans="1:72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Q239" s="56"/>
      <c r="BR239" s="56"/>
      <c r="BS239" s="56"/>
      <c r="BT239" s="56"/>
    </row>
    <row r="240" spans="1:72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Q240" s="56"/>
      <c r="BR240" s="56"/>
      <c r="BS240" s="56"/>
      <c r="BT240" s="56"/>
    </row>
    <row r="241" spans="1:72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Q241" s="56"/>
      <c r="BR241" s="56"/>
      <c r="BS241" s="56"/>
      <c r="BT241" s="56"/>
    </row>
    <row r="242" spans="1:72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Q242" s="56"/>
      <c r="BR242" s="56"/>
      <c r="BS242" s="56"/>
      <c r="BT242" s="56"/>
    </row>
    <row r="243" spans="1:72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Q243" s="56"/>
      <c r="BR243" s="56"/>
      <c r="BS243" s="56"/>
      <c r="BT243" s="56"/>
    </row>
    <row r="244" spans="1:72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Q244" s="56"/>
      <c r="BR244" s="56"/>
      <c r="BS244" s="56"/>
      <c r="BT244" s="56"/>
    </row>
    <row r="245" spans="1:72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Q245" s="56"/>
      <c r="BR245" s="56"/>
      <c r="BS245" s="56"/>
      <c r="BT245" s="56"/>
    </row>
    <row r="246" spans="1:72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Q246" s="56"/>
      <c r="BR246" s="56"/>
      <c r="BS246" s="56"/>
      <c r="BT246" s="56"/>
    </row>
    <row r="247" spans="1:72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Q247" s="56"/>
      <c r="BR247" s="56"/>
      <c r="BS247" s="56"/>
      <c r="BT247" s="56"/>
    </row>
    <row r="248" spans="1:72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Q248" s="56"/>
      <c r="BR248" s="56"/>
      <c r="BS248" s="56"/>
      <c r="BT248" s="56"/>
    </row>
    <row r="249" spans="1:72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Q249" s="56"/>
      <c r="BR249" s="56"/>
      <c r="BS249" s="56"/>
      <c r="BT249" s="56"/>
    </row>
    <row r="250" spans="1:72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Q250" s="56"/>
      <c r="BR250" s="56"/>
      <c r="BS250" s="56"/>
      <c r="BT250" s="56"/>
    </row>
    <row r="251" spans="1:72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Q251" s="56"/>
      <c r="BR251" s="56"/>
      <c r="BS251" s="56"/>
      <c r="BT251" s="56"/>
    </row>
    <row r="252" spans="1:72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Q252" s="56"/>
      <c r="BR252" s="56"/>
      <c r="BS252" s="56"/>
      <c r="BT252" s="56"/>
    </row>
    <row r="253" spans="1:72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Q253" s="56"/>
      <c r="BR253" s="56"/>
      <c r="BS253" s="56"/>
      <c r="BT253" s="56"/>
    </row>
    <row r="254" spans="1:72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Q254" s="56"/>
      <c r="BR254" s="56"/>
      <c r="BS254" s="56"/>
      <c r="BT254" s="56"/>
    </row>
    <row r="255" spans="1:72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Q255" s="56"/>
      <c r="BR255" s="56"/>
      <c r="BS255" s="56"/>
      <c r="BT255" s="56"/>
    </row>
    <row r="256" spans="1:72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Q256" s="56"/>
      <c r="BR256" s="56"/>
      <c r="BS256" s="56"/>
      <c r="BT256" s="56"/>
    </row>
    <row r="257" spans="1:72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Q257" s="56"/>
      <c r="BR257" s="56"/>
      <c r="BS257" s="56"/>
      <c r="BT257" s="56"/>
    </row>
    <row r="258" spans="1:72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Q258" s="56"/>
      <c r="BR258" s="56"/>
      <c r="BS258" s="56"/>
      <c r="BT258" s="56"/>
    </row>
    <row r="259" spans="1:72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Q259" s="56"/>
      <c r="BR259" s="56"/>
      <c r="BS259" s="56"/>
      <c r="BT259" s="56"/>
    </row>
    <row r="260" spans="1:72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Q260" s="56"/>
      <c r="BR260" s="56"/>
      <c r="BS260" s="56"/>
      <c r="BT260" s="56"/>
    </row>
    <row r="261" spans="1:72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Q261" s="56"/>
      <c r="BR261" s="56"/>
      <c r="BS261" s="56"/>
      <c r="BT261" s="56"/>
    </row>
    <row r="262" spans="1:72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Q262" s="56"/>
      <c r="BR262" s="56"/>
      <c r="BS262" s="56"/>
      <c r="BT262" s="56"/>
    </row>
    <row r="263" spans="1:72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Q263" s="56"/>
      <c r="BR263" s="56"/>
      <c r="BS263" s="56"/>
      <c r="BT263" s="56"/>
    </row>
    <row r="264" spans="1:72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Q264" s="56"/>
      <c r="BR264" s="56"/>
      <c r="BS264" s="56"/>
      <c r="BT264" s="56"/>
    </row>
    <row r="265" spans="1:72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Q265" s="56"/>
      <c r="BR265" s="56"/>
      <c r="BS265" s="56"/>
      <c r="BT265" s="56"/>
    </row>
    <row r="266" spans="1:72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Q266" s="56"/>
      <c r="BR266" s="56"/>
      <c r="BS266" s="56"/>
      <c r="BT266" s="56"/>
    </row>
    <row r="267" spans="1:72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Q267" s="56"/>
      <c r="BR267" s="56"/>
      <c r="BS267" s="56"/>
      <c r="BT267" s="56"/>
    </row>
    <row r="268" spans="1:72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Q268" s="56"/>
      <c r="BR268" s="56"/>
      <c r="BS268" s="56"/>
      <c r="BT268" s="56"/>
    </row>
    <row r="269" spans="1:72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Q269" s="56"/>
      <c r="BR269" s="56"/>
      <c r="BS269" s="56"/>
      <c r="BT269" s="56"/>
    </row>
    <row r="270" spans="1:72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Q270" s="56"/>
      <c r="BR270" s="56"/>
      <c r="BS270" s="56"/>
      <c r="BT270" s="56"/>
    </row>
    <row r="271" spans="1:72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Q271" s="56"/>
      <c r="BR271" s="56"/>
      <c r="BS271" s="56"/>
      <c r="BT271" s="56"/>
    </row>
    <row r="272" spans="1:72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Q272" s="56"/>
      <c r="BR272" s="56"/>
      <c r="BS272" s="56"/>
      <c r="BT272" s="56"/>
    </row>
    <row r="273" spans="1:72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Q273" s="56"/>
      <c r="BR273" s="56"/>
      <c r="BS273" s="56"/>
      <c r="BT273" s="56"/>
    </row>
    <row r="274" spans="1:72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Q274" s="56"/>
      <c r="BR274" s="56"/>
      <c r="BS274" s="56"/>
      <c r="BT274" s="56"/>
    </row>
    <row r="275" spans="1:72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Q275" s="56"/>
      <c r="BR275" s="56"/>
      <c r="BS275" s="56"/>
      <c r="BT275" s="56"/>
    </row>
    <row r="276" spans="1:72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Q276" s="56"/>
      <c r="BR276" s="56"/>
      <c r="BS276" s="56"/>
      <c r="BT276" s="56"/>
    </row>
    <row r="277" spans="1:72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Q277" s="56"/>
      <c r="BR277" s="56"/>
      <c r="BS277" s="56"/>
      <c r="BT277" s="56"/>
    </row>
    <row r="278" spans="1:72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Q278" s="56"/>
      <c r="BR278" s="56"/>
      <c r="BS278" s="56"/>
      <c r="BT278" s="56"/>
    </row>
    <row r="279" spans="1:72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Q279" s="56"/>
      <c r="BR279" s="56"/>
      <c r="BS279" s="56"/>
      <c r="BT279" s="56"/>
    </row>
    <row r="280" spans="1:72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Q280" s="56"/>
      <c r="BR280" s="56"/>
      <c r="BS280" s="56"/>
      <c r="BT280" s="56"/>
    </row>
    <row r="281" spans="1:72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Q281" s="56"/>
      <c r="BR281" s="56"/>
      <c r="BS281" s="56"/>
      <c r="BT281" s="56"/>
    </row>
    <row r="282" spans="1:72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Q282" s="56"/>
      <c r="BR282" s="56"/>
      <c r="BS282" s="56"/>
      <c r="BT282" s="56"/>
    </row>
    <row r="283" spans="1:72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Q283" s="56"/>
      <c r="BR283" s="56"/>
      <c r="BS283" s="56"/>
      <c r="BT283" s="56"/>
    </row>
    <row r="284" spans="1:72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Q284" s="56"/>
      <c r="BR284" s="56"/>
      <c r="BS284" s="56"/>
      <c r="BT284" s="56"/>
    </row>
    <row r="285" spans="1:72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Q285" s="56"/>
      <c r="BR285" s="56"/>
      <c r="BS285" s="56"/>
      <c r="BT285" s="56"/>
    </row>
    <row r="286" spans="1:72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Q286" s="56"/>
      <c r="BR286" s="56"/>
      <c r="BS286" s="56"/>
      <c r="BT286" s="56"/>
    </row>
    <row r="287" spans="1:72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Q287" s="56"/>
      <c r="BR287" s="56"/>
      <c r="BS287" s="56"/>
      <c r="BT287" s="56"/>
    </row>
    <row r="288" spans="1:72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Q288" s="56"/>
      <c r="BR288" s="56"/>
      <c r="BS288" s="56"/>
      <c r="BT288" s="56"/>
    </row>
    <row r="289" spans="1:72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Q289" s="56"/>
      <c r="BR289" s="56"/>
      <c r="BS289" s="56"/>
      <c r="BT289" s="56"/>
    </row>
    <row r="290" spans="1:72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Q290" s="56"/>
      <c r="BR290" s="56"/>
      <c r="BS290" s="56"/>
      <c r="BT290" s="56"/>
    </row>
    <row r="291" spans="1:72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Q291" s="56"/>
      <c r="BR291" s="56"/>
      <c r="BS291" s="56"/>
      <c r="BT291" s="56"/>
    </row>
    <row r="292" spans="1:72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Q292" s="56"/>
      <c r="BR292" s="56"/>
      <c r="BS292" s="56"/>
      <c r="BT292" s="56"/>
    </row>
    <row r="293" spans="1:72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Q293" s="56"/>
      <c r="BR293" s="56"/>
      <c r="BS293" s="56"/>
      <c r="BT293" s="56"/>
    </row>
    <row r="294" spans="1:72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Q294" s="56"/>
      <c r="BR294" s="56"/>
      <c r="BS294" s="56"/>
      <c r="BT294" s="56"/>
    </row>
    <row r="295" spans="1:72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Q295" s="56"/>
      <c r="BR295" s="56"/>
      <c r="BS295" s="56"/>
      <c r="BT295" s="56"/>
    </row>
    <row r="296" spans="1:72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Q296" s="56"/>
      <c r="BR296" s="56"/>
      <c r="BS296" s="56"/>
      <c r="BT296" s="56"/>
    </row>
    <row r="297" spans="1:72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Q297" s="56"/>
      <c r="BR297" s="56"/>
      <c r="BS297" s="56"/>
      <c r="BT297" s="56"/>
    </row>
    <row r="298" spans="1:72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Q298" s="56"/>
      <c r="BR298" s="56"/>
      <c r="BS298" s="56"/>
      <c r="BT298" s="56"/>
    </row>
    <row r="299" spans="1:72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Q299" s="56"/>
      <c r="BR299" s="56"/>
      <c r="BS299" s="56"/>
      <c r="BT299" s="56"/>
    </row>
    <row r="300" spans="1:72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Q300" s="56"/>
      <c r="BR300" s="56"/>
      <c r="BS300" s="56"/>
      <c r="BT300" s="56"/>
    </row>
    <row r="301" spans="1:72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Q301" s="56"/>
      <c r="BR301" s="56"/>
      <c r="BS301" s="56"/>
      <c r="BT301" s="56"/>
    </row>
    <row r="302" spans="1:72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Q302" s="56"/>
      <c r="BR302" s="56"/>
      <c r="BS302" s="56"/>
      <c r="BT302" s="56"/>
    </row>
    <row r="303" spans="1:72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Q303" s="56"/>
      <c r="BR303" s="56"/>
      <c r="BS303" s="56"/>
      <c r="BT303" s="56"/>
    </row>
    <row r="304" spans="1:72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Q304" s="56"/>
      <c r="BR304" s="56"/>
      <c r="BS304" s="56"/>
      <c r="BT304" s="56"/>
    </row>
    <row r="305" spans="1:72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Q305" s="56"/>
      <c r="BR305" s="56"/>
      <c r="BS305" s="56"/>
      <c r="BT305" s="56"/>
    </row>
    <row r="306" spans="1:72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Q306" s="56"/>
      <c r="BR306" s="56"/>
      <c r="BS306" s="56"/>
      <c r="BT306" s="56"/>
    </row>
    <row r="307" spans="1:72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Q307" s="56"/>
      <c r="BR307" s="56"/>
      <c r="BS307" s="56"/>
      <c r="BT307" s="56"/>
    </row>
    <row r="308" spans="1:72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Q308" s="56"/>
      <c r="BR308" s="56"/>
      <c r="BS308" s="56"/>
      <c r="BT308" s="56"/>
    </row>
    <row r="309" spans="1:72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Q309" s="56"/>
      <c r="BR309" s="56"/>
      <c r="BS309" s="56"/>
      <c r="BT309" s="56"/>
    </row>
    <row r="310" spans="1:72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Q310" s="56"/>
      <c r="BR310" s="56"/>
      <c r="BS310" s="56"/>
      <c r="BT310" s="56"/>
    </row>
    <row r="311" spans="1:72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Q311" s="56"/>
      <c r="BR311" s="56"/>
      <c r="BS311" s="56"/>
      <c r="BT311" s="56"/>
    </row>
    <row r="312" spans="1:72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Q312" s="56"/>
      <c r="BR312" s="56"/>
      <c r="BS312" s="56"/>
      <c r="BT312" s="56"/>
    </row>
    <row r="313" spans="1:72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Q313" s="56"/>
      <c r="BR313" s="56"/>
      <c r="BS313" s="56"/>
      <c r="BT313" s="56"/>
    </row>
    <row r="314" spans="1:72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Q314" s="56"/>
      <c r="BR314" s="56"/>
      <c r="BS314" s="56"/>
      <c r="BT314" s="56"/>
    </row>
    <row r="315" spans="1:72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Q315" s="56"/>
      <c r="BR315" s="56"/>
      <c r="BS315" s="56"/>
      <c r="BT315" s="56"/>
    </row>
    <row r="316" spans="1:72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Q316" s="56"/>
      <c r="BR316" s="56"/>
      <c r="BS316" s="56"/>
      <c r="BT316" s="56"/>
    </row>
    <row r="317" spans="1:72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Q317" s="56"/>
      <c r="BR317" s="56"/>
      <c r="BS317" s="56"/>
      <c r="BT317" s="56"/>
    </row>
    <row r="318" spans="1:72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Q318" s="56"/>
      <c r="BR318" s="56"/>
      <c r="BS318" s="56"/>
      <c r="BT318" s="56"/>
    </row>
    <row r="319" spans="1:72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Q319" s="56"/>
      <c r="BR319" s="56"/>
      <c r="BS319" s="56"/>
      <c r="BT319" s="56"/>
    </row>
    <row r="320" spans="1:72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Q320" s="56"/>
      <c r="BR320" s="56"/>
      <c r="BS320" s="56"/>
      <c r="BT320" s="56"/>
    </row>
    <row r="321" spans="1:72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Q321" s="56"/>
      <c r="BR321" s="56"/>
      <c r="BS321" s="56"/>
      <c r="BT321" s="56"/>
    </row>
    <row r="322" spans="1:72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Q322" s="56"/>
      <c r="BR322" s="56"/>
      <c r="BS322" s="56"/>
      <c r="BT322" s="56"/>
    </row>
    <row r="323" spans="1:72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Q323" s="56"/>
      <c r="BR323" s="56"/>
      <c r="BS323" s="56"/>
      <c r="BT323" s="56"/>
    </row>
    <row r="324" spans="1:72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Q324" s="56"/>
      <c r="BR324" s="56"/>
      <c r="BS324" s="56"/>
      <c r="BT324" s="56"/>
    </row>
    <row r="325" spans="1:72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Q325" s="56"/>
      <c r="BR325" s="56"/>
      <c r="BS325" s="56"/>
      <c r="BT325" s="56"/>
    </row>
    <row r="326" spans="1:72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Q326" s="56"/>
      <c r="BR326" s="56"/>
      <c r="BS326" s="56"/>
      <c r="BT326" s="56"/>
    </row>
    <row r="327" spans="1:72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Q327" s="56"/>
      <c r="BR327" s="56"/>
      <c r="BS327" s="56"/>
      <c r="BT327" s="56"/>
    </row>
    <row r="328" spans="1:72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Q328" s="56"/>
      <c r="BR328" s="56"/>
      <c r="BS328" s="56"/>
      <c r="BT328" s="56"/>
    </row>
    <row r="329" spans="1:72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Q329" s="56"/>
      <c r="BR329" s="56"/>
      <c r="BS329" s="56"/>
      <c r="BT329" s="56"/>
    </row>
    <row r="330" spans="1:72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Q330" s="56"/>
      <c r="BR330" s="56"/>
      <c r="BS330" s="56"/>
      <c r="BT330" s="56"/>
    </row>
    <row r="331" spans="1:72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Q331" s="56"/>
      <c r="BR331" s="56"/>
      <c r="BS331" s="56"/>
      <c r="BT331" s="56"/>
    </row>
    <row r="332" spans="1:72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Q332" s="56"/>
      <c r="BR332" s="56"/>
      <c r="BS332" s="56"/>
      <c r="BT332" s="56"/>
    </row>
    <row r="333" spans="1:72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Q333" s="56"/>
      <c r="BR333" s="56"/>
      <c r="BS333" s="56"/>
      <c r="BT333" s="56"/>
    </row>
    <row r="334" spans="1:72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Q334" s="56"/>
      <c r="BR334" s="56"/>
      <c r="BS334" s="56"/>
      <c r="BT334" s="56"/>
    </row>
    <row r="335" spans="1:72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Q335" s="56"/>
      <c r="BR335" s="56"/>
      <c r="BS335" s="56"/>
      <c r="BT335" s="56"/>
    </row>
    <row r="336" spans="1:72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Q336" s="56"/>
      <c r="BR336" s="56"/>
      <c r="BS336" s="56"/>
      <c r="BT336" s="56"/>
    </row>
    <row r="337" spans="1:72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Q337" s="56"/>
      <c r="BR337" s="56"/>
      <c r="BS337" s="56"/>
      <c r="BT337" s="56"/>
    </row>
    <row r="338" spans="1:72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Q338" s="56"/>
      <c r="BR338" s="56"/>
      <c r="BS338" s="56"/>
      <c r="BT338" s="56"/>
    </row>
    <row r="339" spans="1:72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Q339" s="56"/>
      <c r="BR339" s="56"/>
      <c r="BS339" s="56"/>
      <c r="BT339" s="56"/>
    </row>
    <row r="340" spans="1:72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Q340" s="56"/>
      <c r="BR340" s="56"/>
      <c r="BS340" s="56"/>
      <c r="BT340" s="56"/>
    </row>
    <row r="341" spans="1:72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Q341" s="56"/>
      <c r="BR341" s="56"/>
      <c r="BS341" s="56"/>
      <c r="BT341" s="56"/>
    </row>
    <row r="342" spans="1:72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Q342" s="56"/>
      <c r="BR342" s="56"/>
      <c r="BS342" s="56"/>
      <c r="BT342" s="56"/>
    </row>
    <row r="343" spans="1:72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Q343" s="56"/>
      <c r="BR343" s="56"/>
      <c r="BS343" s="56"/>
      <c r="BT343" s="56"/>
    </row>
    <row r="344" spans="1:72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Q344" s="56"/>
      <c r="BR344" s="56"/>
      <c r="BS344" s="56"/>
      <c r="BT344" s="56"/>
    </row>
    <row r="345" spans="1:72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Q345" s="56"/>
      <c r="BR345" s="56"/>
      <c r="BS345" s="56"/>
      <c r="BT345" s="56"/>
    </row>
    <row r="346" spans="1:72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Q346" s="56"/>
      <c r="BR346" s="56"/>
      <c r="BS346" s="56"/>
      <c r="BT346" s="56"/>
    </row>
    <row r="347" spans="1:72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Q347" s="56"/>
      <c r="BR347" s="56"/>
      <c r="BS347" s="56"/>
      <c r="BT347" s="56"/>
    </row>
    <row r="348" spans="1:72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Q348" s="56"/>
      <c r="BR348" s="56"/>
      <c r="BS348" s="56"/>
      <c r="BT348" s="56"/>
    </row>
    <row r="349" spans="1:72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Q349" s="56"/>
      <c r="BR349" s="56"/>
      <c r="BS349" s="56"/>
      <c r="BT349" s="56"/>
    </row>
    <row r="350" spans="1:72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Q350" s="56"/>
      <c r="BR350" s="56"/>
      <c r="BS350" s="56"/>
      <c r="BT350" s="56"/>
    </row>
    <row r="351" spans="1:72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Q351" s="56"/>
      <c r="BR351" s="56"/>
      <c r="BS351" s="56"/>
      <c r="BT351" s="56"/>
    </row>
    <row r="352" spans="1:72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Q352" s="56"/>
      <c r="BR352" s="56"/>
      <c r="BS352" s="56"/>
      <c r="BT352" s="56"/>
    </row>
    <row r="353" spans="1:72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Q353" s="56"/>
      <c r="BR353" s="56"/>
      <c r="BS353" s="56"/>
      <c r="BT353" s="56"/>
    </row>
    <row r="354" spans="1:72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Q354" s="56"/>
      <c r="BR354" s="56"/>
      <c r="BS354" s="56"/>
      <c r="BT354" s="56"/>
    </row>
    <row r="355" spans="1:72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Q355" s="56"/>
      <c r="BR355" s="56"/>
      <c r="BS355" s="56"/>
      <c r="BT355" s="56"/>
    </row>
    <row r="356" spans="1:72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Q356" s="56"/>
      <c r="BR356" s="56"/>
      <c r="BS356" s="56"/>
      <c r="BT356" s="56"/>
    </row>
    <row r="357" spans="1:72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Q357" s="56"/>
      <c r="BR357" s="56"/>
      <c r="BS357" s="56"/>
      <c r="BT357" s="56"/>
    </row>
    <row r="358" spans="1:72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Q358" s="56"/>
      <c r="BR358" s="56"/>
      <c r="BS358" s="56"/>
      <c r="BT358" s="56"/>
    </row>
    <row r="359" spans="1:72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Q359" s="56"/>
      <c r="BR359" s="56"/>
      <c r="BS359" s="56"/>
      <c r="BT359" s="56"/>
    </row>
    <row r="360" spans="1:72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Q360" s="56"/>
      <c r="BR360" s="56"/>
      <c r="BS360" s="56"/>
      <c r="BT360" s="56"/>
    </row>
    <row r="361" spans="1:72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Q361" s="56"/>
      <c r="BR361" s="56"/>
      <c r="BS361" s="56"/>
      <c r="BT361" s="56"/>
    </row>
    <row r="362" spans="1:72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Q362" s="56"/>
      <c r="BR362" s="56"/>
      <c r="BS362" s="56"/>
      <c r="BT362" s="56"/>
    </row>
    <row r="363" spans="1:72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Q363" s="56"/>
      <c r="BR363" s="56"/>
      <c r="BS363" s="56"/>
      <c r="BT363" s="56"/>
    </row>
    <row r="364" spans="1:72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Q364" s="56"/>
      <c r="BR364" s="56"/>
      <c r="BS364" s="56"/>
      <c r="BT364" s="56"/>
    </row>
    <row r="365" spans="1:72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Q365" s="56"/>
      <c r="BR365" s="56"/>
      <c r="BS365" s="56"/>
      <c r="BT365" s="56"/>
    </row>
    <row r="366" spans="1:72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Q366" s="56"/>
      <c r="BR366" s="56"/>
      <c r="BS366" s="56"/>
      <c r="BT366" s="56"/>
    </row>
    <row r="367" spans="1:72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Q367" s="56"/>
      <c r="BR367" s="56"/>
      <c r="BS367" s="56"/>
      <c r="BT367" s="56"/>
    </row>
    <row r="368" spans="1:72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Q368" s="56"/>
      <c r="BR368" s="56"/>
      <c r="BS368" s="56"/>
      <c r="BT368" s="56"/>
    </row>
    <row r="369" spans="1:72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Q369" s="56"/>
      <c r="BR369" s="56"/>
      <c r="BS369" s="56"/>
      <c r="BT369" s="56"/>
    </row>
    <row r="370" spans="1:72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Q370" s="56"/>
      <c r="BR370" s="56"/>
      <c r="BS370" s="56"/>
      <c r="BT370" s="56"/>
    </row>
    <row r="371" spans="1:72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Q371" s="56"/>
      <c r="BR371" s="56"/>
      <c r="BS371" s="56"/>
      <c r="BT371" s="56"/>
    </row>
    <row r="372" spans="1:72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Q372" s="56"/>
      <c r="BR372" s="56"/>
      <c r="BS372" s="56"/>
      <c r="BT372" s="56"/>
    </row>
    <row r="373" spans="1:72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Q373" s="56"/>
      <c r="BR373" s="56"/>
      <c r="BS373" s="56"/>
      <c r="BT373" s="56"/>
    </row>
    <row r="374" spans="1:72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Q374" s="56"/>
      <c r="BR374" s="56"/>
      <c r="BS374" s="56"/>
      <c r="BT374" s="56"/>
    </row>
    <row r="375" spans="1:72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Q375" s="56"/>
      <c r="BR375" s="56"/>
      <c r="BS375" s="56"/>
      <c r="BT375" s="56"/>
    </row>
    <row r="376" spans="1:72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Q376" s="56"/>
      <c r="BR376" s="56"/>
      <c r="BS376" s="56"/>
      <c r="BT376" s="56"/>
    </row>
    <row r="377" spans="1:72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Q377" s="56"/>
      <c r="BR377" s="56"/>
      <c r="BS377" s="56"/>
      <c r="BT377" s="56"/>
    </row>
    <row r="378" spans="1:72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Q378" s="56"/>
      <c r="BR378" s="56"/>
      <c r="BS378" s="56"/>
      <c r="BT378" s="56"/>
    </row>
    <row r="379" spans="1:72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Q379" s="56"/>
      <c r="BR379" s="56"/>
      <c r="BS379" s="56"/>
      <c r="BT379" s="56"/>
    </row>
    <row r="380" spans="1:72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Q380" s="56"/>
      <c r="BR380" s="56"/>
      <c r="BS380" s="56"/>
      <c r="BT380" s="56"/>
    </row>
    <row r="381" spans="1:72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Q381" s="56"/>
      <c r="BR381" s="56"/>
      <c r="BS381" s="56"/>
      <c r="BT381" s="56"/>
    </row>
    <row r="382" spans="1:72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Q382" s="56"/>
      <c r="BR382" s="56"/>
      <c r="BS382" s="56"/>
      <c r="BT382" s="56"/>
    </row>
    <row r="383" spans="1:72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Q383" s="56"/>
      <c r="BR383" s="56"/>
      <c r="BS383" s="56"/>
      <c r="BT383" s="56"/>
    </row>
    <row r="384" spans="1:72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Q384" s="56"/>
      <c r="BR384" s="56"/>
      <c r="BS384" s="56"/>
      <c r="BT384" s="56"/>
    </row>
    <row r="385" spans="1:72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Q385" s="56"/>
      <c r="BR385" s="56"/>
      <c r="BS385" s="56"/>
      <c r="BT385" s="56"/>
    </row>
    <row r="386" spans="1:72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Q386" s="56"/>
      <c r="BR386" s="56"/>
      <c r="BS386" s="56"/>
      <c r="BT386" s="56"/>
    </row>
    <row r="387" spans="1:72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Q387" s="56"/>
      <c r="BR387" s="56"/>
      <c r="BS387" s="56"/>
      <c r="BT387" s="56"/>
    </row>
    <row r="388" spans="1:72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Q388" s="56"/>
      <c r="BR388" s="56"/>
      <c r="BS388" s="56"/>
      <c r="BT388" s="56"/>
    </row>
    <row r="389" spans="1:72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Q389" s="56"/>
      <c r="BR389" s="56"/>
      <c r="BS389" s="56"/>
      <c r="BT389" s="56"/>
    </row>
    <row r="390" spans="1:72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Q390" s="56"/>
      <c r="BR390" s="56"/>
      <c r="BS390" s="56"/>
      <c r="BT390" s="56"/>
    </row>
    <row r="391" spans="1:72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Q391" s="56"/>
      <c r="BR391" s="56"/>
      <c r="BS391" s="56"/>
      <c r="BT391" s="56"/>
    </row>
    <row r="392" spans="1:72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Q392" s="56"/>
      <c r="BR392" s="56"/>
      <c r="BS392" s="56"/>
      <c r="BT392" s="56"/>
    </row>
    <row r="393" spans="1:72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Q393" s="56"/>
      <c r="BR393" s="56"/>
      <c r="BS393" s="56"/>
      <c r="BT393" s="56"/>
    </row>
    <row r="394" spans="1:72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Q394" s="56"/>
      <c r="BR394" s="56"/>
      <c r="BS394" s="56"/>
      <c r="BT394" s="56"/>
    </row>
    <row r="395" spans="1:72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Q395" s="56"/>
      <c r="BR395" s="56"/>
      <c r="BS395" s="56"/>
      <c r="BT395" s="56"/>
    </row>
    <row r="396" spans="1:72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Q396" s="56"/>
      <c r="BR396" s="56"/>
      <c r="BS396" s="56"/>
      <c r="BT396" s="56"/>
    </row>
    <row r="397" spans="1:72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Q397" s="56"/>
      <c r="BR397" s="56"/>
      <c r="BS397" s="56"/>
      <c r="BT397" s="56"/>
    </row>
    <row r="398" spans="1:72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Q398" s="56"/>
      <c r="BR398" s="56"/>
      <c r="BS398" s="56"/>
      <c r="BT398" s="56"/>
    </row>
    <row r="399" spans="1:72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Q399" s="56"/>
      <c r="BR399" s="56"/>
      <c r="BS399" s="56"/>
      <c r="BT399" s="56"/>
    </row>
    <row r="400" spans="1:72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Q400" s="56"/>
      <c r="BR400" s="56"/>
      <c r="BS400" s="56"/>
      <c r="BT400" s="56"/>
    </row>
    <row r="401" spans="1:72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Q401" s="56"/>
      <c r="BR401" s="56"/>
      <c r="BS401" s="56"/>
      <c r="BT401" s="56"/>
    </row>
    <row r="402" spans="1:72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Q402" s="56"/>
      <c r="BR402" s="56"/>
      <c r="BS402" s="56"/>
      <c r="BT402" s="56"/>
    </row>
    <row r="403" spans="1:72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Q403" s="56"/>
      <c r="BR403" s="56"/>
      <c r="BS403" s="56"/>
      <c r="BT403" s="56"/>
    </row>
    <row r="404" spans="1:72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Q404" s="56"/>
      <c r="BR404" s="56"/>
      <c r="BS404" s="56"/>
      <c r="BT404" s="56"/>
    </row>
    <row r="405" spans="1:72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Q405" s="56"/>
      <c r="BR405" s="56"/>
      <c r="BS405" s="56"/>
      <c r="BT405" s="56"/>
    </row>
    <row r="406" spans="1:72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Q406" s="56"/>
      <c r="BR406" s="56"/>
      <c r="BS406" s="56"/>
      <c r="BT406" s="56"/>
    </row>
    <row r="407" spans="1:72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Q407" s="56"/>
      <c r="BR407" s="56"/>
      <c r="BS407" s="56"/>
      <c r="BT407" s="56"/>
    </row>
    <row r="408" spans="1:72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Q408" s="56"/>
      <c r="BR408" s="56"/>
      <c r="BS408" s="56"/>
      <c r="BT408" s="56"/>
    </row>
    <row r="409" spans="1:72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Q409" s="56"/>
      <c r="BR409" s="56"/>
      <c r="BS409" s="56"/>
      <c r="BT409" s="56"/>
    </row>
    <row r="410" spans="1:72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Q410" s="56"/>
      <c r="BR410" s="56"/>
      <c r="BS410" s="56"/>
      <c r="BT410" s="56"/>
    </row>
    <row r="411" spans="1:72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Q411" s="56"/>
      <c r="BR411" s="56"/>
      <c r="BS411" s="56"/>
      <c r="BT411" s="56"/>
    </row>
    <row r="412" spans="1:72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Q412" s="56"/>
      <c r="BR412" s="56"/>
      <c r="BS412" s="56"/>
      <c r="BT412" s="56"/>
    </row>
    <row r="413" spans="1:72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Q413" s="56"/>
      <c r="BR413" s="56"/>
      <c r="BS413" s="56"/>
      <c r="BT413" s="56"/>
    </row>
    <row r="414" spans="1:72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Q414" s="56"/>
      <c r="BR414" s="56"/>
      <c r="BS414" s="56"/>
      <c r="BT414" s="56"/>
    </row>
    <row r="415" spans="1:72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Q415" s="56"/>
      <c r="BR415" s="56"/>
      <c r="BS415" s="56"/>
      <c r="BT415" s="56"/>
    </row>
    <row r="416" spans="1:72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Q416" s="56"/>
      <c r="BR416" s="56"/>
      <c r="BS416" s="56"/>
      <c r="BT416" s="56"/>
    </row>
    <row r="417" spans="1:72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Q417" s="56"/>
      <c r="BR417" s="56"/>
      <c r="BS417" s="56"/>
      <c r="BT417" s="56"/>
    </row>
    <row r="418" spans="1:72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Q418" s="56"/>
      <c r="BR418" s="56"/>
      <c r="BS418" s="56"/>
      <c r="BT418" s="56"/>
    </row>
    <row r="419" spans="1:72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Q419" s="56"/>
      <c r="BR419" s="56"/>
      <c r="BS419" s="56"/>
      <c r="BT419" s="56"/>
    </row>
    <row r="420" spans="1:72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Q420" s="56"/>
      <c r="BR420" s="56"/>
      <c r="BS420" s="56"/>
      <c r="BT420" s="56"/>
    </row>
    <row r="421" spans="1:72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Q421" s="56"/>
      <c r="BR421" s="56"/>
      <c r="BS421" s="56"/>
      <c r="BT421" s="56"/>
    </row>
    <row r="422" spans="1:72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Q422" s="56"/>
      <c r="BR422" s="56"/>
      <c r="BS422" s="56"/>
      <c r="BT422" s="56"/>
    </row>
    <row r="423" spans="1:72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Q423" s="56"/>
      <c r="BR423" s="56"/>
      <c r="BS423" s="56"/>
      <c r="BT423" s="56"/>
    </row>
    <row r="424" spans="1:72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Q424" s="56"/>
      <c r="BR424" s="56"/>
      <c r="BS424" s="56"/>
      <c r="BT424" s="56"/>
    </row>
    <row r="425" spans="1:72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Q425" s="56"/>
      <c r="BR425" s="56"/>
      <c r="BS425" s="56"/>
      <c r="BT425" s="56"/>
    </row>
    <row r="426" spans="1:72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Q426" s="56"/>
      <c r="BR426" s="56"/>
      <c r="BS426" s="56"/>
      <c r="BT426" s="56"/>
    </row>
    <row r="427" spans="1:72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Q427" s="56"/>
      <c r="BR427" s="56"/>
      <c r="BS427" s="56"/>
      <c r="BT427" s="56"/>
    </row>
    <row r="428" spans="1:72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Q428" s="56"/>
      <c r="BR428" s="56"/>
      <c r="BS428" s="56"/>
      <c r="BT428" s="56"/>
    </row>
    <row r="429" spans="1:72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Q429" s="56"/>
      <c r="BR429" s="56"/>
      <c r="BS429" s="56"/>
      <c r="BT429" s="56"/>
    </row>
    <row r="430" spans="1:72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Q430" s="56"/>
      <c r="BR430" s="56"/>
      <c r="BS430" s="56"/>
      <c r="BT430" s="56"/>
    </row>
    <row r="431" spans="1:72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Q431" s="56"/>
      <c r="BR431" s="56"/>
      <c r="BS431" s="56"/>
      <c r="BT431" s="56"/>
    </row>
    <row r="432" spans="1:72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Q432" s="56"/>
      <c r="BR432" s="56"/>
      <c r="BS432" s="56"/>
      <c r="BT432" s="56"/>
    </row>
    <row r="433" spans="1:72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Q433" s="56"/>
      <c r="BR433" s="56"/>
      <c r="BS433" s="56"/>
      <c r="BT433" s="56"/>
    </row>
    <row r="434" spans="1:72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Q434" s="56"/>
      <c r="BR434" s="56"/>
      <c r="BS434" s="56"/>
      <c r="BT434" s="56"/>
    </row>
    <row r="435" spans="1:72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Q435" s="56"/>
      <c r="BR435" s="56"/>
      <c r="BS435" s="56"/>
      <c r="BT435" s="56"/>
    </row>
    <row r="436" spans="1:72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Q436" s="56"/>
      <c r="BR436" s="56"/>
      <c r="BS436" s="56"/>
      <c r="BT436" s="56"/>
    </row>
    <row r="437" spans="1:72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Q437" s="56"/>
      <c r="BR437" s="56"/>
      <c r="BS437" s="56"/>
      <c r="BT437" s="56"/>
    </row>
    <row r="438" spans="1:72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Q438" s="56"/>
      <c r="BR438" s="56"/>
      <c r="BS438" s="56"/>
      <c r="BT438" s="56"/>
    </row>
    <row r="439" spans="1:72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Q439" s="56"/>
      <c r="BR439" s="56"/>
      <c r="BS439" s="56"/>
      <c r="BT439" s="56"/>
    </row>
    <row r="440" spans="1:72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Q440" s="56"/>
      <c r="BR440" s="56"/>
      <c r="BS440" s="56"/>
      <c r="BT440" s="56"/>
    </row>
    <row r="441" spans="1:72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Q441" s="56"/>
      <c r="BR441" s="56"/>
      <c r="BS441" s="56"/>
      <c r="BT441" s="56"/>
    </row>
    <row r="442" spans="1:72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Q442" s="56"/>
      <c r="BR442" s="56"/>
      <c r="BS442" s="56"/>
      <c r="BT442" s="56"/>
    </row>
    <row r="443" spans="1:72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Q443" s="56"/>
      <c r="BR443" s="56"/>
      <c r="BS443" s="56"/>
      <c r="BT443" s="56"/>
    </row>
    <row r="444" spans="1:72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Q444" s="56"/>
      <c r="BR444" s="56"/>
      <c r="BS444" s="56"/>
      <c r="BT444" s="56"/>
    </row>
    <row r="445" spans="1:72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Q445" s="56"/>
      <c r="BR445" s="56"/>
      <c r="BS445" s="56"/>
      <c r="BT445" s="56"/>
    </row>
    <row r="446" spans="1:72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Q446" s="56"/>
      <c r="BR446" s="56"/>
      <c r="BS446" s="56"/>
      <c r="BT446" s="56"/>
    </row>
    <row r="447" spans="1:72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Q447" s="56"/>
      <c r="BR447" s="56"/>
      <c r="BS447" s="56"/>
      <c r="BT447" s="56"/>
    </row>
    <row r="448" spans="1:72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Q448" s="56"/>
      <c r="BR448" s="56"/>
      <c r="BS448" s="56"/>
      <c r="BT448" s="56"/>
    </row>
    <row r="449" spans="1:72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Q449" s="56"/>
      <c r="BR449" s="56"/>
      <c r="BS449" s="56"/>
      <c r="BT449" s="56"/>
    </row>
    <row r="450" spans="1:72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Q450" s="56"/>
      <c r="BR450" s="56"/>
      <c r="BS450" s="56"/>
      <c r="BT450" s="56"/>
    </row>
    <row r="451" spans="1:72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Q451" s="56"/>
      <c r="BR451" s="56"/>
      <c r="BS451" s="56"/>
      <c r="BT451" s="56"/>
    </row>
    <row r="452" spans="1:72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Q452" s="56"/>
      <c r="BR452" s="56"/>
      <c r="BS452" s="56"/>
      <c r="BT452" s="56"/>
    </row>
    <row r="453" spans="1:72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Q453" s="56"/>
      <c r="BR453" s="56"/>
      <c r="BS453" s="56"/>
      <c r="BT453" s="56"/>
    </row>
    <row r="454" spans="1:72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Q454" s="56"/>
      <c r="BR454" s="56"/>
      <c r="BS454" s="56"/>
      <c r="BT454" s="56"/>
    </row>
    <row r="455" spans="1:72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Q455" s="56"/>
      <c r="BR455" s="56"/>
      <c r="BS455" s="56"/>
      <c r="BT455" s="56"/>
    </row>
    <row r="456" spans="1:72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Q456" s="56"/>
      <c r="BR456" s="56"/>
      <c r="BS456" s="56"/>
      <c r="BT456" s="56"/>
    </row>
    <row r="457" spans="1:72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Q457" s="56"/>
      <c r="BR457" s="56"/>
      <c r="BS457" s="56"/>
      <c r="BT457" s="56"/>
    </row>
    <row r="458" spans="1:72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Q458" s="56"/>
      <c r="BR458" s="56"/>
      <c r="BS458" s="56"/>
      <c r="BT458" s="56"/>
    </row>
    <row r="459" spans="1:72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Q459" s="56"/>
      <c r="BR459" s="56"/>
      <c r="BS459" s="56"/>
      <c r="BT459" s="56"/>
    </row>
    <row r="460" spans="1:72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Q460" s="56"/>
      <c r="BR460" s="56"/>
      <c r="BS460" s="56"/>
      <c r="BT460" s="56"/>
    </row>
    <row r="461" spans="1:72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Q461" s="56"/>
      <c r="BR461" s="56"/>
      <c r="BS461" s="56"/>
      <c r="BT461" s="56"/>
    </row>
    <row r="462" spans="1:72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Q462" s="56"/>
      <c r="BR462" s="56"/>
      <c r="BS462" s="56"/>
      <c r="BT462" s="56"/>
    </row>
    <row r="463" spans="1:72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Q463" s="56"/>
      <c r="BR463" s="56"/>
      <c r="BS463" s="56"/>
      <c r="BT463" s="56"/>
    </row>
    <row r="464" spans="1:72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Q464" s="56"/>
      <c r="BR464" s="56"/>
      <c r="BS464" s="56"/>
      <c r="BT464" s="56"/>
    </row>
    <row r="465" spans="1:72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Q465" s="56"/>
      <c r="BR465" s="56"/>
      <c r="BS465" s="56"/>
      <c r="BT465" s="56"/>
    </row>
    <row r="466" spans="1:72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Q466" s="56"/>
      <c r="BR466" s="56"/>
      <c r="BS466" s="56"/>
      <c r="BT466" s="56"/>
    </row>
    <row r="467" spans="1:72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Q467" s="56"/>
      <c r="BR467" s="56"/>
      <c r="BS467" s="56"/>
      <c r="BT467" s="56"/>
    </row>
    <row r="468" spans="1:72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Q468" s="56"/>
      <c r="BR468" s="56"/>
      <c r="BS468" s="56"/>
      <c r="BT468" s="56"/>
    </row>
    <row r="469" spans="1:72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Q469" s="56"/>
      <c r="BR469" s="56"/>
      <c r="BS469" s="56"/>
      <c r="BT469" s="56"/>
    </row>
    <row r="470" spans="1:72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Q470" s="56"/>
      <c r="BR470" s="56"/>
      <c r="BS470" s="56"/>
      <c r="BT470" s="56"/>
    </row>
    <row r="471" spans="1:72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Q471" s="56"/>
      <c r="BR471" s="56"/>
      <c r="BS471" s="56"/>
      <c r="BT471" s="56"/>
    </row>
    <row r="472" spans="1:72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Q472" s="56"/>
      <c r="BR472" s="56"/>
      <c r="BS472" s="56"/>
      <c r="BT472" s="56"/>
    </row>
    <row r="473" spans="1:72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Q473" s="56"/>
      <c r="BR473" s="56"/>
      <c r="BS473" s="56"/>
      <c r="BT473" s="56"/>
    </row>
    <row r="474" spans="1:72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Q474" s="56"/>
      <c r="BR474" s="56"/>
      <c r="BS474" s="56"/>
      <c r="BT474" s="56"/>
    </row>
    <row r="475" spans="1:72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Q475" s="56"/>
      <c r="BR475" s="56"/>
      <c r="BS475" s="56"/>
      <c r="BT475" s="56"/>
    </row>
    <row r="476" spans="1:72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Q476" s="56"/>
      <c r="BR476" s="56"/>
      <c r="BS476" s="56"/>
      <c r="BT476" s="56"/>
    </row>
    <row r="477" spans="1:72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Q477" s="56"/>
      <c r="BR477" s="56"/>
      <c r="BS477" s="56"/>
      <c r="BT477" s="56"/>
    </row>
    <row r="478" spans="1:72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Q478" s="56"/>
      <c r="BR478" s="56"/>
      <c r="BS478" s="56"/>
      <c r="BT478" s="56"/>
    </row>
    <row r="479" spans="1:72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Q479" s="56"/>
      <c r="BR479" s="56"/>
      <c r="BS479" s="56"/>
      <c r="BT479" s="56"/>
    </row>
    <row r="480" spans="1:72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Q480" s="56"/>
      <c r="BR480" s="56"/>
      <c r="BS480" s="56"/>
      <c r="BT480" s="56"/>
    </row>
    <row r="481" spans="1:72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Q481" s="56"/>
      <c r="BR481" s="56"/>
      <c r="BS481" s="56"/>
      <c r="BT481" s="56"/>
    </row>
    <row r="482" spans="1:72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Q482" s="56"/>
      <c r="BR482" s="56"/>
      <c r="BS482" s="56"/>
      <c r="BT482" s="56"/>
    </row>
    <row r="483" spans="1:72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Q483" s="56"/>
      <c r="BR483" s="56"/>
      <c r="BS483" s="56"/>
      <c r="BT483" s="56"/>
    </row>
    <row r="484" spans="1:72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Q484" s="56"/>
      <c r="BR484" s="56"/>
      <c r="BS484" s="56"/>
      <c r="BT484" s="56"/>
    </row>
    <row r="485" spans="1:72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Q485" s="56"/>
      <c r="BR485" s="56"/>
      <c r="BS485" s="56"/>
      <c r="BT485" s="56"/>
    </row>
    <row r="486" spans="1:72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Q486" s="56"/>
      <c r="BR486" s="56"/>
      <c r="BS486" s="56"/>
      <c r="BT486" s="56"/>
    </row>
    <row r="487" spans="1:72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Q487" s="56"/>
      <c r="BR487" s="56"/>
      <c r="BS487" s="56"/>
      <c r="BT487" s="56"/>
    </row>
    <row r="488" spans="1:72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Q488" s="56"/>
      <c r="BR488" s="56"/>
      <c r="BS488" s="56"/>
      <c r="BT488" s="56"/>
    </row>
    <row r="489" spans="1:72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Q489" s="56"/>
      <c r="BR489" s="56"/>
      <c r="BS489" s="56"/>
      <c r="BT489" s="56"/>
    </row>
    <row r="490" spans="1:72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Q490" s="56"/>
      <c r="BR490" s="56"/>
      <c r="BS490" s="56"/>
      <c r="BT490" s="56"/>
    </row>
    <row r="491" spans="1:72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Q491" s="56"/>
      <c r="BR491" s="56"/>
      <c r="BS491" s="56"/>
      <c r="BT491" s="56"/>
    </row>
    <row r="492" spans="1:72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Q492" s="56"/>
      <c r="BR492" s="56"/>
      <c r="BS492" s="56"/>
      <c r="BT492" s="56"/>
    </row>
    <row r="493" spans="1:72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Q493" s="56"/>
      <c r="BR493" s="56"/>
      <c r="BS493" s="56"/>
      <c r="BT493" s="56"/>
    </row>
    <row r="494" spans="1:72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Q494" s="56"/>
      <c r="BR494" s="56"/>
      <c r="BS494" s="56"/>
      <c r="BT494" s="56"/>
    </row>
    <row r="495" spans="1:72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Q495" s="56"/>
      <c r="BR495" s="56"/>
      <c r="BS495" s="56"/>
      <c r="BT495" s="56"/>
    </row>
    <row r="496" spans="1:72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Q496" s="56"/>
      <c r="BR496" s="56"/>
      <c r="BS496" s="56"/>
      <c r="BT496" s="56"/>
    </row>
    <row r="497" spans="1:72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Q497" s="56"/>
      <c r="BR497" s="56"/>
      <c r="BS497" s="56"/>
      <c r="BT497" s="56"/>
    </row>
    <row r="498" spans="1:72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Q498" s="56"/>
      <c r="BR498" s="56"/>
      <c r="BS498" s="56"/>
      <c r="BT498" s="56"/>
    </row>
    <row r="499" spans="1:72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Q499" s="56"/>
      <c r="BR499" s="56"/>
      <c r="BS499" s="56"/>
      <c r="BT499" s="56"/>
    </row>
    <row r="500" spans="1:72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Q500" s="56"/>
      <c r="BR500" s="56"/>
      <c r="BS500" s="56"/>
      <c r="BT500" s="56"/>
    </row>
    <row r="501" spans="1:72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Q501" s="56"/>
      <c r="BR501" s="56"/>
      <c r="BS501" s="56"/>
      <c r="BT501" s="56"/>
    </row>
    <row r="502" spans="1:72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Q502" s="56"/>
      <c r="BR502" s="56"/>
      <c r="BS502" s="56"/>
      <c r="BT502" s="56"/>
    </row>
    <row r="503" spans="1:72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Q503" s="56"/>
      <c r="BR503" s="56"/>
      <c r="BS503" s="56"/>
      <c r="BT503" s="56"/>
    </row>
    <row r="504" spans="1:72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Q504" s="56"/>
      <c r="BR504" s="56"/>
      <c r="BS504" s="56"/>
      <c r="BT504" s="56"/>
    </row>
    <row r="505" spans="1:72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Q505" s="56"/>
      <c r="BR505" s="56"/>
      <c r="BS505" s="56"/>
      <c r="BT505" s="56"/>
    </row>
    <row r="506" spans="1:72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Q506" s="56"/>
      <c r="BR506" s="56"/>
      <c r="BS506" s="56"/>
      <c r="BT506" s="56"/>
    </row>
    <row r="507" spans="1:72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Q507" s="56"/>
      <c r="BR507" s="56"/>
      <c r="BS507" s="56"/>
      <c r="BT507" s="56"/>
    </row>
    <row r="508" spans="1:72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Q508" s="56"/>
      <c r="BR508" s="56"/>
      <c r="BS508" s="56"/>
      <c r="BT508" s="56"/>
    </row>
    <row r="509" spans="1:72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Q509" s="56"/>
      <c r="BR509" s="56"/>
      <c r="BS509" s="56"/>
      <c r="BT509" s="56"/>
    </row>
    <row r="510" spans="1:72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Q510" s="56"/>
      <c r="BR510" s="56"/>
      <c r="BS510" s="56"/>
      <c r="BT510" s="56"/>
    </row>
    <row r="511" spans="1:72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Q511" s="56"/>
      <c r="BR511" s="56"/>
      <c r="BS511" s="56"/>
      <c r="BT511" s="56"/>
    </row>
    <row r="512" spans="1:72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Q512" s="56"/>
      <c r="BR512" s="56"/>
      <c r="BS512" s="56"/>
      <c r="BT512" s="56"/>
    </row>
    <row r="513" spans="1:72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Q513" s="56"/>
      <c r="BR513" s="56"/>
      <c r="BS513" s="56"/>
      <c r="BT513" s="56"/>
    </row>
    <row r="514" spans="1:72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Q514" s="56"/>
      <c r="BR514" s="56"/>
      <c r="BS514" s="56"/>
      <c r="BT514" s="56"/>
    </row>
    <row r="515" spans="1:72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Q515" s="56"/>
      <c r="BR515" s="56"/>
      <c r="BS515" s="56"/>
      <c r="BT515" s="56"/>
    </row>
    <row r="516" spans="1:72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Q516" s="56"/>
      <c r="BR516" s="56"/>
      <c r="BS516" s="56"/>
      <c r="BT516" s="56"/>
    </row>
    <row r="517" spans="1:72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Q517" s="56"/>
      <c r="BR517" s="56"/>
      <c r="BS517" s="56"/>
      <c r="BT517" s="56"/>
    </row>
    <row r="518" spans="1:72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Q518" s="56"/>
      <c r="BR518" s="56"/>
      <c r="BS518" s="56"/>
      <c r="BT518" s="56"/>
    </row>
    <row r="519" spans="1:72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Q519" s="56"/>
      <c r="BR519" s="56"/>
      <c r="BS519" s="56"/>
      <c r="BT519" s="56"/>
    </row>
    <row r="520" spans="1:72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Q520" s="56"/>
      <c r="BR520" s="56"/>
      <c r="BS520" s="56"/>
      <c r="BT520" s="56"/>
    </row>
    <row r="521" spans="1:72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Q521" s="56"/>
      <c r="BR521" s="56"/>
      <c r="BS521" s="56"/>
      <c r="BT521" s="56"/>
    </row>
    <row r="522" spans="1:72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Q522" s="56"/>
      <c r="BR522" s="56"/>
      <c r="BS522" s="56"/>
      <c r="BT522" s="56"/>
    </row>
    <row r="523" spans="1:72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Q523" s="56"/>
      <c r="BR523" s="56"/>
      <c r="BS523" s="56"/>
      <c r="BT523" s="56"/>
    </row>
    <row r="524" spans="1:72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Q524" s="56"/>
      <c r="BR524" s="56"/>
      <c r="BS524" s="56"/>
      <c r="BT524" s="56"/>
    </row>
    <row r="525" spans="1:72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Q525" s="56"/>
      <c r="BR525" s="56"/>
      <c r="BS525" s="56"/>
      <c r="BT525" s="56"/>
    </row>
    <row r="526" spans="1:72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Q526" s="56"/>
      <c r="BR526" s="56"/>
      <c r="BS526" s="56"/>
      <c r="BT526" s="56"/>
    </row>
    <row r="527" spans="1:72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Q527" s="56"/>
      <c r="BR527" s="56"/>
      <c r="BS527" s="56"/>
      <c r="BT527" s="56"/>
    </row>
    <row r="528" spans="1:72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Q528" s="56"/>
      <c r="BR528" s="56"/>
      <c r="BS528" s="56"/>
      <c r="BT528" s="56"/>
    </row>
    <row r="529" spans="1:72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Q529" s="56"/>
      <c r="BR529" s="56"/>
      <c r="BS529" s="56"/>
      <c r="BT529" s="56"/>
    </row>
    <row r="530" spans="1:72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Q530" s="56"/>
      <c r="BR530" s="56"/>
      <c r="BS530" s="56"/>
      <c r="BT530" s="56"/>
    </row>
    <row r="531" spans="1:72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Q531" s="56"/>
      <c r="BR531" s="56"/>
      <c r="BS531" s="56"/>
      <c r="BT531" s="56"/>
    </row>
    <row r="532" spans="1:72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Q532" s="56"/>
      <c r="BR532" s="56"/>
      <c r="BS532" s="56"/>
      <c r="BT532" s="56"/>
    </row>
    <row r="533" spans="1:72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Q533" s="56"/>
      <c r="BR533" s="56"/>
      <c r="BS533" s="56"/>
      <c r="BT533" s="56"/>
    </row>
    <row r="534" spans="1:72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Q534" s="56"/>
      <c r="BR534" s="56"/>
      <c r="BS534" s="56"/>
      <c r="BT534" s="56"/>
    </row>
    <row r="535" spans="1:72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Q535" s="56"/>
      <c r="BR535" s="56"/>
      <c r="BS535" s="56"/>
      <c r="BT535" s="56"/>
    </row>
    <row r="536" spans="1:72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Q536" s="56"/>
      <c r="BR536" s="56"/>
      <c r="BS536" s="56"/>
      <c r="BT536" s="56"/>
    </row>
    <row r="537" spans="1:72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Q537" s="56"/>
      <c r="BR537" s="56"/>
      <c r="BS537" s="56"/>
      <c r="BT537" s="56"/>
    </row>
    <row r="538" spans="1:72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Q538" s="56"/>
      <c r="BR538" s="56"/>
      <c r="BS538" s="56"/>
      <c r="BT538" s="56"/>
    </row>
    <row r="539" spans="1:72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Q539" s="56"/>
      <c r="BR539" s="56"/>
      <c r="BS539" s="56"/>
      <c r="BT539" s="56"/>
    </row>
    <row r="540" spans="1:72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Q540" s="56"/>
      <c r="BR540" s="56"/>
      <c r="BS540" s="56"/>
      <c r="BT540" s="56"/>
    </row>
    <row r="541" spans="1:72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Q541" s="56"/>
      <c r="BR541" s="56"/>
      <c r="BS541" s="56"/>
      <c r="BT541" s="56"/>
    </row>
    <row r="542" spans="1:72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Q542" s="56"/>
      <c r="BR542" s="56"/>
      <c r="BS542" s="56"/>
      <c r="BT542" s="56"/>
    </row>
    <row r="543" spans="1:72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Q543" s="56"/>
      <c r="BR543" s="56"/>
      <c r="BS543" s="56"/>
      <c r="BT543" s="56"/>
    </row>
    <row r="544" spans="1:72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Q544" s="56"/>
      <c r="BR544" s="56"/>
      <c r="BS544" s="56"/>
      <c r="BT544" s="56"/>
    </row>
    <row r="545" spans="1:72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Q545" s="56"/>
      <c r="BR545" s="56"/>
      <c r="BS545" s="56"/>
      <c r="BT545" s="56"/>
    </row>
    <row r="546" spans="1:72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Q546" s="56"/>
      <c r="BR546" s="56"/>
      <c r="BS546" s="56"/>
      <c r="BT546" s="56"/>
    </row>
    <row r="547" spans="1:72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Q547" s="56"/>
      <c r="BR547" s="56"/>
      <c r="BS547" s="56"/>
      <c r="BT547" s="56"/>
    </row>
    <row r="548" spans="1:72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Q548" s="56"/>
      <c r="BR548" s="56"/>
      <c r="BS548" s="56"/>
      <c r="BT548" s="56"/>
    </row>
    <row r="549" spans="1:72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Q549" s="56"/>
      <c r="BR549" s="56"/>
      <c r="BS549" s="56"/>
      <c r="BT549" s="56"/>
    </row>
    <row r="550" spans="1:72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Q550" s="56"/>
      <c r="BR550" s="56"/>
      <c r="BS550" s="56"/>
      <c r="BT550" s="56"/>
    </row>
    <row r="551" spans="1:72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Q551" s="56"/>
      <c r="BR551" s="56"/>
      <c r="BS551" s="56"/>
      <c r="BT551" s="56"/>
    </row>
    <row r="552" spans="1:72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Q552" s="56"/>
      <c r="BR552" s="56"/>
      <c r="BS552" s="56"/>
      <c r="BT552" s="56"/>
    </row>
    <row r="553" spans="1:72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Q553" s="56"/>
      <c r="BR553" s="56"/>
      <c r="BS553" s="56"/>
      <c r="BT553" s="56"/>
    </row>
    <row r="554" spans="1:72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Q554" s="56"/>
      <c r="BR554" s="56"/>
      <c r="BS554" s="56"/>
      <c r="BT554" s="56"/>
    </row>
    <row r="555" spans="1:72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Q555" s="56"/>
      <c r="BR555" s="56"/>
      <c r="BS555" s="56"/>
      <c r="BT555" s="56"/>
    </row>
    <row r="556" spans="1:72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Q556" s="56"/>
      <c r="BR556" s="56"/>
      <c r="BS556" s="56"/>
      <c r="BT556" s="56"/>
    </row>
    <row r="557" spans="1:72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Q557" s="56"/>
      <c r="BR557" s="56"/>
      <c r="BS557" s="56"/>
      <c r="BT557" s="56"/>
    </row>
    <row r="558" spans="1:72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Q558" s="56"/>
      <c r="BR558" s="56"/>
      <c r="BS558" s="56"/>
      <c r="BT558" s="56"/>
    </row>
    <row r="559" spans="1:72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Q559" s="56"/>
      <c r="BR559" s="56"/>
      <c r="BS559" s="56"/>
      <c r="BT559" s="56"/>
    </row>
    <row r="560" spans="1:72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Q560" s="56"/>
      <c r="BR560" s="56"/>
      <c r="BS560" s="56"/>
      <c r="BT560" s="56"/>
    </row>
    <row r="561" spans="1:72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Q561" s="56"/>
      <c r="BR561" s="56"/>
      <c r="BS561" s="56"/>
      <c r="BT561" s="56"/>
    </row>
    <row r="562" spans="1:72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Q562" s="56"/>
      <c r="BR562" s="56"/>
      <c r="BS562" s="56"/>
      <c r="BT562" s="56"/>
    </row>
    <row r="563" spans="1:72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Q563" s="56"/>
      <c r="BR563" s="56"/>
      <c r="BS563" s="56"/>
      <c r="BT563" s="56"/>
    </row>
    <row r="564" spans="1:72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Q564" s="56"/>
      <c r="BR564" s="56"/>
      <c r="BS564" s="56"/>
      <c r="BT564" s="56"/>
    </row>
    <row r="565" spans="1:72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Q565" s="56"/>
      <c r="BR565" s="56"/>
      <c r="BS565" s="56"/>
      <c r="BT565" s="56"/>
    </row>
    <row r="566" spans="1:72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Q566" s="56"/>
      <c r="BR566" s="56"/>
      <c r="BS566" s="56"/>
      <c r="BT566" s="56"/>
    </row>
    <row r="567" spans="1:72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Q567" s="56"/>
      <c r="BR567" s="56"/>
      <c r="BS567" s="56"/>
      <c r="BT567" s="56"/>
    </row>
    <row r="568" spans="1:72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Q568" s="56"/>
      <c r="BR568" s="56"/>
      <c r="BS568" s="56"/>
      <c r="BT568" s="56"/>
    </row>
    <row r="569" spans="1:72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Q569" s="56"/>
      <c r="BR569" s="56"/>
      <c r="BS569" s="56"/>
      <c r="BT569" s="56"/>
    </row>
    <row r="570" spans="1:72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Q570" s="56"/>
      <c r="BR570" s="56"/>
      <c r="BS570" s="56"/>
      <c r="BT570" s="56"/>
    </row>
    <row r="571" spans="1:72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Q571" s="56"/>
      <c r="BR571" s="56"/>
      <c r="BS571" s="56"/>
      <c r="BT571" s="56"/>
    </row>
    <row r="572" spans="1:72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Q572" s="56"/>
      <c r="BR572" s="56"/>
      <c r="BS572" s="56"/>
      <c r="BT572" s="56"/>
    </row>
    <row r="573" spans="1:72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Q573" s="56"/>
      <c r="BR573" s="56"/>
      <c r="BS573" s="56"/>
      <c r="BT573" s="56"/>
    </row>
    <row r="574" spans="1:72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Q574" s="56"/>
      <c r="BR574" s="56"/>
      <c r="BS574" s="56"/>
      <c r="BT574" s="56"/>
    </row>
    <row r="575" spans="1:72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Q575" s="56"/>
      <c r="BR575" s="56"/>
      <c r="BS575" s="56"/>
      <c r="BT575" s="56"/>
    </row>
    <row r="576" spans="1:72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Q576" s="56"/>
      <c r="BR576" s="56"/>
      <c r="BS576" s="56"/>
      <c r="BT576" s="56"/>
    </row>
    <row r="577" spans="1:72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Q577" s="56"/>
      <c r="BR577" s="56"/>
      <c r="BS577" s="56"/>
      <c r="BT577" s="56"/>
    </row>
    <row r="578" spans="1:72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Q578" s="56"/>
      <c r="BR578" s="56"/>
      <c r="BS578" s="56"/>
      <c r="BT578" s="56"/>
    </row>
    <row r="579" spans="1:72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Q579" s="56"/>
      <c r="BR579" s="56"/>
      <c r="BS579" s="56"/>
      <c r="BT579" s="56"/>
    </row>
    <row r="580" spans="1:72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Q580" s="56"/>
      <c r="BR580" s="56"/>
      <c r="BS580" s="56"/>
      <c r="BT580" s="56"/>
    </row>
    <row r="581" spans="1:72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Q581" s="56"/>
      <c r="BR581" s="56"/>
      <c r="BS581" s="56"/>
      <c r="BT581" s="56"/>
    </row>
    <row r="582" spans="1:72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Q582" s="56"/>
      <c r="BR582" s="56"/>
      <c r="BS582" s="56"/>
      <c r="BT582" s="56"/>
    </row>
    <row r="583" spans="1:72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Q583" s="56"/>
      <c r="BR583" s="56"/>
      <c r="BS583" s="56"/>
      <c r="BT583" s="56"/>
    </row>
    <row r="584" spans="1:72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Q584" s="56"/>
      <c r="BR584" s="56"/>
      <c r="BS584" s="56"/>
      <c r="BT584" s="56"/>
    </row>
    <row r="585" spans="1:72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Q585" s="56"/>
      <c r="BR585" s="56"/>
      <c r="BS585" s="56"/>
      <c r="BT585" s="56"/>
    </row>
    <row r="586" spans="1:72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Q586" s="56"/>
      <c r="BR586" s="56"/>
      <c r="BS586" s="56"/>
      <c r="BT586" s="56"/>
    </row>
    <row r="587" spans="1:72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Q587" s="56"/>
      <c r="BR587" s="56"/>
      <c r="BS587" s="56"/>
      <c r="BT587" s="56"/>
    </row>
    <row r="588" spans="1:72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Q588" s="56"/>
      <c r="BR588" s="56"/>
      <c r="BS588" s="56"/>
      <c r="BT588" s="56"/>
    </row>
    <row r="589" spans="1:72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Q589" s="56"/>
      <c r="BR589" s="56"/>
      <c r="BS589" s="56"/>
      <c r="BT589" s="56"/>
    </row>
    <row r="590" spans="1:72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Q590" s="56"/>
      <c r="BR590" s="56"/>
      <c r="BS590" s="56"/>
      <c r="BT590" s="56"/>
    </row>
    <row r="591" spans="1:72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Q591" s="56"/>
      <c r="BR591" s="56"/>
      <c r="BS591" s="56"/>
      <c r="BT591" s="56"/>
    </row>
    <row r="592" spans="1:72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Q592" s="56"/>
      <c r="BR592" s="56"/>
      <c r="BS592" s="56"/>
      <c r="BT592" s="56"/>
    </row>
    <row r="593" spans="1:72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Q593" s="56"/>
      <c r="BR593" s="56"/>
      <c r="BS593" s="56"/>
      <c r="BT593" s="56"/>
    </row>
    <row r="594" spans="1:72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Q594" s="56"/>
      <c r="BR594" s="56"/>
      <c r="BS594" s="56"/>
      <c r="BT594" s="56"/>
    </row>
    <row r="595" spans="1:72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Q595" s="56"/>
      <c r="BR595" s="56"/>
      <c r="BS595" s="56"/>
      <c r="BT595" s="56"/>
    </row>
    <row r="596" spans="1:72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Q596" s="56"/>
      <c r="BR596" s="56"/>
      <c r="BS596" s="56"/>
      <c r="BT596" s="56"/>
    </row>
    <row r="597" spans="1:72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Q597" s="56"/>
      <c r="BR597" s="56"/>
      <c r="BS597" s="56"/>
      <c r="BT597" s="56"/>
    </row>
    <row r="598" spans="1:72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Q598" s="56"/>
      <c r="BR598" s="56"/>
      <c r="BS598" s="56"/>
      <c r="BT598" s="56"/>
    </row>
    <row r="599" spans="1:72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Q599" s="56"/>
      <c r="BR599" s="56"/>
      <c r="BS599" s="56"/>
      <c r="BT599" s="56"/>
    </row>
    <row r="600" spans="1:72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Q600" s="56"/>
      <c r="BR600" s="56"/>
      <c r="BS600" s="56"/>
      <c r="BT600" s="56"/>
    </row>
    <row r="601" spans="1:72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Q601" s="56"/>
      <c r="BR601" s="56"/>
      <c r="BS601" s="56"/>
      <c r="BT601" s="56"/>
    </row>
    <row r="602" spans="1:72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Q602" s="56"/>
      <c r="BR602" s="56"/>
      <c r="BS602" s="56"/>
      <c r="BT602" s="56"/>
    </row>
    <row r="603" spans="1:72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Q603" s="56"/>
      <c r="BR603" s="56"/>
      <c r="BS603" s="56"/>
      <c r="BT603" s="56"/>
    </row>
    <row r="604" spans="1:72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Q604" s="56"/>
      <c r="BR604" s="56"/>
      <c r="BS604" s="56"/>
      <c r="BT604" s="56"/>
    </row>
    <row r="605" spans="1:72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Q605" s="56"/>
      <c r="BR605" s="56"/>
      <c r="BS605" s="56"/>
      <c r="BT605" s="56"/>
    </row>
    <row r="606" spans="1:72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Q606" s="56"/>
      <c r="BR606" s="56"/>
      <c r="BS606" s="56"/>
      <c r="BT606" s="56"/>
    </row>
    <row r="607" spans="1:72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Q607" s="56"/>
      <c r="BR607" s="56"/>
      <c r="BS607" s="56"/>
      <c r="BT607" s="56"/>
    </row>
    <row r="608" spans="1:72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Q608" s="56"/>
      <c r="BR608" s="56"/>
      <c r="BS608" s="56"/>
      <c r="BT608" s="56"/>
    </row>
    <row r="609" spans="1:72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Q609" s="56"/>
      <c r="BR609" s="56"/>
      <c r="BS609" s="56"/>
      <c r="BT609" s="56"/>
    </row>
    <row r="610" spans="1:72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Q610" s="56"/>
      <c r="BR610" s="56"/>
      <c r="BS610" s="56"/>
      <c r="BT610" s="56"/>
    </row>
    <row r="611" spans="1:72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Q611" s="56"/>
      <c r="BR611" s="56"/>
      <c r="BS611" s="56"/>
      <c r="BT611" s="56"/>
    </row>
    <row r="612" spans="1:72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Q612" s="56"/>
      <c r="BR612" s="56"/>
      <c r="BS612" s="56"/>
      <c r="BT612" s="56"/>
    </row>
    <row r="613" spans="1:72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Q613" s="56"/>
      <c r="BR613" s="56"/>
      <c r="BS613" s="56"/>
      <c r="BT613" s="56"/>
    </row>
    <row r="614" spans="1:72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Q614" s="56"/>
      <c r="BR614" s="56"/>
      <c r="BS614" s="56"/>
      <c r="BT614" s="56"/>
    </row>
    <row r="615" spans="1:72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Q615" s="56"/>
      <c r="BR615" s="56"/>
      <c r="BS615" s="56"/>
      <c r="BT615" s="56"/>
    </row>
    <row r="616" spans="1:72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Q616" s="56"/>
      <c r="BR616" s="56"/>
      <c r="BS616" s="56"/>
      <c r="BT616" s="56"/>
    </row>
    <row r="617" spans="1:72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Q617" s="56"/>
      <c r="BR617" s="56"/>
      <c r="BS617" s="56"/>
      <c r="BT617" s="56"/>
    </row>
    <row r="618" spans="1:72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Q618" s="56"/>
      <c r="BR618" s="56"/>
      <c r="BS618" s="56"/>
      <c r="BT618" s="56"/>
    </row>
    <row r="619" spans="1:72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Q619" s="56"/>
      <c r="BR619" s="56"/>
      <c r="BS619" s="56"/>
      <c r="BT619" s="56"/>
    </row>
    <row r="620" spans="1:72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Q620" s="56"/>
      <c r="BR620" s="56"/>
      <c r="BS620" s="56"/>
      <c r="BT620" s="56"/>
    </row>
    <row r="621" spans="1:72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Q621" s="56"/>
      <c r="BR621" s="56"/>
      <c r="BS621" s="56"/>
      <c r="BT621" s="56"/>
    </row>
    <row r="622" spans="1:72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Q622" s="56"/>
      <c r="BR622" s="56"/>
      <c r="BS622" s="56"/>
      <c r="BT622" s="56"/>
    </row>
    <row r="623" spans="1:72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Q623" s="56"/>
      <c r="BR623" s="56"/>
      <c r="BS623" s="56"/>
      <c r="BT623" s="56"/>
    </row>
    <row r="624" spans="1:72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Q624" s="56"/>
      <c r="BR624" s="56"/>
      <c r="BS624" s="56"/>
      <c r="BT624" s="56"/>
    </row>
    <row r="625" spans="1:72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Q625" s="56"/>
      <c r="BR625" s="56"/>
      <c r="BS625" s="56"/>
      <c r="BT625" s="56"/>
    </row>
    <row r="626" spans="1:72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Q626" s="56"/>
      <c r="BR626" s="56"/>
      <c r="BS626" s="56"/>
      <c r="BT626" s="56"/>
    </row>
    <row r="627" spans="1:72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Q627" s="56"/>
      <c r="BR627" s="56"/>
      <c r="BS627" s="56"/>
      <c r="BT627" s="56"/>
    </row>
    <row r="628" spans="1:72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Q628" s="56"/>
      <c r="BR628" s="56"/>
      <c r="BS628" s="56"/>
      <c r="BT628" s="56"/>
    </row>
    <row r="629" spans="1:72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Q629" s="56"/>
      <c r="BR629" s="56"/>
      <c r="BS629" s="56"/>
      <c r="BT629" s="56"/>
    </row>
    <row r="630" spans="1:72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Q630" s="56"/>
      <c r="BR630" s="56"/>
      <c r="BS630" s="56"/>
      <c r="BT630" s="56"/>
    </row>
    <row r="631" spans="1:72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Q631" s="56"/>
      <c r="BR631" s="56"/>
      <c r="BS631" s="56"/>
      <c r="BT631" s="56"/>
    </row>
    <row r="632" spans="1:72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Q632" s="56"/>
      <c r="BR632" s="56"/>
      <c r="BS632" s="56"/>
      <c r="BT632" s="56"/>
    </row>
    <row r="633" spans="1:72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Q633" s="56"/>
      <c r="BR633" s="56"/>
      <c r="BS633" s="56"/>
      <c r="BT633" s="56"/>
    </row>
    <row r="634" spans="1:72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Q634" s="56"/>
      <c r="BR634" s="56"/>
      <c r="BS634" s="56"/>
      <c r="BT634" s="56"/>
    </row>
    <row r="635" spans="1:72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Q635" s="56"/>
      <c r="BR635" s="56"/>
      <c r="BS635" s="56"/>
      <c r="BT635" s="56"/>
    </row>
    <row r="636" spans="1:72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Q636" s="56"/>
      <c r="BR636" s="56"/>
      <c r="BS636" s="56"/>
      <c r="BT636" s="56"/>
    </row>
    <row r="637" spans="1:72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Q637" s="56"/>
      <c r="BR637" s="56"/>
      <c r="BS637" s="56"/>
      <c r="BT637" s="56"/>
    </row>
    <row r="638" spans="1:72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Q638" s="56"/>
      <c r="BR638" s="56"/>
      <c r="BS638" s="56"/>
      <c r="BT638" s="56"/>
    </row>
    <row r="639" spans="1:72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Q639" s="56"/>
      <c r="BR639" s="56"/>
      <c r="BS639" s="56"/>
      <c r="BT639" s="56"/>
    </row>
    <row r="640" spans="1:72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Q640" s="56"/>
      <c r="BR640" s="56"/>
      <c r="BS640" s="56"/>
      <c r="BT640" s="56"/>
    </row>
    <row r="641" spans="1:72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Q641" s="56"/>
      <c r="BR641" s="56"/>
      <c r="BS641" s="56"/>
      <c r="BT641" s="56"/>
    </row>
    <row r="642" spans="1:72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Q642" s="56"/>
      <c r="BR642" s="56"/>
      <c r="BS642" s="56"/>
      <c r="BT642" s="56"/>
    </row>
    <row r="643" spans="1:72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Q643" s="56"/>
      <c r="BR643" s="56"/>
      <c r="BS643" s="56"/>
      <c r="BT643" s="56"/>
    </row>
    <row r="644" spans="1:72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Q644" s="56"/>
      <c r="BR644" s="56"/>
      <c r="BS644" s="56"/>
      <c r="BT644" s="56"/>
    </row>
    <row r="645" spans="1:72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Q645" s="56"/>
      <c r="BR645" s="56"/>
      <c r="BS645" s="56"/>
      <c r="BT645" s="56"/>
    </row>
    <row r="646" spans="1:72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Q646" s="56"/>
      <c r="BR646" s="56"/>
      <c r="BS646" s="56"/>
      <c r="BT646" s="56"/>
    </row>
    <row r="647" spans="1:72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Q647" s="56"/>
      <c r="BR647" s="56"/>
      <c r="BS647" s="56"/>
      <c r="BT647" s="56"/>
    </row>
    <row r="648" spans="1:72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Q648" s="56"/>
      <c r="BR648" s="56"/>
      <c r="BS648" s="56"/>
      <c r="BT648" s="56"/>
    </row>
    <row r="649" spans="1:72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Q649" s="56"/>
      <c r="BR649" s="56"/>
      <c r="BS649" s="56"/>
      <c r="BT649" s="56"/>
    </row>
    <row r="650" spans="1:72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Q650" s="56"/>
      <c r="BR650" s="56"/>
      <c r="BS650" s="56"/>
      <c r="BT650" s="56"/>
    </row>
    <row r="651" spans="1:72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Q651" s="56"/>
      <c r="BR651" s="56"/>
      <c r="BS651" s="56"/>
      <c r="BT651" s="56"/>
    </row>
    <row r="652" spans="1:72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Q652" s="56"/>
      <c r="BR652" s="56"/>
      <c r="BS652" s="56"/>
      <c r="BT652" s="56"/>
    </row>
    <row r="653" spans="1:72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Q653" s="56"/>
      <c r="BR653" s="56"/>
      <c r="BS653" s="56"/>
      <c r="BT653" s="56"/>
    </row>
    <row r="654" spans="1:72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Q654" s="56"/>
      <c r="BR654" s="56"/>
      <c r="BS654" s="56"/>
      <c r="BT654" s="56"/>
    </row>
    <row r="655" spans="1:72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Q655" s="56"/>
      <c r="BR655" s="56"/>
      <c r="BS655" s="56"/>
      <c r="BT655" s="56"/>
    </row>
    <row r="656" spans="1:72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Q656" s="56"/>
      <c r="BR656" s="56"/>
      <c r="BS656" s="56"/>
      <c r="BT656" s="56"/>
    </row>
    <row r="657" spans="1:72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Q657" s="56"/>
      <c r="BR657" s="56"/>
      <c r="BS657" s="56"/>
      <c r="BT657" s="56"/>
    </row>
    <row r="658" spans="1:72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Q658" s="56"/>
      <c r="BR658" s="56"/>
      <c r="BS658" s="56"/>
      <c r="BT658" s="56"/>
    </row>
    <row r="659" spans="1:72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Q659" s="56"/>
      <c r="BR659" s="56"/>
      <c r="BS659" s="56"/>
      <c r="BT659" s="56"/>
    </row>
    <row r="660" spans="1:72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Q660" s="56"/>
      <c r="BR660" s="56"/>
      <c r="BS660" s="56"/>
      <c r="BT660" s="56"/>
    </row>
    <row r="661" spans="1:72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Q661" s="56"/>
      <c r="BR661" s="56"/>
      <c r="BS661" s="56"/>
      <c r="BT661" s="56"/>
    </row>
    <row r="662" spans="1:72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Q662" s="56"/>
      <c r="BR662" s="56"/>
      <c r="BS662" s="56"/>
      <c r="BT662" s="56"/>
    </row>
    <row r="663" spans="1:72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Q663" s="56"/>
      <c r="BR663" s="56"/>
      <c r="BS663" s="56"/>
      <c r="BT663" s="56"/>
    </row>
    <row r="664" spans="1:72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Q664" s="56"/>
      <c r="BR664" s="56"/>
      <c r="BS664" s="56"/>
      <c r="BT664" s="56"/>
    </row>
    <row r="665" spans="1:72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Q665" s="56"/>
      <c r="BR665" s="56"/>
      <c r="BS665" s="56"/>
      <c r="BT665" s="56"/>
    </row>
    <row r="666" spans="1:72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Q666" s="56"/>
      <c r="BR666" s="56"/>
      <c r="BS666" s="56"/>
      <c r="BT666" s="56"/>
    </row>
    <row r="667" spans="1:72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Q667" s="56"/>
      <c r="BR667" s="56"/>
      <c r="BS667" s="56"/>
      <c r="BT667" s="56"/>
    </row>
    <row r="668" spans="1:72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Q668" s="56"/>
      <c r="BR668" s="56"/>
      <c r="BS668" s="56"/>
      <c r="BT668" s="56"/>
    </row>
    <row r="669" spans="1:72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Q669" s="56"/>
      <c r="BR669" s="56"/>
      <c r="BS669" s="56"/>
      <c r="BT669" s="56"/>
    </row>
    <row r="670" spans="1:72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Q670" s="56"/>
      <c r="BR670" s="56"/>
      <c r="BS670" s="56"/>
      <c r="BT670" s="56"/>
    </row>
    <row r="671" spans="1:72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Q671" s="56"/>
      <c r="BR671" s="56"/>
      <c r="BS671" s="56"/>
      <c r="BT671" s="56"/>
    </row>
    <row r="672" spans="1:72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Q672" s="56"/>
      <c r="BR672" s="56"/>
      <c r="BS672" s="56"/>
      <c r="BT672" s="56"/>
    </row>
    <row r="673" spans="1:72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Q673" s="56"/>
      <c r="BR673" s="56"/>
      <c r="BS673" s="56"/>
      <c r="BT673" s="56"/>
    </row>
    <row r="674" spans="1:72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Q674" s="56"/>
      <c r="BR674" s="56"/>
      <c r="BS674" s="56"/>
      <c r="BT674" s="56"/>
    </row>
    <row r="675" spans="1:72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Q675" s="56"/>
      <c r="BR675" s="56"/>
      <c r="BS675" s="56"/>
      <c r="BT675" s="56"/>
    </row>
    <row r="676" spans="1:72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Q676" s="56"/>
      <c r="BR676" s="56"/>
      <c r="BS676" s="56"/>
      <c r="BT676" s="56"/>
    </row>
    <row r="677" spans="1:72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Q677" s="56"/>
      <c r="BR677" s="56"/>
      <c r="BS677" s="56"/>
      <c r="BT677" s="56"/>
    </row>
    <row r="678" spans="1:72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Q678" s="56"/>
      <c r="BR678" s="56"/>
      <c r="BS678" s="56"/>
      <c r="BT678" s="56"/>
    </row>
    <row r="679" spans="1:72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Q679" s="56"/>
      <c r="BR679" s="56"/>
      <c r="BS679" s="56"/>
      <c r="BT679" s="56"/>
    </row>
    <row r="680" spans="1:72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Q680" s="56"/>
      <c r="BR680" s="56"/>
      <c r="BS680" s="56"/>
      <c r="BT680" s="56"/>
    </row>
    <row r="681" spans="1:72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Q681" s="56"/>
      <c r="BR681" s="56"/>
      <c r="BS681" s="56"/>
      <c r="BT681" s="56"/>
    </row>
    <row r="682" spans="1:72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Q682" s="56"/>
      <c r="BR682" s="56"/>
      <c r="BS682" s="56"/>
      <c r="BT682" s="56"/>
    </row>
    <row r="683" spans="1:72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Q683" s="56"/>
      <c r="BR683" s="56"/>
      <c r="BS683" s="56"/>
      <c r="BT683" s="56"/>
    </row>
    <row r="684" spans="1:72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Q684" s="56"/>
      <c r="BR684" s="56"/>
      <c r="BS684" s="56"/>
      <c r="BT684" s="56"/>
    </row>
    <row r="685" spans="1:72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Q685" s="56"/>
      <c r="BR685" s="56"/>
      <c r="BS685" s="56"/>
      <c r="BT685" s="56"/>
    </row>
    <row r="686" spans="1:72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Q686" s="56"/>
      <c r="BR686" s="56"/>
      <c r="BS686" s="56"/>
      <c r="BT686" s="56"/>
    </row>
    <row r="687" spans="1:72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Q687" s="56"/>
      <c r="BR687" s="56"/>
      <c r="BS687" s="56"/>
      <c r="BT687" s="56"/>
    </row>
    <row r="688" spans="1:72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Q688" s="56"/>
      <c r="BR688" s="56"/>
      <c r="BS688" s="56"/>
      <c r="BT688" s="56"/>
    </row>
    <row r="689" spans="1:72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Q689" s="56"/>
      <c r="BR689" s="56"/>
      <c r="BS689" s="56"/>
      <c r="BT689" s="56"/>
    </row>
    <row r="690" spans="1:72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Q690" s="56"/>
      <c r="BR690" s="56"/>
      <c r="BS690" s="56"/>
      <c r="BT690" s="56"/>
    </row>
    <row r="691" spans="1:72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Q691" s="56"/>
      <c r="BR691" s="56"/>
      <c r="BS691" s="56"/>
      <c r="BT691" s="56"/>
    </row>
    <row r="692" spans="1:72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Q692" s="56"/>
      <c r="BR692" s="56"/>
      <c r="BS692" s="56"/>
      <c r="BT692" s="56"/>
    </row>
    <row r="693" spans="1:72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Q693" s="56"/>
      <c r="BR693" s="56"/>
      <c r="BS693" s="56"/>
      <c r="BT693" s="56"/>
    </row>
    <row r="694" spans="1:72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Q694" s="56"/>
      <c r="BR694" s="56"/>
      <c r="BS694" s="56"/>
      <c r="BT694" s="56"/>
    </row>
    <row r="695" spans="1:72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Q695" s="56"/>
      <c r="BR695" s="56"/>
      <c r="BS695" s="56"/>
      <c r="BT695" s="56"/>
    </row>
    <row r="696" spans="1:72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Q696" s="56"/>
      <c r="BR696" s="56"/>
      <c r="BS696" s="56"/>
      <c r="BT696" s="56"/>
    </row>
    <row r="697" spans="1:72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Q697" s="56"/>
      <c r="BR697" s="56"/>
      <c r="BS697" s="56"/>
      <c r="BT697" s="56"/>
    </row>
    <row r="698" spans="1:72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Q698" s="56"/>
      <c r="BR698" s="56"/>
      <c r="BS698" s="56"/>
      <c r="BT698" s="56"/>
    </row>
    <row r="699" spans="1:72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Q699" s="56"/>
      <c r="BR699" s="56"/>
      <c r="BS699" s="56"/>
      <c r="BT699" s="56"/>
    </row>
    <row r="700" spans="1:72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Q700" s="56"/>
      <c r="BR700" s="56"/>
      <c r="BS700" s="56"/>
      <c r="BT700" s="56"/>
    </row>
    <row r="701" spans="1:72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Q701" s="56"/>
      <c r="BR701" s="56"/>
      <c r="BS701" s="56"/>
      <c r="BT701" s="56"/>
    </row>
    <row r="702" spans="1:72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Q702" s="56"/>
      <c r="BR702" s="56"/>
      <c r="BS702" s="56"/>
      <c r="BT702" s="56"/>
    </row>
    <row r="703" spans="1:72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Q703" s="56"/>
      <c r="BR703" s="56"/>
      <c r="BS703" s="56"/>
      <c r="BT703" s="56"/>
    </row>
    <row r="704" spans="1:72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Q704" s="56"/>
      <c r="BR704" s="56"/>
      <c r="BS704" s="56"/>
      <c r="BT704" s="56"/>
    </row>
    <row r="705" spans="1:72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Q705" s="56"/>
      <c r="BR705" s="56"/>
      <c r="BS705" s="56"/>
      <c r="BT705" s="56"/>
    </row>
    <row r="706" spans="1:72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Q706" s="56"/>
      <c r="BR706" s="56"/>
      <c r="BS706" s="56"/>
      <c r="BT706" s="56"/>
    </row>
    <row r="707" spans="1:72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Q707" s="56"/>
      <c r="BR707" s="56"/>
      <c r="BS707" s="56"/>
      <c r="BT707" s="56"/>
    </row>
    <row r="708" spans="1:72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Q708" s="56"/>
      <c r="BR708" s="56"/>
      <c r="BS708" s="56"/>
      <c r="BT708" s="56"/>
    </row>
    <row r="709" spans="1:72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Q709" s="56"/>
      <c r="BR709" s="56"/>
      <c r="BS709" s="56"/>
      <c r="BT709" s="56"/>
    </row>
    <row r="710" spans="1:72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Q710" s="56"/>
      <c r="BR710" s="56"/>
      <c r="BS710" s="56"/>
      <c r="BT710" s="56"/>
    </row>
    <row r="711" spans="1:72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Q711" s="56"/>
      <c r="BR711" s="56"/>
      <c r="BS711" s="56"/>
      <c r="BT711" s="56"/>
    </row>
    <row r="712" spans="1:72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Q712" s="56"/>
      <c r="BR712" s="56"/>
      <c r="BS712" s="56"/>
      <c r="BT712" s="56"/>
    </row>
    <row r="713" spans="1:72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Q713" s="56"/>
      <c r="BR713" s="56"/>
      <c r="BS713" s="56"/>
      <c r="BT713" s="56"/>
    </row>
    <row r="714" spans="1:72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Q714" s="56"/>
      <c r="BR714" s="56"/>
      <c r="BS714" s="56"/>
      <c r="BT714" s="56"/>
    </row>
    <row r="715" spans="1:72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Q715" s="56"/>
      <c r="BR715" s="56"/>
      <c r="BS715" s="56"/>
      <c r="BT715" s="56"/>
    </row>
    <row r="716" spans="1:72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Q716" s="56"/>
      <c r="BR716" s="56"/>
      <c r="BS716" s="56"/>
      <c r="BT716" s="56"/>
    </row>
    <row r="717" spans="1:72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  <c r="BQ717" s="56"/>
      <c r="BR717" s="56"/>
      <c r="BS717" s="56"/>
      <c r="BT717" s="56"/>
    </row>
    <row r="718" spans="1:72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Q718" s="56"/>
      <c r="BR718" s="56"/>
      <c r="BS718" s="56"/>
      <c r="BT718" s="56"/>
    </row>
    <row r="719" spans="1:72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  <c r="BQ719" s="56"/>
      <c r="BR719" s="56"/>
      <c r="BS719" s="56"/>
      <c r="BT719" s="56"/>
    </row>
    <row r="720" spans="1:72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  <c r="BQ720" s="56"/>
      <c r="BR720" s="56"/>
      <c r="BS720" s="56"/>
      <c r="BT720" s="56"/>
    </row>
    <row r="721" spans="1:72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Q721" s="56"/>
      <c r="BR721" s="56"/>
      <c r="BS721" s="56"/>
      <c r="BT721" s="56"/>
    </row>
    <row r="722" spans="1:72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Q722" s="56"/>
      <c r="BR722" s="56"/>
      <c r="BS722" s="56"/>
      <c r="BT722" s="56"/>
    </row>
    <row r="723" spans="1:72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  <c r="BQ723" s="56"/>
      <c r="BR723" s="56"/>
      <c r="BS723" s="56"/>
      <c r="BT723" s="56"/>
    </row>
    <row r="724" spans="1:72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Q724" s="56"/>
      <c r="BR724" s="56"/>
      <c r="BS724" s="56"/>
      <c r="BT724" s="56"/>
    </row>
    <row r="725" spans="1:72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Q725" s="56"/>
      <c r="BR725" s="56"/>
      <c r="BS725" s="56"/>
      <c r="BT725" s="56"/>
    </row>
    <row r="726" spans="1:72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Q726" s="56"/>
      <c r="BR726" s="56"/>
      <c r="BS726" s="56"/>
      <c r="BT726" s="56"/>
    </row>
    <row r="727" spans="1:72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Q727" s="56"/>
      <c r="BR727" s="56"/>
      <c r="BS727" s="56"/>
      <c r="BT727" s="56"/>
    </row>
    <row r="728" spans="1:72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Q728" s="56"/>
      <c r="BR728" s="56"/>
      <c r="BS728" s="56"/>
      <c r="BT728" s="56"/>
    </row>
    <row r="729" spans="1:72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  <c r="BQ729" s="56"/>
      <c r="BR729" s="56"/>
      <c r="BS729" s="56"/>
      <c r="BT729" s="56"/>
    </row>
    <row r="730" spans="1:72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Q730" s="56"/>
      <c r="BR730" s="56"/>
      <c r="BS730" s="56"/>
      <c r="BT730" s="56"/>
    </row>
    <row r="731" spans="1:72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  <c r="BQ731" s="56"/>
      <c r="BR731" s="56"/>
      <c r="BS731" s="56"/>
      <c r="BT731" s="56"/>
    </row>
    <row r="732" spans="1:72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Q732" s="56"/>
      <c r="BR732" s="56"/>
      <c r="BS732" s="56"/>
      <c r="BT732" s="56"/>
    </row>
    <row r="733" spans="1:72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  <c r="BQ733" s="56"/>
      <c r="BR733" s="56"/>
      <c r="BS733" s="56"/>
      <c r="BT733" s="56"/>
    </row>
    <row r="734" spans="1:72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  <c r="BQ734" s="56"/>
      <c r="BR734" s="56"/>
      <c r="BS734" s="56"/>
      <c r="BT734" s="56"/>
    </row>
    <row r="735" spans="1:72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Q735" s="56"/>
      <c r="BR735" s="56"/>
      <c r="BS735" s="56"/>
      <c r="BT735" s="56"/>
    </row>
    <row r="736" spans="1:72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Q736" s="56"/>
      <c r="BR736" s="56"/>
      <c r="BS736" s="56"/>
      <c r="BT736" s="56"/>
    </row>
    <row r="737" spans="1:72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  <c r="BQ737" s="56"/>
      <c r="BR737" s="56"/>
      <c r="BS737" s="56"/>
      <c r="BT737" s="56"/>
    </row>
    <row r="738" spans="1:72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  <c r="BQ738" s="56"/>
      <c r="BR738" s="56"/>
      <c r="BS738" s="56"/>
      <c r="BT738" s="56"/>
    </row>
    <row r="739" spans="1:72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Q739" s="56"/>
      <c r="BR739" s="56"/>
      <c r="BS739" s="56"/>
      <c r="BT739" s="56"/>
    </row>
    <row r="740" spans="1:72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Q740" s="56"/>
      <c r="BR740" s="56"/>
      <c r="BS740" s="56"/>
      <c r="BT740" s="56"/>
    </row>
    <row r="741" spans="1:72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Q741" s="56"/>
      <c r="BR741" s="56"/>
      <c r="BS741" s="56"/>
      <c r="BT741" s="56"/>
    </row>
    <row r="742" spans="1:72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  <c r="BQ742" s="56"/>
      <c r="BR742" s="56"/>
      <c r="BS742" s="56"/>
      <c r="BT742" s="56"/>
    </row>
    <row r="743" spans="1:72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  <c r="BQ743" s="56"/>
      <c r="BR743" s="56"/>
      <c r="BS743" s="56"/>
      <c r="BT743" s="56"/>
    </row>
    <row r="744" spans="1:72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  <c r="BQ744" s="56"/>
      <c r="BR744" s="56"/>
      <c r="BS744" s="56"/>
      <c r="BT744" s="56"/>
    </row>
    <row r="745" spans="1:72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Q745" s="56"/>
      <c r="BR745" s="56"/>
      <c r="BS745" s="56"/>
      <c r="BT745" s="56"/>
    </row>
    <row r="746" spans="1:72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  <c r="BQ746" s="56"/>
      <c r="BR746" s="56"/>
      <c r="BS746" s="56"/>
      <c r="BT746" s="56"/>
    </row>
    <row r="747" spans="1:72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Q747" s="56"/>
      <c r="BR747" s="56"/>
      <c r="BS747" s="56"/>
      <c r="BT747" s="56"/>
    </row>
    <row r="748" spans="1:72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Q748" s="56"/>
      <c r="BR748" s="56"/>
      <c r="BS748" s="56"/>
      <c r="BT748" s="56"/>
    </row>
    <row r="749" spans="1:72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Q749" s="56"/>
      <c r="BR749" s="56"/>
      <c r="BS749" s="56"/>
      <c r="BT749" s="56"/>
    </row>
    <row r="750" spans="1:72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  <c r="BQ750" s="56"/>
      <c r="BR750" s="56"/>
      <c r="BS750" s="56"/>
      <c r="BT750" s="56"/>
    </row>
    <row r="751" spans="1:72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  <c r="BQ751" s="56"/>
      <c r="BR751" s="56"/>
      <c r="BS751" s="56"/>
      <c r="BT751" s="56"/>
    </row>
    <row r="752" spans="1:72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Q752" s="56"/>
      <c r="BR752" s="56"/>
      <c r="BS752" s="56"/>
      <c r="BT752" s="56"/>
    </row>
    <row r="753" spans="1:72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  <c r="BQ753" s="56"/>
      <c r="BR753" s="56"/>
      <c r="BS753" s="56"/>
      <c r="BT753" s="56"/>
    </row>
    <row r="754" spans="1:72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Q754" s="56"/>
      <c r="BR754" s="56"/>
      <c r="BS754" s="56"/>
      <c r="BT754" s="56"/>
    </row>
    <row r="755" spans="1:72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  <c r="BQ755" s="56"/>
      <c r="BR755" s="56"/>
      <c r="BS755" s="56"/>
      <c r="BT755" s="56"/>
    </row>
    <row r="756" spans="1:72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  <c r="BQ756" s="56"/>
      <c r="BR756" s="56"/>
      <c r="BS756" s="56"/>
      <c r="BT756" s="56"/>
    </row>
    <row r="757" spans="1:72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Q757" s="56"/>
      <c r="BR757" s="56"/>
      <c r="BS757" s="56"/>
      <c r="BT757" s="56"/>
    </row>
    <row r="758" spans="1:72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Q758" s="56"/>
      <c r="BR758" s="56"/>
      <c r="BS758" s="56"/>
      <c r="BT758" s="56"/>
    </row>
    <row r="759" spans="1:72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Q759" s="56"/>
      <c r="BR759" s="56"/>
      <c r="BS759" s="56"/>
      <c r="BT759" s="56"/>
    </row>
    <row r="760" spans="1:72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Q760" s="56"/>
      <c r="BR760" s="56"/>
      <c r="BS760" s="56"/>
      <c r="BT760" s="56"/>
    </row>
    <row r="761" spans="1:72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Q761" s="56"/>
      <c r="BR761" s="56"/>
      <c r="BS761" s="56"/>
      <c r="BT761" s="56"/>
    </row>
    <row r="762" spans="1:72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  <c r="BQ762" s="56"/>
      <c r="BR762" s="56"/>
      <c r="BS762" s="56"/>
      <c r="BT762" s="56"/>
    </row>
    <row r="763" spans="1:72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Q763" s="56"/>
      <c r="BR763" s="56"/>
      <c r="BS763" s="56"/>
      <c r="BT763" s="56"/>
    </row>
    <row r="764" spans="1:72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Q764" s="56"/>
      <c r="BR764" s="56"/>
      <c r="BS764" s="56"/>
      <c r="BT764" s="56"/>
    </row>
    <row r="765" spans="1:72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Q765" s="56"/>
      <c r="BR765" s="56"/>
      <c r="BS765" s="56"/>
      <c r="BT765" s="56"/>
    </row>
    <row r="766" spans="1:72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Q766" s="56"/>
      <c r="BR766" s="56"/>
      <c r="BS766" s="56"/>
      <c r="BT766" s="56"/>
    </row>
    <row r="767" spans="1:72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Q767" s="56"/>
      <c r="BR767" s="56"/>
      <c r="BS767" s="56"/>
      <c r="BT767" s="56"/>
    </row>
    <row r="768" spans="1:72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  <c r="BQ768" s="56"/>
      <c r="BR768" s="56"/>
      <c r="BS768" s="56"/>
      <c r="BT768" s="56"/>
    </row>
    <row r="769" spans="1:72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  <c r="BQ769" s="56"/>
      <c r="BR769" s="56"/>
      <c r="BS769" s="56"/>
      <c r="BT769" s="56"/>
    </row>
    <row r="770" spans="1:72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  <c r="BQ770" s="56"/>
      <c r="BR770" s="56"/>
      <c r="BS770" s="56"/>
      <c r="BT770" s="56"/>
    </row>
    <row r="771" spans="1:72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Q771" s="56"/>
      <c r="BR771" s="56"/>
      <c r="BS771" s="56"/>
      <c r="BT771" s="56"/>
    </row>
    <row r="772" spans="1:72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Q772" s="56"/>
      <c r="BR772" s="56"/>
      <c r="BS772" s="56"/>
      <c r="BT772" s="56"/>
    </row>
    <row r="773" spans="1:72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Q773" s="56"/>
      <c r="BR773" s="56"/>
      <c r="BS773" s="56"/>
      <c r="BT773" s="56"/>
    </row>
    <row r="774" spans="1:72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Q774" s="56"/>
      <c r="BR774" s="56"/>
      <c r="BS774" s="56"/>
      <c r="BT774" s="56"/>
    </row>
    <row r="775" spans="1:72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Q775" s="56"/>
      <c r="BR775" s="56"/>
      <c r="BS775" s="56"/>
      <c r="BT775" s="56"/>
    </row>
    <row r="776" spans="1:72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Q776" s="56"/>
      <c r="BR776" s="56"/>
      <c r="BS776" s="56"/>
      <c r="BT776" s="56"/>
    </row>
    <row r="777" spans="1:72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  <c r="BQ777" s="56"/>
      <c r="BR777" s="56"/>
      <c r="BS777" s="56"/>
      <c r="BT777" s="56"/>
    </row>
    <row r="778" spans="1:72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Q778" s="56"/>
      <c r="BR778" s="56"/>
      <c r="BS778" s="56"/>
      <c r="BT778" s="56"/>
    </row>
    <row r="779" spans="1:72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  <c r="BQ779" s="56"/>
      <c r="BR779" s="56"/>
      <c r="BS779" s="56"/>
      <c r="BT779" s="56"/>
    </row>
    <row r="780" spans="1:72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Q780" s="56"/>
      <c r="BR780" s="56"/>
      <c r="BS780" s="56"/>
      <c r="BT780" s="56"/>
    </row>
    <row r="781" spans="1:72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Q781" s="56"/>
      <c r="BR781" s="56"/>
      <c r="BS781" s="56"/>
      <c r="BT781" s="56"/>
    </row>
    <row r="782" spans="1:72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Q782" s="56"/>
      <c r="BR782" s="56"/>
      <c r="BS782" s="56"/>
      <c r="BT782" s="56"/>
    </row>
    <row r="783" spans="1:72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  <c r="BQ783" s="56"/>
      <c r="BR783" s="56"/>
      <c r="BS783" s="56"/>
      <c r="BT783" s="56"/>
    </row>
    <row r="784" spans="1:72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  <c r="BQ784" s="56"/>
      <c r="BR784" s="56"/>
      <c r="BS784" s="56"/>
      <c r="BT784" s="56"/>
    </row>
    <row r="785" spans="1:72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Q785" s="56"/>
      <c r="BR785" s="56"/>
      <c r="BS785" s="56"/>
      <c r="BT785" s="56"/>
    </row>
    <row r="786" spans="1:72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Q786" s="56"/>
      <c r="BR786" s="56"/>
      <c r="BS786" s="56"/>
      <c r="BT786" s="56"/>
    </row>
    <row r="787" spans="1:72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Q787" s="56"/>
      <c r="BR787" s="56"/>
      <c r="BS787" s="56"/>
      <c r="BT787" s="56"/>
    </row>
    <row r="788" spans="1:72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Q788" s="56"/>
      <c r="BR788" s="56"/>
      <c r="BS788" s="56"/>
      <c r="BT788" s="56"/>
    </row>
    <row r="789" spans="1:72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Q789" s="56"/>
      <c r="BR789" s="56"/>
      <c r="BS789" s="56"/>
      <c r="BT789" s="56"/>
    </row>
    <row r="790" spans="1:72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  <c r="BQ790" s="56"/>
      <c r="BR790" s="56"/>
      <c r="BS790" s="56"/>
      <c r="BT790" s="56"/>
    </row>
    <row r="791" spans="1:72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Q791" s="56"/>
      <c r="BR791" s="56"/>
      <c r="BS791" s="56"/>
      <c r="BT791" s="56"/>
    </row>
    <row r="792" spans="1:72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  <c r="BQ792" s="56"/>
      <c r="BR792" s="56"/>
      <c r="BS792" s="56"/>
      <c r="BT792" s="56"/>
    </row>
    <row r="793" spans="1:72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  <c r="BQ793" s="56"/>
      <c r="BR793" s="56"/>
      <c r="BS793" s="56"/>
      <c r="BT793" s="56"/>
    </row>
    <row r="794" spans="1:72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  <c r="BQ794" s="56"/>
      <c r="BR794" s="56"/>
      <c r="BS794" s="56"/>
      <c r="BT794" s="56"/>
    </row>
    <row r="795" spans="1:72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Q795" s="56"/>
      <c r="BR795" s="56"/>
      <c r="BS795" s="56"/>
      <c r="BT795" s="56"/>
    </row>
    <row r="796" spans="1:72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  <c r="BQ796" s="56"/>
      <c r="BR796" s="56"/>
      <c r="BS796" s="56"/>
      <c r="BT796" s="56"/>
    </row>
    <row r="797" spans="1:72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  <c r="BQ797" s="56"/>
      <c r="BR797" s="56"/>
      <c r="BS797" s="56"/>
      <c r="BT797" s="56"/>
    </row>
    <row r="798" spans="1:72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Q798" s="56"/>
      <c r="BR798" s="56"/>
      <c r="BS798" s="56"/>
      <c r="BT798" s="56"/>
    </row>
    <row r="799" spans="1:72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Q799" s="56"/>
      <c r="BR799" s="56"/>
      <c r="BS799" s="56"/>
      <c r="BT799" s="56"/>
    </row>
    <row r="800" spans="1:72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Q800" s="56"/>
      <c r="BR800" s="56"/>
      <c r="BS800" s="56"/>
      <c r="BT800" s="56"/>
    </row>
    <row r="801" spans="1:72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Q801" s="56"/>
      <c r="BR801" s="56"/>
      <c r="BS801" s="56"/>
      <c r="BT801" s="56"/>
    </row>
    <row r="802" spans="1:72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Q802" s="56"/>
      <c r="BR802" s="56"/>
      <c r="BS802" s="56"/>
      <c r="BT802" s="56"/>
    </row>
    <row r="803" spans="1:72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Q803" s="56"/>
      <c r="BR803" s="56"/>
      <c r="BS803" s="56"/>
      <c r="BT803" s="56"/>
    </row>
    <row r="804" spans="1:72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Q804" s="56"/>
      <c r="BR804" s="56"/>
      <c r="BS804" s="56"/>
      <c r="BT804" s="56"/>
    </row>
    <row r="805" spans="1:72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Q805" s="56"/>
      <c r="BR805" s="56"/>
      <c r="BS805" s="56"/>
      <c r="BT805" s="56"/>
    </row>
    <row r="806" spans="1:72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  <c r="BQ806" s="56"/>
      <c r="BR806" s="56"/>
      <c r="BS806" s="56"/>
      <c r="BT806" s="56"/>
    </row>
    <row r="807" spans="1:72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Q807" s="56"/>
      <c r="BR807" s="56"/>
      <c r="BS807" s="56"/>
      <c r="BT807" s="56"/>
    </row>
    <row r="808" spans="1:72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  <c r="BQ808" s="56"/>
      <c r="BR808" s="56"/>
      <c r="BS808" s="56"/>
      <c r="BT808" s="56"/>
    </row>
    <row r="809" spans="1:72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Q809" s="56"/>
      <c r="BR809" s="56"/>
      <c r="BS809" s="56"/>
      <c r="BT809" s="56"/>
    </row>
    <row r="810" spans="1:72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Q810" s="56"/>
      <c r="BR810" s="56"/>
      <c r="BS810" s="56"/>
      <c r="BT810" s="56"/>
    </row>
    <row r="811" spans="1:72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Q811" s="56"/>
      <c r="BR811" s="56"/>
      <c r="BS811" s="56"/>
      <c r="BT811" s="56"/>
    </row>
    <row r="812" spans="1:72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Q812" s="56"/>
      <c r="BR812" s="56"/>
      <c r="BS812" s="56"/>
      <c r="BT812" s="56"/>
    </row>
    <row r="813" spans="1:72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  <c r="BQ813" s="56"/>
      <c r="BR813" s="56"/>
      <c r="BS813" s="56"/>
      <c r="BT813" s="56"/>
    </row>
    <row r="814" spans="1:72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  <c r="BQ814" s="56"/>
      <c r="BR814" s="56"/>
      <c r="BS814" s="56"/>
      <c r="BT814" s="56"/>
    </row>
    <row r="815" spans="1:72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Q815" s="56"/>
      <c r="BR815" s="56"/>
      <c r="BS815" s="56"/>
      <c r="BT815" s="56"/>
    </row>
    <row r="816" spans="1:72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Q816" s="56"/>
      <c r="BR816" s="56"/>
      <c r="BS816" s="56"/>
      <c r="BT816" s="56"/>
    </row>
    <row r="817" spans="1:72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Q817" s="56"/>
      <c r="BR817" s="56"/>
      <c r="BS817" s="56"/>
      <c r="BT817" s="56"/>
    </row>
    <row r="818" spans="1:72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Q818" s="56"/>
      <c r="BR818" s="56"/>
      <c r="BS818" s="56"/>
      <c r="BT818" s="56"/>
    </row>
    <row r="819" spans="1:72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Q819" s="56"/>
      <c r="BR819" s="56"/>
      <c r="BS819" s="56"/>
      <c r="BT819" s="56"/>
    </row>
    <row r="820" spans="1:72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Q820" s="56"/>
      <c r="BR820" s="56"/>
      <c r="BS820" s="56"/>
      <c r="BT820" s="56"/>
    </row>
    <row r="821" spans="1:72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  <c r="BQ821" s="56"/>
      <c r="BR821" s="56"/>
      <c r="BS821" s="56"/>
      <c r="BT821" s="56"/>
    </row>
    <row r="822" spans="1:72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  <c r="BQ822" s="56"/>
      <c r="BR822" s="56"/>
      <c r="BS822" s="56"/>
      <c r="BT822" s="56"/>
    </row>
    <row r="823" spans="1:72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Q823" s="56"/>
      <c r="BR823" s="56"/>
      <c r="BS823" s="56"/>
      <c r="BT823" s="56"/>
    </row>
    <row r="824" spans="1:72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Q824" s="56"/>
      <c r="BR824" s="56"/>
      <c r="BS824" s="56"/>
      <c r="BT824" s="56"/>
    </row>
    <row r="825" spans="1:72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Q825" s="56"/>
      <c r="BR825" s="56"/>
      <c r="BS825" s="56"/>
      <c r="BT825" s="56"/>
    </row>
    <row r="826" spans="1:72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  <c r="BQ826" s="56"/>
      <c r="BR826" s="56"/>
      <c r="BS826" s="56"/>
      <c r="BT826" s="56"/>
    </row>
    <row r="827" spans="1:72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Q827" s="56"/>
      <c r="BR827" s="56"/>
      <c r="BS827" s="56"/>
      <c r="BT827" s="56"/>
    </row>
    <row r="828" spans="1:72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Q828" s="56"/>
      <c r="BR828" s="56"/>
      <c r="BS828" s="56"/>
      <c r="BT828" s="56"/>
    </row>
    <row r="829" spans="1:72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  <c r="BQ829" s="56"/>
      <c r="BR829" s="56"/>
      <c r="BS829" s="56"/>
      <c r="BT829" s="56"/>
    </row>
    <row r="830" spans="1:72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Q830" s="56"/>
      <c r="BR830" s="56"/>
      <c r="BS830" s="56"/>
      <c r="BT830" s="56"/>
    </row>
    <row r="831" spans="1:72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Q831" s="56"/>
      <c r="BR831" s="56"/>
      <c r="BS831" s="56"/>
      <c r="BT831" s="56"/>
    </row>
    <row r="832" spans="1:72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  <c r="BQ832" s="56"/>
      <c r="BR832" s="56"/>
      <c r="BS832" s="56"/>
      <c r="BT832" s="56"/>
    </row>
    <row r="833" spans="1:72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Q833" s="56"/>
      <c r="BR833" s="56"/>
      <c r="BS833" s="56"/>
      <c r="BT833" s="56"/>
    </row>
    <row r="834" spans="1:72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Q834" s="56"/>
      <c r="BR834" s="56"/>
      <c r="BS834" s="56"/>
      <c r="BT834" s="56"/>
    </row>
    <row r="835" spans="1:72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  <c r="BQ835" s="56"/>
      <c r="BR835" s="56"/>
      <c r="BS835" s="56"/>
      <c r="BT835" s="56"/>
    </row>
    <row r="836" spans="1:72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Q836" s="56"/>
      <c r="BR836" s="56"/>
      <c r="BS836" s="56"/>
      <c r="BT836" s="56"/>
    </row>
    <row r="837" spans="1:72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Q837" s="56"/>
      <c r="BR837" s="56"/>
      <c r="BS837" s="56"/>
      <c r="BT837" s="56"/>
    </row>
    <row r="838" spans="1:72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  <c r="BQ838" s="56"/>
      <c r="BR838" s="56"/>
      <c r="BS838" s="56"/>
      <c r="BT838" s="56"/>
    </row>
    <row r="839" spans="1:72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Q839" s="56"/>
      <c r="BR839" s="56"/>
      <c r="BS839" s="56"/>
      <c r="BT839" s="56"/>
    </row>
    <row r="840" spans="1:72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Q840" s="56"/>
      <c r="BR840" s="56"/>
      <c r="BS840" s="56"/>
      <c r="BT840" s="56"/>
    </row>
    <row r="841" spans="1:72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Q841" s="56"/>
      <c r="BR841" s="56"/>
      <c r="BS841" s="56"/>
      <c r="BT841" s="56"/>
    </row>
    <row r="842" spans="1:72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Q842" s="56"/>
      <c r="BR842" s="56"/>
      <c r="BS842" s="56"/>
      <c r="BT842" s="56"/>
    </row>
    <row r="843" spans="1:72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Q843" s="56"/>
      <c r="BR843" s="56"/>
      <c r="BS843" s="56"/>
      <c r="BT843" s="56"/>
    </row>
    <row r="844" spans="1:72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Q844" s="56"/>
      <c r="BR844" s="56"/>
      <c r="BS844" s="56"/>
      <c r="BT844" s="56"/>
    </row>
    <row r="845" spans="1:72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Q845" s="56"/>
      <c r="BR845" s="56"/>
      <c r="BS845" s="56"/>
      <c r="BT845" s="56"/>
    </row>
    <row r="846" spans="1:72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Q846" s="56"/>
      <c r="BR846" s="56"/>
      <c r="BS846" s="56"/>
      <c r="BT846" s="56"/>
    </row>
    <row r="847" spans="1:72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Q847" s="56"/>
      <c r="BR847" s="56"/>
      <c r="BS847" s="56"/>
      <c r="BT847" s="56"/>
    </row>
    <row r="848" spans="1:72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Q848" s="56"/>
      <c r="BR848" s="56"/>
      <c r="BS848" s="56"/>
      <c r="BT848" s="56"/>
    </row>
    <row r="849" spans="1:72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Q849" s="56"/>
      <c r="BR849" s="56"/>
      <c r="BS849" s="56"/>
      <c r="BT849" s="56"/>
    </row>
    <row r="850" spans="1:72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Q850" s="56"/>
      <c r="BR850" s="56"/>
      <c r="BS850" s="56"/>
      <c r="BT850" s="56"/>
    </row>
    <row r="851" spans="1:72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  <c r="BQ851" s="56"/>
      <c r="BR851" s="56"/>
      <c r="BS851" s="56"/>
      <c r="BT851" s="56"/>
    </row>
    <row r="852" spans="1:72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  <c r="BQ852" s="56"/>
      <c r="BR852" s="56"/>
      <c r="BS852" s="56"/>
      <c r="BT852" s="56"/>
    </row>
    <row r="853" spans="1:72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  <c r="BQ853" s="56"/>
      <c r="BR853" s="56"/>
      <c r="BS853" s="56"/>
      <c r="BT853" s="56"/>
    </row>
    <row r="854" spans="1:72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Q854" s="56"/>
      <c r="BR854" s="56"/>
      <c r="BS854" s="56"/>
      <c r="BT854" s="56"/>
    </row>
    <row r="855" spans="1:72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Q855" s="56"/>
      <c r="BR855" s="56"/>
      <c r="BS855" s="56"/>
      <c r="BT855" s="56"/>
    </row>
    <row r="856" spans="1:72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  <c r="BQ856" s="56"/>
      <c r="BR856" s="56"/>
      <c r="BS856" s="56"/>
      <c r="BT856" s="56"/>
    </row>
    <row r="857" spans="1:72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Q857" s="56"/>
      <c r="BR857" s="56"/>
      <c r="BS857" s="56"/>
      <c r="BT857" s="56"/>
    </row>
    <row r="858" spans="1:72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  <c r="BQ858" s="56"/>
      <c r="BR858" s="56"/>
      <c r="BS858" s="56"/>
      <c r="BT858" s="56"/>
    </row>
    <row r="859" spans="1:72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  <c r="BQ859" s="56"/>
      <c r="BR859" s="56"/>
      <c r="BS859" s="56"/>
      <c r="BT859" s="56"/>
    </row>
    <row r="860" spans="1:72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Q860" s="56"/>
      <c r="BR860" s="56"/>
      <c r="BS860" s="56"/>
      <c r="BT860" s="56"/>
    </row>
    <row r="861" spans="1:72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Q861" s="56"/>
      <c r="BR861" s="56"/>
      <c r="BS861" s="56"/>
      <c r="BT861" s="56"/>
    </row>
    <row r="862" spans="1:72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Q862" s="56"/>
      <c r="BR862" s="56"/>
      <c r="BS862" s="56"/>
      <c r="BT862" s="56"/>
    </row>
    <row r="863" spans="1:72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Q863" s="56"/>
      <c r="BR863" s="56"/>
      <c r="BS863" s="56"/>
      <c r="BT863" s="56"/>
    </row>
    <row r="864" spans="1:72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  <c r="BQ864" s="56"/>
      <c r="BR864" s="56"/>
      <c r="BS864" s="56"/>
      <c r="BT864" s="56"/>
    </row>
    <row r="865" spans="1:72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Q865" s="56"/>
      <c r="BR865" s="56"/>
      <c r="BS865" s="56"/>
      <c r="BT865" s="56"/>
    </row>
    <row r="866" spans="1:72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  <c r="BQ866" s="56"/>
      <c r="BR866" s="56"/>
      <c r="BS866" s="56"/>
      <c r="BT866" s="56"/>
    </row>
    <row r="867" spans="1:72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  <c r="BQ867" s="56"/>
      <c r="BR867" s="56"/>
      <c r="BS867" s="56"/>
      <c r="BT867" s="56"/>
    </row>
    <row r="868" spans="1:72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Q868" s="56"/>
      <c r="BR868" s="56"/>
      <c r="BS868" s="56"/>
      <c r="BT868" s="56"/>
    </row>
    <row r="869" spans="1:72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Q869" s="56"/>
      <c r="BR869" s="56"/>
      <c r="BS869" s="56"/>
      <c r="BT869" s="56"/>
    </row>
    <row r="870" spans="1:72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Q870" s="56"/>
      <c r="BR870" s="56"/>
      <c r="BS870" s="56"/>
      <c r="BT870" s="56"/>
    </row>
    <row r="871" spans="1:72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Q871" s="56"/>
      <c r="BR871" s="56"/>
      <c r="BS871" s="56"/>
      <c r="BT871" s="56"/>
    </row>
    <row r="872" spans="1:72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  <c r="BQ872" s="56"/>
      <c r="BR872" s="56"/>
      <c r="BS872" s="56"/>
      <c r="BT872" s="56"/>
    </row>
    <row r="873" spans="1:72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  <c r="BQ873" s="56"/>
      <c r="BR873" s="56"/>
      <c r="BS873" s="56"/>
      <c r="BT873" s="56"/>
    </row>
    <row r="874" spans="1:72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Q874" s="56"/>
      <c r="BR874" s="56"/>
      <c r="BS874" s="56"/>
      <c r="BT874" s="56"/>
    </row>
    <row r="875" spans="1:72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  <c r="BQ875" s="56"/>
      <c r="BR875" s="56"/>
      <c r="BS875" s="56"/>
      <c r="BT875" s="56"/>
    </row>
    <row r="876" spans="1:72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Q876" s="56"/>
      <c r="BR876" s="56"/>
      <c r="BS876" s="56"/>
      <c r="BT876" s="56"/>
    </row>
    <row r="877" spans="1:72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Q877" s="56"/>
      <c r="BR877" s="56"/>
      <c r="BS877" s="56"/>
      <c r="BT877" s="56"/>
    </row>
    <row r="878" spans="1:72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Q878" s="56"/>
      <c r="BR878" s="56"/>
      <c r="BS878" s="56"/>
      <c r="BT878" s="56"/>
    </row>
    <row r="879" spans="1:72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Q879" s="56"/>
      <c r="BR879" s="56"/>
      <c r="BS879" s="56"/>
      <c r="BT879" s="56"/>
    </row>
    <row r="880" spans="1:72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Q880" s="56"/>
      <c r="BR880" s="56"/>
      <c r="BS880" s="56"/>
      <c r="BT880" s="56"/>
    </row>
    <row r="881" spans="1:72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  <c r="BQ881" s="56"/>
      <c r="BR881" s="56"/>
      <c r="BS881" s="56"/>
      <c r="BT881" s="56"/>
    </row>
    <row r="882" spans="1:72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Q882" s="56"/>
      <c r="BR882" s="56"/>
      <c r="BS882" s="56"/>
      <c r="BT882" s="56"/>
    </row>
    <row r="883" spans="1:72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Q883" s="56"/>
      <c r="BR883" s="56"/>
      <c r="BS883" s="56"/>
      <c r="BT883" s="56"/>
    </row>
    <row r="884" spans="1:72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  <c r="BQ884" s="56"/>
      <c r="BR884" s="56"/>
      <c r="BS884" s="56"/>
      <c r="BT884" s="56"/>
    </row>
    <row r="885" spans="1:72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Q885" s="56"/>
      <c r="BR885" s="56"/>
      <c r="BS885" s="56"/>
      <c r="BT885" s="56"/>
    </row>
    <row r="886" spans="1:72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  <c r="BQ886" s="56"/>
      <c r="BR886" s="56"/>
      <c r="BS886" s="56"/>
      <c r="BT886" s="56"/>
    </row>
    <row r="887" spans="1:72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Q887" s="56"/>
      <c r="BR887" s="56"/>
      <c r="BS887" s="56"/>
      <c r="BT887" s="56"/>
    </row>
    <row r="888" spans="1:72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  <c r="BQ888" s="56"/>
      <c r="BR888" s="56"/>
      <c r="BS888" s="56"/>
      <c r="BT888" s="56"/>
    </row>
    <row r="889" spans="1:72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  <c r="BQ889" s="56"/>
      <c r="BR889" s="56"/>
      <c r="BS889" s="56"/>
      <c r="BT889" s="56"/>
    </row>
    <row r="890" spans="1:72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  <c r="BQ890" s="56"/>
      <c r="BR890" s="56"/>
      <c r="BS890" s="56"/>
      <c r="BT890" s="56"/>
    </row>
    <row r="891" spans="1:72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  <c r="BQ891" s="56"/>
      <c r="BR891" s="56"/>
      <c r="BS891" s="56"/>
      <c r="BT891" s="56"/>
    </row>
    <row r="892" spans="1:72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Q892" s="56"/>
      <c r="BR892" s="56"/>
      <c r="BS892" s="56"/>
      <c r="BT892" s="56"/>
    </row>
    <row r="893" spans="1:72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  <c r="BQ893" s="56"/>
      <c r="BR893" s="56"/>
      <c r="BS893" s="56"/>
      <c r="BT893" s="56"/>
    </row>
    <row r="894" spans="1:72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  <c r="BQ894" s="56"/>
      <c r="BR894" s="56"/>
      <c r="BS894" s="56"/>
      <c r="BT894" s="56"/>
    </row>
    <row r="895" spans="1:72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  <c r="BQ895" s="56"/>
      <c r="BR895" s="56"/>
      <c r="BS895" s="56"/>
      <c r="BT895" s="56"/>
    </row>
    <row r="896" spans="1:72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  <c r="BQ896" s="56"/>
      <c r="BR896" s="56"/>
      <c r="BS896" s="56"/>
      <c r="BT896" s="56"/>
    </row>
    <row r="897" spans="1:72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  <c r="BQ897" s="56"/>
      <c r="BR897" s="56"/>
      <c r="BS897" s="56"/>
      <c r="BT897" s="56"/>
    </row>
    <row r="898" spans="1:72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  <c r="BQ898" s="56"/>
      <c r="BR898" s="56"/>
      <c r="BS898" s="56"/>
      <c r="BT898" s="56"/>
    </row>
    <row r="899" spans="1:72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  <c r="BQ899" s="56"/>
      <c r="BR899" s="56"/>
      <c r="BS899" s="56"/>
      <c r="BT899" s="56"/>
    </row>
    <row r="900" spans="1:72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  <c r="BQ900" s="56"/>
      <c r="BR900" s="56"/>
      <c r="BS900" s="56"/>
      <c r="BT900" s="56"/>
    </row>
    <row r="901" spans="1:72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  <c r="BQ901" s="56"/>
      <c r="BR901" s="56"/>
      <c r="BS901" s="56"/>
      <c r="BT901" s="56"/>
    </row>
    <row r="902" spans="1:72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  <c r="BQ902" s="56"/>
      <c r="BR902" s="56"/>
      <c r="BS902" s="56"/>
      <c r="BT902" s="56"/>
    </row>
    <row r="903" spans="1:72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  <c r="BQ903" s="56"/>
      <c r="BR903" s="56"/>
      <c r="BS903" s="56"/>
      <c r="BT903" s="56"/>
    </row>
    <row r="904" spans="1:72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  <c r="BQ904" s="56"/>
      <c r="BR904" s="56"/>
      <c r="BS904" s="56"/>
      <c r="BT904" s="56"/>
    </row>
    <row r="905" spans="1:72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  <c r="BQ905" s="56"/>
      <c r="BR905" s="56"/>
      <c r="BS905" s="56"/>
      <c r="BT905" s="56"/>
    </row>
    <row r="906" spans="1:72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  <c r="BQ906" s="56"/>
      <c r="BR906" s="56"/>
      <c r="BS906" s="56"/>
      <c r="BT906" s="56"/>
    </row>
    <row r="907" spans="1:72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  <c r="BQ907" s="56"/>
      <c r="BR907" s="56"/>
      <c r="BS907" s="56"/>
      <c r="BT907" s="56"/>
    </row>
    <row r="908" spans="1:72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  <c r="BQ908" s="56"/>
      <c r="BR908" s="56"/>
      <c r="BS908" s="56"/>
      <c r="BT908" s="56"/>
    </row>
    <row r="909" spans="1:72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  <c r="BQ909" s="56"/>
      <c r="BR909" s="56"/>
      <c r="BS909" s="56"/>
      <c r="BT909" s="56"/>
    </row>
    <row r="910" spans="1:72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  <c r="BQ910" s="56"/>
      <c r="BR910" s="56"/>
      <c r="BS910" s="56"/>
      <c r="BT910" s="56"/>
    </row>
    <row r="911" spans="1:72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V911" s="56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  <c r="BQ911" s="56"/>
      <c r="BR911" s="56"/>
      <c r="BS911" s="56"/>
      <c r="BT911" s="56"/>
    </row>
    <row r="912" spans="1:72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V912" s="56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  <c r="BQ912" s="56"/>
      <c r="BR912" s="56"/>
      <c r="BS912" s="56"/>
      <c r="BT912" s="56"/>
    </row>
    <row r="913" spans="1:72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V913" s="56"/>
      <c r="AW913" s="56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  <c r="BQ913" s="56"/>
      <c r="BR913" s="56"/>
      <c r="BS913" s="56"/>
      <c r="BT913" s="56"/>
    </row>
    <row r="914" spans="1:72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V914" s="56"/>
      <c r="AW914" s="56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  <c r="BQ914" s="56"/>
      <c r="BR914" s="56"/>
      <c r="BS914" s="56"/>
      <c r="BT914" s="56"/>
    </row>
    <row r="915" spans="1:72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V915" s="56"/>
      <c r="AW915" s="56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  <c r="BQ915" s="56"/>
      <c r="BR915" s="56"/>
      <c r="BS915" s="56"/>
      <c r="BT915" s="56"/>
    </row>
    <row r="916" spans="1:72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V916" s="56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  <c r="BQ916" s="56"/>
      <c r="BR916" s="56"/>
      <c r="BS916" s="56"/>
      <c r="BT916" s="56"/>
    </row>
    <row r="917" spans="1:72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V917" s="56"/>
      <c r="AW917" s="56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  <c r="BQ917" s="56"/>
      <c r="BR917" s="56"/>
      <c r="BS917" s="56"/>
      <c r="BT917" s="56"/>
    </row>
    <row r="918" spans="1:72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V918" s="56"/>
      <c r="AW918" s="56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  <c r="BQ918" s="56"/>
      <c r="BR918" s="56"/>
      <c r="BS918" s="56"/>
      <c r="BT918" s="56"/>
    </row>
    <row r="919" spans="1:72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  <c r="BQ919" s="56"/>
      <c r="BR919" s="56"/>
      <c r="BS919" s="56"/>
      <c r="BT919" s="56"/>
    </row>
    <row r="920" spans="1:72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V920" s="56"/>
      <c r="AW920" s="56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  <c r="BQ920" s="56"/>
      <c r="BR920" s="56"/>
      <c r="BS920" s="56"/>
      <c r="BT920" s="56"/>
    </row>
    <row r="921" spans="1:72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  <c r="BQ921" s="56"/>
      <c r="BR921" s="56"/>
      <c r="BS921" s="56"/>
      <c r="BT921" s="56"/>
    </row>
    <row r="922" spans="1:72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  <c r="BQ922" s="56"/>
      <c r="BR922" s="56"/>
      <c r="BS922" s="56"/>
      <c r="BT922" s="56"/>
    </row>
    <row r="923" spans="1:72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V923" s="56"/>
      <c r="AW923" s="56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  <c r="BQ923" s="56"/>
      <c r="BR923" s="56"/>
      <c r="BS923" s="56"/>
      <c r="BT923" s="56"/>
    </row>
    <row r="924" spans="1:72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  <c r="BQ924" s="56"/>
      <c r="BR924" s="56"/>
      <c r="BS924" s="56"/>
      <c r="BT924" s="56"/>
    </row>
    <row r="925" spans="1:72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Q925" s="56"/>
      <c r="BR925" s="56"/>
      <c r="BS925" s="56"/>
      <c r="BT925" s="56"/>
    </row>
    <row r="926" spans="1:72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  <c r="BQ926" s="56"/>
      <c r="BR926" s="56"/>
      <c r="BS926" s="56"/>
      <c r="BT926" s="56"/>
    </row>
    <row r="927" spans="1:72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  <c r="BQ927" s="56"/>
      <c r="BR927" s="56"/>
      <c r="BS927" s="56"/>
      <c r="BT927" s="56"/>
    </row>
    <row r="928" spans="1:72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  <c r="BQ928" s="56"/>
      <c r="BR928" s="56"/>
      <c r="BS928" s="56"/>
      <c r="BT928" s="56"/>
    </row>
    <row r="929" spans="1:72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V929" s="56"/>
      <c r="AW929" s="56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  <c r="BQ929" s="56"/>
      <c r="BR929" s="56"/>
      <c r="BS929" s="56"/>
      <c r="BT929" s="56"/>
    </row>
    <row r="930" spans="1:72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  <c r="BQ930" s="56"/>
      <c r="BR930" s="56"/>
      <c r="BS930" s="56"/>
      <c r="BT930" s="56"/>
    </row>
    <row r="931" spans="1:72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  <c r="BQ931" s="56"/>
      <c r="BR931" s="56"/>
      <c r="BS931" s="56"/>
      <c r="BT931" s="56"/>
    </row>
    <row r="932" spans="1:72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V932" s="56"/>
      <c r="AW932" s="56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  <c r="BQ932" s="56"/>
      <c r="BR932" s="56"/>
      <c r="BS932" s="56"/>
      <c r="BT932" s="56"/>
    </row>
    <row r="933" spans="1:72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  <c r="BQ933" s="56"/>
      <c r="BR933" s="56"/>
      <c r="BS933" s="56"/>
      <c r="BT933" s="56"/>
    </row>
    <row r="934" spans="1:72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V934" s="56"/>
      <c r="AW934" s="56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  <c r="BQ934" s="56"/>
      <c r="BR934" s="56"/>
      <c r="BS934" s="56"/>
      <c r="BT934" s="56"/>
    </row>
    <row r="935" spans="1:72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  <c r="BQ935" s="56"/>
      <c r="BR935" s="56"/>
      <c r="BS935" s="56"/>
      <c r="BT935" s="56"/>
    </row>
    <row r="936" spans="1:72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  <c r="BQ936" s="56"/>
      <c r="BR936" s="56"/>
      <c r="BS936" s="56"/>
      <c r="BT936" s="56"/>
    </row>
    <row r="937" spans="1:72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V937" s="56"/>
      <c r="AW937" s="56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  <c r="BQ937" s="56"/>
      <c r="BR937" s="56"/>
      <c r="BS937" s="56"/>
      <c r="BT937" s="56"/>
    </row>
    <row r="938" spans="1:72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  <c r="BQ938" s="56"/>
      <c r="BR938" s="56"/>
      <c r="BS938" s="56"/>
      <c r="BT938" s="56"/>
    </row>
    <row r="939" spans="1:72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  <c r="BQ939" s="56"/>
      <c r="BR939" s="56"/>
      <c r="BS939" s="56"/>
      <c r="BT939" s="56"/>
    </row>
    <row r="940" spans="1:72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  <c r="BQ940" s="56"/>
      <c r="BR940" s="56"/>
      <c r="BS940" s="56"/>
      <c r="BT940" s="56"/>
    </row>
    <row r="941" spans="1:72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  <c r="BQ941" s="56"/>
      <c r="BR941" s="56"/>
      <c r="BS941" s="56"/>
      <c r="BT941" s="56"/>
    </row>
    <row r="942" spans="1:72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  <c r="BQ942" s="56"/>
      <c r="BR942" s="56"/>
      <c r="BS942" s="56"/>
      <c r="BT942" s="56"/>
    </row>
    <row r="943" spans="1:72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  <c r="BQ943" s="56"/>
      <c r="BR943" s="56"/>
      <c r="BS943" s="56"/>
      <c r="BT943" s="56"/>
    </row>
    <row r="944" spans="1:72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  <c r="BQ944" s="56"/>
      <c r="BR944" s="56"/>
      <c r="BS944" s="56"/>
      <c r="BT944" s="56"/>
    </row>
    <row r="945" spans="1:72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  <c r="BQ945" s="56"/>
      <c r="BR945" s="56"/>
      <c r="BS945" s="56"/>
      <c r="BT945" s="56"/>
    </row>
    <row r="946" spans="1:72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  <c r="BQ946" s="56"/>
      <c r="BR946" s="56"/>
      <c r="BS946" s="56"/>
      <c r="BT946" s="56"/>
    </row>
    <row r="947" spans="1:72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  <c r="BQ947" s="56"/>
      <c r="BR947" s="56"/>
      <c r="BS947" s="56"/>
      <c r="BT947" s="56"/>
    </row>
    <row r="948" spans="1:72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Q948" s="56"/>
      <c r="BR948" s="56"/>
      <c r="BS948" s="56"/>
      <c r="BT948" s="56"/>
    </row>
    <row r="949" spans="1:72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  <c r="BQ949" s="56"/>
      <c r="BR949" s="56"/>
      <c r="BS949" s="56"/>
      <c r="BT949" s="56"/>
    </row>
    <row r="950" spans="1:72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Q950" s="56"/>
      <c r="BR950" s="56"/>
      <c r="BS950" s="56"/>
      <c r="BT950" s="56"/>
    </row>
    <row r="951" spans="1:72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  <c r="BQ951" s="56"/>
      <c r="BR951" s="56"/>
      <c r="BS951" s="56"/>
      <c r="BT951" s="56"/>
    </row>
    <row r="952" spans="1:72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  <c r="BQ952" s="56"/>
      <c r="BR952" s="56"/>
      <c r="BS952" s="56"/>
      <c r="BT952" s="56"/>
    </row>
    <row r="953" spans="1:72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  <c r="BQ953" s="56"/>
      <c r="BR953" s="56"/>
      <c r="BS953" s="56"/>
      <c r="BT953" s="56"/>
    </row>
    <row r="954" spans="1:72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  <c r="BQ954" s="56"/>
      <c r="BR954" s="56"/>
      <c r="BS954" s="56"/>
      <c r="BT954" s="56"/>
    </row>
    <row r="955" spans="1:72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  <c r="BQ955" s="56"/>
      <c r="BR955" s="56"/>
      <c r="BS955" s="56"/>
      <c r="BT955" s="56"/>
    </row>
    <row r="956" spans="1:72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  <c r="BQ956" s="56"/>
      <c r="BR956" s="56"/>
      <c r="BS956" s="56"/>
      <c r="BT956" s="56"/>
    </row>
    <row r="957" spans="1:72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  <c r="BQ957" s="56"/>
      <c r="BR957" s="56"/>
      <c r="BS957" s="56"/>
      <c r="BT957" s="56"/>
    </row>
    <row r="958" spans="1:72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Q958" s="56"/>
      <c r="BR958" s="56"/>
      <c r="BS958" s="56"/>
      <c r="BT958" s="56"/>
    </row>
    <row r="959" spans="1:72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  <c r="BQ959" s="56"/>
      <c r="BR959" s="56"/>
      <c r="BS959" s="56"/>
      <c r="BT959" s="56"/>
    </row>
    <row r="960" spans="1:72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Q960" s="56"/>
      <c r="BR960" s="56"/>
      <c r="BS960" s="56"/>
      <c r="BT960" s="56"/>
    </row>
    <row r="961" spans="1:72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  <c r="BQ961" s="56"/>
      <c r="BR961" s="56"/>
      <c r="BS961" s="56"/>
      <c r="BT961" s="56"/>
    </row>
    <row r="962" spans="1:72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  <c r="BQ962" s="56"/>
      <c r="BR962" s="56"/>
      <c r="BS962" s="56"/>
      <c r="BT962" s="56"/>
    </row>
    <row r="963" spans="1:72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  <c r="BQ963" s="56"/>
      <c r="BR963" s="56"/>
      <c r="BS963" s="56"/>
      <c r="BT963" s="56"/>
    </row>
    <row r="964" spans="1:72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  <c r="BQ964" s="56"/>
      <c r="BR964" s="56"/>
      <c r="BS964" s="56"/>
      <c r="BT964" s="56"/>
    </row>
    <row r="965" spans="1:72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  <c r="BQ965" s="56"/>
      <c r="BR965" s="56"/>
      <c r="BS965" s="56"/>
      <c r="BT965" s="56"/>
    </row>
    <row r="966" spans="1:72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  <c r="BQ966" s="56"/>
      <c r="BR966" s="56"/>
      <c r="BS966" s="56"/>
      <c r="BT966" s="56"/>
    </row>
    <row r="967" spans="1:72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  <c r="BQ967" s="56"/>
      <c r="BR967" s="56"/>
      <c r="BS967" s="56"/>
      <c r="BT967" s="56"/>
    </row>
    <row r="968" spans="1:72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  <c r="BQ968" s="56"/>
      <c r="BR968" s="56"/>
      <c r="BS968" s="56"/>
      <c r="BT968" s="56"/>
    </row>
    <row r="969" spans="1:72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  <c r="BQ969" s="56"/>
      <c r="BR969" s="56"/>
      <c r="BS969" s="56"/>
      <c r="BT969" s="56"/>
    </row>
    <row r="970" spans="1:72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  <c r="BQ970" s="56"/>
      <c r="BR970" s="56"/>
      <c r="BS970" s="56"/>
      <c r="BT970" s="56"/>
    </row>
    <row r="971" spans="1:72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  <c r="BQ971" s="56"/>
      <c r="BR971" s="56"/>
      <c r="BS971" s="56"/>
      <c r="BT971" s="56"/>
    </row>
    <row r="972" spans="1:72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  <c r="BQ972" s="56"/>
      <c r="BR972" s="56"/>
      <c r="BS972" s="56"/>
      <c r="BT972" s="56"/>
    </row>
    <row r="973" spans="1:72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Q973" s="56"/>
      <c r="BR973" s="56"/>
      <c r="BS973" s="56"/>
      <c r="BT973" s="56"/>
    </row>
    <row r="974" spans="1:72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Q974" s="56"/>
      <c r="BR974" s="56"/>
      <c r="BS974" s="56"/>
      <c r="BT974" s="56"/>
    </row>
    <row r="975" spans="1:72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Q975" s="56"/>
      <c r="BR975" s="56"/>
      <c r="BS975" s="56"/>
      <c r="BT975" s="56"/>
    </row>
    <row r="976" spans="1:72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Q976" s="56"/>
      <c r="BR976" s="56"/>
      <c r="BS976" s="56"/>
      <c r="BT976" s="56"/>
    </row>
    <row r="977" spans="1:72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Q977" s="56"/>
      <c r="BR977" s="56"/>
      <c r="BS977" s="56"/>
      <c r="BT977" s="56"/>
    </row>
    <row r="978" spans="1:72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Q978" s="56"/>
      <c r="BR978" s="56"/>
      <c r="BS978" s="56"/>
      <c r="BT978" s="56"/>
    </row>
    <row r="979" spans="1:72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Q979" s="56"/>
      <c r="BR979" s="56"/>
      <c r="BS979" s="56"/>
      <c r="BT979" s="56"/>
    </row>
    <row r="980" spans="1:72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Q980" s="56"/>
      <c r="BR980" s="56"/>
      <c r="BS980" s="56"/>
      <c r="BT980" s="56"/>
    </row>
    <row r="981" spans="1:72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Q981" s="56"/>
      <c r="BR981" s="56"/>
      <c r="BS981" s="56"/>
      <c r="BT981" s="56"/>
    </row>
    <row r="982" spans="1:72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V982" s="56"/>
      <c r="AW982" s="56"/>
      <c r="AX982" s="56"/>
      <c r="AY982" s="56"/>
      <c r="AZ982" s="56"/>
      <c r="BA982" s="56"/>
      <c r="BB982" s="56"/>
      <c r="BC982" s="56"/>
      <c r="BD982" s="56"/>
      <c r="BE982" s="56"/>
      <c r="BF982" s="56"/>
      <c r="BG982" s="56"/>
      <c r="BH982" s="56"/>
      <c r="BQ982" s="56"/>
      <c r="BR982" s="56"/>
      <c r="BS982" s="56"/>
      <c r="BT982" s="56"/>
    </row>
    <row r="983" spans="1:72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Q983" s="56"/>
      <c r="BR983" s="56"/>
      <c r="BS983" s="56"/>
      <c r="BT983" s="56"/>
    </row>
    <row r="984" spans="1:72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V984" s="56"/>
      <c r="AW984" s="56"/>
      <c r="AX984" s="56"/>
      <c r="AY984" s="56"/>
      <c r="AZ984" s="56"/>
      <c r="BA984" s="56"/>
      <c r="BB984" s="56"/>
      <c r="BC984" s="56"/>
      <c r="BD984" s="56"/>
      <c r="BE984" s="56"/>
      <c r="BF984" s="56"/>
      <c r="BG984" s="56"/>
      <c r="BH984" s="56"/>
      <c r="BQ984" s="56"/>
      <c r="BR984" s="56"/>
      <c r="BS984" s="56"/>
      <c r="BT984" s="56"/>
    </row>
    <row r="985" spans="1:72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V985" s="56"/>
      <c r="AW985" s="56"/>
      <c r="AX985" s="56"/>
      <c r="AY985" s="56"/>
      <c r="AZ985" s="56"/>
      <c r="BA985" s="56"/>
      <c r="BB985" s="56"/>
      <c r="BC985" s="56"/>
      <c r="BD985" s="56"/>
      <c r="BE985" s="56"/>
      <c r="BF985" s="56"/>
      <c r="BG985" s="56"/>
      <c r="BH985" s="56"/>
      <c r="BQ985" s="56"/>
      <c r="BR985" s="56"/>
      <c r="BS985" s="56"/>
      <c r="BT985" s="56"/>
    </row>
    <row r="986" spans="1:72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V986" s="56"/>
      <c r="AW986" s="56"/>
      <c r="AX986" s="56"/>
      <c r="AY986" s="56"/>
      <c r="AZ986" s="56"/>
      <c r="BA986" s="56"/>
      <c r="BB986" s="56"/>
      <c r="BC986" s="56"/>
      <c r="BD986" s="56"/>
      <c r="BE986" s="56"/>
      <c r="BF986" s="56"/>
      <c r="BG986" s="56"/>
      <c r="BH986" s="56"/>
      <c r="BQ986" s="56"/>
      <c r="BR986" s="56"/>
      <c r="BS986" s="56"/>
      <c r="BT986" s="56"/>
    </row>
    <row r="987" spans="1:72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V987" s="56"/>
      <c r="AW987" s="56"/>
      <c r="AX987" s="56"/>
      <c r="AY987" s="56"/>
      <c r="AZ987" s="56"/>
      <c r="BA987" s="56"/>
      <c r="BB987" s="56"/>
      <c r="BC987" s="56"/>
      <c r="BD987" s="56"/>
      <c r="BE987" s="56"/>
      <c r="BF987" s="56"/>
      <c r="BG987" s="56"/>
      <c r="BH987" s="56"/>
      <c r="BQ987" s="56"/>
      <c r="BR987" s="56"/>
      <c r="BS987" s="56"/>
      <c r="BT987" s="56"/>
    </row>
    <row r="988" spans="1:72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V988" s="56"/>
      <c r="AW988" s="56"/>
      <c r="AX988" s="56"/>
      <c r="AY988" s="56"/>
      <c r="AZ988" s="56"/>
      <c r="BA988" s="56"/>
      <c r="BB988" s="56"/>
      <c r="BC988" s="56"/>
      <c r="BD988" s="56"/>
      <c r="BE988" s="56"/>
      <c r="BF988" s="56"/>
      <c r="BG988" s="56"/>
      <c r="BH988" s="56"/>
      <c r="BQ988" s="56"/>
      <c r="BR988" s="56"/>
      <c r="BS988" s="56"/>
      <c r="BT988" s="56"/>
    </row>
    <row r="989" spans="1:72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/>
      <c r="BQ989" s="56"/>
      <c r="BR989" s="56"/>
      <c r="BS989" s="56"/>
      <c r="BT989" s="56"/>
    </row>
    <row r="990" spans="1:72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V990" s="56"/>
      <c r="AW990" s="56"/>
      <c r="AX990" s="56"/>
      <c r="AY990" s="56"/>
      <c r="AZ990" s="56"/>
      <c r="BA990" s="56"/>
      <c r="BB990" s="56"/>
      <c r="BC990" s="56"/>
      <c r="BD990" s="56"/>
      <c r="BE990" s="56"/>
      <c r="BF990" s="56"/>
      <c r="BG990" s="56"/>
      <c r="BH990" s="56"/>
      <c r="BQ990" s="56"/>
      <c r="BR990" s="56"/>
      <c r="BS990" s="56"/>
      <c r="BT990" s="56"/>
    </row>
    <row r="991" spans="1:72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V991" s="56"/>
      <c r="AW991" s="56"/>
      <c r="AX991" s="56"/>
      <c r="AY991" s="56"/>
      <c r="AZ991" s="56"/>
      <c r="BA991" s="56"/>
      <c r="BB991" s="56"/>
      <c r="BC991" s="56"/>
      <c r="BD991" s="56"/>
      <c r="BE991" s="56"/>
      <c r="BF991" s="56"/>
      <c r="BG991" s="56"/>
      <c r="BH991" s="56"/>
      <c r="BQ991" s="56"/>
      <c r="BR991" s="56"/>
      <c r="BS991" s="56"/>
      <c r="BT991" s="56"/>
    </row>
    <row r="992" spans="1:72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V992" s="56"/>
      <c r="AW992" s="56"/>
      <c r="AX992" s="56"/>
      <c r="AY992" s="56"/>
      <c r="AZ992" s="56"/>
      <c r="BA992" s="56"/>
      <c r="BB992" s="56"/>
      <c r="BC992" s="56"/>
      <c r="BD992" s="56"/>
      <c r="BE992" s="56"/>
      <c r="BF992" s="56"/>
      <c r="BG992" s="56"/>
      <c r="BH992" s="56"/>
      <c r="BQ992" s="56"/>
      <c r="BR992" s="56"/>
      <c r="BS992" s="56"/>
      <c r="BT992" s="56"/>
    </row>
    <row r="993" spans="1:72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V993" s="56"/>
      <c r="AW993" s="56"/>
      <c r="AX993" s="56"/>
      <c r="AY993" s="56"/>
      <c r="AZ993" s="56"/>
      <c r="BA993" s="56"/>
      <c r="BB993" s="56"/>
      <c r="BC993" s="56"/>
      <c r="BD993" s="56"/>
      <c r="BE993" s="56"/>
      <c r="BF993" s="56"/>
      <c r="BG993" s="56"/>
      <c r="BH993" s="56"/>
      <c r="BQ993" s="56"/>
      <c r="BR993" s="56"/>
      <c r="BS993" s="56"/>
      <c r="BT993" s="56"/>
    </row>
    <row r="994" spans="1:72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V994" s="56"/>
      <c r="AW994" s="56"/>
      <c r="AX994" s="56"/>
      <c r="AY994" s="56"/>
      <c r="AZ994" s="56"/>
      <c r="BA994" s="56"/>
      <c r="BB994" s="56"/>
      <c r="BC994" s="56"/>
      <c r="BD994" s="56"/>
      <c r="BE994" s="56"/>
      <c r="BF994" s="56"/>
      <c r="BG994" s="56"/>
      <c r="BH994" s="56"/>
      <c r="BQ994" s="56"/>
      <c r="BR994" s="56"/>
      <c r="BS994" s="56"/>
      <c r="BT994" s="56"/>
    </row>
    <row r="995" spans="1:72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V995" s="56"/>
      <c r="AW995" s="56"/>
      <c r="AX995" s="56"/>
      <c r="AY995" s="56"/>
      <c r="AZ995" s="56"/>
      <c r="BA995" s="56"/>
      <c r="BB995" s="56"/>
      <c r="BC995" s="56"/>
      <c r="BD995" s="56"/>
      <c r="BE995" s="56"/>
      <c r="BF995" s="56"/>
      <c r="BG995" s="56"/>
      <c r="BH995" s="56"/>
      <c r="BQ995" s="56"/>
      <c r="BR995" s="56"/>
      <c r="BS995" s="56"/>
      <c r="BT995" s="56"/>
    </row>
    <row r="996" spans="1:72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V996" s="56"/>
      <c r="AW996" s="56"/>
      <c r="AX996" s="56"/>
      <c r="AY996" s="56"/>
      <c r="AZ996" s="56"/>
      <c r="BA996" s="56"/>
      <c r="BB996" s="56"/>
      <c r="BC996" s="56"/>
      <c r="BD996" s="56"/>
      <c r="BE996" s="56"/>
      <c r="BF996" s="56"/>
      <c r="BG996" s="56"/>
      <c r="BH996" s="56"/>
      <c r="BQ996" s="56"/>
      <c r="BR996" s="56"/>
      <c r="BS996" s="56"/>
      <c r="BT996" s="56"/>
    </row>
    <row r="997" spans="1:72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V997" s="56"/>
      <c r="AW997" s="56"/>
      <c r="AX997" s="56"/>
      <c r="AY997" s="56"/>
      <c r="AZ997" s="56"/>
      <c r="BA997" s="56"/>
      <c r="BB997" s="56"/>
      <c r="BC997" s="56"/>
      <c r="BD997" s="56"/>
      <c r="BE997" s="56"/>
      <c r="BF997" s="56"/>
      <c r="BG997" s="56"/>
      <c r="BH997" s="56"/>
      <c r="BQ997" s="56"/>
      <c r="BR997" s="56"/>
      <c r="BS997" s="56"/>
      <c r="BT997" s="56"/>
    </row>
    <row r="998" spans="1:72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V998" s="56"/>
      <c r="AW998" s="56"/>
      <c r="AX998" s="56"/>
      <c r="AY998" s="56"/>
      <c r="AZ998" s="56"/>
      <c r="BA998" s="56"/>
      <c r="BB998" s="56"/>
      <c r="BC998" s="56"/>
      <c r="BD998" s="56"/>
      <c r="BE998" s="56"/>
      <c r="BF998" s="56"/>
      <c r="BG998" s="56"/>
      <c r="BH998" s="56"/>
      <c r="BQ998" s="56"/>
      <c r="BR998" s="56"/>
      <c r="BS998" s="56"/>
      <c r="BT998" s="56"/>
    </row>
    <row r="999" spans="1:72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V999" s="56"/>
      <c r="AW999" s="56"/>
      <c r="AX999" s="56"/>
      <c r="AY999" s="56"/>
      <c r="AZ999" s="56"/>
      <c r="BA999" s="56"/>
      <c r="BB999" s="56"/>
      <c r="BC999" s="56"/>
      <c r="BD999" s="56"/>
      <c r="BE999" s="56"/>
      <c r="BF999" s="56"/>
      <c r="BG999" s="56"/>
      <c r="BH999" s="56"/>
      <c r="BQ999" s="56"/>
      <c r="BR999" s="56"/>
      <c r="BS999" s="56"/>
      <c r="BT999" s="56"/>
    </row>
    <row r="1000" spans="1:72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V1000" s="56"/>
      <c r="AW1000" s="56"/>
      <c r="AX1000" s="56"/>
      <c r="AY1000" s="56"/>
      <c r="AZ1000" s="56"/>
      <c r="BA1000" s="56"/>
      <c r="BB1000" s="56"/>
      <c r="BC1000" s="56"/>
      <c r="BD1000" s="56"/>
      <c r="BE1000" s="56"/>
      <c r="BF1000" s="56"/>
      <c r="BG1000" s="56"/>
      <c r="BH1000" s="56"/>
      <c r="BQ1000" s="56"/>
      <c r="BR1000" s="56"/>
      <c r="BS1000" s="56"/>
      <c r="BT1000" s="56"/>
    </row>
    <row r="1001" spans="1:72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V1001" s="56"/>
      <c r="AW1001" s="56"/>
      <c r="AX1001" s="56"/>
      <c r="AY1001" s="56"/>
      <c r="AZ1001" s="56"/>
      <c r="BA1001" s="56"/>
      <c r="BB1001" s="56"/>
      <c r="BC1001" s="56"/>
      <c r="BD1001" s="56"/>
      <c r="BE1001" s="56"/>
      <c r="BF1001" s="56"/>
      <c r="BG1001" s="56"/>
      <c r="BH1001" s="56"/>
      <c r="BQ1001" s="56"/>
      <c r="BR1001" s="56"/>
      <c r="BS1001" s="56"/>
      <c r="BT1001" s="56"/>
    </row>
    <row r="1002" spans="1:72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V1002" s="56"/>
      <c r="AW1002" s="56"/>
      <c r="AX1002" s="56"/>
      <c r="AY1002" s="56"/>
      <c r="AZ1002" s="56"/>
      <c r="BA1002" s="56"/>
      <c r="BB1002" s="56"/>
      <c r="BC1002" s="56"/>
      <c r="BD1002" s="56"/>
      <c r="BE1002" s="56"/>
      <c r="BF1002" s="56"/>
      <c r="BG1002" s="56"/>
      <c r="BH1002" s="56"/>
      <c r="BQ1002" s="56"/>
      <c r="BR1002" s="56"/>
      <c r="BS1002" s="56"/>
      <c r="BT1002" s="56"/>
    </row>
    <row r="1003" spans="1:72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V1003" s="56"/>
      <c r="AW1003" s="56"/>
      <c r="AX1003" s="56"/>
      <c r="AY1003" s="56"/>
      <c r="AZ1003" s="56"/>
      <c r="BA1003" s="56"/>
      <c r="BB1003" s="56"/>
      <c r="BC1003" s="56"/>
      <c r="BD1003" s="56"/>
      <c r="BE1003" s="56"/>
      <c r="BF1003" s="56"/>
      <c r="BG1003" s="56"/>
      <c r="BH1003" s="56"/>
      <c r="BQ1003" s="56"/>
      <c r="BR1003" s="56"/>
      <c r="BS1003" s="56"/>
      <c r="BT1003" s="56"/>
    </row>
    <row r="1004" spans="1:72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V1004" s="56"/>
      <c r="AW1004" s="56"/>
      <c r="AX1004" s="56"/>
      <c r="AY1004" s="56"/>
      <c r="AZ1004" s="56"/>
      <c r="BA1004" s="56"/>
      <c r="BB1004" s="56"/>
      <c r="BC1004" s="56"/>
      <c r="BD1004" s="56"/>
      <c r="BE1004" s="56"/>
      <c r="BF1004" s="56"/>
      <c r="BG1004" s="56"/>
      <c r="BH1004" s="56"/>
      <c r="BQ1004" s="56"/>
      <c r="BR1004" s="56"/>
      <c r="BS1004" s="56"/>
      <c r="BT1004" s="56"/>
    </row>
    <row r="1005" spans="1:72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V1005" s="56"/>
      <c r="AW1005" s="56"/>
      <c r="AX1005" s="56"/>
      <c r="AY1005" s="56"/>
      <c r="AZ1005" s="56"/>
      <c r="BA1005" s="56"/>
      <c r="BB1005" s="56"/>
      <c r="BC1005" s="56"/>
      <c r="BD1005" s="56"/>
      <c r="BE1005" s="56"/>
      <c r="BF1005" s="56"/>
      <c r="BG1005" s="56"/>
      <c r="BH1005" s="56"/>
      <c r="BQ1005" s="56"/>
      <c r="BR1005" s="56"/>
      <c r="BS1005" s="56"/>
      <c r="BT1005" s="56"/>
    </row>
    <row r="1006" spans="1:72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Q1006" s="56"/>
      <c r="BR1006" s="56"/>
      <c r="BS1006" s="56"/>
      <c r="BT1006" s="56"/>
    </row>
    <row r="1007" spans="1:72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Q1007" s="56"/>
      <c r="BR1007" s="56"/>
      <c r="BS1007" s="56"/>
      <c r="BT1007" s="56"/>
    </row>
    <row r="1008" spans="1:72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V1008" s="56"/>
      <c r="AW1008" s="56"/>
      <c r="AX1008" s="56"/>
      <c r="AY1008" s="56"/>
      <c r="AZ1008" s="56"/>
      <c r="BA1008" s="56"/>
      <c r="BB1008" s="56"/>
      <c r="BC1008" s="56"/>
      <c r="BD1008" s="56"/>
      <c r="BE1008" s="56"/>
      <c r="BF1008" s="56"/>
      <c r="BG1008" s="56"/>
      <c r="BH1008" s="56"/>
      <c r="BQ1008" s="56"/>
      <c r="BR1008" s="56"/>
      <c r="BS1008" s="56"/>
      <c r="BT1008" s="56"/>
    </row>
    <row r="1009" spans="1:72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V1009" s="56"/>
      <c r="AW1009" s="56"/>
      <c r="AX1009" s="56"/>
      <c r="AY1009" s="56"/>
      <c r="AZ1009" s="56"/>
      <c r="BA1009" s="56"/>
      <c r="BB1009" s="56"/>
      <c r="BC1009" s="56"/>
      <c r="BD1009" s="56"/>
      <c r="BE1009" s="56"/>
      <c r="BF1009" s="56"/>
      <c r="BG1009" s="56"/>
      <c r="BH1009" s="56"/>
      <c r="BQ1009" s="56"/>
      <c r="BR1009" s="56"/>
      <c r="BS1009" s="56"/>
      <c r="BT1009" s="56"/>
    </row>
    <row r="1010" spans="1:72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V1010" s="56"/>
      <c r="AW1010" s="56"/>
      <c r="AX1010" s="56"/>
      <c r="AY1010" s="56"/>
      <c r="AZ1010" s="56"/>
      <c r="BA1010" s="56"/>
      <c r="BB1010" s="56"/>
      <c r="BC1010" s="56"/>
      <c r="BD1010" s="56"/>
      <c r="BE1010" s="56"/>
      <c r="BF1010" s="56"/>
      <c r="BG1010" s="56"/>
      <c r="BH1010" s="56"/>
      <c r="BQ1010" s="56"/>
      <c r="BR1010" s="56"/>
      <c r="BS1010" s="56"/>
      <c r="BT1010" s="56"/>
    </row>
    <row r="1011" spans="1:72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V1011" s="56"/>
      <c r="AW1011" s="56"/>
      <c r="AX1011" s="56"/>
      <c r="AY1011" s="56"/>
      <c r="AZ1011" s="56"/>
      <c r="BA1011" s="56"/>
      <c r="BB1011" s="56"/>
      <c r="BC1011" s="56"/>
      <c r="BD1011" s="56"/>
      <c r="BE1011" s="56"/>
      <c r="BF1011" s="56"/>
      <c r="BG1011" s="56"/>
      <c r="BH1011" s="56"/>
      <c r="BQ1011" s="56"/>
      <c r="BR1011" s="56"/>
      <c r="BS1011" s="56"/>
      <c r="BT1011" s="56"/>
    </row>
    <row r="1012" spans="1:72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V1012" s="56"/>
      <c r="AW1012" s="56"/>
      <c r="AX1012" s="56"/>
      <c r="AY1012" s="56"/>
      <c r="AZ1012" s="56"/>
      <c r="BA1012" s="56"/>
      <c r="BB1012" s="56"/>
      <c r="BC1012" s="56"/>
      <c r="BD1012" s="56"/>
      <c r="BE1012" s="56"/>
      <c r="BF1012" s="56"/>
      <c r="BG1012" s="56"/>
      <c r="BH1012" s="56"/>
      <c r="BQ1012" s="56"/>
      <c r="BR1012" s="56"/>
      <c r="BS1012" s="56"/>
      <c r="BT1012" s="56"/>
    </row>
    <row r="1013" spans="1:72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V1013" s="56"/>
      <c r="AW1013" s="56"/>
      <c r="AX1013" s="56"/>
      <c r="AY1013" s="56"/>
      <c r="AZ1013" s="56"/>
      <c r="BA1013" s="56"/>
      <c r="BB1013" s="56"/>
      <c r="BC1013" s="56"/>
      <c r="BD1013" s="56"/>
      <c r="BE1013" s="56"/>
      <c r="BF1013" s="56"/>
      <c r="BG1013" s="56"/>
      <c r="BH1013" s="56"/>
      <c r="BQ1013" s="56"/>
      <c r="BR1013" s="56"/>
      <c r="BS1013" s="56"/>
      <c r="BT1013" s="56"/>
    </row>
    <row r="1014" spans="1:72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V1014" s="56"/>
      <c r="AW1014" s="56"/>
      <c r="AX1014" s="56"/>
      <c r="AY1014" s="56"/>
      <c r="AZ1014" s="56"/>
      <c r="BA1014" s="56"/>
      <c r="BB1014" s="56"/>
      <c r="BC1014" s="56"/>
      <c r="BD1014" s="56"/>
      <c r="BE1014" s="56"/>
      <c r="BF1014" s="56"/>
      <c r="BG1014" s="56"/>
      <c r="BH1014" s="56"/>
      <c r="BQ1014" s="56"/>
      <c r="BR1014" s="56"/>
      <c r="BS1014" s="56"/>
      <c r="BT1014" s="56"/>
    </row>
    <row r="1015" spans="1:72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V1015" s="56"/>
      <c r="AW1015" s="56"/>
      <c r="AX1015" s="56"/>
      <c r="AY1015" s="56"/>
      <c r="AZ1015" s="56"/>
      <c r="BA1015" s="56"/>
      <c r="BB1015" s="56"/>
      <c r="BC1015" s="56"/>
      <c r="BD1015" s="56"/>
      <c r="BE1015" s="56"/>
      <c r="BF1015" s="56"/>
      <c r="BG1015" s="56"/>
      <c r="BH1015" s="56"/>
      <c r="BQ1015" s="56"/>
      <c r="BR1015" s="56"/>
      <c r="BS1015" s="56"/>
      <c r="BT1015" s="56"/>
    </row>
    <row r="1016" spans="1:72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V1016" s="56"/>
      <c r="AW1016" s="56"/>
      <c r="AX1016" s="56"/>
      <c r="AY1016" s="56"/>
      <c r="AZ1016" s="56"/>
      <c r="BA1016" s="56"/>
      <c r="BB1016" s="56"/>
      <c r="BC1016" s="56"/>
      <c r="BD1016" s="56"/>
      <c r="BE1016" s="56"/>
      <c r="BF1016" s="56"/>
      <c r="BG1016" s="56"/>
      <c r="BH1016" s="56"/>
      <c r="BQ1016" s="56"/>
      <c r="BR1016" s="56"/>
      <c r="BS1016" s="56"/>
      <c r="BT1016" s="56"/>
    </row>
    <row r="1017" spans="1:72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V1017" s="56"/>
      <c r="AW1017" s="56"/>
      <c r="AX1017" s="56"/>
      <c r="AY1017" s="56"/>
      <c r="AZ1017" s="56"/>
      <c r="BA1017" s="56"/>
      <c r="BB1017" s="56"/>
      <c r="BC1017" s="56"/>
      <c r="BD1017" s="56"/>
      <c r="BE1017" s="56"/>
      <c r="BF1017" s="56"/>
      <c r="BG1017" s="56"/>
      <c r="BH1017" s="56"/>
      <c r="BQ1017" s="56"/>
      <c r="BR1017" s="56"/>
      <c r="BS1017" s="56"/>
      <c r="BT1017" s="56"/>
    </row>
    <row r="1018" spans="1:72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V1018" s="56"/>
      <c r="AW1018" s="56"/>
      <c r="AX1018" s="56"/>
      <c r="AY1018" s="56"/>
      <c r="AZ1018" s="56"/>
      <c r="BA1018" s="56"/>
      <c r="BB1018" s="56"/>
      <c r="BC1018" s="56"/>
      <c r="BD1018" s="56"/>
      <c r="BE1018" s="56"/>
      <c r="BF1018" s="56"/>
      <c r="BG1018" s="56"/>
      <c r="BH1018" s="56"/>
      <c r="BQ1018" s="56"/>
      <c r="BR1018" s="56"/>
      <c r="BS1018" s="56"/>
      <c r="BT1018" s="56"/>
    </row>
    <row r="1019" spans="1:72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V1019" s="56"/>
      <c r="AW1019" s="56"/>
      <c r="AX1019" s="56"/>
      <c r="AY1019" s="56"/>
      <c r="AZ1019" s="56"/>
      <c r="BA1019" s="56"/>
      <c r="BB1019" s="56"/>
      <c r="BC1019" s="56"/>
      <c r="BD1019" s="56"/>
      <c r="BE1019" s="56"/>
      <c r="BF1019" s="56"/>
      <c r="BG1019" s="56"/>
      <c r="BH1019" s="56"/>
      <c r="BQ1019" s="56"/>
      <c r="BR1019" s="56"/>
      <c r="BS1019" s="56"/>
      <c r="BT1019" s="56"/>
    </row>
    <row r="1020" spans="1:72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Q1020" s="56"/>
      <c r="BR1020" s="56"/>
      <c r="BS1020" s="56"/>
      <c r="BT1020" s="56"/>
    </row>
    <row r="1021" spans="1:72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Q1021" s="56"/>
      <c r="BR1021" s="56"/>
      <c r="BS1021" s="56"/>
      <c r="BT1021" s="56"/>
    </row>
    <row r="1022" spans="1:72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V1022" s="56"/>
      <c r="AW1022" s="56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Q1022" s="56"/>
      <c r="BR1022" s="56"/>
      <c r="BS1022" s="56"/>
      <c r="BT1022" s="56"/>
    </row>
    <row r="1023" spans="1:72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Q1023" s="56"/>
      <c r="BR1023" s="56"/>
      <c r="BS1023" s="56"/>
      <c r="BT1023" s="56"/>
    </row>
    <row r="1024" spans="1:72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Q1024" s="56"/>
      <c r="BR1024" s="56"/>
      <c r="BS1024" s="56"/>
      <c r="BT1024" s="56"/>
    </row>
    <row r="1025" spans="1:72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V1025" s="56"/>
      <c r="AW1025" s="56"/>
      <c r="AX1025" s="56"/>
      <c r="AY1025" s="56"/>
      <c r="AZ1025" s="56"/>
      <c r="BA1025" s="56"/>
      <c r="BB1025" s="56"/>
      <c r="BC1025" s="56"/>
      <c r="BD1025" s="56"/>
      <c r="BE1025" s="56"/>
      <c r="BF1025" s="56"/>
      <c r="BG1025" s="56"/>
      <c r="BH1025" s="56"/>
      <c r="BQ1025" s="56"/>
      <c r="BR1025" s="56"/>
      <c r="BS1025" s="56"/>
      <c r="BT1025" s="56"/>
    </row>
    <row r="1026" spans="1:72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V1026" s="56"/>
      <c r="AW1026" s="56"/>
      <c r="AX1026" s="56"/>
      <c r="AY1026" s="56"/>
      <c r="AZ1026" s="56"/>
      <c r="BA1026" s="56"/>
      <c r="BB1026" s="56"/>
      <c r="BC1026" s="56"/>
      <c r="BD1026" s="56"/>
      <c r="BE1026" s="56"/>
      <c r="BF1026" s="56"/>
      <c r="BG1026" s="56"/>
      <c r="BH1026" s="56"/>
      <c r="BQ1026" s="56"/>
      <c r="BR1026" s="56"/>
      <c r="BS1026" s="56"/>
      <c r="BT1026" s="56"/>
    </row>
    <row r="1027" spans="1:72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Q1027" s="56"/>
      <c r="BR1027" s="56"/>
      <c r="BS1027" s="56"/>
      <c r="BT1027" s="56"/>
    </row>
    <row r="1028" spans="1:72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V1028" s="56"/>
      <c r="AW1028" s="56"/>
      <c r="AX1028" s="56"/>
      <c r="AY1028" s="56"/>
      <c r="AZ1028" s="56"/>
      <c r="BA1028" s="56"/>
      <c r="BB1028" s="56"/>
      <c r="BC1028" s="56"/>
      <c r="BD1028" s="56"/>
      <c r="BE1028" s="56"/>
      <c r="BF1028" s="56"/>
      <c r="BG1028" s="56"/>
      <c r="BH1028" s="56"/>
      <c r="BQ1028" s="56"/>
      <c r="BR1028" s="56"/>
      <c r="BS1028" s="56"/>
      <c r="BT1028" s="56"/>
    </row>
    <row r="1029" spans="1:72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V1029" s="56"/>
      <c r="AW1029" s="56"/>
      <c r="AX1029" s="56"/>
      <c r="AY1029" s="56"/>
      <c r="AZ1029" s="56"/>
      <c r="BA1029" s="56"/>
      <c r="BB1029" s="56"/>
      <c r="BC1029" s="56"/>
      <c r="BD1029" s="56"/>
      <c r="BE1029" s="56"/>
      <c r="BF1029" s="56"/>
      <c r="BG1029" s="56"/>
      <c r="BH1029" s="56"/>
      <c r="BQ1029" s="56"/>
      <c r="BR1029" s="56"/>
      <c r="BS1029" s="56"/>
      <c r="BT1029" s="56"/>
    </row>
    <row r="1030" spans="1:72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/>
      <c r="BG1030" s="56"/>
      <c r="BH1030" s="56"/>
      <c r="BQ1030" s="56"/>
      <c r="BR1030" s="56"/>
      <c r="BS1030" s="56"/>
      <c r="BT1030" s="56"/>
    </row>
    <row r="1031" spans="1:72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V1031" s="56"/>
      <c r="AW1031" s="56"/>
      <c r="AX1031" s="56"/>
      <c r="AY1031" s="56"/>
      <c r="AZ1031" s="56"/>
      <c r="BA1031" s="56"/>
      <c r="BB1031" s="56"/>
      <c r="BC1031" s="56"/>
      <c r="BD1031" s="56"/>
      <c r="BE1031" s="56"/>
      <c r="BF1031" s="56"/>
      <c r="BG1031" s="56"/>
      <c r="BH1031" s="56"/>
      <c r="BQ1031" s="56"/>
      <c r="BR1031" s="56"/>
      <c r="BS1031" s="56"/>
      <c r="BT1031" s="56"/>
    </row>
    <row r="1032" spans="1:72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V1032" s="56"/>
      <c r="AW1032" s="56"/>
      <c r="AX1032" s="56"/>
      <c r="AY1032" s="56"/>
      <c r="AZ1032" s="56"/>
      <c r="BA1032" s="56"/>
      <c r="BB1032" s="56"/>
      <c r="BC1032" s="56"/>
      <c r="BD1032" s="56"/>
      <c r="BE1032" s="56"/>
      <c r="BF1032" s="56"/>
      <c r="BG1032" s="56"/>
      <c r="BH1032" s="56"/>
      <c r="BQ1032" s="56"/>
      <c r="BR1032" s="56"/>
      <c r="BS1032" s="56"/>
      <c r="BT1032" s="56"/>
    </row>
    <row r="1033" spans="1:72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V1033" s="56"/>
      <c r="AW1033" s="56"/>
      <c r="AX1033" s="56"/>
      <c r="AY1033" s="56"/>
      <c r="AZ1033" s="56"/>
      <c r="BA1033" s="56"/>
      <c r="BB1033" s="56"/>
      <c r="BC1033" s="56"/>
      <c r="BD1033" s="56"/>
      <c r="BE1033" s="56"/>
      <c r="BF1033" s="56"/>
      <c r="BG1033" s="56"/>
      <c r="BH1033" s="56"/>
      <c r="BQ1033" s="56"/>
      <c r="BR1033" s="56"/>
      <c r="BS1033" s="56"/>
      <c r="BT1033" s="56"/>
    </row>
    <row r="1034" spans="1:72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V1034" s="56"/>
      <c r="AW1034" s="56"/>
      <c r="AX1034" s="56"/>
      <c r="AY1034" s="56"/>
      <c r="AZ1034" s="56"/>
      <c r="BA1034" s="56"/>
      <c r="BB1034" s="56"/>
      <c r="BC1034" s="56"/>
      <c r="BD1034" s="56"/>
      <c r="BE1034" s="56"/>
      <c r="BF1034" s="56"/>
      <c r="BG1034" s="56"/>
      <c r="BH1034" s="56"/>
      <c r="BQ1034" s="56"/>
      <c r="BR1034" s="56"/>
      <c r="BS1034" s="56"/>
      <c r="BT1034" s="56"/>
    </row>
    <row r="1035" spans="1:72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V1035" s="56"/>
      <c r="AW1035" s="56"/>
      <c r="AX1035" s="56"/>
      <c r="AY1035" s="56"/>
      <c r="AZ1035" s="56"/>
      <c r="BA1035" s="56"/>
      <c r="BB1035" s="56"/>
      <c r="BC1035" s="56"/>
      <c r="BD1035" s="56"/>
      <c r="BE1035" s="56"/>
      <c r="BF1035" s="56"/>
      <c r="BG1035" s="56"/>
      <c r="BH1035" s="56"/>
      <c r="BQ1035" s="56"/>
      <c r="BR1035" s="56"/>
      <c r="BS1035" s="56"/>
      <c r="BT1035" s="56"/>
    </row>
    <row r="1036" spans="1:72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V1036" s="56"/>
      <c r="AW1036" s="56"/>
      <c r="AX1036" s="56"/>
      <c r="AY1036" s="56"/>
      <c r="AZ1036" s="56"/>
      <c r="BA1036" s="56"/>
      <c r="BB1036" s="56"/>
      <c r="BC1036" s="56"/>
      <c r="BD1036" s="56"/>
      <c r="BE1036" s="56"/>
      <c r="BF1036" s="56"/>
      <c r="BG1036" s="56"/>
      <c r="BH1036" s="56"/>
      <c r="BQ1036" s="56"/>
      <c r="BR1036" s="56"/>
      <c r="BS1036" s="56"/>
      <c r="BT1036" s="56"/>
    </row>
    <row r="1037" spans="1:72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V1037" s="56"/>
      <c r="AW1037" s="56"/>
      <c r="AX1037" s="56"/>
      <c r="AY1037" s="56"/>
      <c r="AZ1037" s="56"/>
      <c r="BA1037" s="56"/>
      <c r="BB1037" s="56"/>
      <c r="BC1037" s="56"/>
      <c r="BD1037" s="56"/>
      <c r="BE1037" s="56"/>
      <c r="BF1037" s="56"/>
      <c r="BG1037" s="56"/>
      <c r="BH1037" s="56"/>
      <c r="BQ1037" s="56"/>
      <c r="BR1037" s="56"/>
      <c r="BS1037" s="56"/>
      <c r="BT1037" s="56"/>
    </row>
    <row r="1038" spans="1:72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V1038" s="56"/>
      <c r="AW1038" s="56"/>
      <c r="AX1038" s="56"/>
      <c r="AY1038" s="56"/>
      <c r="AZ1038" s="56"/>
      <c r="BA1038" s="56"/>
      <c r="BB1038" s="56"/>
      <c r="BC1038" s="56"/>
      <c r="BD1038" s="56"/>
      <c r="BE1038" s="56"/>
      <c r="BF1038" s="56"/>
      <c r="BG1038" s="56"/>
      <c r="BH1038" s="56"/>
      <c r="BQ1038" s="56"/>
      <c r="BR1038" s="56"/>
      <c r="BS1038" s="56"/>
      <c r="BT1038" s="56"/>
    </row>
    <row r="1039" spans="1:72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V1039" s="56"/>
      <c r="AW1039" s="56"/>
      <c r="AX1039" s="56"/>
      <c r="AY1039" s="56"/>
      <c r="AZ1039" s="56"/>
      <c r="BA1039" s="56"/>
      <c r="BB1039" s="56"/>
      <c r="BC1039" s="56"/>
      <c r="BD1039" s="56"/>
      <c r="BE1039" s="56"/>
      <c r="BF1039" s="56"/>
      <c r="BG1039" s="56"/>
      <c r="BH1039" s="56"/>
      <c r="BQ1039" s="56"/>
      <c r="BR1039" s="56"/>
      <c r="BS1039" s="56"/>
      <c r="BT1039" s="56"/>
    </row>
    <row r="1040" spans="1:72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V1040" s="56"/>
      <c r="AW1040" s="56"/>
      <c r="AX1040" s="56"/>
      <c r="AY1040" s="56"/>
      <c r="AZ1040" s="56"/>
      <c r="BA1040" s="56"/>
      <c r="BB1040" s="56"/>
      <c r="BC1040" s="56"/>
      <c r="BD1040" s="56"/>
      <c r="BE1040" s="56"/>
      <c r="BF1040" s="56"/>
      <c r="BG1040" s="56"/>
      <c r="BH1040" s="56"/>
      <c r="BQ1040" s="56"/>
      <c r="BR1040" s="56"/>
      <c r="BS1040" s="56"/>
      <c r="BT1040" s="56"/>
    </row>
    <row r="1041" spans="1:72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V1041" s="56"/>
      <c r="AW1041" s="56"/>
      <c r="AX1041" s="56"/>
      <c r="AY1041" s="56"/>
      <c r="AZ1041" s="56"/>
      <c r="BA1041" s="56"/>
      <c r="BB1041" s="56"/>
      <c r="BC1041" s="56"/>
      <c r="BD1041" s="56"/>
      <c r="BE1041" s="56"/>
      <c r="BF1041" s="56"/>
      <c r="BG1041" s="56"/>
      <c r="BH1041" s="56"/>
      <c r="BQ1041" s="56"/>
      <c r="BR1041" s="56"/>
      <c r="BS1041" s="56"/>
      <c r="BT1041" s="56"/>
    </row>
    <row r="1042" spans="1:72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V1042" s="56"/>
      <c r="AW1042" s="56"/>
      <c r="AX1042" s="56"/>
      <c r="AY1042" s="56"/>
      <c r="AZ1042" s="56"/>
      <c r="BA1042" s="56"/>
      <c r="BB1042" s="56"/>
      <c r="BC1042" s="56"/>
      <c r="BD1042" s="56"/>
      <c r="BE1042" s="56"/>
      <c r="BF1042" s="56"/>
      <c r="BG1042" s="56"/>
      <c r="BH1042" s="56"/>
      <c r="BQ1042" s="56"/>
      <c r="BR1042" s="56"/>
      <c r="BS1042" s="56"/>
      <c r="BT1042" s="56"/>
    </row>
    <row r="1043" spans="1:72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V1043" s="56"/>
      <c r="AW1043" s="56"/>
      <c r="AX1043" s="56"/>
      <c r="AY1043" s="56"/>
      <c r="AZ1043" s="56"/>
      <c r="BA1043" s="56"/>
      <c r="BB1043" s="56"/>
      <c r="BC1043" s="56"/>
      <c r="BD1043" s="56"/>
      <c r="BE1043" s="56"/>
      <c r="BF1043" s="56"/>
      <c r="BG1043" s="56"/>
      <c r="BH1043" s="56"/>
      <c r="BQ1043" s="56"/>
      <c r="BR1043" s="56"/>
      <c r="BS1043" s="56"/>
      <c r="BT1043" s="56"/>
    </row>
    <row r="1044" spans="1:72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V1044" s="56"/>
      <c r="AW1044" s="56"/>
      <c r="AX1044" s="56"/>
      <c r="AY1044" s="56"/>
      <c r="AZ1044" s="56"/>
      <c r="BA1044" s="56"/>
      <c r="BB1044" s="56"/>
      <c r="BC1044" s="56"/>
      <c r="BD1044" s="56"/>
      <c r="BE1044" s="56"/>
      <c r="BF1044" s="56"/>
      <c r="BG1044" s="56"/>
      <c r="BH1044" s="56"/>
      <c r="BQ1044" s="56"/>
      <c r="BR1044" s="56"/>
      <c r="BS1044" s="56"/>
      <c r="BT1044" s="56"/>
    </row>
    <row r="1045" spans="1:72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V1045" s="56"/>
      <c r="AW1045" s="56"/>
      <c r="AX1045" s="56"/>
      <c r="AY1045" s="56"/>
      <c r="AZ1045" s="56"/>
      <c r="BA1045" s="56"/>
      <c r="BB1045" s="56"/>
      <c r="BC1045" s="56"/>
      <c r="BD1045" s="56"/>
      <c r="BE1045" s="56"/>
      <c r="BF1045" s="56"/>
      <c r="BG1045" s="56"/>
      <c r="BH1045" s="56"/>
      <c r="BQ1045" s="56"/>
      <c r="BR1045" s="56"/>
      <c r="BS1045" s="56"/>
      <c r="BT1045" s="56"/>
    </row>
    <row r="1046" spans="1:72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V1046" s="56"/>
      <c r="AW1046" s="56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Q1046" s="56"/>
      <c r="BR1046" s="56"/>
      <c r="BS1046" s="56"/>
      <c r="BT1046" s="56"/>
    </row>
    <row r="1047" spans="1:72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V1047" s="56"/>
      <c r="AW1047" s="56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Q1047" s="56"/>
      <c r="BR1047" s="56"/>
      <c r="BS1047" s="56"/>
      <c r="BT1047" s="56"/>
    </row>
    <row r="1048" spans="1:72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V1048" s="56"/>
      <c r="AW1048" s="56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Q1048" s="56"/>
      <c r="BR1048" s="56"/>
      <c r="BS1048" s="56"/>
      <c r="BT1048" s="56"/>
    </row>
    <row r="1049" spans="1:72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V1049" s="56"/>
      <c r="AW1049" s="56"/>
      <c r="AX1049" s="56"/>
      <c r="AY1049" s="56"/>
      <c r="AZ1049" s="56"/>
      <c r="BA1049" s="56"/>
      <c r="BB1049" s="56"/>
      <c r="BC1049" s="56"/>
      <c r="BD1049" s="56"/>
      <c r="BE1049" s="56"/>
      <c r="BF1049" s="56"/>
      <c r="BG1049" s="56"/>
      <c r="BH1049" s="56"/>
      <c r="BQ1049" s="56"/>
      <c r="BR1049" s="56"/>
      <c r="BS1049" s="56"/>
      <c r="BT1049" s="56"/>
    </row>
    <row r="1050" spans="1:72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V1050" s="56"/>
      <c r="AW1050" s="56"/>
      <c r="AX1050" s="56"/>
      <c r="AY1050" s="56"/>
      <c r="AZ1050" s="56"/>
      <c r="BA1050" s="56"/>
      <c r="BB1050" s="56"/>
      <c r="BC1050" s="56"/>
      <c r="BD1050" s="56"/>
      <c r="BE1050" s="56"/>
      <c r="BF1050" s="56"/>
      <c r="BG1050" s="56"/>
      <c r="BH1050" s="56"/>
      <c r="BQ1050" s="56"/>
      <c r="BR1050" s="56"/>
      <c r="BS1050" s="56"/>
      <c r="BT1050" s="56"/>
    </row>
    <row r="1051" spans="1:72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V1051" s="56"/>
      <c r="AW1051" s="56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Q1051" s="56"/>
      <c r="BR1051" s="56"/>
      <c r="BS1051" s="56"/>
      <c r="BT1051" s="56"/>
    </row>
    <row r="1052" spans="1:72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V1052" s="56"/>
      <c r="AW1052" s="56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Q1052" s="56"/>
      <c r="BR1052" s="56"/>
      <c r="BS1052" s="56"/>
      <c r="BT1052" s="56"/>
    </row>
    <row r="1053" spans="1:72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V1053" s="56"/>
      <c r="AW1053" s="56"/>
      <c r="AX1053" s="56"/>
      <c r="AY1053" s="56"/>
      <c r="AZ1053" s="56"/>
      <c r="BA1053" s="56"/>
      <c r="BB1053" s="56"/>
      <c r="BC1053" s="56"/>
      <c r="BD1053" s="56"/>
      <c r="BE1053" s="56"/>
      <c r="BF1053" s="56"/>
      <c r="BG1053" s="56"/>
      <c r="BH1053" s="56"/>
      <c r="BQ1053" s="56"/>
      <c r="BR1053" s="56"/>
      <c r="BS1053" s="56"/>
      <c r="BT1053" s="56"/>
    </row>
    <row r="1054" spans="1:72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Q1054" s="56"/>
      <c r="BR1054" s="56"/>
      <c r="BS1054" s="56"/>
      <c r="BT1054" s="56"/>
    </row>
    <row r="1055" spans="1:72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V1055" s="56"/>
      <c r="AW1055" s="56"/>
      <c r="AX1055" s="56"/>
      <c r="AY1055" s="56"/>
      <c r="AZ1055" s="56"/>
      <c r="BA1055" s="56"/>
      <c r="BB1055" s="56"/>
      <c r="BC1055" s="56"/>
      <c r="BD1055" s="56"/>
      <c r="BE1055" s="56"/>
      <c r="BF1055" s="56"/>
      <c r="BG1055" s="56"/>
      <c r="BH1055" s="56"/>
      <c r="BQ1055" s="56"/>
      <c r="BR1055" s="56"/>
      <c r="BS1055" s="56"/>
      <c r="BT1055" s="56"/>
    </row>
    <row r="1056" spans="1:72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V1056" s="56"/>
      <c r="AW1056" s="56"/>
      <c r="AX1056" s="56"/>
      <c r="AY1056" s="56"/>
      <c r="AZ1056" s="56"/>
      <c r="BA1056" s="56"/>
      <c r="BB1056" s="56"/>
      <c r="BC1056" s="56"/>
      <c r="BD1056" s="56"/>
      <c r="BE1056" s="56"/>
      <c r="BF1056" s="56"/>
      <c r="BG1056" s="56"/>
      <c r="BH1056" s="56"/>
      <c r="BQ1056" s="56"/>
      <c r="BR1056" s="56"/>
      <c r="BS1056" s="56"/>
      <c r="BT1056" s="56"/>
    </row>
    <row r="1057" spans="1:72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V1057" s="56"/>
      <c r="AW1057" s="56"/>
      <c r="AX1057" s="56"/>
      <c r="AY1057" s="56"/>
      <c r="AZ1057" s="56"/>
      <c r="BA1057" s="56"/>
      <c r="BB1057" s="56"/>
      <c r="BC1057" s="56"/>
      <c r="BD1057" s="56"/>
      <c r="BE1057" s="56"/>
      <c r="BF1057" s="56"/>
      <c r="BG1057" s="56"/>
      <c r="BH1057" s="56"/>
      <c r="BQ1057" s="56"/>
      <c r="BR1057" s="56"/>
      <c r="BS1057" s="56"/>
      <c r="BT1057" s="56"/>
    </row>
    <row r="1058" spans="1:72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V1058" s="56"/>
      <c r="AW1058" s="56"/>
      <c r="AX1058" s="56"/>
      <c r="AY1058" s="56"/>
      <c r="AZ1058" s="56"/>
      <c r="BA1058" s="56"/>
      <c r="BB1058" s="56"/>
      <c r="BC1058" s="56"/>
      <c r="BD1058" s="56"/>
      <c r="BE1058" s="56"/>
      <c r="BF1058" s="56"/>
      <c r="BG1058" s="56"/>
      <c r="BH1058" s="56"/>
      <c r="BQ1058" s="56"/>
      <c r="BR1058" s="56"/>
      <c r="BS1058" s="56"/>
      <c r="BT1058" s="56"/>
    </row>
    <row r="1059" spans="1:72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V1059" s="56"/>
      <c r="AW1059" s="56"/>
      <c r="AX1059" s="56"/>
      <c r="AY1059" s="56"/>
      <c r="AZ1059" s="56"/>
      <c r="BA1059" s="56"/>
      <c r="BB1059" s="56"/>
      <c r="BC1059" s="56"/>
      <c r="BD1059" s="56"/>
      <c r="BE1059" s="56"/>
      <c r="BF1059" s="56"/>
      <c r="BG1059" s="56"/>
      <c r="BH1059" s="56"/>
      <c r="BQ1059" s="56"/>
      <c r="BR1059" s="56"/>
      <c r="BS1059" s="56"/>
      <c r="BT1059" s="56"/>
    </row>
    <row r="1060" spans="1:72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V1060" s="56"/>
      <c r="AW1060" s="56"/>
      <c r="AX1060" s="56"/>
      <c r="AY1060" s="56"/>
      <c r="AZ1060" s="56"/>
      <c r="BA1060" s="56"/>
      <c r="BB1060" s="56"/>
      <c r="BC1060" s="56"/>
      <c r="BD1060" s="56"/>
      <c r="BE1060" s="56"/>
      <c r="BF1060" s="56"/>
      <c r="BG1060" s="56"/>
      <c r="BH1060" s="56"/>
      <c r="BQ1060" s="56"/>
      <c r="BR1060" s="56"/>
      <c r="BS1060" s="56"/>
      <c r="BT1060" s="56"/>
    </row>
    <row r="1061" spans="1:72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V1061" s="56"/>
      <c r="AW1061" s="56"/>
      <c r="AX1061" s="56"/>
      <c r="AY1061" s="56"/>
      <c r="AZ1061" s="56"/>
      <c r="BA1061" s="56"/>
      <c r="BB1061" s="56"/>
      <c r="BC1061" s="56"/>
      <c r="BD1061" s="56"/>
      <c r="BE1061" s="56"/>
      <c r="BF1061" s="56"/>
      <c r="BG1061" s="56"/>
      <c r="BH1061" s="56"/>
      <c r="BQ1061" s="56"/>
      <c r="BR1061" s="56"/>
      <c r="BS1061" s="56"/>
      <c r="BT1061" s="56"/>
    </row>
    <row r="1062" spans="1:72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V1062" s="56"/>
      <c r="AW1062" s="56"/>
      <c r="AX1062" s="56"/>
      <c r="AY1062" s="56"/>
      <c r="AZ1062" s="56"/>
      <c r="BA1062" s="56"/>
      <c r="BB1062" s="56"/>
      <c r="BC1062" s="56"/>
      <c r="BD1062" s="56"/>
      <c r="BE1062" s="56"/>
      <c r="BF1062" s="56"/>
      <c r="BG1062" s="56"/>
      <c r="BH1062" s="56"/>
      <c r="BQ1062" s="56"/>
      <c r="BR1062" s="56"/>
      <c r="BS1062" s="56"/>
      <c r="BT1062" s="56"/>
    </row>
    <row r="1063" spans="1:72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V1063" s="56"/>
      <c r="AW1063" s="56"/>
      <c r="AX1063" s="56"/>
      <c r="AY1063" s="56"/>
      <c r="AZ1063" s="56"/>
      <c r="BA1063" s="56"/>
      <c r="BB1063" s="56"/>
      <c r="BC1063" s="56"/>
      <c r="BD1063" s="56"/>
      <c r="BE1063" s="56"/>
      <c r="BF1063" s="56"/>
      <c r="BG1063" s="56"/>
      <c r="BH1063" s="56"/>
      <c r="BQ1063" s="56"/>
      <c r="BR1063" s="56"/>
      <c r="BS1063" s="56"/>
      <c r="BT1063" s="56"/>
    </row>
    <row r="1064" spans="1:72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V1064" s="56"/>
      <c r="AW1064" s="56"/>
      <c r="AX1064" s="56"/>
      <c r="AY1064" s="56"/>
      <c r="AZ1064" s="56"/>
      <c r="BA1064" s="56"/>
      <c r="BB1064" s="56"/>
      <c r="BC1064" s="56"/>
      <c r="BD1064" s="56"/>
      <c r="BE1064" s="56"/>
      <c r="BF1064" s="56"/>
      <c r="BG1064" s="56"/>
      <c r="BH1064" s="56"/>
      <c r="BQ1064" s="56"/>
      <c r="BR1064" s="56"/>
      <c r="BS1064" s="56"/>
      <c r="BT1064" s="56"/>
    </row>
    <row r="1065" spans="1:72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V1065" s="56"/>
      <c r="AW1065" s="56"/>
      <c r="AX1065" s="56"/>
      <c r="AY1065" s="56"/>
      <c r="AZ1065" s="56"/>
      <c r="BA1065" s="56"/>
      <c r="BB1065" s="56"/>
      <c r="BC1065" s="56"/>
      <c r="BD1065" s="56"/>
      <c r="BE1065" s="56"/>
      <c r="BF1065" s="56"/>
      <c r="BG1065" s="56"/>
      <c r="BH1065" s="56"/>
      <c r="BQ1065" s="56"/>
      <c r="BR1065" s="56"/>
      <c r="BS1065" s="56"/>
      <c r="BT1065" s="56"/>
    </row>
    <row r="1066" spans="1:72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V1066" s="56"/>
      <c r="AW1066" s="56"/>
      <c r="AX1066" s="56"/>
      <c r="AY1066" s="56"/>
      <c r="AZ1066" s="56"/>
      <c r="BA1066" s="56"/>
      <c r="BB1066" s="56"/>
      <c r="BC1066" s="56"/>
      <c r="BD1066" s="56"/>
      <c r="BE1066" s="56"/>
      <c r="BF1066" s="56"/>
      <c r="BG1066" s="56"/>
      <c r="BH1066" s="56"/>
      <c r="BQ1066" s="56"/>
      <c r="BR1066" s="56"/>
      <c r="BS1066" s="56"/>
      <c r="BT1066" s="56"/>
    </row>
    <row r="1067" spans="1:72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V1067" s="56"/>
      <c r="AW1067" s="56"/>
      <c r="AX1067" s="56"/>
      <c r="AY1067" s="56"/>
      <c r="AZ1067" s="56"/>
      <c r="BA1067" s="56"/>
      <c r="BB1067" s="56"/>
      <c r="BC1067" s="56"/>
      <c r="BD1067" s="56"/>
      <c r="BE1067" s="56"/>
      <c r="BF1067" s="56"/>
      <c r="BG1067" s="56"/>
      <c r="BH1067" s="56"/>
      <c r="BQ1067" s="56"/>
      <c r="BR1067" s="56"/>
      <c r="BS1067" s="56"/>
      <c r="BT1067" s="56"/>
    </row>
    <row r="1068" spans="1:72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V1068" s="56"/>
      <c r="AW1068" s="56"/>
      <c r="AX1068" s="56"/>
      <c r="AY1068" s="56"/>
      <c r="AZ1068" s="56"/>
      <c r="BA1068" s="56"/>
      <c r="BB1068" s="56"/>
      <c r="BC1068" s="56"/>
      <c r="BD1068" s="56"/>
      <c r="BE1068" s="56"/>
      <c r="BF1068" s="56"/>
      <c r="BG1068" s="56"/>
      <c r="BH1068" s="56"/>
      <c r="BQ1068" s="56"/>
      <c r="BR1068" s="56"/>
      <c r="BS1068" s="56"/>
      <c r="BT1068" s="56"/>
    </row>
    <row r="1069" spans="1:72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V1069" s="56"/>
      <c r="AW1069" s="56"/>
      <c r="AX1069" s="56"/>
      <c r="AY1069" s="56"/>
      <c r="AZ1069" s="56"/>
      <c r="BA1069" s="56"/>
      <c r="BB1069" s="56"/>
      <c r="BC1069" s="56"/>
      <c r="BD1069" s="56"/>
      <c r="BE1069" s="56"/>
      <c r="BF1069" s="56"/>
      <c r="BG1069" s="56"/>
      <c r="BH1069" s="56"/>
      <c r="BQ1069" s="56"/>
      <c r="BR1069" s="56"/>
      <c r="BS1069" s="56"/>
      <c r="BT1069" s="56"/>
    </row>
    <row r="1070" spans="1:72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V1070" s="56"/>
      <c r="AW1070" s="56"/>
      <c r="AX1070" s="56"/>
      <c r="AY1070" s="56"/>
      <c r="AZ1070" s="56"/>
      <c r="BA1070" s="56"/>
      <c r="BB1070" s="56"/>
      <c r="BC1070" s="56"/>
      <c r="BD1070" s="56"/>
      <c r="BE1070" s="56"/>
      <c r="BF1070" s="56"/>
      <c r="BG1070" s="56"/>
      <c r="BH1070" s="56"/>
      <c r="BQ1070" s="56"/>
      <c r="BR1070" s="56"/>
      <c r="BS1070" s="56"/>
      <c r="BT1070" s="56"/>
    </row>
    <row r="1071" spans="1:72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V1071" s="56"/>
      <c r="AW1071" s="56"/>
      <c r="AX1071" s="56"/>
      <c r="AY1071" s="56"/>
      <c r="AZ1071" s="56"/>
      <c r="BA1071" s="56"/>
      <c r="BB1071" s="56"/>
      <c r="BC1071" s="56"/>
      <c r="BD1071" s="56"/>
      <c r="BE1071" s="56"/>
      <c r="BF1071" s="56"/>
      <c r="BG1071" s="56"/>
      <c r="BH1071" s="56"/>
      <c r="BQ1071" s="56"/>
      <c r="BR1071" s="56"/>
      <c r="BS1071" s="56"/>
      <c r="BT1071" s="56"/>
    </row>
    <row r="1072" spans="1:72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V1072" s="56"/>
      <c r="AW1072" s="56"/>
      <c r="AX1072" s="56"/>
      <c r="AY1072" s="56"/>
      <c r="AZ1072" s="56"/>
      <c r="BA1072" s="56"/>
      <c r="BB1072" s="56"/>
      <c r="BC1072" s="56"/>
      <c r="BD1072" s="56"/>
      <c r="BE1072" s="56"/>
      <c r="BF1072" s="56"/>
      <c r="BG1072" s="56"/>
      <c r="BH1072" s="56"/>
      <c r="BQ1072" s="56"/>
      <c r="BR1072" s="56"/>
      <c r="BS1072" s="56"/>
      <c r="BT1072" s="56"/>
    </row>
    <row r="1073" spans="1:72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V1073" s="56"/>
      <c r="AW1073" s="56"/>
      <c r="AX1073" s="56"/>
      <c r="AY1073" s="56"/>
      <c r="AZ1073" s="56"/>
      <c r="BA1073" s="56"/>
      <c r="BB1073" s="56"/>
      <c r="BC1073" s="56"/>
      <c r="BD1073" s="56"/>
      <c r="BE1073" s="56"/>
      <c r="BF1073" s="56"/>
      <c r="BG1073" s="56"/>
      <c r="BH1073" s="56"/>
      <c r="BQ1073" s="56"/>
      <c r="BR1073" s="56"/>
      <c r="BS1073" s="56"/>
      <c r="BT1073" s="56"/>
    </row>
    <row r="1074" spans="1:72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V1074" s="56"/>
      <c r="AW1074" s="56"/>
      <c r="AX1074" s="56"/>
      <c r="AY1074" s="56"/>
      <c r="AZ1074" s="56"/>
      <c r="BA1074" s="56"/>
      <c r="BB1074" s="56"/>
      <c r="BC1074" s="56"/>
      <c r="BD1074" s="56"/>
      <c r="BE1074" s="56"/>
      <c r="BF1074" s="56"/>
      <c r="BG1074" s="56"/>
      <c r="BH1074" s="56"/>
      <c r="BQ1074" s="56"/>
      <c r="BR1074" s="56"/>
      <c r="BS1074" s="56"/>
      <c r="BT1074" s="56"/>
    </row>
    <row r="1075" spans="1:72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V1075" s="56"/>
      <c r="AW1075" s="56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Q1075" s="56"/>
      <c r="BR1075" s="56"/>
      <c r="BS1075" s="56"/>
      <c r="BT1075" s="56"/>
    </row>
    <row r="1076" spans="1:72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V1076" s="56"/>
      <c r="AW1076" s="56"/>
      <c r="AX1076" s="56"/>
      <c r="AY1076" s="56"/>
      <c r="AZ1076" s="56"/>
      <c r="BA1076" s="56"/>
      <c r="BB1076" s="56"/>
      <c r="BC1076" s="56"/>
      <c r="BD1076" s="56"/>
      <c r="BE1076" s="56"/>
      <c r="BF1076" s="56"/>
      <c r="BG1076" s="56"/>
      <c r="BH1076" s="56"/>
      <c r="BQ1076" s="56"/>
      <c r="BR1076" s="56"/>
      <c r="BS1076" s="56"/>
      <c r="BT1076" s="56"/>
    </row>
    <row r="1077" spans="1:72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Q1077" s="56"/>
      <c r="BR1077" s="56"/>
      <c r="BS1077" s="56"/>
      <c r="BT1077" s="56"/>
    </row>
    <row r="1078" spans="1:72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V1078" s="56"/>
      <c r="AW1078" s="56"/>
      <c r="AX1078" s="56"/>
      <c r="AY1078" s="56"/>
      <c r="AZ1078" s="56"/>
      <c r="BA1078" s="56"/>
      <c r="BB1078" s="56"/>
      <c r="BC1078" s="56"/>
      <c r="BD1078" s="56"/>
      <c r="BE1078" s="56"/>
      <c r="BF1078" s="56"/>
      <c r="BG1078" s="56"/>
      <c r="BH1078" s="56"/>
      <c r="BQ1078" s="56"/>
      <c r="BR1078" s="56"/>
      <c r="BS1078" s="56"/>
      <c r="BT1078" s="56"/>
    </row>
    <row r="1079" spans="1:72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V1079" s="56"/>
      <c r="AW1079" s="56"/>
      <c r="AX1079" s="56"/>
      <c r="AY1079" s="56"/>
      <c r="AZ1079" s="56"/>
      <c r="BA1079" s="56"/>
      <c r="BB1079" s="56"/>
      <c r="BC1079" s="56"/>
      <c r="BD1079" s="56"/>
      <c r="BE1079" s="56"/>
      <c r="BF1079" s="56"/>
      <c r="BG1079" s="56"/>
      <c r="BH1079" s="56"/>
      <c r="BQ1079" s="56"/>
      <c r="BR1079" s="56"/>
      <c r="BS1079" s="56"/>
      <c r="BT1079" s="56"/>
    </row>
    <row r="1080" spans="1:72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V1080" s="56"/>
      <c r="AW1080" s="56"/>
      <c r="AX1080" s="56"/>
      <c r="AY1080" s="56"/>
      <c r="AZ1080" s="56"/>
      <c r="BA1080" s="56"/>
      <c r="BB1080" s="56"/>
      <c r="BC1080" s="56"/>
      <c r="BD1080" s="56"/>
      <c r="BE1080" s="56"/>
      <c r="BF1080" s="56"/>
      <c r="BG1080" s="56"/>
      <c r="BH1080" s="56"/>
      <c r="BQ1080" s="56"/>
      <c r="BR1080" s="56"/>
      <c r="BS1080" s="56"/>
      <c r="BT1080" s="56"/>
    </row>
    <row r="1081" spans="1:72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V1081" s="56"/>
      <c r="AW1081" s="56"/>
      <c r="AX1081" s="56"/>
      <c r="AY1081" s="56"/>
      <c r="AZ1081" s="56"/>
      <c r="BA1081" s="56"/>
      <c r="BB1081" s="56"/>
      <c r="BC1081" s="56"/>
      <c r="BD1081" s="56"/>
      <c r="BE1081" s="56"/>
      <c r="BF1081" s="56"/>
      <c r="BG1081" s="56"/>
      <c r="BH1081" s="56"/>
      <c r="BQ1081" s="56"/>
      <c r="BR1081" s="56"/>
      <c r="BS1081" s="56"/>
      <c r="BT1081" s="56"/>
    </row>
    <row r="1082" spans="1:72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V1082" s="56"/>
      <c r="AW1082" s="56"/>
      <c r="AX1082" s="56"/>
      <c r="AY1082" s="56"/>
      <c r="AZ1082" s="56"/>
      <c r="BA1082" s="56"/>
      <c r="BB1082" s="56"/>
      <c r="BC1082" s="56"/>
      <c r="BD1082" s="56"/>
      <c r="BE1082" s="56"/>
      <c r="BF1082" s="56"/>
      <c r="BG1082" s="56"/>
      <c r="BH1082" s="56"/>
      <c r="BQ1082" s="56"/>
      <c r="BR1082" s="56"/>
      <c r="BS1082" s="56"/>
      <c r="BT1082" s="56"/>
    </row>
    <row r="1083" spans="1:72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V1083" s="56"/>
      <c r="AW1083" s="56"/>
      <c r="AX1083" s="56"/>
      <c r="AY1083" s="56"/>
      <c r="AZ1083" s="56"/>
      <c r="BA1083" s="56"/>
      <c r="BB1083" s="56"/>
      <c r="BC1083" s="56"/>
      <c r="BD1083" s="56"/>
      <c r="BE1083" s="56"/>
      <c r="BF1083" s="56"/>
      <c r="BG1083" s="56"/>
      <c r="BH1083" s="56"/>
      <c r="BQ1083" s="56"/>
      <c r="BR1083" s="56"/>
      <c r="BS1083" s="56"/>
      <c r="BT1083" s="56"/>
    </row>
    <row r="1084" spans="1:72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V1084" s="56"/>
      <c r="AW1084" s="56"/>
      <c r="AX1084" s="56"/>
      <c r="AY1084" s="56"/>
      <c r="AZ1084" s="56"/>
      <c r="BA1084" s="56"/>
      <c r="BB1084" s="56"/>
      <c r="BC1084" s="56"/>
      <c r="BD1084" s="56"/>
      <c r="BE1084" s="56"/>
      <c r="BF1084" s="56"/>
      <c r="BG1084" s="56"/>
      <c r="BH1084" s="56"/>
      <c r="BQ1084" s="56"/>
      <c r="BR1084" s="56"/>
      <c r="BS1084" s="56"/>
      <c r="BT1084" s="56"/>
    </row>
    <row r="1085" spans="1:72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V1085" s="56"/>
      <c r="AW1085" s="56"/>
      <c r="AX1085" s="56"/>
      <c r="AY1085" s="56"/>
      <c r="AZ1085" s="56"/>
      <c r="BA1085" s="56"/>
      <c r="BB1085" s="56"/>
      <c r="BC1085" s="56"/>
      <c r="BD1085" s="56"/>
      <c r="BE1085" s="56"/>
      <c r="BF1085" s="56"/>
      <c r="BG1085" s="56"/>
      <c r="BH1085" s="56"/>
      <c r="BQ1085" s="56"/>
      <c r="BR1085" s="56"/>
      <c r="BS1085" s="56"/>
      <c r="BT1085" s="56"/>
    </row>
    <row r="1086" spans="1:72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V1086" s="56"/>
      <c r="AW1086" s="56"/>
      <c r="AX1086" s="56"/>
      <c r="AY1086" s="56"/>
      <c r="AZ1086" s="56"/>
      <c r="BA1086" s="56"/>
      <c r="BB1086" s="56"/>
      <c r="BC1086" s="56"/>
      <c r="BD1086" s="56"/>
      <c r="BE1086" s="56"/>
      <c r="BF1086" s="56"/>
      <c r="BG1086" s="56"/>
      <c r="BH1086" s="56"/>
      <c r="BQ1086" s="56"/>
      <c r="BR1086" s="56"/>
      <c r="BS1086" s="56"/>
      <c r="BT1086" s="56"/>
    </row>
    <row r="1087" spans="1:72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V1087" s="56"/>
      <c r="AW1087" s="56"/>
      <c r="AX1087" s="56"/>
      <c r="AY1087" s="56"/>
      <c r="AZ1087" s="56"/>
      <c r="BA1087" s="56"/>
      <c r="BB1087" s="56"/>
      <c r="BC1087" s="56"/>
      <c r="BD1087" s="56"/>
      <c r="BE1087" s="56"/>
      <c r="BF1087" s="56"/>
      <c r="BG1087" s="56"/>
      <c r="BH1087" s="56"/>
      <c r="BQ1087" s="56"/>
      <c r="BR1087" s="56"/>
      <c r="BS1087" s="56"/>
      <c r="BT1087" s="56"/>
    </row>
    <row r="1088" spans="1:72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V1088" s="56"/>
      <c r="AW1088" s="56"/>
      <c r="AX1088" s="56"/>
      <c r="AY1088" s="56"/>
      <c r="AZ1088" s="56"/>
      <c r="BA1088" s="56"/>
      <c r="BB1088" s="56"/>
      <c r="BC1088" s="56"/>
      <c r="BD1088" s="56"/>
      <c r="BE1088" s="56"/>
      <c r="BF1088" s="56"/>
      <c r="BG1088" s="56"/>
      <c r="BH1088" s="56"/>
      <c r="BQ1088" s="56"/>
      <c r="BR1088" s="56"/>
      <c r="BS1088" s="56"/>
      <c r="BT1088" s="56"/>
    </row>
    <row r="1089" spans="1:72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V1089" s="56"/>
      <c r="AW1089" s="56"/>
      <c r="AX1089" s="56"/>
      <c r="AY1089" s="56"/>
      <c r="AZ1089" s="56"/>
      <c r="BA1089" s="56"/>
      <c r="BB1089" s="56"/>
      <c r="BC1089" s="56"/>
      <c r="BD1089" s="56"/>
      <c r="BE1089" s="56"/>
      <c r="BF1089" s="56"/>
      <c r="BG1089" s="56"/>
      <c r="BH1089" s="56"/>
      <c r="BQ1089" s="56"/>
      <c r="BR1089" s="56"/>
      <c r="BS1089" s="56"/>
      <c r="BT1089" s="56"/>
    </row>
    <row r="1090" spans="1:72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V1090" s="56"/>
      <c r="AW1090" s="56"/>
      <c r="AX1090" s="56"/>
      <c r="AY1090" s="56"/>
      <c r="AZ1090" s="56"/>
      <c r="BA1090" s="56"/>
      <c r="BB1090" s="56"/>
      <c r="BC1090" s="56"/>
      <c r="BD1090" s="56"/>
      <c r="BE1090" s="56"/>
      <c r="BF1090" s="56"/>
      <c r="BG1090" s="56"/>
      <c r="BH1090" s="56"/>
      <c r="BQ1090" s="56"/>
      <c r="BR1090" s="56"/>
      <c r="BS1090" s="56"/>
      <c r="BT1090" s="56"/>
    </row>
    <row r="1091" spans="1:72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V1091" s="56"/>
      <c r="AW1091" s="56"/>
      <c r="AX1091" s="56"/>
      <c r="AY1091" s="56"/>
      <c r="AZ1091" s="56"/>
      <c r="BA1091" s="56"/>
      <c r="BB1091" s="56"/>
      <c r="BC1091" s="56"/>
      <c r="BD1091" s="56"/>
      <c r="BE1091" s="56"/>
      <c r="BF1091" s="56"/>
      <c r="BG1091" s="56"/>
      <c r="BH1091" s="56"/>
      <c r="BQ1091" s="56"/>
      <c r="BR1091" s="56"/>
      <c r="BS1091" s="56"/>
      <c r="BT1091" s="56"/>
    </row>
    <row r="1092" spans="1:72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V1092" s="56"/>
      <c r="AW1092" s="56"/>
      <c r="AX1092" s="56"/>
      <c r="AY1092" s="56"/>
      <c r="AZ1092" s="56"/>
      <c r="BA1092" s="56"/>
      <c r="BB1092" s="56"/>
      <c r="BC1092" s="56"/>
      <c r="BD1092" s="56"/>
      <c r="BE1092" s="56"/>
      <c r="BF1092" s="56"/>
      <c r="BG1092" s="56"/>
      <c r="BH1092" s="56"/>
      <c r="BQ1092" s="56"/>
      <c r="BR1092" s="56"/>
      <c r="BS1092" s="56"/>
      <c r="BT1092" s="56"/>
    </row>
    <row r="1093" spans="1:72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V1093" s="56"/>
      <c r="AW1093" s="56"/>
      <c r="AX1093" s="56"/>
      <c r="AY1093" s="56"/>
      <c r="AZ1093" s="56"/>
      <c r="BA1093" s="56"/>
      <c r="BB1093" s="56"/>
      <c r="BC1093" s="56"/>
      <c r="BD1093" s="56"/>
      <c r="BE1093" s="56"/>
      <c r="BF1093" s="56"/>
      <c r="BG1093" s="56"/>
      <c r="BH1093" s="56"/>
      <c r="BQ1093" s="56"/>
      <c r="BR1093" s="56"/>
      <c r="BS1093" s="56"/>
      <c r="BT1093" s="56"/>
    </row>
    <row r="1094" spans="1:72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V1094" s="56"/>
      <c r="AW1094" s="56"/>
      <c r="AX1094" s="56"/>
      <c r="AY1094" s="56"/>
      <c r="AZ1094" s="56"/>
      <c r="BA1094" s="56"/>
      <c r="BB1094" s="56"/>
      <c r="BC1094" s="56"/>
      <c r="BD1094" s="56"/>
      <c r="BE1094" s="56"/>
      <c r="BF1094" s="56"/>
      <c r="BG1094" s="56"/>
      <c r="BH1094" s="56"/>
      <c r="BQ1094" s="56"/>
      <c r="BR1094" s="56"/>
      <c r="BS1094" s="56"/>
      <c r="BT1094" s="56"/>
    </row>
    <row r="1095" spans="1:72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V1095" s="56"/>
      <c r="AW1095" s="56"/>
      <c r="AX1095" s="56"/>
      <c r="AY1095" s="56"/>
      <c r="AZ1095" s="56"/>
      <c r="BA1095" s="56"/>
      <c r="BB1095" s="56"/>
      <c r="BC1095" s="56"/>
      <c r="BD1095" s="56"/>
      <c r="BE1095" s="56"/>
      <c r="BF1095" s="56"/>
      <c r="BG1095" s="56"/>
      <c r="BH1095" s="56"/>
      <c r="BQ1095" s="56"/>
      <c r="BR1095" s="56"/>
      <c r="BS1095" s="56"/>
      <c r="BT1095" s="56"/>
    </row>
    <row r="1096" spans="1:72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V1096" s="56"/>
      <c r="AW1096" s="56"/>
      <c r="AX1096" s="56"/>
      <c r="AY1096" s="56"/>
      <c r="AZ1096" s="56"/>
      <c r="BA1096" s="56"/>
      <c r="BB1096" s="56"/>
      <c r="BC1096" s="56"/>
      <c r="BD1096" s="56"/>
      <c r="BE1096" s="56"/>
      <c r="BF1096" s="56"/>
      <c r="BG1096" s="56"/>
      <c r="BH1096" s="56"/>
      <c r="BQ1096" s="56"/>
      <c r="BR1096" s="56"/>
      <c r="BS1096" s="56"/>
      <c r="BT1096" s="56"/>
    </row>
    <row r="1097" spans="1:72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V1097" s="56"/>
      <c r="AW1097" s="56"/>
      <c r="AX1097" s="56"/>
      <c r="AY1097" s="56"/>
      <c r="AZ1097" s="56"/>
      <c r="BA1097" s="56"/>
      <c r="BB1097" s="56"/>
      <c r="BC1097" s="56"/>
      <c r="BD1097" s="56"/>
      <c r="BE1097" s="56"/>
      <c r="BF1097" s="56"/>
      <c r="BG1097" s="56"/>
      <c r="BH1097" s="56"/>
      <c r="BQ1097" s="56"/>
      <c r="BR1097" s="56"/>
      <c r="BS1097" s="56"/>
      <c r="BT1097" s="56"/>
    </row>
    <row r="1098" spans="1:72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V1098" s="56"/>
      <c r="AW1098" s="56"/>
      <c r="AX1098" s="56"/>
      <c r="AY1098" s="56"/>
      <c r="AZ1098" s="56"/>
      <c r="BA1098" s="56"/>
      <c r="BB1098" s="56"/>
      <c r="BC1098" s="56"/>
      <c r="BD1098" s="56"/>
      <c r="BE1098" s="56"/>
      <c r="BF1098" s="56"/>
      <c r="BG1098" s="56"/>
      <c r="BH1098" s="56"/>
      <c r="BQ1098" s="56"/>
      <c r="BR1098" s="56"/>
      <c r="BS1098" s="56"/>
      <c r="BT1098" s="56"/>
    </row>
    <row r="1099" spans="1:72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V1099" s="56"/>
      <c r="AW1099" s="56"/>
      <c r="AX1099" s="56"/>
      <c r="AY1099" s="56"/>
      <c r="AZ1099" s="56"/>
      <c r="BA1099" s="56"/>
      <c r="BB1099" s="56"/>
      <c r="BC1099" s="56"/>
      <c r="BD1099" s="56"/>
      <c r="BE1099" s="56"/>
      <c r="BF1099" s="56"/>
      <c r="BG1099" s="56"/>
      <c r="BH1099" s="56"/>
      <c r="BQ1099" s="56"/>
      <c r="BR1099" s="56"/>
      <c r="BS1099" s="56"/>
      <c r="BT1099" s="56"/>
    </row>
    <row r="1100" spans="1:72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V1100" s="56"/>
      <c r="AW1100" s="56"/>
      <c r="AX1100" s="56"/>
      <c r="AY1100" s="56"/>
      <c r="AZ1100" s="56"/>
      <c r="BA1100" s="56"/>
      <c r="BB1100" s="56"/>
      <c r="BC1100" s="56"/>
      <c r="BD1100" s="56"/>
      <c r="BE1100" s="56"/>
      <c r="BF1100" s="56"/>
      <c r="BG1100" s="56"/>
      <c r="BH1100" s="56"/>
      <c r="BQ1100" s="56"/>
      <c r="BR1100" s="56"/>
      <c r="BS1100" s="56"/>
      <c r="BT1100" s="56"/>
    </row>
    <row r="1101" spans="1:72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V1101" s="56"/>
      <c r="AW1101" s="56"/>
      <c r="AX1101" s="56"/>
      <c r="AY1101" s="56"/>
      <c r="AZ1101" s="56"/>
      <c r="BA1101" s="56"/>
      <c r="BB1101" s="56"/>
      <c r="BC1101" s="56"/>
      <c r="BD1101" s="56"/>
      <c r="BE1101" s="56"/>
      <c r="BF1101" s="56"/>
      <c r="BG1101" s="56"/>
      <c r="BH1101" s="56"/>
      <c r="BQ1101" s="56"/>
      <c r="BR1101" s="56"/>
      <c r="BS1101" s="56"/>
      <c r="BT1101" s="56"/>
    </row>
    <row r="1102" spans="1:72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V1102" s="56"/>
      <c r="AW1102" s="56"/>
      <c r="AX1102" s="56"/>
      <c r="AY1102" s="56"/>
      <c r="AZ1102" s="56"/>
      <c r="BA1102" s="56"/>
      <c r="BB1102" s="56"/>
      <c r="BC1102" s="56"/>
      <c r="BD1102" s="56"/>
      <c r="BE1102" s="56"/>
      <c r="BF1102" s="56"/>
      <c r="BG1102" s="56"/>
      <c r="BH1102" s="56"/>
      <c r="BQ1102" s="56"/>
      <c r="BR1102" s="56"/>
      <c r="BS1102" s="56"/>
      <c r="BT1102" s="56"/>
    </row>
    <row r="1103" spans="1:72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Q1103" s="56"/>
      <c r="BR1103" s="56"/>
      <c r="BS1103" s="56"/>
      <c r="BT1103" s="56"/>
    </row>
    <row r="1104" spans="1:72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V1104" s="56"/>
      <c r="AW1104" s="56"/>
      <c r="AX1104" s="56"/>
      <c r="AY1104" s="56"/>
      <c r="AZ1104" s="56"/>
      <c r="BA1104" s="56"/>
      <c r="BB1104" s="56"/>
      <c r="BC1104" s="56"/>
      <c r="BD1104" s="56"/>
      <c r="BE1104" s="56"/>
      <c r="BF1104" s="56"/>
      <c r="BG1104" s="56"/>
      <c r="BH1104" s="56"/>
      <c r="BQ1104" s="56"/>
      <c r="BR1104" s="56"/>
      <c r="BS1104" s="56"/>
      <c r="BT1104" s="56"/>
    </row>
    <row r="1105" spans="1:72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V1105" s="56"/>
      <c r="AW1105" s="56"/>
      <c r="AX1105" s="56"/>
      <c r="AY1105" s="56"/>
      <c r="AZ1105" s="56"/>
      <c r="BA1105" s="56"/>
      <c r="BB1105" s="56"/>
      <c r="BC1105" s="56"/>
      <c r="BD1105" s="56"/>
      <c r="BE1105" s="56"/>
      <c r="BF1105" s="56"/>
      <c r="BG1105" s="56"/>
      <c r="BH1105" s="56"/>
      <c r="BQ1105" s="56"/>
      <c r="BR1105" s="56"/>
      <c r="BS1105" s="56"/>
      <c r="BT1105" s="56"/>
    </row>
    <row r="1106" spans="1:72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V1106" s="56"/>
      <c r="AW1106" s="56"/>
      <c r="AX1106" s="56"/>
      <c r="AY1106" s="56"/>
      <c r="AZ1106" s="56"/>
      <c r="BA1106" s="56"/>
      <c r="BB1106" s="56"/>
      <c r="BC1106" s="56"/>
      <c r="BD1106" s="56"/>
      <c r="BE1106" s="56"/>
      <c r="BF1106" s="56"/>
      <c r="BG1106" s="56"/>
      <c r="BH1106" s="56"/>
      <c r="BQ1106" s="56"/>
      <c r="BR1106" s="56"/>
      <c r="BS1106" s="56"/>
      <c r="BT1106" s="56"/>
    </row>
    <row r="1107" spans="1:72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V1107" s="56"/>
      <c r="AW1107" s="56"/>
      <c r="AX1107" s="56"/>
      <c r="AY1107" s="56"/>
      <c r="AZ1107" s="56"/>
      <c r="BA1107" s="56"/>
      <c r="BB1107" s="56"/>
      <c r="BC1107" s="56"/>
      <c r="BD1107" s="56"/>
      <c r="BE1107" s="56"/>
      <c r="BF1107" s="56"/>
      <c r="BG1107" s="56"/>
      <c r="BH1107" s="56"/>
      <c r="BQ1107" s="56"/>
      <c r="BR1107" s="56"/>
      <c r="BS1107" s="56"/>
      <c r="BT1107" s="56"/>
    </row>
    <row r="1108" spans="1:72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V1108" s="56"/>
      <c r="AW1108" s="56"/>
      <c r="AX1108" s="56"/>
      <c r="AY1108" s="56"/>
      <c r="AZ1108" s="56"/>
      <c r="BA1108" s="56"/>
      <c r="BB1108" s="56"/>
      <c r="BC1108" s="56"/>
      <c r="BD1108" s="56"/>
      <c r="BE1108" s="56"/>
      <c r="BF1108" s="56"/>
      <c r="BG1108" s="56"/>
      <c r="BH1108" s="56"/>
      <c r="BQ1108" s="56"/>
      <c r="BR1108" s="56"/>
      <c r="BS1108" s="56"/>
      <c r="BT1108" s="56"/>
    </row>
    <row r="1109" spans="1:72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V1109" s="56"/>
      <c r="AW1109" s="56"/>
      <c r="AX1109" s="56"/>
      <c r="AY1109" s="56"/>
      <c r="AZ1109" s="56"/>
      <c r="BA1109" s="56"/>
      <c r="BB1109" s="56"/>
      <c r="BC1109" s="56"/>
      <c r="BD1109" s="56"/>
      <c r="BE1109" s="56"/>
      <c r="BF1109" s="56"/>
      <c r="BG1109" s="56"/>
      <c r="BH1109" s="56"/>
      <c r="BQ1109" s="56"/>
      <c r="BR1109" s="56"/>
      <c r="BS1109" s="56"/>
      <c r="BT1109" s="56"/>
    </row>
    <row r="1110" spans="1:72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V1110" s="56"/>
      <c r="AW1110" s="56"/>
      <c r="AX1110" s="56"/>
      <c r="AY1110" s="56"/>
      <c r="AZ1110" s="56"/>
      <c r="BA1110" s="56"/>
      <c r="BB1110" s="56"/>
      <c r="BC1110" s="56"/>
      <c r="BD1110" s="56"/>
      <c r="BE1110" s="56"/>
      <c r="BF1110" s="56"/>
      <c r="BG1110" s="56"/>
      <c r="BH1110" s="56"/>
      <c r="BQ1110" s="56"/>
      <c r="BR1110" s="56"/>
      <c r="BS1110" s="56"/>
      <c r="BT1110" s="56"/>
    </row>
    <row r="1111" spans="1:72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V1111" s="56"/>
      <c r="AW1111" s="56"/>
      <c r="AX1111" s="56"/>
      <c r="AY1111" s="56"/>
      <c r="AZ1111" s="56"/>
      <c r="BA1111" s="56"/>
      <c r="BB1111" s="56"/>
      <c r="BC1111" s="56"/>
      <c r="BD1111" s="56"/>
      <c r="BE1111" s="56"/>
      <c r="BF1111" s="56"/>
      <c r="BG1111" s="56"/>
      <c r="BH1111" s="56"/>
      <c r="BQ1111" s="56"/>
      <c r="BR1111" s="56"/>
      <c r="BS1111" s="56"/>
      <c r="BT1111" s="56"/>
    </row>
    <row r="1112" spans="1:72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V1112" s="56"/>
      <c r="AW1112" s="56"/>
      <c r="AX1112" s="56"/>
      <c r="AY1112" s="56"/>
      <c r="AZ1112" s="56"/>
      <c r="BA1112" s="56"/>
      <c r="BB1112" s="56"/>
      <c r="BC1112" s="56"/>
      <c r="BD1112" s="56"/>
      <c r="BE1112" s="56"/>
      <c r="BF1112" s="56"/>
      <c r="BG1112" s="56"/>
      <c r="BH1112" s="56"/>
      <c r="BQ1112" s="56"/>
      <c r="BR1112" s="56"/>
      <c r="BS1112" s="56"/>
      <c r="BT1112" s="56"/>
    </row>
    <row r="1113" spans="1:72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V1113" s="56"/>
      <c r="AW1113" s="56"/>
      <c r="AX1113" s="56"/>
      <c r="AY1113" s="56"/>
      <c r="AZ1113" s="56"/>
      <c r="BA1113" s="56"/>
      <c r="BB1113" s="56"/>
      <c r="BC1113" s="56"/>
      <c r="BD1113" s="56"/>
      <c r="BE1113" s="56"/>
      <c r="BF1113" s="56"/>
      <c r="BG1113" s="56"/>
      <c r="BH1113" s="56"/>
      <c r="BQ1113" s="56"/>
      <c r="BR1113" s="56"/>
      <c r="BS1113" s="56"/>
      <c r="BT1113" s="56"/>
    </row>
    <row r="1114" spans="1:72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V1114" s="56"/>
      <c r="AW1114" s="56"/>
      <c r="AX1114" s="56"/>
      <c r="AY1114" s="56"/>
      <c r="AZ1114" s="56"/>
      <c r="BA1114" s="56"/>
      <c r="BB1114" s="56"/>
      <c r="BC1114" s="56"/>
      <c r="BD1114" s="56"/>
      <c r="BE1114" s="56"/>
      <c r="BF1114" s="56"/>
      <c r="BG1114" s="56"/>
      <c r="BH1114" s="56"/>
      <c r="BQ1114" s="56"/>
      <c r="BR1114" s="56"/>
      <c r="BS1114" s="56"/>
      <c r="BT1114" s="56"/>
    </row>
    <row r="1115" spans="1:72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V1115" s="56"/>
      <c r="AW1115" s="56"/>
      <c r="AX1115" s="56"/>
      <c r="AY1115" s="56"/>
      <c r="AZ1115" s="56"/>
      <c r="BA1115" s="56"/>
      <c r="BB1115" s="56"/>
      <c r="BC1115" s="56"/>
      <c r="BD1115" s="56"/>
      <c r="BE1115" s="56"/>
      <c r="BF1115" s="56"/>
      <c r="BG1115" s="56"/>
      <c r="BH1115" s="56"/>
      <c r="BQ1115" s="56"/>
      <c r="BR1115" s="56"/>
      <c r="BS1115" s="56"/>
      <c r="BT1115" s="56"/>
    </row>
    <row r="1116" spans="1:72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V1116" s="56"/>
      <c r="AW1116" s="56"/>
      <c r="AX1116" s="56"/>
      <c r="AY1116" s="56"/>
      <c r="AZ1116" s="56"/>
      <c r="BA1116" s="56"/>
      <c r="BB1116" s="56"/>
      <c r="BC1116" s="56"/>
      <c r="BD1116" s="56"/>
      <c r="BE1116" s="56"/>
      <c r="BF1116" s="56"/>
      <c r="BG1116" s="56"/>
      <c r="BH1116" s="56"/>
      <c r="BQ1116" s="56"/>
      <c r="BR1116" s="56"/>
      <c r="BS1116" s="56"/>
      <c r="BT1116" s="56"/>
    </row>
    <row r="1117" spans="1:72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V1117" s="56"/>
      <c r="AW1117" s="56"/>
      <c r="AX1117" s="56"/>
      <c r="AY1117" s="56"/>
      <c r="AZ1117" s="56"/>
      <c r="BA1117" s="56"/>
      <c r="BB1117" s="56"/>
      <c r="BC1117" s="56"/>
      <c r="BD1117" s="56"/>
      <c r="BE1117" s="56"/>
      <c r="BF1117" s="56"/>
      <c r="BG1117" s="56"/>
      <c r="BH1117" s="56"/>
      <c r="BQ1117" s="56"/>
      <c r="BR1117" s="56"/>
      <c r="BS1117" s="56"/>
      <c r="BT1117" s="56"/>
    </row>
    <row r="1118" spans="1:72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V1118" s="56"/>
      <c r="AW1118" s="56"/>
      <c r="AX1118" s="56"/>
      <c r="AY1118" s="56"/>
      <c r="AZ1118" s="56"/>
      <c r="BA1118" s="56"/>
      <c r="BB1118" s="56"/>
      <c r="BC1118" s="56"/>
      <c r="BD1118" s="56"/>
      <c r="BE1118" s="56"/>
      <c r="BF1118" s="56"/>
      <c r="BG1118" s="56"/>
      <c r="BH1118" s="56"/>
      <c r="BQ1118" s="56"/>
      <c r="BR1118" s="56"/>
      <c r="BS1118" s="56"/>
      <c r="BT1118" s="56"/>
    </row>
    <row r="1119" spans="1:72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V1119" s="56"/>
      <c r="AW1119" s="56"/>
      <c r="AX1119" s="56"/>
      <c r="AY1119" s="56"/>
      <c r="AZ1119" s="56"/>
      <c r="BA1119" s="56"/>
      <c r="BB1119" s="56"/>
      <c r="BC1119" s="56"/>
      <c r="BD1119" s="56"/>
      <c r="BE1119" s="56"/>
      <c r="BF1119" s="56"/>
      <c r="BG1119" s="56"/>
      <c r="BH1119" s="56"/>
      <c r="BQ1119" s="56"/>
      <c r="BR1119" s="56"/>
      <c r="BS1119" s="56"/>
      <c r="BT1119" s="56"/>
    </row>
    <row r="1120" spans="1:72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V1120" s="56"/>
      <c r="AW1120" s="56"/>
      <c r="AX1120" s="56"/>
      <c r="AY1120" s="56"/>
      <c r="AZ1120" s="56"/>
      <c r="BA1120" s="56"/>
      <c r="BB1120" s="56"/>
      <c r="BC1120" s="56"/>
      <c r="BD1120" s="56"/>
      <c r="BE1120" s="56"/>
      <c r="BF1120" s="56"/>
      <c r="BG1120" s="56"/>
      <c r="BH1120" s="56"/>
      <c r="BQ1120" s="56"/>
      <c r="BR1120" s="56"/>
      <c r="BS1120" s="56"/>
      <c r="BT1120" s="56"/>
    </row>
    <row r="1121" spans="1:72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V1121" s="56"/>
      <c r="AW1121" s="56"/>
      <c r="AX1121" s="56"/>
      <c r="AY1121" s="56"/>
      <c r="AZ1121" s="56"/>
      <c r="BA1121" s="56"/>
      <c r="BB1121" s="56"/>
      <c r="BC1121" s="56"/>
      <c r="BD1121" s="56"/>
      <c r="BE1121" s="56"/>
      <c r="BF1121" s="56"/>
      <c r="BG1121" s="56"/>
      <c r="BH1121" s="56"/>
      <c r="BQ1121" s="56"/>
      <c r="BR1121" s="56"/>
      <c r="BS1121" s="56"/>
      <c r="BT1121" s="56"/>
    </row>
    <row r="1122" spans="1:72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V1122" s="56"/>
      <c r="AW1122" s="56"/>
      <c r="AX1122" s="56"/>
      <c r="AY1122" s="56"/>
      <c r="AZ1122" s="56"/>
      <c r="BA1122" s="56"/>
      <c r="BB1122" s="56"/>
      <c r="BC1122" s="56"/>
      <c r="BD1122" s="56"/>
      <c r="BE1122" s="56"/>
      <c r="BF1122" s="56"/>
      <c r="BG1122" s="56"/>
      <c r="BH1122" s="56"/>
      <c r="BQ1122" s="56"/>
      <c r="BR1122" s="56"/>
      <c r="BS1122" s="56"/>
      <c r="BT1122" s="56"/>
    </row>
    <row r="1123" spans="1:72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V1123" s="56"/>
      <c r="AW1123" s="56"/>
      <c r="AX1123" s="56"/>
      <c r="AY1123" s="56"/>
      <c r="AZ1123" s="56"/>
      <c r="BA1123" s="56"/>
      <c r="BB1123" s="56"/>
      <c r="BC1123" s="56"/>
      <c r="BD1123" s="56"/>
      <c r="BE1123" s="56"/>
      <c r="BF1123" s="56"/>
      <c r="BG1123" s="56"/>
      <c r="BH1123" s="56"/>
      <c r="BQ1123" s="56"/>
      <c r="BR1123" s="56"/>
      <c r="BS1123" s="56"/>
      <c r="BT1123" s="56"/>
    </row>
    <row r="1124" spans="1:72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V1124" s="56"/>
      <c r="AW1124" s="56"/>
      <c r="AX1124" s="56"/>
      <c r="AY1124" s="56"/>
      <c r="AZ1124" s="56"/>
      <c r="BA1124" s="56"/>
      <c r="BB1124" s="56"/>
      <c r="BC1124" s="56"/>
      <c r="BD1124" s="56"/>
      <c r="BE1124" s="56"/>
      <c r="BF1124" s="56"/>
      <c r="BG1124" s="56"/>
      <c r="BH1124" s="56"/>
      <c r="BQ1124" s="56"/>
      <c r="BR1124" s="56"/>
      <c r="BS1124" s="56"/>
      <c r="BT1124" s="56"/>
    </row>
    <row r="1125" spans="1:72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V1125" s="56"/>
      <c r="AW1125" s="56"/>
      <c r="AX1125" s="56"/>
      <c r="AY1125" s="56"/>
      <c r="AZ1125" s="56"/>
      <c r="BA1125" s="56"/>
      <c r="BB1125" s="56"/>
      <c r="BC1125" s="56"/>
      <c r="BD1125" s="56"/>
      <c r="BE1125" s="56"/>
      <c r="BF1125" s="56"/>
      <c r="BG1125" s="56"/>
      <c r="BH1125" s="56"/>
      <c r="BQ1125" s="56"/>
      <c r="BR1125" s="56"/>
      <c r="BS1125" s="56"/>
      <c r="BT1125" s="56"/>
    </row>
    <row r="1126" spans="1:72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V1126" s="56"/>
      <c r="AW1126" s="56"/>
      <c r="AX1126" s="56"/>
      <c r="AY1126" s="56"/>
      <c r="AZ1126" s="56"/>
      <c r="BA1126" s="56"/>
      <c r="BB1126" s="56"/>
      <c r="BC1126" s="56"/>
      <c r="BD1126" s="56"/>
      <c r="BE1126" s="56"/>
      <c r="BF1126" s="56"/>
      <c r="BG1126" s="56"/>
      <c r="BH1126" s="56"/>
      <c r="BQ1126" s="56"/>
      <c r="BR1126" s="56"/>
      <c r="BS1126" s="56"/>
      <c r="BT1126" s="56"/>
    </row>
    <row r="1127" spans="1:72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V1127" s="56"/>
      <c r="AW1127" s="56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Q1127" s="56"/>
      <c r="BR1127" s="56"/>
      <c r="BS1127" s="56"/>
      <c r="BT1127" s="56"/>
    </row>
    <row r="1128" spans="1:72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V1128" s="56"/>
      <c r="AW1128" s="56"/>
      <c r="AX1128" s="56"/>
      <c r="AY1128" s="56"/>
      <c r="AZ1128" s="56"/>
      <c r="BA1128" s="56"/>
      <c r="BB1128" s="56"/>
      <c r="BC1128" s="56"/>
      <c r="BD1128" s="56"/>
      <c r="BE1128" s="56"/>
      <c r="BF1128" s="56"/>
      <c r="BG1128" s="56"/>
      <c r="BH1128" s="56"/>
      <c r="BQ1128" s="56"/>
      <c r="BR1128" s="56"/>
      <c r="BS1128" s="56"/>
      <c r="BT1128" s="56"/>
    </row>
    <row r="1129" spans="1:72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V1129" s="56"/>
      <c r="AW1129" s="56"/>
      <c r="AX1129" s="56"/>
      <c r="AY1129" s="56"/>
      <c r="AZ1129" s="56"/>
      <c r="BA1129" s="56"/>
      <c r="BB1129" s="56"/>
      <c r="BC1129" s="56"/>
      <c r="BD1129" s="56"/>
      <c r="BE1129" s="56"/>
      <c r="BF1129" s="56"/>
      <c r="BG1129" s="56"/>
      <c r="BH1129" s="56"/>
      <c r="BQ1129" s="56"/>
      <c r="BR1129" s="56"/>
      <c r="BS1129" s="56"/>
      <c r="BT1129" s="56"/>
    </row>
    <row r="1130" spans="1:72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V1130" s="56"/>
      <c r="AW1130" s="56"/>
      <c r="AX1130" s="56"/>
      <c r="AY1130" s="56"/>
      <c r="AZ1130" s="56"/>
      <c r="BA1130" s="56"/>
      <c r="BB1130" s="56"/>
      <c r="BC1130" s="56"/>
      <c r="BD1130" s="56"/>
      <c r="BE1130" s="56"/>
      <c r="BF1130" s="56"/>
      <c r="BG1130" s="56"/>
      <c r="BH1130" s="56"/>
      <c r="BQ1130" s="56"/>
      <c r="BR1130" s="56"/>
      <c r="BS1130" s="56"/>
      <c r="BT1130" s="56"/>
    </row>
    <row r="1131" spans="1:72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V1131" s="56"/>
      <c r="AW1131" s="56"/>
      <c r="AX1131" s="56"/>
      <c r="AY1131" s="56"/>
      <c r="AZ1131" s="56"/>
      <c r="BA1131" s="56"/>
      <c r="BB1131" s="56"/>
      <c r="BC1131" s="56"/>
      <c r="BD1131" s="56"/>
      <c r="BE1131" s="56"/>
      <c r="BF1131" s="56"/>
      <c r="BG1131" s="56"/>
      <c r="BH1131" s="56"/>
      <c r="BQ1131" s="56"/>
      <c r="BR1131" s="56"/>
      <c r="BS1131" s="56"/>
      <c r="BT1131" s="56"/>
    </row>
    <row r="1132" spans="1:72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V1132" s="56"/>
      <c r="AW1132" s="56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Q1132" s="56"/>
      <c r="BR1132" s="56"/>
      <c r="BS1132" s="56"/>
      <c r="BT1132" s="56"/>
    </row>
    <row r="1133" spans="1:72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V1133" s="56"/>
      <c r="AW1133" s="56"/>
      <c r="AX1133" s="56"/>
      <c r="AY1133" s="56"/>
      <c r="AZ1133" s="56"/>
      <c r="BA1133" s="56"/>
      <c r="BB1133" s="56"/>
      <c r="BC1133" s="56"/>
      <c r="BD1133" s="56"/>
      <c r="BE1133" s="56"/>
      <c r="BF1133" s="56"/>
      <c r="BG1133" s="56"/>
      <c r="BH1133" s="56"/>
      <c r="BQ1133" s="56"/>
      <c r="BR1133" s="56"/>
      <c r="BS1133" s="56"/>
      <c r="BT1133" s="56"/>
    </row>
    <row r="1134" spans="1:72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V1134" s="56"/>
      <c r="AW1134" s="56"/>
      <c r="AX1134" s="56"/>
      <c r="AY1134" s="56"/>
      <c r="AZ1134" s="56"/>
      <c r="BA1134" s="56"/>
      <c r="BB1134" s="56"/>
      <c r="BC1134" s="56"/>
      <c r="BD1134" s="56"/>
      <c r="BE1134" s="56"/>
      <c r="BF1134" s="56"/>
      <c r="BG1134" s="56"/>
      <c r="BH1134" s="56"/>
      <c r="BQ1134" s="56"/>
      <c r="BR1134" s="56"/>
      <c r="BS1134" s="56"/>
      <c r="BT1134" s="56"/>
    </row>
    <row r="1135" spans="1:72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V1135" s="56"/>
      <c r="AW1135" s="56"/>
      <c r="AX1135" s="56"/>
      <c r="AY1135" s="56"/>
      <c r="AZ1135" s="56"/>
      <c r="BA1135" s="56"/>
      <c r="BB1135" s="56"/>
      <c r="BC1135" s="56"/>
      <c r="BD1135" s="56"/>
      <c r="BE1135" s="56"/>
      <c r="BF1135" s="56"/>
      <c r="BG1135" s="56"/>
      <c r="BH1135" s="56"/>
      <c r="BQ1135" s="56"/>
      <c r="BR1135" s="56"/>
      <c r="BS1135" s="56"/>
      <c r="BT1135" s="56"/>
    </row>
    <row r="1136" spans="1:72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V1136" s="56"/>
      <c r="AW1136" s="56"/>
      <c r="AX1136" s="56"/>
      <c r="AY1136" s="56"/>
      <c r="AZ1136" s="56"/>
      <c r="BA1136" s="56"/>
      <c r="BB1136" s="56"/>
      <c r="BC1136" s="56"/>
      <c r="BD1136" s="56"/>
      <c r="BE1136" s="56"/>
      <c r="BF1136" s="56"/>
      <c r="BG1136" s="56"/>
      <c r="BH1136" s="56"/>
      <c r="BQ1136" s="56"/>
      <c r="BR1136" s="56"/>
      <c r="BS1136" s="56"/>
      <c r="BT1136" s="56"/>
    </row>
    <row r="1137" spans="1:72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V1137" s="56"/>
      <c r="AW1137" s="56"/>
      <c r="AX1137" s="56"/>
      <c r="AY1137" s="56"/>
      <c r="AZ1137" s="56"/>
      <c r="BA1137" s="56"/>
      <c r="BB1137" s="56"/>
      <c r="BC1137" s="56"/>
      <c r="BD1137" s="56"/>
      <c r="BE1137" s="56"/>
      <c r="BF1137" s="56"/>
      <c r="BG1137" s="56"/>
      <c r="BH1137" s="56"/>
      <c r="BQ1137" s="56"/>
      <c r="BR1137" s="56"/>
      <c r="BS1137" s="56"/>
      <c r="BT1137" s="56"/>
    </row>
    <row r="1138" spans="1:72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V1138" s="56"/>
      <c r="AW1138" s="56"/>
      <c r="AX1138" s="56"/>
      <c r="AY1138" s="56"/>
      <c r="AZ1138" s="56"/>
      <c r="BA1138" s="56"/>
      <c r="BB1138" s="56"/>
      <c r="BC1138" s="56"/>
      <c r="BD1138" s="56"/>
      <c r="BE1138" s="56"/>
      <c r="BF1138" s="56"/>
      <c r="BG1138" s="56"/>
      <c r="BH1138" s="56"/>
      <c r="BQ1138" s="56"/>
      <c r="BR1138" s="56"/>
      <c r="BS1138" s="56"/>
      <c r="BT1138" s="56"/>
    </row>
    <row r="1139" spans="1:72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V1139" s="56"/>
      <c r="AW1139" s="56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Q1139" s="56"/>
      <c r="BR1139" s="56"/>
      <c r="BS1139" s="56"/>
      <c r="BT1139" s="56"/>
    </row>
    <row r="1140" spans="1:72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V1140" s="56"/>
      <c r="AW1140" s="56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Q1140" s="56"/>
      <c r="BR1140" s="56"/>
      <c r="BS1140" s="56"/>
      <c r="BT1140" s="56"/>
    </row>
    <row r="1141" spans="1:72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V1141" s="56"/>
      <c r="AW1141" s="56"/>
      <c r="AX1141" s="56"/>
      <c r="AY1141" s="56"/>
      <c r="AZ1141" s="56"/>
      <c r="BA1141" s="56"/>
      <c r="BB1141" s="56"/>
      <c r="BC1141" s="56"/>
      <c r="BD1141" s="56"/>
      <c r="BE1141" s="56"/>
      <c r="BF1141" s="56"/>
      <c r="BG1141" s="56"/>
      <c r="BH1141" s="56"/>
      <c r="BQ1141" s="56"/>
      <c r="BR1141" s="56"/>
      <c r="BS1141" s="56"/>
      <c r="BT1141" s="56"/>
    </row>
    <row r="1142" spans="1:72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V1142" s="56"/>
      <c r="AW1142" s="56"/>
      <c r="AX1142" s="56"/>
      <c r="AY1142" s="56"/>
      <c r="AZ1142" s="56"/>
      <c r="BA1142" s="56"/>
      <c r="BB1142" s="56"/>
      <c r="BC1142" s="56"/>
      <c r="BD1142" s="56"/>
      <c r="BE1142" s="56"/>
      <c r="BF1142" s="56"/>
      <c r="BG1142" s="56"/>
      <c r="BH1142" s="56"/>
      <c r="BQ1142" s="56"/>
      <c r="BR1142" s="56"/>
      <c r="BS1142" s="56"/>
      <c r="BT1142" s="56"/>
    </row>
    <row r="1143" spans="1:72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V1143" s="56"/>
      <c r="AW1143" s="56"/>
      <c r="AX1143" s="56"/>
      <c r="AY1143" s="56"/>
      <c r="AZ1143" s="56"/>
      <c r="BA1143" s="56"/>
      <c r="BB1143" s="56"/>
      <c r="BC1143" s="56"/>
      <c r="BD1143" s="56"/>
      <c r="BE1143" s="56"/>
      <c r="BF1143" s="56"/>
      <c r="BG1143" s="56"/>
      <c r="BH1143" s="56"/>
      <c r="BQ1143" s="56"/>
      <c r="BR1143" s="56"/>
      <c r="BS1143" s="56"/>
      <c r="BT1143" s="56"/>
    </row>
    <row r="1144" spans="1:72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V1144" s="56"/>
      <c r="AW1144" s="56"/>
      <c r="AX1144" s="56"/>
      <c r="AY1144" s="56"/>
      <c r="AZ1144" s="56"/>
      <c r="BA1144" s="56"/>
      <c r="BB1144" s="56"/>
      <c r="BC1144" s="56"/>
      <c r="BD1144" s="56"/>
      <c r="BE1144" s="56"/>
      <c r="BF1144" s="56"/>
      <c r="BG1144" s="56"/>
      <c r="BH1144" s="56"/>
      <c r="BQ1144" s="56"/>
      <c r="BR1144" s="56"/>
      <c r="BS1144" s="56"/>
      <c r="BT1144" s="56"/>
    </row>
    <row r="1145" spans="1:72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V1145" s="56"/>
      <c r="AW1145" s="56"/>
      <c r="AX1145" s="56"/>
      <c r="AY1145" s="56"/>
      <c r="AZ1145" s="56"/>
      <c r="BA1145" s="56"/>
      <c r="BB1145" s="56"/>
      <c r="BC1145" s="56"/>
      <c r="BD1145" s="56"/>
      <c r="BE1145" s="56"/>
      <c r="BF1145" s="56"/>
      <c r="BG1145" s="56"/>
      <c r="BH1145" s="56"/>
      <c r="BQ1145" s="56"/>
      <c r="BR1145" s="56"/>
      <c r="BS1145" s="56"/>
      <c r="BT1145" s="56"/>
    </row>
    <row r="1146" spans="1:72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V1146" s="56"/>
      <c r="AW1146" s="56"/>
      <c r="AX1146" s="56"/>
      <c r="AY1146" s="56"/>
      <c r="AZ1146" s="56"/>
      <c r="BA1146" s="56"/>
      <c r="BB1146" s="56"/>
      <c r="BC1146" s="56"/>
      <c r="BD1146" s="56"/>
      <c r="BE1146" s="56"/>
      <c r="BF1146" s="56"/>
      <c r="BG1146" s="56"/>
      <c r="BH1146" s="56"/>
      <c r="BQ1146" s="56"/>
      <c r="BR1146" s="56"/>
      <c r="BS1146" s="56"/>
      <c r="BT1146" s="56"/>
    </row>
    <row r="1147" spans="1:72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V1147" s="56"/>
      <c r="AW1147" s="56"/>
      <c r="AX1147" s="56"/>
      <c r="AY1147" s="56"/>
      <c r="AZ1147" s="56"/>
      <c r="BA1147" s="56"/>
      <c r="BB1147" s="56"/>
      <c r="BC1147" s="56"/>
      <c r="BD1147" s="56"/>
      <c r="BE1147" s="56"/>
      <c r="BF1147" s="56"/>
      <c r="BG1147" s="56"/>
      <c r="BH1147" s="56"/>
      <c r="BQ1147" s="56"/>
      <c r="BR1147" s="56"/>
      <c r="BS1147" s="56"/>
      <c r="BT1147" s="56"/>
    </row>
    <row r="1148" spans="1:72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V1148" s="56"/>
      <c r="AW1148" s="56"/>
      <c r="AX1148" s="56"/>
      <c r="AY1148" s="56"/>
      <c r="AZ1148" s="56"/>
      <c r="BA1148" s="56"/>
      <c r="BB1148" s="56"/>
      <c r="BC1148" s="56"/>
      <c r="BD1148" s="56"/>
      <c r="BE1148" s="56"/>
      <c r="BF1148" s="56"/>
      <c r="BG1148" s="56"/>
      <c r="BH1148" s="56"/>
      <c r="BQ1148" s="56"/>
      <c r="BR1148" s="56"/>
      <c r="BS1148" s="56"/>
      <c r="BT1148" s="56"/>
    </row>
    <row r="1149" spans="1:72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V1149" s="56"/>
      <c r="AW1149" s="56"/>
      <c r="AX1149" s="56"/>
      <c r="AY1149" s="56"/>
      <c r="AZ1149" s="56"/>
      <c r="BA1149" s="56"/>
      <c r="BB1149" s="56"/>
      <c r="BC1149" s="56"/>
      <c r="BD1149" s="56"/>
      <c r="BE1149" s="56"/>
      <c r="BF1149" s="56"/>
      <c r="BG1149" s="56"/>
      <c r="BH1149" s="56"/>
      <c r="BQ1149" s="56"/>
      <c r="BR1149" s="56"/>
      <c r="BS1149" s="56"/>
      <c r="BT1149" s="56"/>
    </row>
    <row r="1150" spans="1:72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V1150" s="56"/>
      <c r="AW1150" s="56"/>
      <c r="AX1150" s="56"/>
      <c r="AY1150" s="56"/>
      <c r="AZ1150" s="56"/>
      <c r="BA1150" s="56"/>
      <c r="BB1150" s="56"/>
      <c r="BC1150" s="56"/>
      <c r="BD1150" s="56"/>
      <c r="BE1150" s="56"/>
      <c r="BF1150" s="56"/>
      <c r="BG1150" s="56"/>
      <c r="BH1150" s="56"/>
      <c r="BQ1150" s="56"/>
      <c r="BR1150" s="56"/>
      <c r="BS1150" s="56"/>
      <c r="BT1150" s="56"/>
    </row>
    <row r="1151" spans="1:72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V1151" s="56"/>
      <c r="AW1151" s="56"/>
      <c r="AX1151" s="56"/>
      <c r="AY1151" s="56"/>
      <c r="AZ1151" s="56"/>
      <c r="BA1151" s="56"/>
      <c r="BB1151" s="56"/>
      <c r="BC1151" s="56"/>
      <c r="BD1151" s="56"/>
      <c r="BE1151" s="56"/>
      <c r="BF1151" s="56"/>
      <c r="BG1151" s="56"/>
      <c r="BH1151" s="56"/>
      <c r="BQ1151" s="56"/>
      <c r="BR1151" s="56"/>
      <c r="BS1151" s="56"/>
      <c r="BT1151" s="56"/>
    </row>
    <row r="1152" spans="1:72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V1152" s="56"/>
      <c r="AW1152" s="56"/>
      <c r="AX1152" s="56"/>
      <c r="AY1152" s="56"/>
      <c r="AZ1152" s="56"/>
      <c r="BA1152" s="56"/>
      <c r="BB1152" s="56"/>
      <c r="BC1152" s="56"/>
      <c r="BD1152" s="56"/>
      <c r="BE1152" s="56"/>
      <c r="BF1152" s="56"/>
      <c r="BG1152" s="56"/>
      <c r="BH1152" s="56"/>
      <c r="BQ1152" s="56"/>
      <c r="BR1152" s="56"/>
      <c r="BS1152" s="56"/>
      <c r="BT1152" s="56"/>
    </row>
    <row r="1153" spans="3:72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V1153" s="56"/>
      <c r="AW1153" s="56"/>
      <c r="AX1153" s="56"/>
      <c r="AY1153" s="56"/>
      <c r="AZ1153" s="56"/>
      <c r="BA1153" s="56"/>
      <c r="BB1153" s="56"/>
      <c r="BC1153" s="56"/>
      <c r="BD1153" s="56"/>
      <c r="BE1153" s="56"/>
      <c r="BF1153" s="56"/>
      <c r="BG1153" s="56"/>
      <c r="BH1153" s="56"/>
      <c r="BQ1153" s="56"/>
      <c r="BR1153" s="56"/>
      <c r="BS1153" s="56"/>
      <c r="BT1153" s="56"/>
    </row>
    <row r="1154" spans="3:72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V1154" s="56"/>
      <c r="AW1154" s="56"/>
      <c r="AX1154" s="56"/>
      <c r="AY1154" s="56"/>
      <c r="AZ1154" s="56"/>
      <c r="BA1154" s="56"/>
      <c r="BB1154" s="56"/>
      <c r="BC1154" s="56"/>
      <c r="BD1154" s="56"/>
      <c r="BE1154" s="56"/>
      <c r="BF1154" s="56"/>
      <c r="BG1154" s="56"/>
      <c r="BH1154" s="56"/>
      <c r="BQ1154" s="56"/>
      <c r="BR1154" s="56"/>
      <c r="BS1154" s="56"/>
      <c r="BT1154" s="56"/>
    </row>
  </sheetData>
  <mergeCells count="1">
    <mergeCell ref="A1:A2"/>
  </mergeCells>
  <conditionalFormatting sqref="J7:AU7">
    <cfRule type="expression" dxfId="289" priority="1">
      <formula>$AV7=0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9"/>
  <dimension ref="A1:BP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22" width="11.5703125" style="1" customWidth="1"/>
    <col min="23" max="29" width="8.85546875"/>
    <col min="30" max="31" width="9.140625" style="56"/>
    <col min="32" max="37" width="11.5703125" style="1" customWidth="1"/>
    <col min="38" max="38" width="13" style="1" customWidth="1"/>
    <col min="39" max="40" width="11.5703125" style="56" customWidth="1"/>
    <col min="41" max="41" width="12.42578125" style="56" customWidth="1"/>
    <col min="42" max="42" width="12.140625" style="56" customWidth="1"/>
    <col min="43" max="44" width="13" style="56" customWidth="1"/>
    <col min="45" max="46" width="11.5703125" style="1" customWidth="1"/>
    <col min="47" max="47" width="13" style="1" customWidth="1"/>
    <col min="48" max="54" width="8.85546875"/>
    <col min="55" max="60" width="13" style="56" customWidth="1"/>
    <col min="61" max="63" width="11.5703125" style="56" customWidth="1"/>
    <col min="64" max="68" width="13" style="56" customWidth="1"/>
    <col min="69" max="16384" width="9.140625" style="56"/>
  </cols>
  <sheetData>
    <row r="1" spans="1:68" s="1" customFormat="1" ht="23.25" x14ac:dyDescent="0.35">
      <c r="A1" s="96"/>
      <c r="C1" s="70" t="s">
        <v>1529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83" t="s">
        <v>1629</v>
      </c>
      <c r="AE1" s="85"/>
      <c r="AF1" s="74" t="s">
        <v>447</v>
      </c>
      <c r="AG1" s="75"/>
      <c r="AH1" s="75"/>
      <c r="AI1" s="74" t="s">
        <v>446</v>
      </c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</row>
    <row r="2" spans="1:68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</row>
    <row r="3" spans="1:68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1486</v>
      </c>
      <c r="K3" s="44"/>
      <c r="L3" s="44"/>
      <c r="M3" s="44"/>
      <c r="N3" s="44"/>
      <c r="O3" s="44"/>
      <c r="P3" s="44"/>
      <c r="Q3" s="44"/>
      <c r="R3" s="44"/>
      <c r="S3" s="44"/>
      <c r="T3" s="42" t="s">
        <v>1487</v>
      </c>
      <c r="U3" s="44"/>
      <c r="V3" s="44"/>
      <c r="W3" s="44"/>
      <c r="X3" s="44"/>
      <c r="Y3" s="44"/>
      <c r="Z3" s="44"/>
      <c r="AA3" s="44"/>
      <c r="AB3" s="44"/>
      <c r="AC3" s="44"/>
      <c r="AD3" s="90" t="s">
        <v>1630</v>
      </c>
      <c r="AE3" s="86"/>
      <c r="AF3" s="48" t="s">
        <v>106</v>
      </c>
      <c r="AG3" s="50"/>
      <c r="AH3" s="50"/>
      <c r="AI3" s="64" t="s">
        <v>505</v>
      </c>
      <c r="AJ3" s="65"/>
      <c r="AK3" s="65"/>
      <c r="AL3" s="65"/>
      <c r="AM3" s="65"/>
      <c r="AN3" s="65"/>
      <c r="AO3" s="65"/>
      <c r="AP3" s="65"/>
      <c r="AQ3" s="65"/>
      <c r="AR3" s="65"/>
      <c r="AS3" s="64" t="s">
        <v>506</v>
      </c>
      <c r="AT3" s="65"/>
      <c r="AU3" s="65"/>
      <c r="AV3" s="65"/>
      <c r="AW3" s="65"/>
      <c r="AX3" s="65"/>
      <c r="AY3" s="65"/>
      <c r="AZ3" s="65"/>
      <c r="BA3" s="65"/>
      <c r="BB3" s="66"/>
    </row>
    <row r="4" spans="1:68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1466</v>
      </c>
      <c r="K4" s="13" t="s">
        <v>1467</v>
      </c>
      <c r="L4" s="13" t="s">
        <v>81</v>
      </c>
      <c r="M4" s="13" t="s">
        <v>83</v>
      </c>
      <c r="N4" s="13" t="s">
        <v>86</v>
      </c>
      <c r="O4" s="13" t="s">
        <v>88</v>
      </c>
      <c r="P4" s="13" t="s">
        <v>90</v>
      </c>
      <c r="Q4" s="13" t="s">
        <v>92</v>
      </c>
      <c r="R4" s="13" t="s">
        <v>94</v>
      </c>
      <c r="S4" s="13" t="s">
        <v>96</v>
      </c>
      <c r="T4" s="8" t="s">
        <v>1468</v>
      </c>
      <c r="U4" s="13" t="s">
        <v>1476</v>
      </c>
      <c r="V4" s="13" t="s">
        <v>511</v>
      </c>
      <c r="W4" s="13" t="s">
        <v>513</v>
      </c>
      <c r="X4" s="13" t="s">
        <v>515</v>
      </c>
      <c r="Y4" s="13" t="s">
        <v>517</v>
      </c>
      <c r="Z4" s="13" t="s">
        <v>519</v>
      </c>
      <c r="AA4" s="13" t="s">
        <v>521</v>
      </c>
      <c r="AB4" s="13" t="s">
        <v>523</v>
      </c>
      <c r="AC4" s="13" t="s">
        <v>525</v>
      </c>
      <c r="AD4" s="91" t="s">
        <v>1637</v>
      </c>
      <c r="AE4" s="87" t="s">
        <v>1638</v>
      </c>
      <c r="AF4" s="10" t="s">
        <v>403</v>
      </c>
      <c r="AG4" s="11" t="s">
        <v>132</v>
      </c>
      <c r="AH4" s="11" t="s">
        <v>133</v>
      </c>
      <c r="AI4" s="67" t="s">
        <v>1466</v>
      </c>
      <c r="AJ4" s="68" t="s">
        <v>1467</v>
      </c>
      <c r="AK4" s="68" t="s">
        <v>81</v>
      </c>
      <c r="AL4" s="68" t="s">
        <v>83</v>
      </c>
      <c r="AM4" s="68" t="s">
        <v>86</v>
      </c>
      <c r="AN4" s="68" t="s">
        <v>88</v>
      </c>
      <c r="AO4" s="68" t="s">
        <v>90</v>
      </c>
      <c r="AP4" s="68" t="s">
        <v>92</v>
      </c>
      <c r="AQ4" s="68" t="s">
        <v>94</v>
      </c>
      <c r="AR4" s="68" t="s">
        <v>96</v>
      </c>
      <c r="AS4" s="67" t="s">
        <v>1477</v>
      </c>
      <c r="AT4" s="68" t="s">
        <v>1478</v>
      </c>
      <c r="AU4" s="68" t="s">
        <v>511</v>
      </c>
      <c r="AV4" s="68" t="s">
        <v>513</v>
      </c>
      <c r="AW4" s="68" t="s">
        <v>515</v>
      </c>
      <c r="AX4" s="68" t="s">
        <v>517</v>
      </c>
      <c r="AY4" s="68" t="s">
        <v>519</v>
      </c>
      <c r="AZ4" s="68" t="s">
        <v>521</v>
      </c>
      <c r="BA4" s="68" t="s">
        <v>523</v>
      </c>
      <c r="BB4" s="69" t="s">
        <v>525</v>
      </c>
    </row>
    <row r="5" spans="1:68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I5" s="47">
        <f>SUBTOTAL(109,pmtct_T[hts_tst_pmtctanc_u1_f_pos])</f>
        <v>0</v>
      </c>
      <c r="AJ5" s="47">
        <f>SUBTOTAL(109,pmtct_T[hts_tst_pmtctanc_0109_f_pos])</f>
        <v>0</v>
      </c>
      <c r="AK5" s="47">
        <f>SUBTOTAL(109,pmtct_T[hts_tst_pmtctanc_1014_f_pos])</f>
        <v>0</v>
      </c>
      <c r="AL5" s="47">
        <f>SUBTOTAL(109,pmtct_T[hts_tst_pmtctanc_1519_f_pos])</f>
        <v>0</v>
      </c>
      <c r="AM5" s="47">
        <f>SUBTOTAL(109,pmtct_T[hts_tst_pmtctanc_2024_f_pos])</f>
        <v>0</v>
      </c>
      <c r="AN5" s="47">
        <f>SUBTOTAL(109,pmtct_T[hts_tst_pmtctanc_2529_f_pos])</f>
        <v>0</v>
      </c>
      <c r="AO5" s="47">
        <f>SUBTOTAL(109,pmtct_T[hts_tst_pmtctanc_3034_f_pos])</f>
        <v>0</v>
      </c>
      <c r="AP5" s="47">
        <f>SUBTOTAL(109,pmtct_T[hts_tst_pmtctanc_3539_f_pos])</f>
        <v>0</v>
      </c>
      <c r="AQ5" s="47">
        <f>SUBTOTAL(109,pmtct_T[hts_tst_pmtctanc_4049_f_pos])</f>
        <v>0</v>
      </c>
      <c r="AR5" s="47">
        <f>SUBTOTAL(109,pmtct_T[hts_tst_pmtctanc_o50_f_pos])</f>
        <v>0</v>
      </c>
      <c r="AS5" s="47">
        <f>SUBTOTAL(109,pmtct_T[hts_tst_pmtctanc_u1_f_neg])</f>
        <v>0</v>
      </c>
      <c r="AT5" s="47">
        <f>SUBTOTAL(109,pmtct_T[hts_tst_pmtctanc_0109_f_neg])</f>
        <v>0</v>
      </c>
      <c r="AU5" s="47">
        <f>SUBTOTAL(109,pmtct_T[hts_tst_pmtctanc_1014_f_neg])</f>
        <v>0</v>
      </c>
      <c r="AV5" s="47">
        <f>SUBTOTAL(109,pmtct_T[hts_tst_pmtctanc_1519_f_neg])</f>
        <v>0</v>
      </c>
      <c r="AW5" s="47">
        <f>SUBTOTAL(109,pmtct_T[hts_tst_pmtctanc_2024_f_neg])</f>
        <v>0</v>
      </c>
      <c r="AX5" s="47">
        <f>SUBTOTAL(109,pmtct_T[hts_tst_pmtctanc_2529_f_neg])</f>
        <v>0</v>
      </c>
      <c r="AY5" s="47">
        <f>SUBTOTAL(109,pmtct_T[hts_tst_pmtctanc_3034_f_neg])</f>
        <v>0</v>
      </c>
      <c r="AZ5" s="47">
        <f>SUBTOTAL(109,pmtct_T[hts_tst_pmtctanc_3539_f_neg])</f>
        <v>0</v>
      </c>
      <c r="BA5" s="47">
        <f>SUBTOTAL(109,pmtct_T[hts_tst_pmtctanc_4049_f_neg])</f>
        <v>0</v>
      </c>
      <c r="BB5" s="47">
        <f>SUBTOTAL(109,pmtct_T[hts_tst_pmtctanc_o50_f_neg])</f>
        <v>0</v>
      </c>
    </row>
    <row r="6" spans="1:68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1530</v>
      </c>
      <c r="K6" s="25" t="s">
        <v>1531</v>
      </c>
      <c r="L6" s="25" t="s">
        <v>1532</v>
      </c>
      <c r="M6" s="25" t="s">
        <v>1533</v>
      </c>
      <c r="N6" s="25" t="s">
        <v>1534</v>
      </c>
      <c r="O6" s="25" t="s">
        <v>1535</v>
      </c>
      <c r="P6" s="25" t="s">
        <v>1536</v>
      </c>
      <c r="Q6" s="25" t="s">
        <v>1537</v>
      </c>
      <c r="R6" s="25" t="s">
        <v>1538</v>
      </c>
      <c r="S6" s="25" t="s">
        <v>1539</v>
      </c>
      <c r="T6" s="25" t="s">
        <v>1540</v>
      </c>
      <c r="U6" s="25" t="s">
        <v>1541</v>
      </c>
      <c r="V6" s="25" t="s">
        <v>1542</v>
      </c>
      <c r="W6" s="25" t="s">
        <v>1543</v>
      </c>
      <c r="X6" s="25" t="s">
        <v>1544</v>
      </c>
      <c r="Y6" s="25" t="s">
        <v>1545</v>
      </c>
      <c r="Z6" s="25" t="s">
        <v>1546</v>
      </c>
      <c r="AA6" s="25" t="s">
        <v>1547</v>
      </c>
      <c r="AB6" s="25" t="s">
        <v>1548</v>
      </c>
      <c r="AC6" s="25" t="s">
        <v>1549</v>
      </c>
      <c r="AD6" s="25" t="s">
        <v>1631</v>
      </c>
      <c r="AE6" s="25" t="s">
        <v>1632</v>
      </c>
      <c r="AF6" s="25" t="s">
        <v>416</v>
      </c>
      <c r="AG6" s="25" t="s">
        <v>206</v>
      </c>
      <c r="AH6" s="25" t="s">
        <v>207</v>
      </c>
      <c r="AI6" s="25" t="s">
        <v>1550</v>
      </c>
      <c r="AJ6" s="25" t="s">
        <v>1551</v>
      </c>
      <c r="AK6" s="25" t="s">
        <v>1552</v>
      </c>
      <c r="AL6" s="25" t="s">
        <v>1553</v>
      </c>
      <c r="AM6" s="25" t="s">
        <v>1554</v>
      </c>
      <c r="AN6" s="25" t="s">
        <v>1555</v>
      </c>
      <c r="AO6" s="25" t="s">
        <v>1556</v>
      </c>
      <c r="AP6" s="25" t="s">
        <v>1557</v>
      </c>
      <c r="AQ6" s="25" t="s">
        <v>1558</v>
      </c>
      <c r="AR6" s="25" t="s">
        <v>1559</v>
      </c>
      <c r="AS6" s="25" t="s">
        <v>1560</v>
      </c>
      <c r="AT6" s="25" t="s">
        <v>1561</v>
      </c>
      <c r="AU6" s="25" t="s">
        <v>1562</v>
      </c>
      <c r="AV6" s="25" t="s">
        <v>1563</v>
      </c>
      <c r="AW6" s="25" t="s">
        <v>1564</v>
      </c>
      <c r="AX6" s="25" t="s">
        <v>1565</v>
      </c>
      <c r="AY6" s="25" t="s">
        <v>1566</v>
      </c>
      <c r="AZ6" s="25" t="s">
        <v>1567</v>
      </c>
      <c r="BA6" s="25" t="s">
        <v>1568</v>
      </c>
      <c r="BB6" s="25" t="s">
        <v>1569</v>
      </c>
    </row>
    <row r="7" spans="1:68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94">
        <f>SUM(pmtct_T[[#This Row],[A_hts_tst_pmtctanc_u1_f_pos]:[A_hts_tst_pmtctanc_o50_f_pos]])</f>
        <v>0</v>
      </c>
      <c r="AE7" s="94">
        <f>SUM(pmtct_T[[#This Row],[A_hts_tst_pmtctanc_u1_f_neg]:[A_hts_tst_pmtctanc_o50_f_neg]])</f>
        <v>0</v>
      </c>
      <c r="AF7" s="41"/>
      <c r="AG7" s="41"/>
      <c r="AH7" s="41"/>
      <c r="AI7" s="41">
        <f>pmtct_T[[D_pmtct_stat_newpos_fy19]:[D_pmtct_stat_newpos_fy19]]*pmtct_T[A_hts_tst_pmtctanc_u1_f_pos]</f>
        <v>0</v>
      </c>
      <c r="AJ7" s="41">
        <f>pmtct_T[[D_pmtct_stat_newpos_fy19]:[D_pmtct_stat_newpos_fy19]]*pmtct_T[A_hts_tst_pmtctanc_0109_f_pos]</f>
        <v>0</v>
      </c>
      <c r="AK7" s="41">
        <f>pmtct_T[[D_pmtct_stat_newpos_fy19]:[D_pmtct_stat_newpos_fy19]]*pmtct_T[A_hts_tst_pmtctanc_1014_f_pos]</f>
        <v>0</v>
      </c>
      <c r="AL7" s="41">
        <f>pmtct_T[[D_pmtct_stat_newpos_fy19]:[D_pmtct_stat_newpos_fy19]]*pmtct_T[A_hts_tst_pmtctanc_1519_f_pos]</f>
        <v>0</v>
      </c>
      <c r="AM7" s="41">
        <f>pmtct_T[[D_pmtct_stat_newpos_fy19]:[D_pmtct_stat_newpos_fy19]]*pmtct_T[A_hts_tst_pmtctanc_2024_f_pos]</f>
        <v>0</v>
      </c>
      <c r="AN7" s="41">
        <f>pmtct_T[[D_pmtct_stat_newpos_fy19]:[D_pmtct_stat_newpos_fy19]]*pmtct_T[A_hts_tst_pmtctanc_2529_f_pos]</f>
        <v>0</v>
      </c>
      <c r="AO7" s="41">
        <f>pmtct_T[[D_pmtct_stat_newpos_fy19]:[D_pmtct_stat_newpos_fy19]]*pmtct_T[A_hts_tst_pmtctanc_3034_f_pos]</f>
        <v>0</v>
      </c>
      <c r="AP7" s="41">
        <f>pmtct_T[[D_pmtct_stat_newpos_fy19]:[D_pmtct_stat_newpos_fy19]]*pmtct_T[A_hts_tst_pmtctanc_3539_f_pos]</f>
        <v>0</v>
      </c>
      <c r="AQ7" s="41">
        <f>pmtct_T[[D_pmtct_stat_newpos_fy19]:[D_pmtct_stat_newpos_fy19]]*pmtct_T[A_hts_tst_pmtctanc_4049_f_pos]</f>
        <v>0</v>
      </c>
      <c r="AR7" s="41">
        <f>pmtct_T[[D_pmtct_stat_newpos_fy19]:[D_pmtct_stat_newpos_fy19]]*pmtct_T[A_hts_tst_pmtctanc_o50_f_pos]</f>
        <v>0</v>
      </c>
      <c r="AS7" s="41">
        <f>pmtct_T[[D_pmtct_stat_newneg_fy19]:[D_pmtct_stat_newneg_fy19]]*pmtct_T[A_hts_tst_pmtctanc_u1_f_neg]</f>
        <v>0</v>
      </c>
      <c r="AT7" s="41">
        <f>pmtct_T[[D_pmtct_stat_newneg_fy19]:[D_pmtct_stat_newneg_fy19]]*pmtct_T[A_hts_tst_pmtctanc_0109_f_neg]</f>
        <v>0</v>
      </c>
      <c r="AU7" s="41">
        <f>pmtct_T[[D_pmtct_stat_newneg_fy19]:[D_pmtct_stat_newneg_fy19]]*pmtct_T[A_hts_tst_pmtctanc_1014_f_neg]</f>
        <v>0</v>
      </c>
      <c r="AV7" s="41">
        <f>pmtct_T[[D_pmtct_stat_newneg_fy19]:[D_pmtct_stat_newneg_fy19]]*pmtct_T[A_hts_tst_pmtctanc_1519_f_neg]</f>
        <v>0</v>
      </c>
      <c r="AW7" s="41">
        <f>pmtct_T[[D_pmtct_stat_newneg_fy19]:[D_pmtct_stat_newneg_fy19]]*pmtct_T[A_hts_tst_pmtctanc_2024_f_neg]</f>
        <v>0</v>
      </c>
      <c r="AX7" s="41">
        <f>pmtct_T[[D_pmtct_stat_newneg_fy19]:[D_pmtct_stat_newneg_fy19]]*pmtct_T[A_hts_tst_pmtctanc_2529_f_neg]</f>
        <v>0</v>
      </c>
      <c r="AY7" s="41">
        <f>pmtct_T[[D_pmtct_stat_newneg_fy19]:[D_pmtct_stat_newneg_fy19]]*pmtct_T[A_hts_tst_pmtctanc_3034_f_neg]</f>
        <v>0</v>
      </c>
      <c r="AZ7" s="41">
        <f>pmtct_T[[D_pmtct_stat_newneg_fy19]:[D_pmtct_stat_newneg_fy19]]*pmtct_T[A_hts_tst_pmtctanc_3539_f_neg]</f>
        <v>0</v>
      </c>
      <c r="BA7" s="41">
        <f>pmtct_T[[D_pmtct_stat_newneg_fy19]:[D_pmtct_stat_newneg_fy19]]*pmtct_T[A_hts_tst_pmtctanc_4049_f_neg]</f>
        <v>0</v>
      </c>
      <c r="BB7" s="41">
        <f>pmtct_T[[D_pmtct_stat_newneg_fy19]:[D_pmtct_stat_newneg_fy19]]*pmtct_T[A_hts_tst_pmtctanc_o50_f_neg]</f>
        <v>0</v>
      </c>
    </row>
    <row r="8" spans="1:68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</row>
    <row r="9" spans="1:68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</row>
    <row r="10" spans="1:68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AF10" s="19"/>
      <c r="AG10" s="19"/>
      <c r="AH10" s="19"/>
      <c r="AI10" s="19"/>
      <c r="AJ10" s="19"/>
      <c r="AK10" s="19"/>
      <c r="AL10" s="19"/>
      <c r="AS10" s="19"/>
      <c r="AT10" s="19"/>
      <c r="AU10" s="19"/>
    </row>
    <row r="11" spans="1:68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</row>
    <row r="12" spans="1:68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AF12" s="56"/>
      <c r="AG12" s="56"/>
      <c r="AH12" s="56"/>
      <c r="AI12" s="56"/>
      <c r="AJ12" s="56"/>
      <c r="AK12" s="56"/>
      <c r="AL12" s="56"/>
      <c r="AS12" s="56"/>
      <c r="AT12" s="56"/>
      <c r="AU12" s="56"/>
    </row>
    <row r="13" spans="1:68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AF13" s="56"/>
      <c r="AG13" s="56"/>
      <c r="AH13" s="56"/>
      <c r="AI13" s="56"/>
      <c r="AJ13" s="56"/>
      <c r="AK13" s="56"/>
      <c r="AL13" s="56"/>
      <c r="AS13" s="56"/>
      <c r="AT13" s="56"/>
      <c r="AU13" s="56"/>
    </row>
    <row r="14" spans="1:68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AF14" s="56"/>
      <c r="AG14" s="56"/>
      <c r="AH14" s="56"/>
      <c r="AI14" s="56"/>
      <c r="AJ14" s="56"/>
      <c r="AK14" s="56"/>
      <c r="AL14" s="56"/>
      <c r="AS14" s="56"/>
      <c r="AT14" s="56"/>
      <c r="AU14" s="56"/>
    </row>
    <row r="15" spans="1:68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AF15" s="56"/>
      <c r="AG15" s="56"/>
      <c r="AH15" s="56"/>
      <c r="AI15" s="56"/>
      <c r="AJ15" s="56"/>
      <c r="AK15" s="56"/>
      <c r="AL15" s="56"/>
      <c r="AS15" s="56"/>
      <c r="AT15" s="56"/>
      <c r="AU15" s="56"/>
    </row>
    <row r="16" spans="1:68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AF16" s="56"/>
      <c r="AG16" s="56"/>
      <c r="AH16" s="56"/>
      <c r="AI16" s="56"/>
      <c r="AJ16" s="56"/>
      <c r="AK16" s="56"/>
      <c r="AL16" s="56"/>
      <c r="AS16" s="56"/>
      <c r="AT16" s="56"/>
      <c r="AU16" s="56"/>
    </row>
    <row r="17" spans="1:47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AF17" s="56"/>
      <c r="AG17" s="56"/>
      <c r="AH17" s="56"/>
      <c r="AI17" s="56"/>
      <c r="AJ17" s="56"/>
      <c r="AK17" s="56"/>
      <c r="AL17" s="56"/>
      <c r="AS17" s="56"/>
      <c r="AT17" s="56"/>
      <c r="AU17" s="56"/>
    </row>
    <row r="18" spans="1:47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AF18" s="56"/>
      <c r="AG18" s="56"/>
      <c r="AH18" s="56"/>
      <c r="AI18" s="56"/>
      <c r="AJ18" s="56"/>
      <c r="AK18" s="56"/>
      <c r="AL18" s="56"/>
      <c r="AS18" s="56"/>
      <c r="AT18" s="56"/>
      <c r="AU18" s="56"/>
    </row>
    <row r="19" spans="1:47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AF19" s="56"/>
      <c r="AG19" s="56"/>
      <c r="AH19" s="56"/>
      <c r="AI19" s="56"/>
      <c r="AJ19" s="56"/>
      <c r="AK19" s="56"/>
      <c r="AL19" s="56"/>
      <c r="AS19" s="56"/>
      <c r="AT19" s="56"/>
      <c r="AU19" s="56"/>
    </row>
    <row r="20" spans="1:47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AF20" s="56"/>
      <c r="AG20" s="56"/>
      <c r="AH20" s="56"/>
      <c r="AI20" s="56"/>
      <c r="AJ20" s="56"/>
      <c r="AK20" s="56"/>
      <c r="AL20" s="56"/>
      <c r="AS20" s="56"/>
      <c r="AT20" s="56"/>
      <c r="AU20" s="56"/>
    </row>
    <row r="21" spans="1:47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AF21" s="56"/>
      <c r="AG21" s="56"/>
      <c r="AH21" s="56"/>
      <c r="AI21" s="56"/>
      <c r="AJ21" s="56"/>
      <c r="AK21" s="56"/>
      <c r="AL21" s="56"/>
      <c r="AS21" s="56"/>
      <c r="AT21" s="56"/>
      <c r="AU21" s="56"/>
    </row>
    <row r="22" spans="1:47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AF22" s="56"/>
      <c r="AG22" s="56"/>
      <c r="AH22" s="56"/>
      <c r="AI22" s="56"/>
      <c r="AJ22" s="56"/>
      <c r="AK22" s="56"/>
      <c r="AL22" s="56"/>
      <c r="AS22" s="56"/>
      <c r="AT22" s="56"/>
      <c r="AU22" s="56"/>
    </row>
    <row r="23" spans="1:47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AF23" s="56"/>
      <c r="AG23" s="56"/>
      <c r="AH23" s="56"/>
      <c r="AI23" s="56"/>
      <c r="AJ23" s="56"/>
      <c r="AK23" s="56"/>
      <c r="AL23" s="56"/>
      <c r="AS23" s="56"/>
      <c r="AT23" s="56"/>
      <c r="AU23" s="56"/>
    </row>
    <row r="24" spans="1:47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AF24" s="56"/>
      <c r="AG24" s="56"/>
      <c r="AH24" s="56"/>
      <c r="AI24" s="56"/>
      <c r="AJ24" s="56"/>
      <c r="AK24" s="56"/>
      <c r="AL24" s="56"/>
      <c r="AS24" s="56"/>
      <c r="AT24" s="56"/>
      <c r="AU24" s="56"/>
    </row>
    <row r="25" spans="1:47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AF25" s="56"/>
      <c r="AG25" s="56"/>
      <c r="AH25" s="56"/>
      <c r="AI25" s="56"/>
      <c r="AJ25" s="56"/>
      <c r="AK25" s="56"/>
      <c r="AL25" s="56"/>
      <c r="AS25" s="56"/>
      <c r="AT25" s="56"/>
      <c r="AU25" s="56"/>
    </row>
    <row r="26" spans="1:47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AF26" s="56"/>
      <c r="AG26" s="56"/>
      <c r="AH26" s="56"/>
      <c r="AI26" s="56"/>
      <c r="AJ26" s="56"/>
      <c r="AK26" s="56"/>
      <c r="AL26" s="56"/>
      <c r="AS26" s="56"/>
      <c r="AT26" s="56"/>
      <c r="AU26" s="56"/>
    </row>
    <row r="27" spans="1:47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AF27" s="56"/>
      <c r="AG27" s="56"/>
      <c r="AH27" s="56"/>
      <c r="AI27" s="56"/>
      <c r="AJ27" s="56"/>
      <c r="AK27" s="56"/>
      <c r="AL27" s="56"/>
      <c r="AS27" s="56"/>
      <c r="AT27" s="56"/>
      <c r="AU27" s="56"/>
    </row>
    <row r="28" spans="1:47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AF28" s="56"/>
      <c r="AG28" s="56"/>
      <c r="AH28" s="56"/>
      <c r="AI28" s="56"/>
      <c r="AJ28" s="56"/>
      <c r="AK28" s="56"/>
      <c r="AL28" s="56"/>
      <c r="AS28" s="56"/>
      <c r="AT28" s="56"/>
      <c r="AU28" s="56"/>
    </row>
    <row r="29" spans="1:47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AF29" s="56"/>
      <c r="AG29" s="56"/>
      <c r="AH29" s="56"/>
      <c r="AI29" s="56"/>
      <c r="AJ29" s="56"/>
      <c r="AK29" s="56"/>
      <c r="AL29" s="56"/>
      <c r="AS29" s="56"/>
      <c r="AT29" s="56"/>
      <c r="AU29" s="56"/>
    </row>
    <row r="30" spans="1:47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AF30" s="56"/>
      <c r="AG30" s="56"/>
      <c r="AH30" s="56"/>
      <c r="AI30" s="56"/>
      <c r="AJ30" s="56"/>
      <c r="AK30" s="56"/>
      <c r="AL30" s="56"/>
      <c r="AS30" s="56"/>
      <c r="AT30" s="56"/>
      <c r="AU30" s="56"/>
    </row>
    <row r="31" spans="1:47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AF31" s="56"/>
      <c r="AG31" s="56"/>
      <c r="AH31" s="56"/>
      <c r="AI31" s="56"/>
      <c r="AJ31" s="56"/>
      <c r="AK31" s="56"/>
      <c r="AL31" s="56"/>
      <c r="AS31" s="56"/>
      <c r="AT31" s="56"/>
      <c r="AU31" s="56"/>
    </row>
    <row r="32" spans="1:47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AF32" s="56"/>
      <c r="AG32" s="56"/>
      <c r="AH32" s="56"/>
      <c r="AI32" s="56"/>
      <c r="AJ32" s="56"/>
      <c r="AK32" s="56"/>
      <c r="AL32" s="56"/>
      <c r="AS32" s="56"/>
      <c r="AT32" s="56"/>
      <c r="AU32" s="56"/>
    </row>
    <row r="33" spans="1:47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AF33" s="56"/>
      <c r="AG33" s="56"/>
      <c r="AH33" s="56"/>
      <c r="AI33" s="56"/>
      <c r="AJ33" s="56"/>
      <c r="AK33" s="56"/>
      <c r="AL33" s="56"/>
      <c r="AS33" s="56"/>
      <c r="AT33" s="56"/>
      <c r="AU33" s="56"/>
    </row>
    <row r="34" spans="1:47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AF34" s="56"/>
      <c r="AG34" s="56"/>
      <c r="AH34" s="56"/>
      <c r="AI34" s="56"/>
      <c r="AJ34" s="56"/>
      <c r="AK34" s="56"/>
      <c r="AL34" s="56"/>
      <c r="AS34" s="56"/>
      <c r="AT34" s="56"/>
      <c r="AU34" s="56"/>
    </row>
    <row r="35" spans="1:47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AF35" s="56"/>
      <c r="AG35" s="56"/>
      <c r="AH35" s="56"/>
      <c r="AI35" s="56"/>
      <c r="AJ35" s="56"/>
      <c r="AK35" s="56"/>
      <c r="AL35" s="56"/>
      <c r="AS35" s="56"/>
      <c r="AT35" s="56"/>
      <c r="AU35" s="56"/>
    </row>
    <row r="36" spans="1:47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AF36" s="56"/>
      <c r="AG36" s="56"/>
      <c r="AH36" s="56"/>
      <c r="AI36" s="56"/>
      <c r="AJ36" s="56"/>
      <c r="AK36" s="56"/>
      <c r="AL36" s="56"/>
      <c r="AS36" s="56"/>
      <c r="AT36" s="56"/>
      <c r="AU36" s="56"/>
    </row>
    <row r="37" spans="1:47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AF37" s="56"/>
      <c r="AG37" s="56"/>
      <c r="AH37" s="56"/>
      <c r="AI37" s="56"/>
      <c r="AJ37" s="56"/>
      <c r="AK37" s="56"/>
      <c r="AL37" s="56"/>
      <c r="AS37" s="56"/>
      <c r="AT37" s="56"/>
      <c r="AU37" s="56"/>
    </row>
    <row r="38" spans="1:47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AF38" s="56"/>
      <c r="AG38" s="56"/>
      <c r="AH38" s="56"/>
      <c r="AI38" s="56"/>
      <c r="AJ38" s="56"/>
      <c r="AK38" s="56"/>
      <c r="AL38" s="56"/>
      <c r="AS38" s="56"/>
      <c r="AT38" s="56"/>
      <c r="AU38" s="56"/>
    </row>
    <row r="39" spans="1:47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AF39" s="56"/>
      <c r="AG39" s="56"/>
      <c r="AH39" s="56"/>
      <c r="AI39" s="56"/>
      <c r="AJ39" s="56"/>
      <c r="AK39" s="56"/>
      <c r="AL39" s="56"/>
      <c r="AS39" s="56"/>
      <c r="AT39" s="56"/>
      <c r="AU39" s="56"/>
    </row>
    <row r="40" spans="1:47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AF40" s="56"/>
      <c r="AG40" s="56"/>
      <c r="AH40" s="56"/>
      <c r="AI40" s="56"/>
      <c r="AJ40" s="56"/>
      <c r="AK40" s="56"/>
      <c r="AL40" s="56"/>
      <c r="AS40" s="56"/>
      <c r="AT40" s="56"/>
      <c r="AU40" s="56"/>
    </row>
    <row r="41" spans="1:47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AF41" s="56"/>
      <c r="AG41" s="56"/>
      <c r="AH41" s="56"/>
      <c r="AI41" s="56"/>
      <c r="AJ41" s="56"/>
      <c r="AK41" s="56"/>
      <c r="AL41" s="56"/>
      <c r="AS41" s="56"/>
      <c r="AT41" s="56"/>
      <c r="AU41" s="56"/>
    </row>
    <row r="42" spans="1:47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AF42" s="56"/>
      <c r="AG42" s="56"/>
      <c r="AH42" s="56"/>
      <c r="AI42" s="56"/>
      <c r="AJ42" s="56"/>
      <c r="AK42" s="56"/>
      <c r="AL42" s="56"/>
      <c r="AS42" s="56"/>
      <c r="AT42" s="56"/>
      <c r="AU42" s="56"/>
    </row>
    <row r="43" spans="1:47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AF43" s="56"/>
      <c r="AG43" s="56"/>
      <c r="AH43" s="56"/>
      <c r="AI43" s="56"/>
      <c r="AJ43" s="56"/>
      <c r="AK43" s="56"/>
      <c r="AL43" s="56"/>
      <c r="AS43" s="56"/>
      <c r="AT43" s="56"/>
      <c r="AU43" s="56"/>
    </row>
    <row r="44" spans="1:47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AF44" s="56"/>
      <c r="AG44" s="56"/>
      <c r="AH44" s="56"/>
      <c r="AI44" s="56"/>
      <c r="AJ44" s="56"/>
      <c r="AK44" s="56"/>
      <c r="AL44" s="56"/>
      <c r="AS44" s="56"/>
      <c r="AT44" s="56"/>
      <c r="AU44" s="56"/>
    </row>
    <row r="45" spans="1:47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AF45" s="56"/>
      <c r="AG45" s="56"/>
      <c r="AH45" s="56"/>
      <c r="AI45" s="56"/>
      <c r="AJ45" s="56"/>
      <c r="AK45" s="56"/>
      <c r="AL45" s="56"/>
      <c r="AS45" s="56"/>
      <c r="AT45" s="56"/>
      <c r="AU45" s="56"/>
    </row>
    <row r="46" spans="1:47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AF46" s="56"/>
      <c r="AG46" s="56"/>
      <c r="AH46" s="56"/>
      <c r="AI46" s="56"/>
      <c r="AJ46" s="56"/>
      <c r="AK46" s="56"/>
      <c r="AL46" s="56"/>
      <c r="AS46" s="56"/>
      <c r="AT46" s="56"/>
      <c r="AU46" s="56"/>
    </row>
    <row r="47" spans="1:47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AF47" s="56"/>
      <c r="AG47" s="56"/>
      <c r="AH47" s="56"/>
      <c r="AI47" s="56"/>
      <c r="AJ47" s="56"/>
      <c r="AK47" s="56"/>
      <c r="AL47" s="56"/>
      <c r="AS47" s="56"/>
      <c r="AT47" s="56"/>
      <c r="AU47" s="56"/>
    </row>
    <row r="48" spans="1:47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AF48" s="56"/>
      <c r="AG48" s="56"/>
      <c r="AH48" s="56"/>
      <c r="AI48" s="56"/>
      <c r="AJ48" s="56"/>
      <c r="AK48" s="56"/>
      <c r="AL48" s="56"/>
      <c r="AS48" s="56"/>
      <c r="AT48" s="56"/>
      <c r="AU48" s="56"/>
    </row>
    <row r="49" spans="1:47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AF49" s="56"/>
      <c r="AG49" s="56"/>
      <c r="AH49" s="56"/>
      <c r="AI49" s="56"/>
      <c r="AJ49" s="56"/>
      <c r="AK49" s="56"/>
      <c r="AL49" s="56"/>
      <c r="AS49" s="56"/>
      <c r="AT49" s="56"/>
      <c r="AU49" s="56"/>
    </row>
    <row r="50" spans="1:47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AF50" s="56"/>
      <c r="AG50" s="56"/>
      <c r="AH50" s="56"/>
      <c r="AI50" s="56"/>
      <c r="AJ50" s="56"/>
      <c r="AK50" s="56"/>
      <c r="AL50" s="56"/>
      <c r="AS50" s="56"/>
      <c r="AT50" s="56"/>
      <c r="AU50" s="56"/>
    </row>
    <row r="51" spans="1:47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AF51" s="56"/>
      <c r="AG51" s="56"/>
      <c r="AH51" s="56"/>
      <c r="AI51" s="56"/>
      <c r="AJ51" s="56"/>
      <c r="AK51" s="56"/>
      <c r="AL51" s="56"/>
      <c r="AS51" s="56"/>
      <c r="AT51" s="56"/>
      <c r="AU51" s="56"/>
    </row>
    <row r="52" spans="1:47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AF52" s="56"/>
      <c r="AG52" s="56"/>
      <c r="AH52" s="56"/>
      <c r="AI52" s="56"/>
      <c r="AJ52" s="56"/>
      <c r="AK52" s="56"/>
      <c r="AL52" s="56"/>
      <c r="AS52" s="56"/>
      <c r="AT52" s="56"/>
      <c r="AU52" s="56"/>
    </row>
    <row r="53" spans="1:47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AF53" s="56"/>
      <c r="AG53" s="56"/>
      <c r="AH53" s="56"/>
      <c r="AI53" s="56"/>
      <c r="AJ53" s="56"/>
      <c r="AK53" s="56"/>
      <c r="AL53" s="56"/>
      <c r="AS53" s="56"/>
      <c r="AT53" s="56"/>
      <c r="AU53" s="56"/>
    </row>
    <row r="54" spans="1:47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AF54" s="56"/>
      <c r="AG54" s="56"/>
      <c r="AH54" s="56"/>
      <c r="AI54" s="56"/>
      <c r="AJ54" s="56"/>
      <c r="AK54" s="56"/>
      <c r="AL54" s="56"/>
      <c r="AS54" s="56"/>
      <c r="AT54" s="56"/>
      <c r="AU54" s="56"/>
    </row>
    <row r="55" spans="1:47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AF55" s="56"/>
      <c r="AG55" s="56"/>
      <c r="AH55" s="56"/>
      <c r="AI55" s="56"/>
      <c r="AJ55" s="56"/>
      <c r="AK55" s="56"/>
      <c r="AL55" s="56"/>
      <c r="AS55" s="56"/>
      <c r="AT55" s="56"/>
      <c r="AU55" s="56"/>
    </row>
    <row r="56" spans="1:47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AF56" s="56"/>
      <c r="AG56" s="56"/>
      <c r="AH56" s="56"/>
      <c r="AI56" s="56"/>
      <c r="AJ56" s="56"/>
      <c r="AK56" s="56"/>
      <c r="AL56" s="56"/>
      <c r="AS56" s="56"/>
      <c r="AT56" s="56"/>
      <c r="AU56" s="56"/>
    </row>
    <row r="57" spans="1:47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AF57" s="56"/>
      <c r="AG57" s="56"/>
      <c r="AH57" s="56"/>
      <c r="AI57" s="56"/>
      <c r="AJ57" s="56"/>
      <c r="AK57" s="56"/>
      <c r="AL57" s="56"/>
      <c r="AS57" s="56"/>
      <c r="AT57" s="56"/>
      <c r="AU57" s="56"/>
    </row>
    <row r="58" spans="1:47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AF58" s="56"/>
      <c r="AG58" s="56"/>
      <c r="AH58" s="56"/>
      <c r="AI58" s="56"/>
      <c r="AJ58" s="56"/>
      <c r="AK58" s="56"/>
      <c r="AL58" s="56"/>
      <c r="AS58" s="56"/>
      <c r="AT58" s="56"/>
      <c r="AU58" s="56"/>
    </row>
    <row r="59" spans="1:47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AF59" s="56"/>
      <c r="AG59" s="56"/>
      <c r="AH59" s="56"/>
      <c r="AI59" s="56"/>
      <c r="AJ59" s="56"/>
      <c r="AK59" s="56"/>
      <c r="AL59" s="56"/>
      <c r="AS59" s="56"/>
      <c r="AT59" s="56"/>
      <c r="AU59" s="56"/>
    </row>
    <row r="60" spans="1:47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AF60" s="56"/>
      <c r="AG60" s="56"/>
      <c r="AH60" s="56"/>
      <c r="AI60" s="56"/>
      <c r="AJ60" s="56"/>
      <c r="AK60" s="56"/>
      <c r="AL60" s="56"/>
      <c r="AS60" s="56"/>
      <c r="AT60" s="56"/>
      <c r="AU60" s="56"/>
    </row>
    <row r="61" spans="1:47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AF61" s="56"/>
      <c r="AG61" s="56"/>
      <c r="AH61" s="56"/>
      <c r="AI61" s="56"/>
      <c r="AJ61" s="56"/>
      <c r="AK61" s="56"/>
      <c r="AL61" s="56"/>
      <c r="AS61" s="56"/>
      <c r="AT61" s="56"/>
      <c r="AU61" s="56"/>
    </row>
    <row r="62" spans="1:47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AF62" s="56"/>
      <c r="AG62" s="56"/>
      <c r="AH62" s="56"/>
      <c r="AI62" s="56"/>
      <c r="AJ62" s="56"/>
      <c r="AK62" s="56"/>
      <c r="AL62" s="56"/>
      <c r="AS62" s="56"/>
      <c r="AT62" s="56"/>
      <c r="AU62" s="56"/>
    </row>
    <row r="63" spans="1:47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AF63" s="56"/>
      <c r="AG63" s="56"/>
      <c r="AH63" s="56"/>
      <c r="AI63" s="56"/>
      <c r="AJ63" s="56"/>
      <c r="AK63" s="56"/>
      <c r="AL63" s="56"/>
      <c r="AS63" s="56"/>
      <c r="AT63" s="56"/>
      <c r="AU63" s="56"/>
    </row>
    <row r="64" spans="1:47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AF64" s="56"/>
      <c r="AG64" s="56"/>
      <c r="AH64" s="56"/>
      <c r="AI64" s="56"/>
      <c r="AJ64" s="56"/>
      <c r="AK64" s="56"/>
      <c r="AL64" s="56"/>
      <c r="AS64" s="56"/>
      <c r="AT64" s="56"/>
      <c r="AU64" s="56"/>
    </row>
    <row r="65" spans="1:47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AF65" s="56"/>
      <c r="AG65" s="56"/>
      <c r="AH65" s="56"/>
      <c r="AI65" s="56"/>
      <c r="AJ65" s="56"/>
      <c r="AK65" s="56"/>
      <c r="AL65" s="56"/>
      <c r="AS65" s="56"/>
      <c r="AT65" s="56"/>
      <c r="AU65" s="56"/>
    </row>
    <row r="66" spans="1:47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AF66" s="56"/>
      <c r="AG66" s="56"/>
      <c r="AH66" s="56"/>
      <c r="AI66" s="56"/>
      <c r="AJ66" s="56"/>
      <c r="AK66" s="56"/>
      <c r="AL66" s="56"/>
      <c r="AS66" s="56"/>
      <c r="AT66" s="56"/>
      <c r="AU66" s="56"/>
    </row>
    <row r="67" spans="1:47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AF67" s="56"/>
      <c r="AG67" s="56"/>
      <c r="AH67" s="56"/>
      <c r="AI67" s="56"/>
      <c r="AJ67" s="56"/>
      <c r="AK67" s="56"/>
      <c r="AL67" s="56"/>
      <c r="AS67" s="56"/>
      <c r="AT67" s="56"/>
      <c r="AU67" s="56"/>
    </row>
    <row r="68" spans="1:47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AF68" s="56"/>
      <c r="AG68" s="56"/>
      <c r="AH68" s="56"/>
      <c r="AI68" s="56"/>
      <c r="AJ68" s="56"/>
      <c r="AK68" s="56"/>
      <c r="AL68" s="56"/>
      <c r="AS68" s="56"/>
      <c r="AT68" s="56"/>
      <c r="AU68" s="56"/>
    </row>
    <row r="69" spans="1:47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AF69" s="56"/>
      <c r="AG69" s="56"/>
      <c r="AH69" s="56"/>
      <c r="AI69" s="56"/>
      <c r="AJ69" s="56"/>
      <c r="AK69" s="56"/>
      <c r="AL69" s="56"/>
      <c r="AS69" s="56"/>
      <c r="AT69" s="56"/>
      <c r="AU69" s="56"/>
    </row>
    <row r="70" spans="1:47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AF70" s="56"/>
      <c r="AG70" s="56"/>
      <c r="AH70" s="56"/>
      <c r="AI70" s="56"/>
      <c r="AJ70" s="56"/>
      <c r="AK70" s="56"/>
      <c r="AL70" s="56"/>
      <c r="AS70" s="56"/>
      <c r="AT70" s="56"/>
      <c r="AU70" s="56"/>
    </row>
    <row r="71" spans="1:47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AF71" s="56"/>
      <c r="AG71" s="56"/>
      <c r="AH71" s="56"/>
      <c r="AI71" s="56"/>
      <c r="AJ71" s="56"/>
      <c r="AK71" s="56"/>
      <c r="AL71" s="56"/>
      <c r="AS71" s="56"/>
      <c r="AT71" s="56"/>
      <c r="AU71" s="56"/>
    </row>
    <row r="72" spans="1:47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AF72" s="56"/>
      <c r="AG72" s="56"/>
      <c r="AH72" s="56"/>
      <c r="AI72" s="56"/>
      <c r="AJ72" s="56"/>
      <c r="AK72" s="56"/>
      <c r="AL72" s="56"/>
      <c r="AS72" s="56"/>
      <c r="AT72" s="56"/>
      <c r="AU72" s="56"/>
    </row>
    <row r="73" spans="1:47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AF73" s="56"/>
      <c r="AG73" s="56"/>
      <c r="AH73" s="56"/>
      <c r="AI73" s="56"/>
      <c r="AJ73" s="56"/>
      <c r="AK73" s="56"/>
      <c r="AL73" s="56"/>
      <c r="AS73" s="56"/>
      <c r="AT73" s="56"/>
      <c r="AU73" s="56"/>
    </row>
    <row r="74" spans="1:47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AF74" s="56"/>
      <c r="AG74" s="56"/>
      <c r="AH74" s="56"/>
      <c r="AI74" s="56"/>
      <c r="AJ74" s="56"/>
      <c r="AK74" s="56"/>
      <c r="AL74" s="56"/>
      <c r="AS74" s="56"/>
      <c r="AT74" s="56"/>
      <c r="AU74" s="56"/>
    </row>
    <row r="75" spans="1:47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AF75" s="56"/>
      <c r="AG75" s="56"/>
      <c r="AH75" s="56"/>
      <c r="AI75" s="56"/>
      <c r="AJ75" s="56"/>
      <c r="AK75" s="56"/>
      <c r="AL75" s="56"/>
      <c r="AS75" s="56"/>
      <c r="AT75" s="56"/>
      <c r="AU75" s="56"/>
    </row>
    <row r="76" spans="1:47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AF76" s="56"/>
      <c r="AG76" s="56"/>
      <c r="AH76" s="56"/>
      <c r="AI76" s="56"/>
      <c r="AJ76" s="56"/>
      <c r="AK76" s="56"/>
      <c r="AL76" s="56"/>
      <c r="AS76" s="56"/>
      <c r="AT76" s="56"/>
      <c r="AU76" s="56"/>
    </row>
    <row r="77" spans="1:47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AF77" s="56"/>
      <c r="AG77" s="56"/>
      <c r="AH77" s="56"/>
      <c r="AI77" s="56"/>
      <c r="AJ77" s="56"/>
      <c r="AK77" s="56"/>
      <c r="AL77" s="56"/>
      <c r="AS77" s="56"/>
      <c r="AT77" s="56"/>
      <c r="AU77" s="56"/>
    </row>
    <row r="78" spans="1:47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AF78" s="56"/>
      <c r="AG78" s="56"/>
      <c r="AH78" s="56"/>
      <c r="AI78" s="56"/>
      <c r="AJ78" s="56"/>
      <c r="AK78" s="56"/>
      <c r="AL78" s="56"/>
      <c r="AS78" s="56"/>
      <c r="AT78" s="56"/>
      <c r="AU78" s="56"/>
    </row>
    <row r="79" spans="1:47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AF79" s="56"/>
      <c r="AG79" s="56"/>
      <c r="AH79" s="56"/>
      <c r="AI79" s="56"/>
      <c r="AJ79" s="56"/>
      <c r="AK79" s="56"/>
      <c r="AL79" s="56"/>
      <c r="AS79" s="56"/>
      <c r="AT79" s="56"/>
      <c r="AU79" s="56"/>
    </row>
    <row r="80" spans="1:47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AF80" s="56"/>
      <c r="AG80" s="56"/>
      <c r="AH80" s="56"/>
      <c r="AI80" s="56"/>
      <c r="AJ80" s="56"/>
      <c r="AK80" s="56"/>
      <c r="AL80" s="56"/>
      <c r="AS80" s="56"/>
      <c r="AT80" s="56"/>
      <c r="AU80" s="56"/>
    </row>
    <row r="81" spans="1:47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AF81" s="56"/>
      <c r="AG81" s="56"/>
      <c r="AH81" s="56"/>
      <c r="AI81" s="56"/>
      <c r="AJ81" s="56"/>
      <c r="AK81" s="56"/>
      <c r="AL81" s="56"/>
      <c r="AS81" s="56"/>
      <c r="AT81" s="56"/>
      <c r="AU81" s="56"/>
    </row>
    <row r="82" spans="1:47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AF82" s="56"/>
      <c r="AG82" s="56"/>
      <c r="AH82" s="56"/>
      <c r="AI82" s="56"/>
      <c r="AJ82" s="56"/>
      <c r="AK82" s="56"/>
      <c r="AL82" s="56"/>
      <c r="AS82" s="56"/>
      <c r="AT82" s="56"/>
      <c r="AU82" s="56"/>
    </row>
    <row r="83" spans="1:47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AF83" s="56"/>
      <c r="AG83" s="56"/>
      <c r="AH83" s="56"/>
      <c r="AI83" s="56"/>
      <c r="AJ83" s="56"/>
      <c r="AK83" s="56"/>
      <c r="AL83" s="56"/>
      <c r="AS83" s="56"/>
      <c r="AT83" s="56"/>
      <c r="AU83" s="56"/>
    </row>
    <row r="84" spans="1:47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AF84" s="56"/>
      <c r="AG84" s="56"/>
      <c r="AH84" s="56"/>
      <c r="AI84" s="56"/>
      <c r="AJ84" s="56"/>
      <c r="AK84" s="56"/>
      <c r="AL84" s="56"/>
      <c r="AS84" s="56"/>
      <c r="AT84" s="56"/>
      <c r="AU84" s="56"/>
    </row>
    <row r="85" spans="1:47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AF85" s="56"/>
      <c r="AG85" s="56"/>
      <c r="AH85" s="56"/>
      <c r="AI85" s="56"/>
      <c r="AJ85" s="56"/>
      <c r="AK85" s="56"/>
      <c r="AL85" s="56"/>
      <c r="AS85" s="56"/>
      <c r="AT85" s="56"/>
      <c r="AU85" s="56"/>
    </row>
    <row r="86" spans="1:47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AF86" s="56"/>
      <c r="AG86" s="56"/>
      <c r="AH86" s="56"/>
      <c r="AI86" s="56"/>
      <c r="AJ86" s="56"/>
      <c r="AK86" s="56"/>
      <c r="AL86" s="56"/>
      <c r="AS86" s="56"/>
      <c r="AT86" s="56"/>
      <c r="AU86" s="56"/>
    </row>
    <row r="87" spans="1:47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AF87" s="56"/>
      <c r="AG87" s="56"/>
      <c r="AH87" s="56"/>
      <c r="AI87" s="56"/>
      <c r="AJ87" s="56"/>
      <c r="AK87" s="56"/>
      <c r="AL87" s="56"/>
      <c r="AS87" s="56"/>
      <c r="AT87" s="56"/>
      <c r="AU87" s="56"/>
    </row>
    <row r="88" spans="1:47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AF88" s="56"/>
      <c r="AG88" s="56"/>
      <c r="AH88" s="56"/>
      <c r="AI88" s="56"/>
      <c r="AJ88" s="56"/>
      <c r="AK88" s="56"/>
      <c r="AL88" s="56"/>
      <c r="AS88" s="56"/>
      <c r="AT88" s="56"/>
      <c r="AU88" s="56"/>
    </row>
    <row r="89" spans="1:47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AF89" s="56"/>
      <c r="AG89" s="56"/>
      <c r="AH89" s="56"/>
      <c r="AI89" s="56"/>
      <c r="AJ89" s="56"/>
      <c r="AK89" s="56"/>
      <c r="AL89" s="56"/>
      <c r="AS89" s="56"/>
      <c r="AT89" s="56"/>
      <c r="AU89" s="56"/>
    </row>
    <row r="90" spans="1:47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AF90" s="56"/>
      <c r="AG90" s="56"/>
      <c r="AH90" s="56"/>
      <c r="AI90" s="56"/>
      <c r="AJ90" s="56"/>
      <c r="AK90" s="56"/>
      <c r="AL90" s="56"/>
      <c r="AS90" s="56"/>
      <c r="AT90" s="56"/>
      <c r="AU90" s="56"/>
    </row>
    <row r="91" spans="1:47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AF91" s="56"/>
      <c r="AG91" s="56"/>
      <c r="AH91" s="56"/>
      <c r="AI91" s="56"/>
      <c r="AJ91" s="56"/>
      <c r="AK91" s="56"/>
      <c r="AL91" s="56"/>
      <c r="AS91" s="56"/>
      <c r="AT91" s="56"/>
      <c r="AU91" s="56"/>
    </row>
    <row r="92" spans="1:47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AF92" s="56"/>
      <c r="AG92" s="56"/>
      <c r="AH92" s="56"/>
      <c r="AI92" s="56"/>
      <c r="AJ92" s="56"/>
      <c r="AK92" s="56"/>
      <c r="AL92" s="56"/>
      <c r="AS92" s="56"/>
      <c r="AT92" s="56"/>
      <c r="AU92" s="56"/>
    </row>
    <row r="93" spans="1:47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AF93" s="56"/>
      <c r="AG93" s="56"/>
      <c r="AH93" s="56"/>
      <c r="AI93" s="56"/>
      <c r="AJ93" s="56"/>
      <c r="AK93" s="56"/>
      <c r="AL93" s="56"/>
      <c r="AS93" s="56"/>
      <c r="AT93" s="56"/>
      <c r="AU93" s="56"/>
    </row>
    <row r="94" spans="1:47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AF94" s="56"/>
      <c r="AG94" s="56"/>
      <c r="AH94" s="56"/>
      <c r="AI94" s="56"/>
      <c r="AJ94" s="56"/>
      <c r="AK94" s="56"/>
      <c r="AL94" s="56"/>
      <c r="AS94" s="56"/>
      <c r="AT94" s="56"/>
      <c r="AU94" s="56"/>
    </row>
    <row r="95" spans="1:47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AF95" s="56"/>
      <c r="AG95" s="56"/>
      <c r="AH95" s="56"/>
      <c r="AI95" s="56"/>
      <c r="AJ95" s="56"/>
      <c r="AK95" s="56"/>
      <c r="AL95" s="56"/>
      <c r="AS95" s="56"/>
      <c r="AT95" s="56"/>
      <c r="AU95" s="56"/>
    </row>
    <row r="96" spans="1:47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AF96" s="56"/>
      <c r="AG96" s="56"/>
      <c r="AH96" s="56"/>
      <c r="AI96" s="56"/>
      <c r="AJ96" s="56"/>
      <c r="AK96" s="56"/>
      <c r="AL96" s="56"/>
      <c r="AS96" s="56"/>
      <c r="AT96" s="56"/>
      <c r="AU96" s="56"/>
    </row>
    <row r="97" spans="1:47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AF97" s="56"/>
      <c r="AG97" s="56"/>
      <c r="AH97" s="56"/>
      <c r="AI97" s="56"/>
      <c r="AJ97" s="56"/>
      <c r="AK97" s="56"/>
      <c r="AL97" s="56"/>
      <c r="AS97" s="56"/>
      <c r="AT97" s="56"/>
      <c r="AU97" s="56"/>
    </row>
    <row r="98" spans="1:47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AF98" s="56"/>
      <c r="AG98" s="56"/>
      <c r="AH98" s="56"/>
      <c r="AI98" s="56"/>
      <c r="AJ98" s="56"/>
      <c r="AK98" s="56"/>
      <c r="AL98" s="56"/>
      <c r="AS98" s="56"/>
      <c r="AT98" s="56"/>
      <c r="AU98" s="56"/>
    </row>
    <row r="99" spans="1:47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AF99" s="56"/>
      <c r="AG99" s="56"/>
      <c r="AH99" s="56"/>
      <c r="AI99" s="56"/>
      <c r="AJ99" s="56"/>
      <c r="AK99" s="56"/>
      <c r="AL99" s="56"/>
      <c r="AS99" s="56"/>
      <c r="AT99" s="56"/>
      <c r="AU99" s="56"/>
    </row>
    <row r="100" spans="1:47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AF100" s="56"/>
      <c r="AG100" s="56"/>
      <c r="AH100" s="56"/>
      <c r="AI100" s="56"/>
      <c r="AJ100" s="56"/>
      <c r="AK100" s="56"/>
      <c r="AL100" s="56"/>
      <c r="AS100" s="56"/>
      <c r="AT100" s="56"/>
      <c r="AU100" s="56"/>
    </row>
    <row r="101" spans="1:47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AF101" s="56"/>
      <c r="AG101" s="56"/>
      <c r="AH101" s="56"/>
      <c r="AI101" s="56"/>
      <c r="AJ101" s="56"/>
      <c r="AK101" s="56"/>
      <c r="AL101" s="56"/>
      <c r="AS101" s="56"/>
      <c r="AT101" s="56"/>
      <c r="AU101" s="56"/>
    </row>
    <row r="102" spans="1:47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AF102" s="56"/>
      <c r="AG102" s="56"/>
      <c r="AH102" s="56"/>
      <c r="AI102" s="56"/>
      <c r="AJ102" s="56"/>
      <c r="AK102" s="56"/>
      <c r="AL102" s="56"/>
      <c r="AS102" s="56"/>
      <c r="AT102" s="56"/>
      <c r="AU102" s="56"/>
    </row>
    <row r="103" spans="1:47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AF103" s="56"/>
      <c r="AG103" s="56"/>
      <c r="AH103" s="56"/>
      <c r="AI103" s="56"/>
      <c r="AJ103" s="56"/>
      <c r="AK103" s="56"/>
      <c r="AL103" s="56"/>
      <c r="AS103" s="56"/>
      <c r="AT103" s="56"/>
      <c r="AU103" s="56"/>
    </row>
    <row r="104" spans="1:47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AF104" s="56"/>
      <c r="AG104" s="56"/>
      <c r="AH104" s="56"/>
      <c r="AI104" s="56"/>
      <c r="AJ104" s="56"/>
      <c r="AK104" s="56"/>
      <c r="AL104" s="56"/>
      <c r="AS104" s="56"/>
      <c r="AT104" s="56"/>
      <c r="AU104" s="56"/>
    </row>
    <row r="105" spans="1:47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AF105" s="56"/>
      <c r="AG105" s="56"/>
      <c r="AH105" s="56"/>
      <c r="AI105" s="56"/>
      <c r="AJ105" s="56"/>
      <c r="AK105" s="56"/>
      <c r="AL105" s="56"/>
      <c r="AS105" s="56"/>
      <c r="AT105" s="56"/>
      <c r="AU105" s="56"/>
    </row>
    <row r="106" spans="1:47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AF106" s="56"/>
      <c r="AG106" s="56"/>
      <c r="AH106" s="56"/>
      <c r="AI106" s="56"/>
      <c r="AJ106" s="56"/>
      <c r="AK106" s="56"/>
      <c r="AL106" s="56"/>
      <c r="AS106" s="56"/>
      <c r="AT106" s="56"/>
      <c r="AU106" s="56"/>
    </row>
    <row r="107" spans="1:47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AF107" s="56"/>
      <c r="AG107" s="56"/>
      <c r="AH107" s="56"/>
      <c r="AI107" s="56"/>
      <c r="AJ107" s="56"/>
      <c r="AK107" s="56"/>
      <c r="AL107" s="56"/>
      <c r="AS107" s="56"/>
      <c r="AT107" s="56"/>
      <c r="AU107" s="56"/>
    </row>
    <row r="108" spans="1:47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AF108" s="56"/>
      <c r="AG108" s="56"/>
      <c r="AH108" s="56"/>
      <c r="AI108" s="56"/>
      <c r="AJ108" s="56"/>
      <c r="AK108" s="56"/>
      <c r="AL108" s="56"/>
      <c r="AS108" s="56"/>
      <c r="AT108" s="56"/>
      <c r="AU108" s="56"/>
    </row>
    <row r="109" spans="1:47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AF109" s="56"/>
      <c r="AG109" s="56"/>
      <c r="AH109" s="56"/>
      <c r="AI109" s="56"/>
      <c r="AJ109" s="56"/>
      <c r="AK109" s="56"/>
      <c r="AL109" s="56"/>
      <c r="AS109" s="56"/>
      <c r="AT109" s="56"/>
      <c r="AU109" s="56"/>
    </row>
    <row r="110" spans="1:47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AF110" s="56"/>
      <c r="AG110" s="56"/>
      <c r="AH110" s="56"/>
      <c r="AI110" s="56"/>
      <c r="AJ110" s="56"/>
      <c r="AK110" s="56"/>
      <c r="AL110" s="56"/>
      <c r="AS110" s="56"/>
      <c r="AT110" s="56"/>
      <c r="AU110" s="56"/>
    </row>
    <row r="111" spans="1:47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AF111" s="56"/>
      <c r="AG111" s="56"/>
      <c r="AH111" s="56"/>
      <c r="AI111" s="56"/>
      <c r="AJ111" s="56"/>
      <c r="AK111" s="56"/>
      <c r="AL111" s="56"/>
      <c r="AS111" s="56"/>
      <c r="AT111" s="56"/>
      <c r="AU111" s="56"/>
    </row>
    <row r="112" spans="1:47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AF112" s="56"/>
      <c r="AG112" s="56"/>
      <c r="AH112" s="56"/>
      <c r="AI112" s="56"/>
      <c r="AJ112" s="56"/>
      <c r="AK112" s="56"/>
      <c r="AL112" s="56"/>
      <c r="AS112" s="56"/>
      <c r="AT112" s="56"/>
      <c r="AU112" s="56"/>
    </row>
    <row r="113" spans="1:47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AF113" s="56"/>
      <c r="AG113" s="56"/>
      <c r="AH113" s="56"/>
      <c r="AI113" s="56"/>
      <c r="AJ113" s="56"/>
      <c r="AK113" s="56"/>
      <c r="AL113" s="56"/>
      <c r="AS113" s="56"/>
      <c r="AT113" s="56"/>
      <c r="AU113" s="56"/>
    </row>
    <row r="114" spans="1:47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AF114" s="56"/>
      <c r="AG114" s="56"/>
      <c r="AH114" s="56"/>
      <c r="AI114" s="56"/>
      <c r="AJ114" s="56"/>
      <c r="AK114" s="56"/>
      <c r="AL114" s="56"/>
      <c r="AS114" s="56"/>
      <c r="AT114" s="56"/>
      <c r="AU114" s="56"/>
    </row>
    <row r="115" spans="1:47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AF115" s="56"/>
      <c r="AG115" s="56"/>
      <c r="AH115" s="56"/>
      <c r="AI115" s="56"/>
      <c r="AJ115" s="56"/>
      <c r="AK115" s="56"/>
      <c r="AL115" s="56"/>
      <c r="AS115" s="56"/>
      <c r="AT115" s="56"/>
      <c r="AU115" s="56"/>
    </row>
    <row r="116" spans="1:47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AF116" s="56"/>
      <c r="AG116" s="56"/>
      <c r="AH116" s="56"/>
      <c r="AI116" s="56"/>
      <c r="AJ116" s="56"/>
      <c r="AK116" s="56"/>
      <c r="AL116" s="56"/>
      <c r="AS116" s="56"/>
      <c r="AT116" s="56"/>
      <c r="AU116" s="56"/>
    </row>
    <row r="117" spans="1:47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AF117" s="56"/>
      <c r="AG117" s="56"/>
      <c r="AH117" s="56"/>
      <c r="AI117" s="56"/>
      <c r="AJ117" s="56"/>
      <c r="AK117" s="56"/>
      <c r="AL117" s="56"/>
      <c r="AS117" s="56"/>
      <c r="AT117" s="56"/>
      <c r="AU117" s="56"/>
    </row>
    <row r="118" spans="1:47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AF118" s="56"/>
      <c r="AG118" s="56"/>
      <c r="AH118" s="56"/>
      <c r="AI118" s="56"/>
      <c r="AJ118" s="56"/>
      <c r="AK118" s="56"/>
      <c r="AL118" s="56"/>
      <c r="AS118" s="56"/>
      <c r="AT118" s="56"/>
      <c r="AU118" s="56"/>
    </row>
    <row r="119" spans="1:47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AF119" s="56"/>
      <c r="AG119" s="56"/>
      <c r="AH119" s="56"/>
      <c r="AI119" s="56"/>
      <c r="AJ119" s="56"/>
      <c r="AK119" s="56"/>
      <c r="AL119" s="56"/>
      <c r="AS119" s="56"/>
      <c r="AT119" s="56"/>
      <c r="AU119" s="56"/>
    </row>
    <row r="120" spans="1:47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AF120" s="56"/>
      <c r="AG120" s="56"/>
      <c r="AH120" s="56"/>
      <c r="AI120" s="56"/>
      <c r="AJ120" s="56"/>
      <c r="AK120" s="56"/>
      <c r="AL120" s="56"/>
      <c r="AS120" s="56"/>
      <c r="AT120" s="56"/>
      <c r="AU120" s="56"/>
    </row>
    <row r="121" spans="1:47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AF121" s="56"/>
      <c r="AG121" s="56"/>
      <c r="AH121" s="56"/>
      <c r="AI121" s="56"/>
      <c r="AJ121" s="56"/>
      <c r="AK121" s="56"/>
      <c r="AL121" s="56"/>
      <c r="AS121" s="56"/>
      <c r="AT121" s="56"/>
      <c r="AU121" s="56"/>
    </row>
    <row r="122" spans="1:47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AF122" s="56"/>
      <c r="AG122" s="56"/>
      <c r="AH122" s="56"/>
      <c r="AI122" s="56"/>
      <c r="AJ122" s="56"/>
      <c r="AK122" s="56"/>
      <c r="AL122" s="56"/>
      <c r="AS122" s="56"/>
      <c r="AT122" s="56"/>
      <c r="AU122" s="56"/>
    </row>
    <row r="123" spans="1:47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AF123" s="56"/>
      <c r="AG123" s="56"/>
      <c r="AH123" s="56"/>
      <c r="AI123" s="56"/>
      <c r="AJ123" s="56"/>
      <c r="AK123" s="56"/>
      <c r="AL123" s="56"/>
      <c r="AS123" s="56"/>
      <c r="AT123" s="56"/>
      <c r="AU123" s="56"/>
    </row>
    <row r="124" spans="1:47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AF124" s="56"/>
      <c r="AG124" s="56"/>
      <c r="AH124" s="56"/>
      <c r="AI124" s="56"/>
      <c r="AJ124" s="56"/>
      <c r="AK124" s="56"/>
      <c r="AL124" s="56"/>
      <c r="AS124" s="56"/>
      <c r="AT124" s="56"/>
      <c r="AU124" s="56"/>
    </row>
    <row r="125" spans="1:47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AF125" s="56"/>
      <c r="AG125" s="56"/>
      <c r="AH125" s="56"/>
      <c r="AI125" s="56"/>
      <c r="AJ125" s="56"/>
      <c r="AK125" s="56"/>
      <c r="AL125" s="56"/>
      <c r="AS125" s="56"/>
      <c r="AT125" s="56"/>
      <c r="AU125" s="56"/>
    </row>
    <row r="126" spans="1:47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AF126" s="56"/>
      <c r="AG126" s="56"/>
      <c r="AH126" s="56"/>
      <c r="AI126" s="56"/>
      <c r="AJ126" s="56"/>
      <c r="AK126" s="56"/>
      <c r="AL126" s="56"/>
      <c r="AS126" s="56"/>
      <c r="AT126" s="56"/>
      <c r="AU126" s="56"/>
    </row>
    <row r="127" spans="1:47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AF127" s="56"/>
      <c r="AG127" s="56"/>
      <c r="AH127" s="56"/>
      <c r="AI127" s="56"/>
      <c r="AJ127" s="56"/>
      <c r="AK127" s="56"/>
      <c r="AL127" s="56"/>
      <c r="AS127" s="56"/>
      <c r="AT127" s="56"/>
      <c r="AU127" s="56"/>
    </row>
    <row r="128" spans="1:47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AF128" s="56"/>
      <c r="AG128" s="56"/>
      <c r="AH128" s="56"/>
      <c r="AI128" s="56"/>
      <c r="AJ128" s="56"/>
      <c r="AK128" s="56"/>
      <c r="AL128" s="56"/>
      <c r="AS128" s="56"/>
      <c r="AT128" s="56"/>
      <c r="AU128" s="56"/>
    </row>
    <row r="129" spans="1:47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AF129" s="56"/>
      <c r="AG129" s="56"/>
      <c r="AH129" s="56"/>
      <c r="AI129" s="56"/>
      <c r="AJ129" s="56"/>
      <c r="AK129" s="56"/>
      <c r="AL129" s="56"/>
      <c r="AS129" s="56"/>
      <c r="AT129" s="56"/>
      <c r="AU129" s="56"/>
    </row>
    <row r="130" spans="1:47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AF130" s="56"/>
      <c r="AG130" s="56"/>
      <c r="AH130" s="56"/>
      <c r="AI130" s="56"/>
      <c r="AJ130" s="56"/>
      <c r="AK130" s="56"/>
      <c r="AL130" s="56"/>
      <c r="AS130" s="56"/>
      <c r="AT130" s="56"/>
      <c r="AU130" s="56"/>
    </row>
    <row r="131" spans="1:47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AF131" s="56"/>
      <c r="AG131" s="56"/>
      <c r="AH131" s="56"/>
      <c r="AI131" s="56"/>
      <c r="AJ131" s="56"/>
      <c r="AK131" s="56"/>
      <c r="AL131" s="56"/>
      <c r="AS131" s="56"/>
      <c r="AT131" s="56"/>
      <c r="AU131" s="56"/>
    </row>
    <row r="132" spans="1:47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AF132" s="56"/>
      <c r="AG132" s="56"/>
      <c r="AH132" s="56"/>
      <c r="AI132" s="56"/>
      <c r="AJ132" s="56"/>
      <c r="AK132" s="56"/>
      <c r="AL132" s="56"/>
      <c r="AS132" s="56"/>
      <c r="AT132" s="56"/>
      <c r="AU132" s="56"/>
    </row>
    <row r="133" spans="1:47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AF133" s="56"/>
      <c r="AG133" s="56"/>
      <c r="AH133" s="56"/>
      <c r="AI133" s="56"/>
      <c r="AJ133" s="56"/>
      <c r="AK133" s="56"/>
      <c r="AL133" s="56"/>
      <c r="AS133" s="56"/>
      <c r="AT133" s="56"/>
      <c r="AU133" s="56"/>
    </row>
    <row r="134" spans="1:47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AF134" s="56"/>
      <c r="AG134" s="56"/>
      <c r="AH134" s="56"/>
      <c r="AI134" s="56"/>
      <c r="AJ134" s="56"/>
      <c r="AK134" s="56"/>
      <c r="AL134" s="56"/>
      <c r="AS134" s="56"/>
      <c r="AT134" s="56"/>
      <c r="AU134" s="56"/>
    </row>
    <row r="135" spans="1:47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AF135" s="56"/>
      <c r="AG135" s="56"/>
      <c r="AH135" s="56"/>
      <c r="AI135" s="56"/>
      <c r="AJ135" s="56"/>
      <c r="AK135" s="56"/>
      <c r="AL135" s="56"/>
      <c r="AS135" s="56"/>
      <c r="AT135" s="56"/>
      <c r="AU135" s="56"/>
    </row>
    <row r="136" spans="1:47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AF136" s="56"/>
      <c r="AG136" s="56"/>
      <c r="AH136" s="56"/>
      <c r="AI136" s="56"/>
      <c r="AJ136" s="56"/>
      <c r="AK136" s="56"/>
      <c r="AL136" s="56"/>
      <c r="AS136" s="56"/>
      <c r="AT136" s="56"/>
      <c r="AU136" s="56"/>
    </row>
    <row r="137" spans="1:47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AF137" s="56"/>
      <c r="AG137" s="56"/>
      <c r="AH137" s="56"/>
      <c r="AI137" s="56"/>
      <c r="AJ137" s="56"/>
      <c r="AK137" s="56"/>
      <c r="AL137" s="56"/>
      <c r="AS137" s="56"/>
      <c r="AT137" s="56"/>
      <c r="AU137" s="56"/>
    </row>
    <row r="138" spans="1:47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AF138" s="56"/>
      <c r="AG138" s="56"/>
      <c r="AH138" s="56"/>
      <c r="AI138" s="56"/>
      <c r="AJ138" s="56"/>
      <c r="AK138" s="56"/>
      <c r="AL138" s="56"/>
      <c r="AS138" s="56"/>
      <c r="AT138" s="56"/>
      <c r="AU138" s="56"/>
    </row>
    <row r="139" spans="1:47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AF139" s="56"/>
      <c r="AG139" s="56"/>
      <c r="AH139" s="56"/>
      <c r="AI139" s="56"/>
      <c r="AJ139" s="56"/>
      <c r="AK139" s="56"/>
      <c r="AL139" s="56"/>
      <c r="AS139" s="56"/>
      <c r="AT139" s="56"/>
      <c r="AU139" s="56"/>
    </row>
    <row r="140" spans="1:47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AF140" s="56"/>
      <c r="AG140" s="56"/>
      <c r="AH140" s="56"/>
      <c r="AI140" s="56"/>
      <c r="AJ140" s="56"/>
      <c r="AK140" s="56"/>
      <c r="AL140" s="56"/>
      <c r="AS140" s="56"/>
      <c r="AT140" s="56"/>
      <c r="AU140" s="56"/>
    </row>
    <row r="141" spans="1:47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AF141" s="56"/>
      <c r="AG141" s="56"/>
      <c r="AH141" s="56"/>
      <c r="AI141" s="56"/>
      <c r="AJ141" s="56"/>
      <c r="AK141" s="56"/>
      <c r="AL141" s="56"/>
      <c r="AS141" s="56"/>
      <c r="AT141" s="56"/>
      <c r="AU141" s="56"/>
    </row>
    <row r="142" spans="1:47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AF142" s="56"/>
      <c r="AG142" s="56"/>
      <c r="AH142" s="56"/>
      <c r="AI142" s="56"/>
      <c r="AJ142" s="56"/>
      <c r="AK142" s="56"/>
      <c r="AL142" s="56"/>
      <c r="AS142" s="56"/>
      <c r="AT142" s="56"/>
      <c r="AU142" s="56"/>
    </row>
    <row r="143" spans="1:47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AF143" s="56"/>
      <c r="AG143" s="56"/>
      <c r="AH143" s="56"/>
      <c r="AI143" s="56"/>
      <c r="AJ143" s="56"/>
      <c r="AK143" s="56"/>
      <c r="AL143" s="56"/>
      <c r="AS143" s="56"/>
      <c r="AT143" s="56"/>
      <c r="AU143" s="56"/>
    </row>
    <row r="144" spans="1:47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AF144" s="56"/>
      <c r="AG144" s="56"/>
      <c r="AH144" s="56"/>
      <c r="AI144" s="56"/>
      <c r="AJ144" s="56"/>
      <c r="AK144" s="56"/>
      <c r="AL144" s="56"/>
      <c r="AS144" s="56"/>
      <c r="AT144" s="56"/>
      <c r="AU144" s="56"/>
    </row>
    <row r="145" spans="1:47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AF145" s="56"/>
      <c r="AG145" s="56"/>
      <c r="AH145" s="56"/>
      <c r="AI145" s="56"/>
      <c r="AJ145" s="56"/>
      <c r="AK145" s="56"/>
      <c r="AL145" s="56"/>
      <c r="AS145" s="56"/>
      <c r="AT145" s="56"/>
      <c r="AU145" s="56"/>
    </row>
    <row r="146" spans="1:47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AF146" s="56"/>
      <c r="AG146" s="56"/>
      <c r="AH146" s="56"/>
      <c r="AI146" s="56"/>
      <c r="AJ146" s="56"/>
      <c r="AK146" s="56"/>
      <c r="AL146" s="56"/>
      <c r="AS146" s="56"/>
      <c r="AT146" s="56"/>
      <c r="AU146" s="56"/>
    </row>
    <row r="147" spans="1:47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AF147" s="56"/>
      <c r="AG147" s="56"/>
      <c r="AH147" s="56"/>
      <c r="AI147" s="56"/>
      <c r="AJ147" s="56"/>
      <c r="AK147" s="56"/>
      <c r="AL147" s="56"/>
      <c r="AS147" s="56"/>
      <c r="AT147" s="56"/>
      <c r="AU147" s="56"/>
    </row>
    <row r="148" spans="1:47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AF148" s="56"/>
      <c r="AG148" s="56"/>
      <c r="AH148" s="56"/>
      <c r="AI148" s="56"/>
      <c r="AJ148" s="56"/>
      <c r="AK148" s="56"/>
      <c r="AL148" s="56"/>
      <c r="AS148" s="56"/>
      <c r="AT148" s="56"/>
      <c r="AU148" s="56"/>
    </row>
    <row r="149" spans="1:47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AF149" s="56"/>
      <c r="AG149" s="56"/>
      <c r="AH149" s="56"/>
      <c r="AI149" s="56"/>
      <c r="AJ149" s="56"/>
      <c r="AK149" s="56"/>
      <c r="AL149" s="56"/>
      <c r="AS149" s="56"/>
      <c r="AT149" s="56"/>
      <c r="AU149" s="56"/>
    </row>
    <row r="150" spans="1:47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AF150" s="56"/>
      <c r="AG150" s="56"/>
      <c r="AH150" s="56"/>
      <c r="AI150" s="56"/>
      <c r="AJ150" s="56"/>
      <c r="AK150" s="56"/>
      <c r="AL150" s="56"/>
      <c r="AS150" s="56"/>
      <c r="AT150" s="56"/>
      <c r="AU150" s="56"/>
    </row>
    <row r="151" spans="1:47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AF151" s="56"/>
      <c r="AG151" s="56"/>
      <c r="AH151" s="56"/>
      <c r="AI151" s="56"/>
      <c r="AJ151" s="56"/>
      <c r="AK151" s="56"/>
      <c r="AL151" s="56"/>
      <c r="AS151" s="56"/>
      <c r="AT151" s="56"/>
      <c r="AU151" s="56"/>
    </row>
    <row r="152" spans="1:47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AF152" s="56"/>
      <c r="AG152" s="56"/>
      <c r="AH152" s="56"/>
      <c r="AI152" s="56"/>
      <c r="AJ152" s="56"/>
      <c r="AK152" s="56"/>
      <c r="AL152" s="56"/>
      <c r="AS152" s="56"/>
      <c r="AT152" s="56"/>
      <c r="AU152" s="56"/>
    </row>
    <row r="153" spans="1:47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AF153" s="56"/>
      <c r="AG153" s="56"/>
      <c r="AH153" s="56"/>
      <c r="AI153" s="56"/>
      <c r="AJ153" s="56"/>
      <c r="AK153" s="56"/>
      <c r="AL153" s="56"/>
      <c r="AS153" s="56"/>
      <c r="AT153" s="56"/>
      <c r="AU153" s="56"/>
    </row>
    <row r="154" spans="1:47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AF154" s="56"/>
      <c r="AG154" s="56"/>
      <c r="AH154" s="56"/>
      <c r="AI154" s="56"/>
      <c r="AJ154" s="56"/>
      <c r="AK154" s="56"/>
      <c r="AL154" s="56"/>
      <c r="AS154" s="56"/>
      <c r="AT154" s="56"/>
      <c r="AU154" s="56"/>
    </row>
    <row r="155" spans="1:47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AF155" s="56"/>
      <c r="AG155" s="56"/>
      <c r="AH155" s="56"/>
      <c r="AI155" s="56"/>
      <c r="AJ155" s="56"/>
      <c r="AK155" s="56"/>
      <c r="AL155" s="56"/>
      <c r="AS155" s="56"/>
      <c r="AT155" s="56"/>
      <c r="AU155" s="56"/>
    </row>
    <row r="156" spans="1:47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AF156" s="56"/>
      <c r="AG156" s="56"/>
      <c r="AH156" s="56"/>
      <c r="AI156" s="56"/>
      <c r="AJ156" s="56"/>
      <c r="AK156" s="56"/>
      <c r="AL156" s="56"/>
      <c r="AS156" s="56"/>
      <c r="AT156" s="56"/>
      <c r="AU156" s="56"/>
    </row>
    <row r="157" spans="1:47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AF157" s="56"/>
      <c r="AG157" s="56"/>
      <c r="AH157" s="56"/>
      <c r="AI157" s="56"/>
      <c r="AJ157" s="56"/>
      <c r="AK157" s="56"/>
      <c r="AL157" s="56"/>
      <c r="AS157" s="56"/>
      <c r="AT157" s="56"/>
      <c r="AU157" s="56"/>
    </row>
    <row r="158" spans="1:47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AF158" s="56"/>
      <c r="AG158" s="56"/>
      <c r="AH158" s="56"/>
      <c r="AI158" s="56"/>
      <c r="AJ158" s="56"/>
      <c r="AK158" s="56"/>
      <c r="AL158" s="56"/>
      <c r="AS158" s="56"/>
      <c r="AT158" s="56"/>
      <c r="AU158" s="56"/>
    </row>
    <row r="159" spans="1:47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AF159" s="56"/>
      <c r="AG159" s="56"/>
      <c r="AH159" s="56"/>
      <c r="AI159" s="56"/>
      <c r="AJ159" s="56"/>
      <c r="AK159" s="56"/>
      <c r="AL159" s="56"/>
      <c r="AS159" s="56"/>
      <c r="AT159" s="56"/>
      <c r="AU159" s="56"/>
    </row>
    <row r="160" spans="1:47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AF160" s="56"/>
      <c r="AG160" s="56"/>
      <c r="AH160" s="56"/>
      <c r="AI160" s="56"/>
      <c r="AJ160" s="56"/>
      <c r="AK160" s="56"/>
      <c r="AL160" s="56"/>
      <c r="AS160" s="56"/>
      <c r="AT160" s="56"/>
      <c r="AU160" s="56"/>
    </row>
    <row r="161" spans="1:47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AF161" s="56"/>
      <c r="AG161" s="56"/>
      <c r="AH161" s="56"/>
      <c r="AI161" s="56"/>
      <c r="AJ161" s="56"/>
      <c r="AK161" s="56"/>
      <c r="AL161" s="56"/>
      <c r="AS161" s="56"/>
      <c r="AT161" s="56"/>
      <c r="AU161" s="56"/>
    </row>
    <row r="162" spans="1:47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AF162" s="56"/>
      <c r="AG162" s="56"/>
      <c r="AH162" s="56"/>
      <c r="AI162" s="56"/>
      <c r="AJ162" s="56"/>
      <c r="AK162" s="56"/>
      <c r="AL162" s="56"/>
      <c r="AS162" s="56"/>
      <c r="AT162" s="56"/>
      <c r="AU162" s="56"/>
    </row>
    <row r="163" spans="1:47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AF163" s="56"/>
      <c r="AG163" s="56"/>
      <c r="AH163" s="56"/>
      <c r="AI163" s="56"/>
      <c r="AJ163" s="56"/>
      <c r="AK163" s="56"/>
      <c r="AL163" s="56"/>
      <c r="AS163" s="56"/>
      <c r="AT163" s="56"/>
      <c r="AU163" s="56"/>
    </row>
    <row r="164" spans="1:47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AF164" s="56"/>
      <c r="AG164" s="56"/>
      <c r="AH164" s="56"/>
      <c r="AI164" s="56"/>
      <c r="AJ164" s="56"/>
      <c r="AK164" s="56"/>
      <c r="AL164" s="56"/>
      <c r="AS164" s="56"/>
      <c r="AT164" s="56"/>
      <c r="AU164" s="56"/>
    </row>
    <row r="165" spans="1:47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AF165" s="56"/>
      <c r="AG165" s="56"/>
      <c r="AH165" s="56"/>
      <c r="AI165" s="56"/>
      <c r="AJ165" s="56"/>
      <c r="AK165" s="56"/>
      <c r="AL165" s="56"/>
      <c r="AS165" s="56"/>
      <c r="AT165" s="56"/>
      <c r="AU165" s="56"/>
    </row>
    <row r="166" spans="1:47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AF166" s="56"/>
      <c r="AG166" s="56"/>
      <c r="AH166" s="56"/>
      <c r="AI166" s="56"/>
      <c r="AJ166" s="56"/>
      <c r="AK166" s="56"/>
      <c r="AL166" s="56"/>
      <c r="AS166" s="56"/>
      <c r="AT166" s="56"/>
      <c r="AU166" s="56"/>
    </row>
    <row r="167" spans="1:47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AF167" s="56"/>
      <c r="AG167" s="56"/>
      <c r="AH167" s="56"/>
      <c r="AI167" s="56"/>
      <c r="AJ167" s="56"/>
      <c r="AK167" s="56"/>
      <c r="AL167" s="56"/>
      <c r="AS167" s="56"/>
      <c r="AT167" s="56"/>
      <c r="AU167" s="56"/>
    </row>
    <row r="168" spans="1:47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AF168" s="56"/>
      <c r="AG168" s="56"/>
      <c r="AH168" s="56"/>
      <c r="AI168" s="56"/>
      <c r="AJ168" s="56"/>
      <c r="AK168" s="56"/>
      <c r="AL168" s="56"/>
      <c r="AS168" s="56"/>
      <c r="AT168" s="56"/>
      <c r="AU168" s="56"/>
    </row>
    <row r="169" spans="1:47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AF169" s="56"/>
      <c r="AG169" s="56"/>
      <c r="AH169" s="56"/>
      <c r="AI169" s="56"/>
      <c r="AJ169" s="56"/>
      <c r="AK169" s="56"/>
      <c r="AL169" s="56"/>
      <c r="AS169" s="56"/>
      <c r="AT169" s="56"/>
      <c r="AU169" s="56"/>
    </row>
    <row r="170" spans="1:47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AF170" s="56"/>
      <c r="AG170" s="56"/>
      <c r="AH170" s="56"/>
      <c r="AI170" s="56"/>
      <c r="AJ170" s="56"/>
      <c r="AK170" s="56"/>
      <c r="AL170" s="56"/>
      <c r="AS170" s="56"/>
      <c r="AT170" s="56"/>
      <c r="AU170" s="56"/>
    </row>
    <row r="171" spans="1:47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AF171" s="56"/>
      <c r="AG171" s="56"/>
      <c r="AH171" s="56"/>
      <c r="AI171" s="56"/>
      <c r="AJ171" s="56"/>
      <c r="AK171" s="56"/>
      <c r="AL171" s="56"/>
      <c r="AS171" s="56"/>
      <c r="AT171" s="56"/>
      <c r="AU171" s="56"/>
    </row>
    <row r="172" spans="1:47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AF172" s="56"/>
      <c r="AG172" s="56"/>
      <c r="AH172" s="56"/>
      <c r="AI172" s="56"/>
      <c r="AJ172" s="56"/>
      <c r="AK172" s="56"/>
      <c r="AL172" s="56"/>
      <c r="AS172" s="56"/>
      <c r="AT172" s="56"/>
      <c r="AU172" s="56"/>
    </row>
    <row r="173" spans="1:47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AF173" s="56"/>
      <c r="AG173" s="56"/>
      <c r="AH173" s="56"/>
      <c r="AI173" s="56"/>
      <c r="AJ173" s="56"/>
      <c r="AK173" s="56"/>
      <c r="AL173" s="56"/>
      <c r="AS173" s="56"/>
      <c r="AT173" s="56"/>
      <c r="AU173" s="56"/>
    </row>
    <row r="174" spans="1:47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AF174" s="56"/>
      <c r="AG174" s="56"/>
      <c r="AH174" s="56"/>
      <c r="AI174" s="56"/>
      <c r="AJ174" s="56"/>
      <c r="AK174" s="56"/>
      <c r="AL174" s="56"/>
      <c r="AS174" s="56"/>
      <c r="AT174" s="56"/>
      <c r="AU174" s="56"/>
    </row>
    <row r="175" spans="1:47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AF175" s="56"/>
      <c r="AG175" s="56"/>
      <c r="AH175" s="56"/>
      <c r="AI175" s="56"/>
      <c r="AJ175" s="56"/>
      <c r="AK175" s="56"/>
      <c r="AL175" s="56"/>
      <c r="AS175" s="56"/>
      <c r="AT175" s="56"/>
      <c r="AU175" s="56"/>
    </row>
    <row r="176" spans="1:47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AF176" s="56"/>
      <c r="AG176" s="56"/>
      <c r="AH176" s="56"/>
      <c r="AI176" s="56"/>
      <c r="AJ176" s="56"/>
      <c r="AK176" s="56"/>
      <c r="AL176" s="56"/>
      <c r="AS176" s="56"/>
      <c r="AT176" s="56"/>
      <c r="AU176" s="56"/>
    </row>
    <row r="177" spans="1:47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AF177" s="56"/>
      <c r="AG177" s="56"/>
      <c r="AH177" s="56"/>
      <c r="AI177" s="56"/>
      <c r="AJ177" s="56"/>
      <c r="AK177" s="56"/>
      <c r="AL177" s="56"/>
      <c r="AS177" s="56"/>
      <c r="AT177" s="56"/>
      <c r="AU177" s="56"/>
    </row>
    <row r="178" spans="1:47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AF178" s="56"/>
      <c r="AG178" s="56"/>
      <c r="AH178" s="56"/>
      <c r="AI178" s="56"/>
      <c r="AJ178" s="56"/>
      <c r="AK178" s="56"/>
      <c r="AL178" s="56"/>
      <c r="AS178" s="56"/>
      <c r="AT178" s="56"/>
      <c r="AU178" s="56"/>
    </row>
    <row r="179" spans="1:47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AF179" s="56"/>
      <c r="AG179" s="56"/>
      <c r="AH179" s="56"/>
      <c r="AI179" s="56"/>
      <c r="AJ179" s="56"/>
      <c r="AK179" s="56"/>
      <c r="AL179" s="56"/>
      <c r="AS179" s="56"/>
      <c r="AT179" s="56"/>
      <c r="AU179" s="56"/>
    </row>
    <row r="180" spans="1:47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AF180" s="56"/>
      <c r="AG180" s="56"/>
      <c r="AH180" s="56"/>
      <c r="AI180" s="56"/>
      <c r="AJ180" s="56"/>
      <c r="AK180" s="56"/>
      <c r="AL180" s="56"/>
      <c r="AS180" s="56"/>
      <c r="AT180" s="56"/>
      <c r="AU180" s="56"/>
    </row>
    <row r="181" spans="1:47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AF181" s="56"/>
      <c r="AG181" s="56"/>
      <c r="AH181" s="56"/>
      <c r="AI181" s="56"/>
      <c r="AJ181" s="56"/>
      <c r="AK181" s="56"/>
      <c r="AL181" s="56"/>
      <c r="AS181" s="56"/>
      <c r="AT181" s="56"/>
      <c r="AU181" s="56"/>
    </row>
    <row r="182" spans="1:47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AF182" s="56"/>
      <c r="AG182" s="56"/>
      <c r="AH182" s="56"/>
      <c r="AI182" s="56"/>
      <c r="AJ182" s="56"/>
      <c r="AK182" s="56"/>
      <c r="AL182" s="56"/>
      <c r="AS182" s="56"/>
      <c r="AT182" s="56"/>
      <c r="AU182" s="56"/>
    </row>
    <row r="183" spans="1:47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AF183" s="56"/>
      <c r="AG183" s="56"/>
      <c r="AH183" s="56"/>
      <c r="AI183" s="56"/>
      <c r="AJ183" s="56"/>
      <c r="AK183" s="56"/>
      <c r="AL183" s="56"/>
      <c r="AS183" s="56"/>
      <c r="AT183" s="56"/>
      <c r="AU183" s="56"/>
    </row>
    <row r="184" spans="1:47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AF184" s="56"/>
      <c r="AG184" s="56"/>
      <c r="AH184" s="56"/>
      <c r="AI184" s="56"/>
      <c r="AJ184" s="56"/>
      <c r="AK184" s="56"/>
      <c r="AL184" s="56"/>
      <c r="AS184" s="56"/>
      <c r="AT184" s="56"/>
      <c r="AU184" s="56"/>
    </row>
    <row r="185" spans="1:47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AF185" s="56"/>
      <c r="AG185" s="56"/>
      <c r="AH185" s="56"/>
      <c r="AI185" s="56"/>
      <c r="AJ185" s="56"/>
      <c r="AK185" s="56"/>
      <c r="AL185" s="56"/>
      <c r="AS185" s="56"/>
      <c r="AT185" s="56"/>
      <c r="AU185" s="56"/>
    </row>
    <row r="186" spans="1:47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AF186" s="56"/>
      <c r="AG186" s="56"/>
      <c r="AH186" s="56"/>
      <c r="AI186" s="56"/>
      <c r="AJ186" s="56"/>
      <c r="AK186" s="56"/>
      <c r="AL186" s="56"/>
      <c r="AS186" s="56"/>
      <c r="AT186" s="56"/>
      <c r="AU186" s="56"/>
    </row>
    <row r="187" spans="1:47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AF187" s="56"/>
      <c r="AG187" s="56"/>
      <c r="AH187" s="56"/>
      <c r="AI187" s="56"/>
      <c r="AJ187" s="56"/>
      <c r="AK187" s="56"/>
      <c r="AL187" s="56"/>
      <c r="AS187" s="56"/>
      <c r="AT187" s="56"/>
      <c r="AU187" s="56"/>
    </row>
    <row r="188" spans="1:47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AF188" s="56"/>
      <c r="AG188" s="56"/>
      <c r="AH188" s="56"/>
      <c r="AI188" s="56"/>
      <c r="AJ188" s="56"/>
      <c r="AK188" s="56"/>
      <c r="AL188" s="56"/>
      <c r="AS188" s="56"/>
      <c r="AT188" s="56"/>
      <c r="AU188" s="56"/>
    </row>
    <row r="189" spans="1:47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AF189" s="56"/>
      <c r="AG189" s="56"/>
      <c r="AH189" s="56"/>
      <c r="AI189" s="56"/>
      <c r="AJ189" s="56"/>
      <c r="AK189" s="56"/>
      <c r="AL189" s="56"/>
      <c r="AS189" s="56"/>
      <c r="AT189" s="56"/>
      <c r="AU189" s="56"/>
    </row>
    <row r="190" spans="1:47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AF190" s="56"/>
      <c r="AG190" s="56"/>
      <c r="AH190" s="56"/>
      <c r="AI190" s="56"/>
      <c r="AJ190" s="56"/>
      <c r="AK190" s="56"/>
      <c r="AL190" s="56"/>
      <c r="AS190" s="56"/>
      <c r="AT190" s="56"/>
      <c r="AU190" s="56"/>
    </row>
    <row r="191" spans="1:47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AF191" s="56"/>
      <c r="AG191" s="56"/>
      <c r="AH191" s="56"/>
      <c r="AI191" s="56"/>
      <c r="AJ191" s="56"/>
      <c r="AK191" s="56"/>
      <c r="AL191" s="56"/>
      <c r="AS191" s="56"/>
      <c r="AT191" s="56"/>
      <c r="AU191" s="56"/>
    </row>
    <row r="192" spans="1:47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AF192" s="56"/>
      <c r="AG192" s="56"/>
      <c r="AH192" s="56"/>
      <c r="AI192" s="56"/>
      <c r="AJ192" s="56"/>
      <c r="AK192" s="56"/>
      <c r="AL192" s="56"/>
      <c r="AS192" s="56"/>
      <c r="AT192" s="56"/>
      <c r="AU192" s="56"/>
    </row>
    <row r="193" spans="1:47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AF193" s="56"/>
      <c r="AG193" s="56"/>
      <c r="AH193" s="56"/>
      <c r="AI193" s="56"/>
      <c r="AJ193" s="56"/>
      <c r="AK193" s="56"/>
      <c r="AL193" s="56"/>
      <c r="AS193" s="56"/>
      <c r="AT193" s="56"/>
      <c r="AU193" s="56"/>
    </row>
    <row r="194" spans="1:47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AF194" s="56"/>
      <c r="AG194" s="56"/>
      <c r="AH194" s="56"/>
      <c r="AI194" s="56"/>
      <c r="AJ194" s="56"/>
      <c r="AK194" s="56"/>
      <c r="AL194" s="56"/>
      <c r="AS194" s="56"/>
      <c r="AT194" s="56"/>
      <c r="AU194" s="56"/>
    </row>
    <row r="195" spans="1:47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AF195" s="56"/>
      <c r="AG195" s="56"/>
      <c r="AH195" s="56"/>
      <c r="AI195" s="56"/>
      <c r="AJ195" s="56"/>
      <c r="AK195" s="56"/>
      <c r="AL195" s="56"/>
      <c r="AS195" s="56"/>
      <c r="AT195" s="56"/>
      <c r="AU195" s="56"/>
    </row>
    <row r="196" spans="1:47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AF196" s="56"/>
      <c r="AG196" s="56"/>
      <c r="AH196" s="56"/>
      <c r="AI196" s="56"/>
      <c r="AJ196" s="56"/>
      <c r="AK196" s="56"/>
      <c r="AL196" s="56"/>
      <c r="AS196" s="56"/>
      <c r="AT196" s="56"/>
      <c r="AU196" s="56"/>
    </row>
    <row r="197" spans="1:47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AF197" s="56"/>
      <c r="AG197" s="56"/>
      <c r="AH197" s="56"/>
      <c r="AI197" s="56"/>
      <c r="AJ197" s="56"/>
      <c r="AK197" s="56"/>
      <c r="AL197" s="56"/>
      <c r="AS197" s="56"/>
      <c r="AT197" s="56"/>
      <c r="AU197" s="56"/>
    </row>
    <row r="198" spans="1:47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AF198" s="56"/>
      <c r="AG198" s="56"/>
      <c r="AH198" s="56"/>
      <c r="AI198" s="56"/>
      <c r="AJ198" s="56"/>
      <c r="AK198" s="56"/>
      <c r="AL198" s="56"/>
      <c r="AS198" s="56"/>
      <c r="AT198" s="56"/>
      <c r="AU198" s="56"/>
    </row>
    <row r="199" spans="1:47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AF199" s="56"/>
      <c r="AG199" s="56"/>
      <c r="AH199" s="56"/>
      <c r="AI199" s="56"/>
      <c r="AJ199" s="56"/>
      <c r="AK199" s="56"/>
      <c r="AL199" s="56"/>
      <c r="AS199" s="56"/>
      <c r="AT199" s="56"/>
      <c r="AU199" s="56"/>
    </row>
    <row r="200" spans="1:47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AF200" s="56"/>
      <c r="AG200" s="56"/>
      <c r="AH200" s="56"/>
      <c r="AI200" s="56"/>
      <c r="AJ200" s="56"/>
      <c r="AK200" s="56"/>
      <c r="AL200" s="56"/>
      <c r="AS200" s="56"/>
      <c r="AT200" s="56"/>
      <c r="AU200" s="56"/>
    </row>
    <row r="201" spans="1:47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AF201" s="56"/>
      <c r="AG201" s="56"/>
      <c r="AH201" s="56"/>
      <c r="AI201" s="56"/>
      <c r="AJ201" s="56"/>
      <c r="AK201" s="56"/>
      <c r="AL201" s="56"/>
      <c r="AS201" s="56"/>
      <c r="AT201" s="56"/>
      <c r="AU201" s="56"/>
    </row>
    <row r="202" spans="1:47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AF202" s="56"/>
      <c r="AG202" s="56"/>
      <c r="AH202" s="56"/>
      <c r="AI202" s="56"/>
      <c r="AJ202" s="56"/>
      <c r="AK202" s="56"/>
      <c r="AL202" s="56"/>
      <c r="AS202" s="56"/>
      <c r="AT202" s="56"/>
      <c r="AU202" s="56"/>
    </row>
    <row r="203" spans="1:47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AF203" s="56"/>
      <c r="AG203" s="56"/>
      <c r="AH203" s="56"/>
      <c r="AI203" s="56"/>
      <c r="AJ203" s="56"/>
      <c r="AK203" s="56"/>
      <c r="AL203" s="56"/>
      <c r="AS203" s="56"/>
      <c r="AT203" s="56"/>
      <c r="AU203" s="56"/>
    </row>
    <row r="204" spans="1:47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AF204" s="56"/>
      <c r="AG204" s="56"/>
      <c r="AH204" s="56"/>
      <c r="AI204" s="56"/>
      <c r="AJ204" s="56"/>
      <c r="AK204" s="56"/>
      <c r="AL204" s="56"/>
      <c r="AS204" s="56"/>
      <c r="AT204" s="56"/>
      <c r="AU204" s="56"/>
    </row>
    <row r="205" spans="1:47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AF205" s="56"/>
      <c r="AG205" s="56"/>
      <c r="AH205" s="56"/>
      <c r="AI205" s="56"/>
      <c r="AJ205" s="56"/>
      <c r="AK205" s="56"/>
      <c r="AL205" s="56"/>
      <c r="AS205" s="56"/>
      <c r="AT205" s="56"/>
      <c r="AU205" s="56"/>
    </row>
    <row r="206" spans="1:47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AF206" s="56"/>
      <c r="AG206" s="56"/>
      <c r="AH206" s="56"/>
      <c r="AI206" s="56"/>
      <c r="AJ206" s="56"/>
      <c r="AK206" s="56"/>
      <c r="AL206" s="56"/>
      <c r="AS206" s="56"/>
      <c r="AT206" s="56"/>
      <c r="AU206" s="56"/>
    </row>
    <row r="207" spans="1:47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AF207" s="56"/>
      <c r="AG207" s="56"/>
      <c r="AH207" s="56"/>
      <c r="AI207" s="56"/>
      <c r="AJ207" s="56"/>
      <c r="AK207" s="56"/>
      <c r="AL207" s="56"/>
      <c r="AS207" s="56"/>
      <c r="AT207" s="56"/>
      <c r="AU207" s="56"/>
    </row>
    <row r="208" spans="1:47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AF208" s="56"/>
      <c r="AG208" s="56"/>
      <c r="AH208" s="56"/>
      <c r="AI208" s="56"/>
      <c r="AJ208" s="56"/>
      <c r="AK208" s="56"/>
      <c r="AL208" s="56"/>
      <c r="AS208" s="56"/>
      <c r="AT208" s="56"/>
      <c r="AU208" s="56"/>
    </row>
    <row r="209" spans="1:47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AF209" s="56"/>
      <c r="AG209" s="56"/>
      <c r="AH209" s="56"/>
      <c r="AI209" s="56"/>
      <c r="AJ209" s="56"/>
      <c r="AK209" s="56"/>
      <c r="AL209" s="56"/>
      <c r="AS209" s="56"/>
      <c r="AT209" s="56"/>
      <c r="AU209" s="56"/>
    </row>
    <row r="210" spans="1:47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AF210" s="56"/>
      <c r="AG210" s="56"/>
      <c r="AH210" s="56"/>
      <c r="AI210" s="56"/>
      <c r="AJ210" s="56"/>
      <c r="AK210" s="56"/>
      <c r="AL210" s="56"/>
      <c r="AS210" s="56"/>
      <c r="AT210" s="56"/>
      <c r="AU210" s="56"/>
    </row>
    <row r="211" spans="1:47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AF211" s="56"/>
      <c r="AG211" s="56"/>
      <c r="AH211" s="56"/>
      <c r="AI211" s="56"/>
      <c r="AJ211" s="56"/>
      <c r="AK211" s="56"/>
      <c r="AL211" s="56"/>
      <c r="AS211" s="56"/>
      <c r="AT211" s="56"/>
      <c r="AU211" s="56"/>
    </row>
    <row r="212" spans="1:47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AF212" s="56"/>
      <c r="AG212" s="56"/>
      <c r="AH212" s="56"/>
      <c r="AI212" s="56"/>
      <c r="AJ212" s="56"/>
      <c r="AK212" s="56"/>
      <c r="AL212" s="56"/>
      <c r="AS212" s="56"/>
      <c r="AT212" s="56"/>
      <c r="AU212" s="56"/>
    </row>
    <row r="213" spans="1:47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AF213" s="56"/>
      <c r="AG213" s="56"/>
      <c r="AH213" s="56"/>
      <c r="AI213" s="56"/>
      <c r="AJ213" s="56"/>
      <c r="AK213" s="56"/>
      <c r="AL213" s="56"/>
      <c r="AS213" s="56"/>
      <c r="AT213" s="56"/>
      <c r="AU213" s="56"/>
    </row>
    <row r="214" spans="1:47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AF214" s="56"/>
      <c r="AG214" s="56"/>
      <c r="AH214" s="56"/>
      <c r="AI214" s="56"/>
      <c r="AJ214" s="56"/>
      <c r="AK214" s="56"/>
      <c r="AL214" s="56"/>
      <c r="AS214" s="56"/>
      <c r="AT214" s="56"/>
      <c r="AU214" s="56"/>
    </row>
    <row r="215" spans="1:47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AF215" s="56"/>
      <c r="AG215" s="56"/>
      <c r="AH215" s="56"/>
      <c r="AI215" s="56"/>
      <c r="AJ215" s="56"/>
      <c r="AK215" s="56"/>
      <c r="AL215" s="56"/>
      <c r="AS215" s="56"/>
      <c r="AT215" s="56"/>
      <c r="AU215" s="56"/>
    </row>
    <row r="216" spans="1:47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AF216" s="56"/>
      <c r="AG216" s="56"/>
      <c r="AH216" s="56"/>
      <c r="AI216" s="56"/>
      <c r="AJ216" s="56"/>
      <c r="AK216" s="56"/>
      <c r="AL216" s="56"/>
      <c r="AS216" s="56"/>
      <c r="AT216" s="56"/>
      <c r="AU216" s="56"/>
    </row>
    <row r="217" spans="1:47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AF217" s="56"/>
      <c r="AG217" s="56"/>
      <c r="AH217" s="56"/>
      <c r="AI217" s="56"/>
      <c r="AJ217" s="56"/>
      <c r="AK217" s="56"/>
      <c r="AL217" s="56"/>
      <c r="AS217" s="56"/>
      <c r="AT217" s="56"/>
      <c r="AU217" s="56"/>
    </row>
    <row r="218" spans="1:47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AF218" s="56"/>
      <c r="AG218" s="56"/>
      <c r="AH218" s="56"/>
      <c r="AI218" s="56"/>
      <c r="AJ218" s="56"/>
      <c r="AK218" s="56"/>
      <c r="AL218" s="56"/>
      <c r="AS218" s="56"/>
      <c r="AT218" s="56"/>
      <c r="AU218" s="56"/>
    </row>
    <row r="219" spans="1:47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AF219" s="56"/>
      <c r="AG219" s="56"/>
      <c r="AH219" s="56"/>
      <c r="AI219" s="56"/>
      <c r="AJ219" s="56"/>
      <c r="AK219" s="56"/>
      <c r="AL219" s="56"/>
      <c r="AS219" s="56"/>
      <c r="AT219" s="56"/>
      <c r="AU219" s="56"/>
    </row>
    <row r="220" spans="1:47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AF220" s="56"/>
      <c r="AG220" s="56"/>
      <c r="AH220" s="56"/>
      <c r="AI220" s="56"/>
      <c r="AJ220" s="56"/>
      <c r="AK220" s="56"/>
      <c r="AL220" s="56"/>
      <c r="AS220" s="56"/>
      <c r="AT220" s="56"/>
      <c r="AU220" s="56"/>
    </row>
    <row r="221" spans="1:47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AF221" s="56"/>
      <c r="AG221" s="56"/>
      <c r="AH221" s="56"/>
      <c r="AI221" s="56"/>
      <c r="AJ221" s="56"/>
      <c r="AK221" s="56"/>
      <c r="AL221" s="56"/>
      <c r="AS221" s="56"/>
      <c r="AT221" s="56"/>
      <c r="AU221" s="56"/>
    </row>
    <row r="222" spans="1:47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AF222" s="56"/>
      <c r="AG222" s="56"/>
      <c r="AH222" s="56"/>
      <c r="AI222" s="56"/>
      <c r="AJ222" s="56"/>
      <c r="AK222" s="56"/>
      <c r="AL222" s="56"/>
      <c r="AS222" s="56"/>
      <c r="AT222" s="56"/>
      <c r="AU222" s="56"/>
    </row>
    <row r="223" spans="1:47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AF223" s="56"/>
      <c r="AG223" s="56"/>
      <c r="AH223" s="56"/>
      <c r="AI223" s="56"/>
      <c r="AJ223" s="56"/>
      <c r="AK223" s="56"/>
      <c r="AL223" s="56"/>
      <c r="AS223" s="56"/>
      <c r="AT223" s="56"/>
      <c r="AU223" s="56"/>
    </row>
    <row r="224" spans="1:47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AF224" s="56"/>
      <c r="AG224" s="56"/>
      <c r="AH224" s="56"/>
      <c r="AI224" s="56"/>
      <c r="AJ224" s="56"/>
      <c r="AK224" s="56"/>
      <c r="AL224" s="56"/>
      <c r="AS224" s="56"/>
      <c r="AT224" s="56"/>
      <c r="AU224" s="56"/>
    </row>
    <row r="225" spans="1:47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AF225" s="56"/>
      <c r="AG225" s="56"/>
      <c r="AH225" s="56"/>
      <c r="AI225" s="56"/>
      <c r="AJ225" s="56"/>
      <c r="AK225" s="56"/>
      <c r="AL225" s="56"/>
      <c r="AS225" s="56"/>
      <c r="AT225" s="56"/>
      <c r="AU225" s="56"/>
    </row>
    <row r="226" spans="1:47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AF226" s="56"/>
      <c r="AG226" s="56"/>
      <c r="AH226" s="56"/>
      <c r="AI226" s="56"/>
      <c r="AJ226" s="56"/>
      <c r="AK226" s="56"/>
      <c r="AL226" s="56"/>
      <c r="AS226" s="56"/>
      <c r="AT226" s="56"/>
      <c r="AU226" s="56"/>
    </row>
    <row r="227" spans="1:47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AF227" s="56"/>
      <c r="AG227" s="56"/>
      <c r="AH227" s="56"/>
      <c r="AI227" s="56"/>
      <c r="AJ227" s="56"/>
      <c r="AK227" s="56"/>
      <c r="AL227" s="56"/>
      <c r="AS227" s="56"/>
      <c r="AT227" s="56"/>
      <c r="AU227" s="56"/>
    </row>
    <row r="228" spans="1:47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AF228" s="56"/>
      <c r="AG228" s="56"/>
      <c r="AH228" s="56"/>
      <c r="AI228" s="56"/>
      <c r="AJ228" s="56"/>
      <c r="AK228" s="56"/>
      <c r="AL228" s="56"/>
      <c r="AS228" s="56"/>
      <c r="AT228" s="56"/>
      <c r="AU228" s="56"/>
    </row>
    <row r="229" spans="1:47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AF229" s="56"/>
      <c r="AG229" s="56"/>
      <c r="AH229" s="56"/>
      <c r="AI229" s="56"/>
      <c r="AJ229" s="56"/>
      <c r="AK229" s="56"/>
      <c r="AL229" s="56"/>
      <c r="AS229" s="56"/>
      <c r="AT229" s="56"/>
      <c r="AU229" s="56"/>
    </row>
    <row r="230" spans="1:47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AF230" s="56"/>
      <c r="AG230" s="56"/>
      <c r="AH230" s="56"/>
      <c r="AI230" s="56"/>
      <c r="AJ230" s="56"/>
      <c r="AK230" s="56"/>
      <c r="AL230" s="56"/>
      <c r="AS230" s="56"/>
      <c r="AT230" s="56"/>
      <c r="AU230" s="56"/>
    </row>
    <row r="231" spans="1:47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AF231" s="56"/>
      <c r="AG231" s="56"/>
      <c r="AH231" s="56"/>
      <c r="AI231" s="56"/>
      <c r="AJ231" s="56"/>
      <c r="AK231" s="56"/>
      <c r="AL231" s="56"/>
      <c r="AS231" s="56"/>
      <c r="AT231" s="56"/>
      <c r="AU231" s="56"/>
    </row>
    <row r="232" spans="1:47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AF232" s="56"/>
      <c r="AG232" s="56"/>
      <c r="AH232" s="56"/>
      <c r="AI232" s="56"/>
      <c r="AJ232" s="56"/>
      <c r="AK232" s="56"/>
      <c r="AL232" s="56"/>
      <c r="AS232" s="56"/>
      <c r="AT232" s="56"/>
      <c r="AU232" s="56"/>
    </row>
    <row r="233" spans="1:47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AF233" s="56"/>
      <c r="AG233" s="56"/>
      <c r="AH233" s="56"/>
      <c r="AI233" s="56"/>
      <c r="AJ233" s="56"/>
      <c r="AK233" s="56"/>
      <c r="AL233" s="56"/>
      <c r="AS233" s="56"/>
      <c r="AT233" s="56"/>
      <c r="AU233" s="56"/>
    </row>
    <row r="234" spans="1:47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AF234" s="56"/>
      <c r="AG234" s="56"/>
      <c r="AH234" s="56"/>
      <c r="AI234" s="56"/>
      <c r="AJ234" s="56"/>
      <c r="AK234" s="56"/>
      <c r="AL234" s="56"/>
      <c r="AS234" s="56"/>
      <c r="AT234" s="56"/>
      <c r="AU234" s="56"/>
    </row>
    <row r="235" spans="1:47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AF235" s="56"/>
      <c r="AG235" s="56"/>
      <c r="AH235" s="56"/>
      <c r="AI235" s="56"/>
      <c r="AJ235" s="56"/>
      <c r="AK235" s="56"/>
      <c r="AL235" s="56"/>
      <c r="AS235" s="56"/>
      <c r="AT235" s="56"/>
      <c r="AU235" s="56"/>
    </row>
    <row r="236" spans="1:47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AF236" s="56"/>
      <c r="AG236" s="56"/>
      <c r="AH236" s="56"/>
      <c r="AI236" s="56"/>
      <c r="AJ236" s="56"/>
      <c r="AK236" s="56"/>
      <c r="AL236" s="56"/>
      <c r="AS236" s="56"/>
      <c r="AT236" s="56"/>
      <c r="AU236" s="56"/>
    </row>
    <row r="237" spans="1:47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AF237" s="56"/>
      <c r="AG237" s="56"/>
      <c r="AH237" s="56"/>
      <c r="AI237" s="56"/>
      <c r="AJ237" s="56"/>
      <c r="AK237" s="56"/>
      <c r="AL237" s="56"/>
      <c r="AS237" s="56"/>
      <c r="AT237" s="56"/>
      <c r="AU237" s="56"/>
    </row>
    <row r="238" spans="1:47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AF238" s="56"/>
      <c r="AG238" s="56"/>
      <c r="AH238" s="56"/>
      <c r="AI238" s="56"/>
      <c r="AJ238" s="56"/>
      <c r="AK238" s="56"/>
      <c r="AL238" s="56"/>
      <c r="AS238" s="56"/>
      <c r="AT238" s="56"/>
      <c r="AU238" s="56"/>
    </row>
    <row r="239" spans="1:47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AF239" s="56"/>
      <c r="AG239" s="56"/>
      <c r="AH239" s="56"/>
      <c r="AI239" s="56"/>
      <c r="AJ239" s="56"/>
      <c r="AK239" s="56"/>
      <c r="AL239" s="56"/>
      <c r="AS239" s="56"/>
      <c r="AT239" s="56"/>
      <c r="AU239" s="56"/>
    </row>
    <row r="240" spans="1:47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AF240" s="56"/>
      <c r="AG240" s="56"/>
      <c r="AH240" s="56"/>
      <c r="AI240" s="56"/>
      <c r="AJ240" s="56"/>
      <c r="AK240" s="56"/>
      <c r="AL240" s="56"/>
      <c r="AS240" s="56"/>
      <c r="AT240" s="56"/>
      <c r="AU240" s="56"/>
    </row>
    <row r="241" spans="1:47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AF241" s="56"/>
      <c r="AG241" s="56"/>
      <c r="AH241" s="56"/>
      <c r="AI241" s="56"/>
      <c r="AJ241" s="56"/>
      <c r="AK241" s="56"/>
      <c r="AL241" s="56"/>
      <c r="AS241" s="56"/>
      <c r="AT241" s="56"/>
      <c r="AU241" s="56"/>
    </row>
    <row r="242" spans="1:47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AF242" s="56"/>
      <c r="AG242" s="56"/>
      <c r="AH242" s="56"/>
      <c r="AI242" s="56"/>
      <c r="AJ242" s="56"/>
      <c r="AK242" s="56"/>
      <c r="AL242" s="56"/>
      <c r="AS242" s="56"/>
      <c r="AT242" s="56"/>
      <c r="AU242" s="56"/>
    </row>
    <row r="243" spans="1:47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AF243" s="56"/>
      <c r="AG243" s="56"/>
      <c r="AH243" s="56"/>
      <c r="AI243" s="56"/>
      <c r="AJ243" s="56"/>
      <c r="AK243" s="56"/>
      <c r="AL243" s="56"/>
      <c r="AS243" s="56"/>
      <c r="AT243" s="56"/>
      <c r="AU243" s="56"/>
    </row>
    <row r="244" spans="1:47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AF244" s="56"/>
      <c r="AG244" s="56"/>
      <c r="AH244" s="56"/>
      <c r="AI244" s="56"/>
      <c r="AJ244" s="56"/>
      <c r="AK244" s="56"/>
      <c r="AL244" s="56"/>
      <c r="AS244" s="56"/>
      <c r="AT244" s="56"/>
      <c r="AU244" s="56"/>
    </row>
    <row r="245" spans="1:47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AF245" s="56"/>
      <c r="AG245" s="56"/>
      <c r="AH245" s="56"/>
      <c r="AI245" s="56"/>
      <c r="AJ245" s="56"/>
      <c r="AK245" s="56"/>
      <c r="AL245" s="56"/>
      <c r="AS245" s="56"/>
      <c r="AT245" s="56"/>
      <c r="AU245" s="56"/>
    </row>
    <row r="246" spans="1:47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AF246" s="56"/>
      <c r="AG246" s="56"/>
      <c r="AH246" s="56"/>
      <c r="AI246" s="56"/>
      <c r="AJ246" s="56"/>
      <c r="AK246" s="56"/>
      <c r="AL246" s="56"/>
      <c r="AS246" s="56"/>
      <c r="AT246" s="56"/>
      <c r="AU246" s="56"/>
    </row>
    <row r="247" spans="1:47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AF247" s="56"/>
      <c r="AG247" s="56"/>
      <c r="AH247" s="56"/>
      <c r="AI247" s="56"/>
      <c r="AJ247" s="56"/>
      <c r="AK247" s="56"/>
      <c r="AL247" s="56"/>
      <c r="AS247" s="56"/>
      <c r="AT247" s="56"/>
      <c r="AU247" s="56"/>
    </row>
    <row r="248" spans="1:47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AF248" s="56"/>
      <c r="AG248" s="56"/>
      <c r="AH248" s="56"/>
      <c r="AI248" s="56"/>
      <c r="AJ248" s="56"/>
      <c r="AK248" s="56"/>
      <c r="AL248" s="56"/>
      <c r="AS248" s="56"/>
      <c r="AT248" s="56"/>
      <c r="AU248" s="56"/>
    </row>
    <row r="249" spans="1:47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AF249" s="56"/>
      <c r="AG249" s="56"/>
      <c r="AH249" s="56"/>
      <c r="AI249" s="56"/>
      <c r="AJ249" s="56"/>
      <c r="AK249" s="56"/>
      <c r="AL249" s="56"/>
      <c r="AS249" s="56"/>
      <c r="AT249" s="56"/>
      <c r="AU249" s="56"/>
    </row>
    <row r="250" spans="1:47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AF250" s="56"/>
      <c r="AG250" s="56"/>
      <c r="AH250" s="56"/>
      <c r="AI250" s="56"/>
      <c r="AJ250" s="56"/>
      <c r="AK250" s="56"/>
      <c r="AL250" s="56"/>
      <c r="AS250" s="56"/>
      <c r="AT250" s="56"/>
      <c r="AU250" s="56"/>
    </row>
    <row r="251" spans="1:47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AF251" s="56"/>
      <c r="AG251" s="56"/>
      <c r="AH251" s="56"/>
      <c r="AI251" s="56"/>
      <c r="AJ251" s="56"/>
      <c r="AK251" s="56"/>
      <c r="AL251" s="56"/>
      <c r="AS251" s="56"/>
      <c r="AT251" s="56"/>
      <c r="AU251" s="56"/>
    </row>
    <row r="252" spans="1:47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AF252" s="56"/>
      <c r="AG252" s="56"/>
      <c r="AH252" s="56"/>
      <c r="AI252" s="56"/>
      <c r="AJ252" s="56"/>
      <c r="AK252" s="56"/>
      <c r="AL252" s="56"/>
      <c r="AS252" s="56"/>
      <c r="AT252" s="56"/>
      <c r="AU252" s="56"/>
    </row>
    <row r="253" spans="1:47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AF253" s="56"/>
      <c r="AG253" s="56"/>
      <c r="AH253" s="56"/>
      <c r="AI253" s="56"/>
      <c r="AJ253" s="56"/>
      <c r="AK253" s="56"/>
      <c r="AL253" s="56"/>
      <c r="AS253" s="56"/>
      <c r="AT253" s="56"/>
      <c r="AU253" s="56"/>
    </row>
    <row r="254" spans="1:47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AF254" s="56"/>
      <c r="AG254" s="56"/>
      <c r="AH254" s="56"/>
      <c r="AI254" s="56"/>
      <c r="AJ254" s="56"/>
      <c r="AK254" s="56"/>
      <c r="AL254" s="56"/>
      <c r="AS254" s="56"/>
      <c r="AT254" s="56"/>
      <c r="AU254" s="56"/>
    </row>
    <row r="255" spans="1:47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AF255" s="56"/>
      <c r="AG255" s="56"/>
      <c r="AH255" s="56"/>
      <c r="AI255" s="56"/>
      <c r="AJ255" s="56"/>
      <c r="AK255" s="56"/>
      <c r="AL255" s="56"/>
      <c r="AS255" s="56"/>
      <c r="AT255" s="56"/>
      <c r="AU255" s="56"/>
    </row>
    <row r="256" spans="1:47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AF256" s="56"/>
      <c r="AG256" s="56"/>
      <c r="AH256" s="56"/>
      <c r="AI256" s="56"/>
      <c r="AJ256" s="56"/>
      <c r="AK256" s="56"/>
      <c r="AL256" s="56"/>
      <c r="AS256" s="56"/>
      <c r="AT256" s="56"/>
      <c r="AU256" s="56"/>
    </row>
    <row r="257" spans="1:47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AF257" s="56"/>
      <c r="AG257" s="56"/>
      <c r="AH257" s="56"/>
      <c r="AI257" s="56"/>
      <c r="AJ257" s="56"/>
      <c r="AK257" s="56"/>
      <c r="AL257" s="56"/>
      <c r="AS257" s="56"/>
      <c r="AT257" s="56"/>
      <c r="AU257" s="56"/>
    </row>
    <row r="258" spans="1:47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AF258" s="56"/>
      <c r="AG258" s="56"/>
      <c r="AH258" s="56"/>
      <c r="AI258" s="56"/>
      <c r="AJ258" s="56"/>
      <c r="AK258" s="56"/>
      <c r="AL258" s="56"/>
      <c r="AS258" s="56"/>
      <c r="AT258" s="56"/>
      <c r="AU258" s="56"/>
    </row>
    <row r="259" spans="1:47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AF259" s="56"/>
      <c r="AG259" s="56"/>
      <c r="AH259" s="56"/>
      <c r="AI259" s="56"/>
      <c r="AJ259" s="56"/>
      <c r="AK259" s="56"/>
      <c r="AL259" s="56"/>
      <c r="AS259" s="56"/>
      <c r="AT259" s="56"/>
      <c r="AU259" s="56"/>
    </row>
    <row r="260" spans="1:47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AF260" s="56"/>
      <c r="AG260" s="56"/>
      <c r="AH260" s="56"/>
      <c r="AI260" s="56"/>
      <c r="AJ260" s="56"/>
      <c r="AK260" s="56"/>
      <c r="AL260" s="56"/>
      <c r="AS260" s="56"/>
      <c r="AT260" s="56"/>
      <c r="AU260" s="56"/>
    </row>
    <row r="261" spans="1:47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AF261" s="56"/>
      <c r="AG261" s="56"/>
      <c r="AH261" s="56"/>
      <c r="AI261" s="56"/>
      <c r="AJ261" s="56"/>
      <c r="AK261" s="56"/>
      <c r="AL261" s="56"/>
      <c r="AS261" s="56"/>
      <c r="AT261" s="56"/>
      <c r="AU261" s="56"/>
    </row>
    <row r="262" spans="1:47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AF262" s="56"/>
      <c r="AG262" s="56"/>
      <c r="AH262" s="56"/>
      <c r="AI262" s="56"/>
      <c r="AJ262" s="56"/>
      <c r="AK262" s="56"/>
      <c r="AL262" s="56"/>
      <c r="AS262" s="56"/>
      <c r="AT262" s="56"/>
      <c r="AU262" s="56"/>
    </row>
    <row r="263" spans="1:47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AF263" s="56"/>
      <c r="AG263" s="56"/>
      <c r="AH263" s="56"/>
      <c r="AI263" s="56"/>
      <c r="AJ263" s="56"/>
      <c r="AK263" s="56"/>
      <c r="AL263" s="56"/>
      <c r="AS263" s="56"/>
      <c r="AT263" s="56"/>
      <c r="AU263" s="56"/>
    </row>
    <row r="264" spans="1:47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AF264" s="56"/>
      <c r="AG264" s="56"/>
      <c r="AH264" s="56"/>
      <c r="AI264" s="56"/>
      <c r="AJ264" s="56"/>
      <c r="AK264" s="56"/>
      <c r="AL264" s="56"/>
      <c r="AS264" s="56"/>
      <c r="AT264" s="56"/>
      <c r="AU264" s="56"/>
    </row>
    <row r="265" spans="1:47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AF265" s="56"/>
      <c r="AG265" s="56"/>
      <c r="AH265" s="56"/>
      <c r="AI265" s="56"/>
      <c r="AJ265" s="56"/>
      <c r="AK265" s="56"/>
      <c r="AL265" s="56"/>
      <c r="AS265" s="56"/>
      <c r="AT265" s="56"/>
      <c r="AU265" s="56"/>
    </row>
    <row r="266" spans="1:47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AF266" s="56"/>
      <c r="AG266" s="56"/>
      <c r="AH266" s="56"/>
      <c r="AI266" s="56"/>
      <c r="AJ266" s="56"/>
      <c r="AK266" s="56"/>
      <c r="AL266" s="56"/>
      <c r="AS266" s="56"/>
      <c r="AT266" s="56"/>
      <c r="AU266" s="56"/>
    </row>
    <row r="267" spans="1:47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AF267" s="56"/>
      <c r="AG267" s="56"/>
      <c r="AH267" s="56"/>
      <c r="AI267" s="56"/>
      <c r="AJ267" s="56"/>
      <c r="AK267" s="56"/>
      <c r="AL267" s="56"/>
      <c r="AS267" s="56"/>
      <c r="AT267" s="56"/>
      <c r="AU267" s="56"/>
    </row>
    <row r="268" spans="1:47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AF268" s="56"/>
      <c r="AG268" s="56"/>
      <c r="AH268" s="56"/>
      <c r="AI268" s="56"/>
      <c r="AJ268" s="56"/>
      <c r="AK268" s="56"/>
      <c r="AL268" s="56"/>
      <c r="AS268" s="56"/>
      <c r="AT268" s="56"/>
      <c r="AU268" s="56"/>
    </row>
    <row r="269" spans="1:47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AF269" s="56"/>
      <c r="AG269" s="56"/>
      <c r="AH269" s="56"/>
      <c r="AI269" s="56"/>
      <c r="AJ269" s="56"/>
      <c r="AK269" s="56"/>
      <c r="AL269" s="56"/>
      <c r="AS269" s="56"/>
      <c r="AT269" s="56"/>
      <c r="AU269" s="56"/>
    </row>
    <row r="270" spans="1:47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AF270" s="56"/>
      <c r="AG270" s="56"/>
      <c r="AH270" s="56"/>
      <c r="AI270" s="56"/>
      <c r="AJ270" s="56"/>
      <c r="AK270" s="56"/>
      <c r="AL270" s="56"/>
      <c r="AS270" s="56"/>
      <c r="AT270" s="56"/>
      <c r="AU270" s="56"/>
    </row>
    <row r="271" spans="1:47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AF271" s="56"/>
      <c r="AG271" s="56"/>
      <c r="AH271" s="56"/>
      <c r="AI271" s="56"/>
      <c r="AJ271" s="56"/>
      <c r="AK271" s="56"/>
      <c r="AL271" s="56"/>
      <c r="AS271" s="56"/>
      <c r="AT271" s="56"/>
      <c r="AU271" s="56"/>
    </row>
    <row r="272" spans="1:47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AF272" s="56"/>
      <c r="AG272" s="56"/>
      <c r="AH272" s="56"/>
      <c r="AI272" s="56"/>
      <c r="AJ272" s="56"/>
      <c r="AK272" s="56"/>
      <c r="AL272" s="56"/>
      <c r="AS272" s="56"/>
      <c r="AT272" s="56"/>
      <c r="AU272" s="56"/>
    </row>
    <row r="273" spans="1:47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AF273" s="56"/>
      <c r="AG273" s="56"/>
      <c r="AH273" s="56"/>
      <c r="AI273" s="56"/>
      <c r="AJ273" s="56"/>
      <c r="AK273" s="56"/>
      <c r="AL273" s="56"/>
      <c r="AS273" s="56"/>
      <c r="AT273" s="56"/>
      <c r="AU273" s="56"/>
    </row>
    <row r="274" spans="1:47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AF274" s="56"/>
      <c r="AG274" s="56"/>
      <c r="AH274" s="56"/>
      <c r="AI274" s="56"/>
      <c r="AJ274" s="56"/>
      <c r="AK274" s="56"/>
      <c r="AL274" s="56"/>
      <c r="AS274" s="56"/>
      <c r="AT274" s="56"/>
      <c r="AU274" s="56"/>
    </row>
    <row r="275" spans="1:47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AF275" s="56"/>
      <c r="AG275" s="56"/>
      <c r="AH275" s="56"/>
      <c r="AI275" s="56"/>
      <c r="AJ275" s="56"/>
      <c r="AK275" s="56"/>
      <c r="AL275" s="56"/>
      <c r="AS275" s="56"/>
      <c r="AT275" s="56"/>
      <c r="AU275" s="56"/>
    </row>
    <row r="276" spans="1:47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AF276" s="56"/>
      <c r="AG276" s="56"/>
      <c r="AH276" s="56"/>
      <c r="AI276" s="56"/>
      <c r="AJ276" s="56"/>
      <c r="AK276" s="56"/>
      <c r="AL276" s="56"/>
      <c r="AS276" s="56"/>
      <c r="AT276" s="56"/>
      <c r="AU276" s="56"/>
    </row>
    <row r="277" spans="1:47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AF277" s="56"/>
      <c r="AG277" s="56"/>
      <c r="AH277" s="56"/>
      <c r="AI277" s="56"/>
      <c r="AJ277" s="56"/>
      <c r="AK277" s="56"/>
      <c r="AL277" s="56"/>
      <c r="AS277" s="56"/>
      <c r="AT277" s="56"/>
      <c r="AU277" s="56"/>
    </row>
    <row r="278" spans="1:47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AF278" s="56"/>
      <c r="AG278" s="56"/>
      <c r="AH278" s="56"/>
      <c r="AI278" s="56"/>
      <c r="AJ278" s="56"/>
      <c r="AK278" s="56"/>
      <c r="AL278" s="56"/>
      <c r="AS278" s="56"/>
      <c r="AT278" s="56"/>
      <c r="AU278" s="56"/>
    </row>
    <row r="279" spans="1:47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AF279" s="56"/>
      <c r="AG279" s="56"/>
      <c r="AH279" s="56"/>
      <c r="AI279" s="56"/>
      <c r="AJ279" s="56"/>
      <c r="AK279" s="56"/>
      <c r="AL279" s="56"/>
      <c r="AS279" s="56"/>
      <c r="AT279" s="56"/>
      <c r="AU279" s="56"/>
    </row>
    <row r="280" spans="1:47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AF280" s="56"/>
      <c r="AG280" s="56"/>
      <c r="AH280" s="56"/>
      <c r="AI280" s="56"/>
      <c r="AJ280" s="56"/>
      <c r="AK280" s="56"/>
      <c r="AL280" s="56"/>
      <c r="AS280" s="56"/>
      <c r="AT280" s="56"/>
      <c r="AU280" s="56"/>
    </row>
    <row r="281" spans="1:47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AF281" s="56"/>
      <c r="AG281" s="56"/>
      <c r="AH281" s="56"/>
      <c r="AI281" s="56"/>
      <c r="AJ281" s="56"/>
      <c r="AK281" s="56"/>
      <c r="AL281" s="56"/>
      <c r="AS281" s="56"/>
      <c r="AT281" s="56"/>
      <c r="AU281" s="56"/>
    </row>
    <row r="282" spans="1:47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AF282" s="56"/>
      <c r="AG282" s="56"/>
      <c r="AH282" s="56"/>
      <c r="AI282" s="56"/>
      <c r="AJ282" s="56"/>
      <c r="AK282" s="56"/>
      <c r="AL282" s="56"/>
      <c r="AS282" s="56"/>
      <c r="AT282" s="56"/>
      <c r="AU282" s="56"/>
    </row>
    <row r="283" spans="1:47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AF283" s="56"/>
      <c r="AG283" s="56"/>
      <c r="AH283" s="56"/>
      <c r="AI283" s="56"/>
      <c r="AJ283" s="56"/>
      <c r="AK283" s="56"/>
      <c r="AL283" s="56"/>
      <c r="AS283" s="56"/>
      <c r="AT283" s="56"/>
      <c r="AU283" s="56"/>
    </row>
    <row r="284" spans="1:47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AF284" s="56"/>
      <c r="AG284" s="56"/>
      <c r="AH284" s="56"/>
      <c r="AI284" s="56"/>
      <c r="AJ284" s="56"/>
      <c r="AK284" s="56"/>
      <c r="AL284" s="56"/>
      <c r="AS284" s="56"/>
      <c r="AT284" s="56"/>
      <c r="AU284" s="56"/>
    </row>
    <row r="285" spans="1:47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AF285" s="56"/>
      <c r="AG285" s="56"/>
      <c r="AH285" s="56"/>
      <c r="AI285" s="56"/>
      <c r="AJ285" s="56"/>
      <c r="AK285" s="56"/>
      <c r="AL285" s="56"/>
      <c r="AS285" s="56"/>
      <c r="AT285" s="56"/>
      <c r="AU285" s="56"/>
    </row>
    <row r="286" spans="1:47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AF286" s="56"/>
      <c r="AG286" s="56"/>
      <c r="AH286" s="56"/>
      <c r="AI286" s="56"/>
      <c r="AJ286" s="56"/>
      <c r="AK286" s="56"/>
      <c r="AL286" s="56"/>
      <c r="AS286" s="56"/>
      <c r="AT286" s="56"/>
      <c r="AU286" s="56"/>
    </row>
    <row r="287" spans="1:47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AF287" s="56"/>
      <c r="AG287" s="56"/>
      <c r="AH287" s="56"/>
      <c r="AI287" s="56"/>
      <c r="AJ287" s="56"/>
      <c r="AK287" s="56"/>
      <c r="AL287" s="56"/>
      <c r="AS287" s="56"/>
      <c r="AT287" s="56"/>
      <c r="AU287" s="56"/>
    </row>
    <row r="288" spans="1:47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AF288" s="56"/>
      <c r="AG288" s="56"/>
      <c r="AH288" s="56"/>
      <c r="AI288" s="56"/>
      <c r="AJ288" s="56"/>
      <c r="AK288" s="56"/>
      <c r="AL288" s="56"/>
      <c r="AS288" s="56"/>
      <c r="AT288" s="56"/>
      <c r="AU288" s="56"/>
    </row>
    <row r="289" spans="1:47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AF289" s="56"/>
      <c r="AG289" s="56"/>
      <c r="AH289" s="56"/>
      <c r="AI289" s="56"/>
      <c r="AJ289" s="56"/>
      <c r="AK289" s="56"/>
      <c r="AL289" s="56"/>
      <c r="AS289" s="56"/>
      <c r="AT289" s="56"/>
      <c r="AU289" s="56"/>
    </row>
    <row r="290" spans="1:47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AF290" s="56"/>
      <c r="AG290" s="56"/>
      <c r="AH290" s="56"/>
      <c r="AI290" s="56"/>
      <c r="AJ290" s="56"/>
      <c r="AK290" s="56"/>
      <c r="AL290" s="56"/>
      <c r="AS290" s="56"/>
      <c r="AT290" s="56"/>
      <c r="AU290" s="56"/>
    </row>
    <row r="291" spans="1:47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AF291" s="56"/>
      <c r="AG291" s="56"/>
      <c r="AH291" s="56"/>
      <c r="AI291" s="56"/>
      <c r="AJ291" s="56"/>
      <c r="AK291" s="56"/>
      <c r="AL291" s="56"/>
      <c r="AS291" s="56"/>
      <c r="AT291" s="56"/>
      <c r="AU291" s="56"/>
    </row>
    <row r="292" spans="1:47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AF292" s="56"/>
      <c r="AG292" s="56"/>
      <c r="AH292" s="56"/>
      <c r="AI292" s="56"/>
      <c r="AJ292" s="56"/>
      <c r="AK292" s="56"/>
      <c r="AL292" s="56"/>
      <c r="AS292" s="56"/>
      <c r="AT292" s="56"/>
      <c r="AU292" s="56"/>
    </row>
    <row r="293" spans="1:47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AF293" s="56"/>
      <c r="AG293" s="56"/>
      <c r="AH293" s="56"/>
      <c r="AI293" s="56"/>
      <c r="AJ293" s="56"/>
      <c r="AK293" s="56"/>
      <c r="AL293" s="56"/>
      <c r="AS293" s="56"/>
      <c r="AT293" s="56"/>
      <c r="AU293" s="56"/>
    </row>
    <row r="294" spans="1:47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AF294" s="56"/>
      <c r="AG294" s="56"/>
      <c r="AH294" s="56"/>
      <c r="AI294" s="56"/>
      <c r="AJ294" s="56"/>
      <c r="AK294" s="56"/>
      <c r="AL294" s="56"/>
      <c r="AS294" s="56"/>
      <c r="AT294" s="56"/>
      <c r="AU294" s="56"/>
    </row>
    <row r="295" spans="1:47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AF295" s="56"/>
      <c r="AG295" s="56"/>
      <c r="AH295" s="56"/>
      <c r="AI295" s="56"/>
      <c r="AJ295" s="56"/>
      <c r="AK295" s="56"/>
      <c r="AL295" s="56"/>
      <c r="AS295" s="56"/>
      <c r="AT295" s="56"/>
      <c r="AU295" s="56"/>
    </row>
    <row r="296" spans="1:47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AF296" s="56"/>
      <c r="AG296" s="56"/>
      <c r="AH296" s="56"/>
      <c r="AI296" s="56"/>
      <c r="AJ296" s="56"/>
      <c r="AK296" s="56"/>
      <c r="AL296" s="56"/>
      <c r="AS296" s="56"/>
      <c r="AT296" s="56"/>
      <c r="AU296" s="56"/>
    </row>
    <row r="297" spans="1:47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AF297" s="56"/>
      <c r="AG297" s="56"/>
      <c r="AH297" s="56"/>
      <c r="AI297" s="56"/>
      <c r="AJ297" s="56"/>
      <c r="AK297" s="56"/>
      <c r="AL297" s="56"/>
      <c r="AS297" s="56"/>
      <c r="AT297" s="56"/>
      <c r="AU297" s="56"/>
    </row>
    <row r="298" spans="1:47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AF298" s="56"/>
      <c r="AG298" s="56"/>
      <c r="AH298" s="56"/>
      <c r="AI298" s="56"/>
      <c r="AJ298" s="56"/>
      <c r="AK298" s="56"/>
      <c r="AL298" s="56"/>
      <c r="AS298" s="56"/>
      <c r="AT298" s="56"/>
      <c r="AU298" s="56"/>
    </row>
    <row r="299" spans="1:47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AF299" s="56"/>
      <c r="AG299" s="56"/>
      <c r="AH299" s="56"/>
      <c r="AI299" s="56"/>
      <c r="AJ299" s="56"/>
      <c r="AK299" s="56"/>
      <c r="AL299" s="56"/>
      <c r="AS299" s="56"/>
      <c r="AT299" s="56"/>
      <c r="AU299" s="56"/>
    </row>
    <row r="300" spans="1:47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AF300" s="56"/>
      <c r="AG300" s="56"/>
      <c r="AH300" s="56"/>
      <c r="AI300" s="56"/>
      <c r="AJ300" s="56"/>
      <c r="AK300" s="56"/>
      <c r="AL300" s="56"/>
      <c r="AS300" s="56"/>
      <c r="AT300" s="56"/>
      <c r="AU300" s="56"/>
    </row>
    <row r="301" spans="1:47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AF301" s="56"/>
      <c r="AG301" s="56"/>
      <c r="AH301" s="56"/>
      <c r="AI301" s="56"/>
      <c r="AJ301" s="56"/>
      <c r="AK301" s="56"/>
      <c r="AL301" s="56"/>
      <c r="AS301" s="56"/>
      <c r="AT301" s="56"/>
      <c r="AU301" s="56"/>
    </row>
    <row r="302" spans="1:47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AF302" s="56"/>
      <c r="AG302" s="56"/>
      <c r="AH302" s="56"/>
      <c r="AI302" s="56"/>
      <c r="AJ302" s="56"/>
      <c r="AK302" s="56"/>
      <c r="AL302" s="56"/>
      <c r="AS302" s="56"/>
      <c r="AT302" s="56"/>
      <c r="AU302" s="56"/>
    </row>
    <row r="303" spans="1:47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AF303" s="56"/>
      <c r="AG303" s="56"/>
      <c r="AH303" s="56"/>
      <c r="AI303" s="56"/>
      <c r="AJ303" s="56"/>
      <c r="AK303" s="56"/>
      <c r="AL303" s="56"/>
      <c r="AS303" s="56"/>
      <c r="AT303" s="56"/>
      <c r="AU303" s="56"/>
    </row>
    <row r="304" spans="1:47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AF304" s="56"/>
      <c r="AG304" s="56"/>
      <c r="AH304" s="56"/>
      <c r="AI304" s="56"/>
      <c r="AJ304" s="56"/>
      <c r="AK304" s="56"/>
      <c r="AL304" s="56"/>
      <c r="AS304" s="56"/>
      <c r="AT304" s="56"/>
      <c r="AU304" s="56"/>
    </row>
    <row r="305" spans="1:47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AF305" s="56"/>
      <c r="AG305" s="56"/>
      <c r="AH305" s="56"/>
      <c r="AI305" s="56"/>
      <c r="AJ305" s="56"/>
      <c r="AK305" s="56"/>
      <c r="AL305" s="56"/>
      <c r="AS305" s="56"/>
      <c r="AT305" s="56"/>
      <c r="AU305" s="56"/>
    </row>
    <row r="306" spans="1:47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AF306" s="56"/>
      <c r="AG306" s="56"/>
      <c r="AH306" s="56"/>
      <c r="AI306" s="56"/>
      <c r="AJ306" s="56"/>
      <c r="AK306" s="56"/>
      <c r="AL306" s="56"/>
      <c r="AS306" s="56"/>
      <c r="AT306" s="56"/>
      <c r="AU306" s="56"/>
    </row>
    <row r="307" spans="1:47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AF307" s="56"/>
      <c r="AG307" s="56"/>
      <c r="AH307" s="56"/>
      <c r="AI307" s="56"/>
      <c r="AJ307" s="56"/>
      <c r="AK307" s="56"/>
      <c r="AL307" s="56"/>
      <c r="AS307" s="56"/>
      <c r="AT307" s="56"/>
      <c r="AU307" s="56"/>
    </row>
    <row r="308" spans="1:47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AF308" s="56"/>
      <c r="AG308" s="56"/>
      <c r="AH308" s="56"/>
      <c r="AI308" s="56"/>
      <c r="AJ308" s="56"/>
      <c r="AK308" s="56"/>
      <c r="AL308" s="56"/>
      <c r="AS308" s="56"/>
      <c r="AT308" s="56"/>
      <c r="AU308" s="56"/>
    </row>
    <row r="309" spans="1:47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AF309" s="56"/>
      <c r="AG309" s="56"/>
      <c r="AH309" s="56"/>
      <c r="AI309" s="56"/>
      <c r="AJ309" s="56"/>
      <c r="AK309" s="56"/>
      <c r="AL309" s="56"/>
      <c r="AS309" s="56"/>
      <c r="AT309" s="56"/>
      <c r="AU309" s="56"/>
    </row>
    <row r="310" spans="1:47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AF310" s="56"/>
      <c r="AG310" s="56"/>
      <c r="AH310" s="56"/>
      <c r="AI310" s="56"/>
      <c r="AJ310" s="56"/>
      <c r="AK310" s="56"/>
      <c r="AL310" s="56"/>
      <c r="AS310" s="56"/>
      <c r="AT310" s="56"/>
      <c r="AU310" s="56"/>
    </row>
    <row r="311" spans="1:47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AF311" s="56"/>
      <c r="AG311" s="56"/>
      <c r="AH311" s="56"/>
      <c r="AI311" s="56"/>
      <c r="AJ311" s="56"/>
      <c r="AK311" s="56"/>
      <c r="AL311" s="56"/>
      <c r="AS311" s="56"/>
      <c r="AT311" s="56"/>
      <c r="AU311" s="56"/>
    </row>
    <row r="312" spans="1:47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AF312" s="56"/>
      <c r="AG312" s="56"/>
      <c r="AH312" s="56"/>
      <c r="AI312" s="56"/>
      <c r="AJ312" s="56"/>
      <c r="AK312" s="56"/>
      <c r="AL312" s="56"/>
      <c r="AS312" s="56"/>
      <c r="AT312" s="56"/>
      <c r="AU312" s="56"/>
    </row>
    <row r="313" spans="1:47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AF313" s="56"/>
      <c r="AG313" s="56"/>
      <c r="AH313" s="56"/>
      <c r="AI313" s="56"/>
      <c r="AJ313" s="56"/>
      <c r="AK313" s="56"/>
      <c r="AL313" s="56"/>
      <c r="AS313" s="56"/>
      <c r="AT313" s="56"/>
      <c r="AU313" s="56"/>
    </row>
    <row r="314" spans="1:47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AF314" s="56"/>
      <c r="AG314" s="56"/>
      <c r="AH314" s="56"/>
      <c r="AI314" s="56"/>
      <c r="AJ314" s="56"/>
      <c r="AK314" s="56"/>
      <c r="AL314" s="56"/>
      <c r="AS314" s="56"/>
      <c r="AT314" s="56"/>
      <c r="AU314" s="56"/>
    </row>
    <row r="315" spans="1:47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AF315" s="56"/>
      <c r="AG315" s="56"/>
      <c r="AH315" s="56"/>
      <c r="AI315" s="56"/>
      <c r="AJ315" s="56"/>
      <c r="AK315" s="56"/>
      <c r="AL315" s="56"/>
      <c r="AS315" s="56"/>
      <c r="AT315" s="56"/>
      <c r="AU315" s="56"/>
    </row>
    <row r="316" spans="1:47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AF316" s="56"/>
      <c r="AG316" s="56"/>
      <c r="AH316" s="56"/>
      <c r="AI316" s="56"/>
      <c r="AJ316" s="56"/>
      <c r="AK316" s="56"/>
      <c r="AL316" s="56"/>
      <c r="AS316" s="56"/>
      <c r="AT316" s="56"/>
      <c r="AU316" s="56"/>
    </row>
    <row r="317" spans="1:47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AF317" s="56"/>
      <c r="AG317" s="56"/>
      <c r="AH317" s="56"/>
      <c r="AI317" s="56"/>
      <c r="AJ317" s="56"/>
      <c r="AK317" s="56"/>
      <c r="AL317" s="56"/>
      <c r="AS317" s="56"/>
      <c r="AT317" s="56"/>
      <c r="AU317" s="56"/>
    </row>
    <row r="318" spans="1:47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AF318" s="56"/>
      <c r="AG318" s="56"/>
      <c r="AH318" s="56"/>
      <c r="AI318" s="56"/>
      <c r="AJ318" s="56"/>
      <c r="AK318" s="56"/>
      <c r="AL318" s="56"/>
      <c r="AS318" s="56"/>
      <c r="AT318" s="56"/>
      <c r="AU318" s="56"/>
    </row>
    <row r="319" spans="1:47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AF319" s="56"/>
      <c r="AG319" s="56"/>
      <c r="AH319" s="56"/>
      <c r="AI319" s="56"/>
      <c r="AJ319" s="56"/>
      <c r="AK319" s="56"/>
      <c r="AL319" s="56"/>
      <c r="AS319" s="56"/>
      <c r="AT319" s="56"/>
      <c r="AU319" s="56"/>
    </row>
    <row r="320" spans="1:47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AF320" s="56"/>
      <c r="AG320" s="56"/>
      <c r="AH320" s="56"/>
      <c r="AI320" s="56"/>
      <c r="AJ320" s="56"/>
      <c r="AK320" s="56"/>
      <c r="AL320" s="56"/>
      <c r="AS320" s="56"/>
      <c r="AT320" s="56"/>
      <c r="AU320" s="56"/>
    </row>
    <row r="321" spans="1:47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AF321" s="56"/>
      <c r="AG321" s="56"/>
      <c r="AH321" s="56"/>
      <c r="AI321" s="56"/>
      <c r="AJ321" s="56"/>
      <c r="AK321" s="56"/>
      <c r="AL321" s="56"/>
      <c r="AS321" s="56"/>
      <c r="AT321" s="56"/>
      <c r="AU321" s="56"/>
    </row>
    <row r="322" spans="1:47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AF322" s="56"/>
      <c r="AG322" s="56"/>
      <c r="AH322" s="56"/>
      <c r="AI322" s="56"/>
      <c r="AJ322" s="56"/>
      <c r="AK322" s="56"/>
      <c r="AL322" s="56"/>
      <c r="AS322" s="56"/>
      <c r="AT322" s="56"/>
      <c r="AU322" s="56"/>
    </row>
    <row r="323" spans="1:47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AF323" s="56"/>
      <c r="AG323" s="56"/>
      <c r="AH323" s="56"/>
      <c r="AI323" s="56"/>
      <c r="AJ323" s="56"/>
      <c r="AK323" s="56"/>
      <c r="AL323" s="56"/>
      <c r="AS323" s="56"/>
      <c r="AT323" s="56"/>
      <c r="AU323" s="56"/>
    </row>
    <row r="324" spans="1:47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AF324" s="56"/>
      <c r="AG324" s="56"/>
      <c r="AH324" s="56"/>
      <c r="AI324" s="56"/>
      <c r="AJ324" s="56"/>
      <c r="AK324" s="56"/>
      <c r="AL324" s="56"/>
      <c r="AS324" s="56"/>
      <c r="AT324" s="56"/>
      <c r="AU324" s="56"/>
    </row>
    <row r="325" spans="1:47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AF325" s="56"/>
      <c r="AG325" s="56"/>
      <c r="AH325" s="56"/>
      <c r="AI325" s="56"/>
      <c r="AJ325" s="56"/>
      <c r="AK325" s="56"/>
      <c r="AL325" s="56"/>
      <c r="AS325" s="56"/>
      <c r="AT325" s="56"/>
      <c r="AU325" s="56"/>
    </row>
    <row r="326" spans="1:47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AF326" s="56"/>
      <c r="AG326" s="56"/>
      <c r="AH326" s="56"/>
      <c r="AI326" s="56"/>
      <c r="AJ326" s="56"/>
      <c r="AK326" s="56"/>
      <c r="AL326" s="56"/>
      <c r="AS326" s="56"/>
      <c r="AT326" s="56"/>
      <c r="AU326" s="56"/>
    </row>
    <row r="327" spans="1:47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AF327" s="56"/>
      <c r="AG327" s="56"/>
      <c r="AH327" s="56"/>
      <c r="AI327" s="56"/>
      <c r="AJ327" s="56"/>
      <c r="AK327" s="56"/>
      <c r="AL327" s="56"/>
      <c r="AS327" s="56"/>
      <c r="AT327" s="56"/>
      <c r="AU327" s="56"/>
    </row>
    <row r="328" spans="1:47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AF328" s="56"/>
      <c r="AG328" s="56"/>
      <c r="AH328" s="56"/>
      <c r="AI328" s="56"/>
      <c r="AJ328" s="56"/>
      <c r="AK328" s="56"/>
      <c r="AL328" s="56"/>
      <c r="AS328" s="56"/>
      <c r="AT328" s="56"/>
      <c r="AU328" s="56"/>
    </row>
    <row r="329" spans="1:47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AF329" s="56"/>
      <c r="AG329" s="56"/>
      <c r="AH329" s="56"/>
      <c r="AI329" s="56"/>
      <c r="AJ329" s="56"/>
      <c r="AK329" s="56"/>
      <c r="AL329" s="56"/>
      <c r="AS329" s="56"/>
      <c r="AT329" s="56"/>
      <c r="AU329" s="56"/>
    </row>
    <row r="330" spans="1:47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AF330" s="56"/>
      <c r="AG330" s="56"/>
      <c r="AH330" s="56"/>
      <c r="AI330" s="56"/>
      <c r="AJ330" s="56"/>
      <c r="AK330" s="56"/>
      <c r="AL330" s="56"/>
      <c r="AS330" s="56"/>
      <c r="AT330" s="56"/>
      <c r="AU330" s="56"/>
    </row>
    <row r="331" spans="1:47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AF331" s="56"/>
      <c r="AG331" s="56"/>
      <c r="AH331" s="56"/>
      <c r="AI331" s="56"/>
      <c r="AJ331" s="56"/>
      <c r="AK331" s="56"/>
      <c r="AL331" s="56"/>
      <c r="AS331" s="56"/>
      <c r="AT331" s="56"/>
      <c r="AU331" s="56"/>
    </row>
    <row r="332" spans="1:47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AF332" s="56"/>
      <c r="AG332" s="56"/>
      <c r="AH332" s="56"/>
      <c r="AI332" s="56"/>
      <c r="AJ332" s="56"/>
      <c r="AK332" s="56"/>
      <c r="AL332" s="56"/>
      <c r="AS332" s="56"/>
      <c r="AT332" s="56"/>
      <c r="AU332" s="56"/>
    </row>
    <row r="333" spans="1:47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AF333" s="56"/>
      <c r="AG333" s="56"/>
      <c r="AH333" s="56"/>
      <c r="AI333" s="56"/>
      <c r="AJ333" s="56"/>
      <c r="AK333" s="56"/>
      <c r="AL333" s="56"/>
      <c r="AS333" s="56"/>
      <c r="AT333" s="56"/>
      <c r="AU333" s="56"/>
    </row>
    <row r="334" spans="1:47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AF334" s="56"/>
      <c r="AG334" s="56"/>
      <c r="AH334" s="56"/>
      <c r="AI334" s="56"/>
      <c r="AJ334" s="56"/>
      <c r="AK334" s="56"/>
      <c r="AL334" s="56"/>
      <c r="AS334" s="56"/>
      <c r="AT334" s="56"/>
      <c r="AU334" s="56"/>
    </row>
    <row r="335" spans="1:47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AF335" s="56"/>
      <c r="AG335" s="56"/>
      <c r="AH335" s="56"/>
      <c r="AI335" s="56"/>
      <c r="AJ335" s="56"/>
      <c r="AK335" s="56"/>
      <c r="AL335" s="56"/>
      <c r="AS335" s="56"/>
      <c r="AT335" s="56"/>
      <c r="AU335" s="56"/>
    </row>
    <row r="336" spans="1:47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AF336" s="56"/>
      <c r="AG336" s="56"/>
      <c r="AH336" s="56"/>
      <c r="AI336" s="56"/>
      <c r="AJ336" s="56"/>
      <c r="AK336" s="56"/>
      <c r="AL336" s="56"/>
      <c r="AS336" s="56"/>
      <c r="AT336" s="56"/>
      <c r="AU336" s="56"/>
    </row>
    <row r="337" spans="1:47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AF337" s="56"/>
      <c r="AG337" s="56"/>
      <c r="AH337" s="56"/>
      <c r="AI337" s="56"/>
      <c r="AJ337" s="56"/>
      <c r="AK337" s="56"/>
      <c r="AL337" s="56"/>
      <c r="AS337" s="56"/>
      <c r="AT337" s="56"/>
      <c r="AU337" s="56"/>
    </row>
    <row r="338" spans="1:47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AF338" s="56"/>
      <c r="AG338" s="56"/>
      <c r="AH338" s="56"/>
      <c r="AI338" s="56"/>
      <c r="AJ338" s="56"/>
      <c r="AK338" s="56"/>
      <c r="AL338" s="56"/>
      <c r="AS338" s="56"/>
      <c r="AT338" s="56"/>
      <c r="AU338" s="56"/>
    </row>
    <row r="339" spans="1:47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AF339" s="56"/>
      <c r="AG339" s="56"/>
      <c r="AH339" s="56"/>
      <c r="AI339" s="56"/>
      <c r="AJ339" s="56"/>
      <c r="AK339" s="56"/>
      <c r="AL339" s="56"/>
      <c r="AS339" s="56"/>
      <c r="AT339" s="56"/>
      <c r="AU339" s="56"/>
    </row>
    <row r="340" spans="1:47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AF340" s="56"/>
      <c r="AG340" s="56"/>
      <c r="AH340" s="56"/>
      <c r="AI340" s="56"/>
      <c r="AJ340" s="56"/>
      <c r="AK340" s="56"/>
      <c r="AL340" s="56"/>
      <c r="AS340" s="56"/>
      <c r="AT340" s="56"/>
      <c r="AU340" s="56"/>
    </row>
    <row r="341" spans="1:47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AF341" s="56"/>
      <c r="AG341" s="56"/>
      <c r="AH341" s="56"/>
      <c r="AI341" s="56"/>
      <c r="AJ341" s="56"/>
      <c r="AK341" s="56"/>
      <c r="AL341" s="56"/>
      <c r="AS341" s="56"/>
      <c r="AT341" s="56"/>
      <c r="AU341" s="56"/>
    </row>
    <row r="342" spans="1:47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AF342" s="56"/>
      <c r="AG342" s="56"/>
      <c r="AH342" s="56"/>
      <c r="AI342" s="56"/>
      <c r="AJ342" s="56"/>
      <c r="AK342" s="56"/>
      <c r="AL342" s="56"/>
      <c r="AS342" s="56"/>
      <c r="AT342" s="56"/>
      <c r="AU342" s="56"/>
    </row>
    <row r="343" spans="1:47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AF343" s="56"/>
      <c r="AG343" s="56"/>
      <c r="AH343" s="56"/>
      <c r="AI343" s="56"/>
      <c r="AJ343" s="56"/>
      <c r="AK343" s="56"/>
      <c r="AL343" s="56"/>
      <c r="AS343" s="56"/>
      <c r="AT343" s="56"/>
      <c r="AU343" s="56"/>
    </row>
    <row r="344" spans="1:47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AF344" s="56"/>
      <c r="AG344" s="56"/>
      <c r="AH344" s="56"/>
      <c r="AI344" s="56"/>
      <c r="AJ344" s="56"/>
      <c r="AK344" s="56"/>
      <c r="AL344" s="56"/>
      <c r="AS344" s="56"/>
      <c r="AT344" s="56"/>
      <c r="AU344" s="56"/>
    </row>
    <row r="345" spans="1:47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AF345" s="56"/>
      <c r="AG345" s="56"/>
      <c r="AH345" s="56"/>
      <c r="AI345" s="56"/>
      <c r="AJ345" s="56"/>
      <c r="AK345" s="56"/>
      <c r="AL345" s="56"/>
      <c r="AS345" s="56"/>
      <c r="AT345" s="56"/>
      <c r="AU345" s="56"/>
    </row>
    <row r="346" spans="1:47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AF346" s="56"/>
      <c r="AG346" s="56"/>
      <c r="AH346" s="56"/>
      <c r="AI346" s="56"/>
      <c r="AJ346" s="56"/>
      <c r="AK346" s="56"/>
      <c r="AL346" s="56"/>
      <c r="AS346" s="56"/>
      <c r="AT346" s="56"/>
      <c r="AU346" s="56"/>
    </row>
    <row r="347" spans="1:47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AF347" s="56"/>
      <c r="AG347" s="56"/>
      <c r="AH347" s="56"/>
      <c r="AI347" s="56"/>
      <c r="AJ347" s="56"/>
      <c r="AK347" s="56"/>
      <c r="AL347" s="56"/>
      <c r="AS347" s="56"/>
      <c r="AT347" s="56"/>
      <c r="AU347" s="56"/>
    </row>
    <row r="348" spans="1:47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AF348" s="56"/>
      <c r="AG348" s="56"/>
      <c r="AH348" s="56"/>
      <c r="AI348" s="56"/>
      <c r="AJ348" s="56"/>
      <c r="AK348" s="56"/>
      <c r="AL348" s="56"/>
      <c r="AS348" s="56"/>
      <c r="AT348" s="56"/>
      <c r="AU348" s="56"/>
    </row>
    <row r="349" spans="1:47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AF349" s="56"/>
      <c r="AG349" s="56"/>
      <c r="AH349" s="56"/>
      <c r="AI349" s="56"/>
      <c r="AJ349" s="56"/>
      <c r="AK349" s="56"/>
      <c r="AL349" s="56"/>
      <c r="AS349" s="56"/>
      <c r="AT349" s="56"/>
      <c r="AU349" s="56"/>
    </row>
    <row r="350" spans="1:47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AF350" s="56"/>
      <c r="AG350" s="56"/>
      <c r="AH350" s="56"/>
      <c r="AI350" s="56"/>
      <c r="AJ350" s="56"/>
      <c r="AK350" s="56"/>
      <c r="AL350" s="56"/>
      <c r="AS350" s="56"/>
      <c r="AT350" s="56"/>
      <c r="AU350" s="56"/>
    </row>
    <row r="351" spans="1:47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AF351" s="56"/>
      <c r="AG351" s="56"/>
      <c r="AH351" s="56"/>
      <c r="AI351" s="56"/>
      <c r="AJ351" s="56"/>
      <c r="AK351" s="56"/>
      <c r="AL351" s="56"/>
      <c r="AS351" s="56"/>
      <c r="AT351" s="56"/>
      <c r="AU351" s="56"/>
    </row>
    <row r="352" spans="1:47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AF352" s="56"/>
      <c r="AG352" s="56"/>
      <c r="AH352" s="56"/>
      <c r="AI352" s="56"/>
      <c r="AJ352" s="56"/>
      <c r="AK352" s="56"/>
      <c r="AL352" s="56"/>
      <c r="AS352" s="56"/>
      <c r="AT352" s="56"/>
      <c r="AU352" s="56"/>
    </row>
    <row r="353" spans="1:47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AF353" s="56"/>
      <c r="AG353" s="56"/>
      <c r="AH353" s="56"/>
      <c r="AI353" s="56"/>
      <c r="AJ353" s="56"/>
      <c r="AK353" s="56"/>
      <c r="AL353" s="56"/>
      <c r="AS353" s="56"/>
      <c r="AT353" s="56"/>
      <c r="AU353" s="56"/>
    </row>
    <row r="354" spans="1:47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AF354" s="56"/>
      <c r="AG354" s="56"/>
      <c r="AH354" s="56"/>
      <c r="AI354" s="56"/>
      <c r="AJ354" s="56"/>
      <c r="AK354" s="56"/>
      <c r="AL354" s="56"/>
      <c r="AS354" s="56"/>
      <c r="AT354" s="56"/>
      <c r="AU354" s="56"/>
    </row>
    <row r="355" spans="1:47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AF355" s="56"/>
      <c r="AG355" s="56"/>
      <c r="AH355" s="56"/>
      <c r="AI355" s="56"/>
      <c r="AJ355" s="56"/>
      <c r="AK355" s="56"/>
      <c r="AL355" s="56"/>
      <c r="AS355" s="56"/>
      <c r="AT355" s="56"/>
      <c r="AU355" s="56"/>
    </row>
    <row r="356" spans="1:47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AF356" s="56"/>
      <c r="AG356" s="56"/>
      <c r="AH356" s="56"/>
      <c r="AI356" s="56"/>
      <c r="AJ356" s="56"/>
      <c r="AK356" s="56"/>
      <c r="AL356" s="56"/>
      <c r="AS356" s="56"/>
      <c r="AT356" s="56"/>
      <c r="AU356" s="56"/>
    </row>
    <row r="357" spans="1:47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AF357" s="56"/>
      <c r="AG357" s="56"/>
      <c r="AH357" s="56"/>
      <c r="AI357" s="56"/>
      <c r="AJ357" s="56"/>
      <c r="AK357" s="56"/>
      <c r="AL357" s="56"/>
      <c r="AS357" s="56"/>
      <c r="AT357" s="56"/>
      <c r="AU357" s="56"/>
    </row>
    <row r="358" spans="1:47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AF358" s="56"/>
      <c r="AG358" s="56"/>
      <c r="AH358" s="56"/>
      <c r="AI358" s="56"/>
      <c r="AJ358" s="56"/>
      <c r="AK358" s="56"/>
      <c r="AL358" s="56"/>
      <c r="AS358" s="56"/>
      <c r="AT358" s="56"/>
      <c r="AU358" s="56"/>
    </row>
    <row r="359" spans="1:47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AF359" s="56"/>
      <c r="AG359" s="56"/>
      <c r="AH359" s="56"/>
      <c r="AI359" s="56"/>
      <c r="AJ359" s="56"/>
      <c r="AK359" s="56"/>
      <c r="AL359" s="56"/>
      <c r="AS359" s="56"/>
      <c r="AT359" s="56"/>
      <c r="AU359" s="56"/>
    </row>
    <row r="360" spans="1:47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AF360" s="56"/>
      <c r="AG360" s="56"/>
      <c r="AH360" s="56"/>
      <c r="AI360" s="56"/>
      <c r="AJ360" s="56"/>
      <c r="AK360" s="56"/>
      <c r="AL360" s="56"/>
      <c r="AS360" s="56"/>
      <c r="AT360" s="56"/>
      <c r="AU360" s="56"/>
    </row>
    <row r="361" spans="1:47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AF361" s="56"/>
      <c r="AG361" s="56"/>
      <c r="AH361" s="56"/>
      <c r="AI361" s="56"/>
      <c r="AJ361" s="56"/>
      <c r="AK361" s="56"/>
      <c r="AL361" s="56"/>
      <c r="AS361" s="56"/>
      <c r="AT361" s="56"/>
      <c r="AU361" s="56"/>
    </row>
    <row r="362" spans="1:47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AF362" s="56"/>
      <c r="AG362" s="56"/>
      <c r="AH362" s="56"/>
      <c r="AI362" s="56"/>
      <c r="AJ362" s="56"/>
      <c r="AK362" s="56"/>
      <c r="AL362" s="56"/>
      <c r="AS362" s="56"/>
      <c r="AT362" s="56"/>
      <c r="AU362" s="56"/>
    </row>
    <row r="363" spans="1:47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AF363" s="56"/>
      <c r="AG363" s="56"/>
      <c r="AH363" s="56"/>
      <c r="AI363" s="56"/>
      <c r="AJ363" s="56"/>
      <c r="AK363" s="56"/>
      <c r="AL363" s="56"/>
      <c r="AS363" s="56"/>
      <c r="AT363" s="56"/>
      <c r="AU363" s="56"/>
    </row>
    <row r="364" spans="1:47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AF364" s="56"/>
      <c r="AG364" s="56"/>
      <c r="AH364" s="56"/>
      <c r="AI364" s="56"/>
      <c r="AJ364" s="56"/>
      <c r="AK364" s="56"/>
      <c r="AL364" s="56"/>
      <c r="AS364" s="56"/>
      <c r="AT364" s="56"/>
      <c r="AU364" s="56"/>
    </row>
    <row r="365" spans="1:47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AF365" s="56"/>
      <c r="AG365" s="56"/>
      <c r="AH365" s="56"/>
      <c r="AI365" s="56"/>
      <c r="AJ365" s="56"/>
      <c r="AK365" s="56"/>
      <c r="AL365" s="56"/>
      <c r="AS365" s="56"/>
      <c r="AT365" s="56"/>
      <c r="AU365" s="56"/>
    </row>
    <row r="366" spans="1:47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AF366" s="56"/>
      <c r="AG366" s="56"/>
      <c r="AH366" s="56"/>
      <c r="AI366" s="56"/>
      <c r="AJ366" s="56"/>
      <c r="AK366" s="56"/>
      <c r="AL366" s="56"/>
      <c r="AS366" s="56"/>
      <c r="AT366" s="56"/>
      <c r="AU366" s="56"/>
    </row>
    <row r="367" spans="1:47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AF367" s="56"/>
      <c r="AG367" s="56"/>
      <c r="AH367" s="56"/>
      <c r="AI367" s="56"/>
      <c r="AJ367" s="56"/>
      <c r="AK367" s="56"/>
      <c r="AL367" s="56"/>
      <c r="AS367" s="56"/>
      <c r="AT367" s="56"/>
      <c r="AU367" s="56"/>
    </row>
    <row r="368" spans="1:47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AF368" s="56"/>
      <c r="AG368" s="56"/>
      <c r="AH368" s="56"/>
      <c r="AI368" s="56"/>
      <c r="AJ368" s="56"/>
      <c r="AK368" s="56"/>
      <c r="AL368" s="56"/>
      <c r="AS368" s="56"/>
      <c r="AT368" s="56"/>
      <c r="AU368" s="56"/>
    </row>
    <row r="369" spans="1:47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AF369" s="56"/>
      <c r="AG369" s="56"/>
      <c r="AH369" s="56"/>
      <c r="AI369" s="56"/>
      <c r="AJ369" s="56"/>
      <c r="AK369" s="56"/>
      <c r="AL369" s="56"/>
      <c r="AS369" s="56"/>
      <c r="AT369" s="56"/>
      <c r="AU369" s="56"/>
    </row>
    <row r="370" spans="1:47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AF370" s="56"/>
      <c r="AG370" s="56"/>
      <c r="AH370" s="56"/>
      <c r="AI370" s="56"/>
      <c r="AJ370" s="56"/>
      <c r="AK370" s="56"/>
      <c r="AL370" s="56"/>
      <c r="AS370" s="56"/>
      <c r="AT370" s="56"/>
      <c r="AU370" s="56"/>
    </row>
    <row r="371" spans="1:47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AF371" s="56"/>
      <c r="AG371" s="56"/>
      <c r="AH371" s="56"/>
      <c r="AI371" s="56"/>
      <c r="AJ371" s="56"/>
      <c r="AK371" s="56"/>
      <c r="AL371" s="56"/>
      <c r="AS371" s="56"/>
      <c r="AT371" s="56"/>
      <c r="AU371" s="56"/>
    </row>
    <row r="372" spans="1:47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AF372" s="56"/>
      <c r="AG372" s="56"/>
      <c r="AH372" s="56"/>
      <c r="AI372" s="56"/>
      <c r="AJ372" s="56"/>
      <c r="AK372" s="56"/>
      <c r="AL372" s="56"/>
      <c r="AS372" s="56"/>
      <c r="AT372" s="56"/>
      <c r="AU372" s="56"/>
    </row>
    <row r="373" spans="1:47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AF373" s="56"/>
      <c r="AG373" s="56"/>
      <c r="AH373" s="56"/>
      <c r="AI373" s="56"/>
      <c r="AJ373" s="56"/>
      <c r="AK373" s="56"/>
      <c r="AL373" s="56"/>
      <c r="AS373" s="56"/>
      <c r="AT373" s="56"/>
      <c r="AU373" s="56"/>
    </row>
    <row r="374" spans="1:47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AF374" s="56"/>
      <c r="AG374" s="56"/>
      <c r="AH374" s="56"/>
      <c r="AI374" s="56"/>
      <c r="AJ374" s="56"/>
      <c r="AK374" s="56"/>
      <c r="AL374" s="56"/>
      <c r="AS374" s="56"/>
      <c r="AT374" s="56"/>
      <c r="AU374" s="56"/>
    </row>
    <row r="375" spans="1:47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AF375" s="56"/>
      <c r="AG375" s="56"/>
      <c r="AH375" s="56"/>
      <c r="AI375" s="56"/>
      <c r="AJ375" s="56"/>
      <c r="AK375" s="56"/>
      <c r="AL375" s="56"/>
      <c r="AS375" s="56"/>
      <c r="AT375" s="56"/>
      <c r="AU375" s="56"/>
    </row>
    <row r="376" spans="1:47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AF376" s="56"/>
      <c r="AG376" s="56"/>
      <c r="AH376" s="56"/>
      <c r="AI376" s="56"/>
      <c r="AJ376" s="56"/>
      <c r="AK376" s="56"/>
      <c r="AL376" s="56"/>
      <c r="AS376" s="56"/>
      <c r="AT376" s="56"/>
      <c r="AU376" s="56"/>
    </row>
    <row r="377" spans="1:47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AF377" s="56"/>
      <c r="AG377" s="56"/>
      <c r="AH377" s="56"/>
      <c r="AI377" s="56"/>
      <c r="AJ377" s="56"/>
      <c r="AK377" s="56"/>
      <c r="AL377" s="56"/>
      <c r="AS377" s="56"/>
      <c r="AT377" s="56"/>
      <c r="AU377" s="56"/>
    </row>
    <row r="378" spans="1:47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AF378" s="56"/>
      <c r="AG378" s="56"/>
      <c r="AH378" s="56"/>
      <c r="AI378" s="56"/>
      <c r="AJ378" s="56"/>
      <c r="AK378" s="56"/>
      <c r="AL378" s="56"/>
      <c r="AS378" s="56"/>
      <c r="AT378" s="56"/>
      <c r="AU378" s="56"/>
    </row>
    <row r="379" spans="1:47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AF379" s="56"/>
      <c r="AG379" s="56"/>
      <c r="AH379" s="56"/>
      <c r="AI379" s="56"/>
      <c r="AJ379" s="56"/>
      <c r="AK379" s="56"/>
      <c r="AL379" s="56"/>
      <c r="AS379" s="56"/>
      <c r="AT379" s="56"/>
      <c r="AU379" s="56"/>
    </row>
    <row r="380" spans="1:47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AF380" s="56"/>
      <c r="AG380" s="56"/>
      <c r="AH380" s="56"/>
      <c r="AI380" s="56"/>
      <c r="AJ380" s="56"/>
      <c r="AK380" s="56"/>
      <c r="AL380" s="56"/>
      <c r="AS380" s="56"/>
      <c r="AT380" s="56"/>
      <c r="AU380" s="56"/>
    </row>
    <row r="381" spans="1:47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AF381" s="56"/>
      <c r="AG381" s="56"/>
      <c r="AH381" s="56"/>
      <c r="AI381" s="56"/>
      <c r="AJ381" s="56"/>
      <c r="AK381" s="56"/>
      <c r="AL381" s="56"/>
      <c r="AS381" s="56"/>
      <c r="AT381" s="56"/>
      <c r="AU381" s="56"/>
    </row>
    <row r="382" spans="1:47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AF382" s="56"/>
      <c r="AG382" s="56"/>
      <c r="AH382" s="56"/>
      <c r="AI382" s="56"/>
      <c r="AJ382" s="56"/>
      <c r="AK382" s="56"/>
      <c r="AL382" s="56"/>
      <c r="AS382" s="56"/>
      <c r="AT382" s="56"/>
      <c r="AU382" s="56"/>
    </row>
    <row r="383" spans="1:47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AF383" s="56"/>
      <c r="AG383" s="56"/>
      <c r="AH383" s="56"/>
      <c r="AI383" s="56"/>
      <c r="AJ383" s="56"/>
      <c r="AK383" s="56"/>
      <c r="AL383" s="56"/>
      <c r="AS383" s="56"/>
      <c r="AT383" s="56"/>
      <c r="AU383" s="56"/>
    </row>
    <row r="384" spans="1:47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AF384" s="56"/>
      <c r="AG384" s="56"/>
      <c r="AH384" s="56"/>
      <c r="AI384" s="56"/>
      <c r="AJ384" s="56"/>
      <c r="AK384" s="56"/>
      <c r="AL384" s="56"/>
      <c r="AS384" s="56"/>
      <c r="AT384" s="56"/>
      <c r="AU384" s="56"/>
    </row>
    <row r="385" spans="1:47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AF385" s="56"/>
      <c r="AG385" s="56"/>
      <c r="AH385" s="56"/>
      <c r="AI385" s="56"/>
      <c r="AJ385" s="56"/>
      <c r="AK385" s="56"/>
      <c r="AL385" s="56"/>
      <c r="AS385" s="56"/>
      <c r="AT385" s="56"/>
      <c r="AU385" s="56"/>
    </row>
    <row r="386" spans="1:47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AF386" s="56"/>
      <c r="AG386" s="56"/>
      <c r="AH386" s="56"/>
      <c r="AI386" s="56"/>
      <c r="AJ386" s="56"/>
      <c r="AK386" s="56"/>
      <c r="AL386" s="56"/>
      <c r="AS386" s="56"/>
      <c r="AT386" s="56"/>
      <c r="AU386" s="56"/>
    </row>
    <row r="387" spans="1:47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AF387" s="56"/>
      <c r="AG387" s="56"/>
      <c r="AH387" s="56"/>
      <c r="AI387" s="56"/>
      <c r="AJ387" s="56"/>
      <c r="AK387" s="56"/>
      <c r="AL387" s="56"/>
      <c r="AS387" s="56"/>
      <c r="AT387" s="56"/>
      <c r="AU387" s="56"/>
    </row>
    <row r="388" spans="1:47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AF388" s="56"/>
      <c r="AG388" s="56"/>
      <c r="AH388" s="56"/>
      <c r="AI388" s="56"/>
      <c r="AJ388" s="56"/>
      <c r="AK388" s="56"/>
      <c r="AL388" s="56"/>
      <c r="AS388" s="56"/>
      <c r="AT388" s="56"/>
      <c r="AU388" s="56"/>
    </row>
    <row r="389" spans="1:47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AF389" s="56"/>
      <c r="AG389" s="56"/>
      <c r="AH389" s="56"/>
      <c r="AI389" s="56"/>
      <c r="AJ389" s="56"/>
      <c r="AK389" s="56"/>
      <c r="AL389" s="56"/>
      <c r="AS389" s="56"/>
      <c r="AT389" s="56"/>
      <c r="AU389" s="56"/>
    </row>
    <row r="390" spans="1:47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AF390" s="56"/>
      <c r="AG390" s="56"/>
      <c r="AH390" s="56"/>
      <c r="AI390" s="56"/>
      <c r="AJ390" s="56"/>
      <c r="AK390" s="56"/>
      <c r="AL390" s="56"/>
      <c r="AS390" s="56"/>
      <c r="AT390" s="56"/>
      <c r="AU390" s="56"/>
    </row>
    <row r="391" spans="1:47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AF391" s="56"/>
      <c r="AG391" s="56"/>
      <c r="AH391" s="56"/>
      <c r="AI391" s="56"/>
      <c r="AJ391" s="56"/>
      <c r="AK391" s="56"/>
      <c r="AL391" s="56"/>
      <c r="AS391" s="56"/>
      <c r="AT391" s="56"/>
      <c r="AU391" s="56"/>
    </row>
    <row r="392" spans="1:47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AF392" s="56"/>
      <c r="AG392" s="56"/>
      <c r="AH392" s="56"/>
      <c r="AI392" s="56"/>
      <c r="AJ392" s="56"/>
      <c r="AK392" s="56"/>
      <c r="AL392" s="56"/>
      <c r="AS392" s="56"/>
      <c r="AT392" s="56"/>
      <c r="AU392" s="56"/>
    </row>
    <row r="393" spans="1:47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AF393" s="56"/>
      <c r="AG393" s="56"/>
      <c r="AH393" s="56"/>
      <c r="AI393" s="56"/>
      <c r="AJ393" s="56"/>
      <c r="AK393" s="56"/>
      <c r="AL393" s="56"/>
      <c r="AS393" s="56"/>
      <c r="AT393" s="56"/>
      <c r="AU393" s="56"/>
    </row>
    <row r="394" spans="1:47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AF394" s="56"/>
      <c r="AG394" s="56"/>
      <c r="AH394" s="56"/>
      <c r="AI394" s="56"/>
      <c r="AJ394" s="56"/>
      <c r="AK394" s="56"/>
      <c r="AL394" s="56"/>
      <c r="AS394" s="56"/>
      <c r="AT394" s="56"/>
      <c r="AU394" s="56"/>
    </row>
    <row r="395" spans="1:47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AF395" s="56"/>
      <c r="AG395" s="56"/>
      <c r="AH395" s="56"/>
      <c r="AI395" s="56"/>
      <c r="AJ395" s="56"/>
      <c r="AK395" s="56"/>
      <c r="AL395" s="56"/>
      <c r="AS395" s="56"/>
      <c r="AT395" s="56"/>
      <c r="AU395" s="56"/>
    </row>
    <row r="396" spans="1:47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AF396" s="56"/>
      <c r="AG396" s="56"/>
      <c r="AH396" s="56"/>
      <c r="AI396" s="56"/>
      <c r="AJ396" s="56"/>
      <c r="AK396" s="56"/>
      <c r="AL396" s="56"/>
      <c r="AS396" s="56"/>
      <c r="AT396" s="56"/>
      <c r="AU396" s="56"/>
    </row>
    <row r="397" spans="1:47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AF397" s="56"/>
      <c r="AG397" s="56"/>
      <c r="AH397" s="56"/>
      <c r="AI397" s="56"/>
      <c r="AJ397" s="56"/>
      <c r="AK397" s="56"/>
      <c r="AL397" s="56"/>
      <c r="AS397" s="56"/>
      <c r="AT397" s="56"/>
      <c r="AU397" s="56"/>
    </row>
    <row r="398" spans="1:47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AF398" s="56"/>
      <c r="AG398" s="56"/>
      <c r="AH398" s="56"/>
      <c r="AI398" s="56"/>
      <c r="AJ398" s="56"/>
      <c r="AK398" s="56"/>
      <c r="AL398" s="56"/>
      <c r="AS398" s="56"/>
      <c r="AT398" s="56"/>
      <c r="AU398" s="56"/>
    </row>
    <row r="399" spans="1:47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AF399" s="56"/>
      <c r="AG399" s="56"/>
      <c r="AH399" s="56"/>
      <c r="AI399" s="56"/>
      <c r="AJ399" s="56"/>
      <c r="AK399" s="56"/>
      <c r="AL399" s="56"/>
      <c r="AS399" s="56"/>
      <c r="AT399" s="56"/>
      <c r="AU399" s="56"/>
    </row>
    <row r="400" spans="1:47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AF400" s="56"/>
      <c r="AG400" s="56"/>
      <c r="AH400" s="56"/>
      <c r="AI400" s="56"/>
      <c r="AJ400" s="56"/>
      <c r="AK400" s="56"/>
      <c r="AL400" s="56"/>
      <c r="AS400" s="56"/>
      <c r="AT400" s="56"/>
      <c r="AU400" s="56"/>
    </row>
    <row r="401" spans="1:47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AF401" s="56"/>
      <c r="AG401" s="56"/>
      <c r="AH401" s="56"/>
      <c r="AI401" s="56"/>
      <c r="AJ401" s="56"/>
      <c r="AK401" s="56"/>
      <c r="AL401" s="56"/>
      <c r="AS401" s="56"/>
      <c r="AT401" s="56"/>
      <c r="AU401" s="56"/>
    </row>
    <row r="402" spans="1:47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AF402" s="56"/>
      <c r="AG402" s="56"/>
      <c r="AH402" s="56"/>
      <c r="AI402" s="56"/>
      <c r="AJ402" s="56"/>
      <c r="AK402" s="56"/>
      <c r="AL402" s="56"/>
      <c r="AS402" s="56"/>
      <c r="AT402" s="56"/>
      <c r="AU402" s="56"/>
    </row>
    <row r="403" spans="1:47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AF403" s="56"/>
      <c r="AG403" s="56"/>
      <c r="AH403" s="56"/>
      <c r="AI403" s="56"/>
      <c r="AJ403" s="56"/>
      <c r="AK403" s="56"/>
      <c r="AL403" s="56"/>
      <c r="AS403" s="56"/>
      <c r="AT403" s="56"/>
      <c r="AU403" s="56"/>
    </row>
    <row r="404" spans="1:47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AF404" s="56"/>
      <c r="AG404" s="56"/>
      <c r="AH404" s="56"/>
      <c r="AI404" s="56"/>
      <c r="AJ404" s="56"/>
      <c r="AK404" s="56"/>
      <c r="AL404" s="56"/>
      <c r="AS404" s="56"/>
      <c r="AT404" s="56"/>
      <c r="AU404" s="56"/>
    </row>
    <row r="405" spans="1:47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AF405" s="56"/>
      <c r="AG405" s="56"/>
      <c r="AH405" s="56"/>
      <c r="AI405" s="56"/>
      <c r="AJ405" s="56"/>
      <c r="AK405" s="56"/>
      <c r="AL405" s="56"/>
      <c r="AS405" s="56"/>
      <c r="AT405" s="56"/>
      <c r="AU405" s="56"/>
    </row>
    <row r="406" spans="1:47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AF406" s="56"/>
      <c r="AG406" s="56"/>
      <c r="AH406" s="56"/>
      <c r="AI406" s="56"/>
      <c r="AJ406" s="56"/>
      <c r="AK406" s="56"/>
      <c r="AL406" s="56"/>
      <c r="AS406" s="56"/>
      <c r="AT406" s="56"/>
      <c r="AU406" s="56"/>
    </row>
    <row r="407" spans="1:47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AF407" s="56"/>
      <c r="AG407" s="56"/>
      <c r="AH407" s="56"/>
      <c r="AI407" s="56"/>
      <c r="AJ407" s="56"/>
      <c r="AK407" s="56"/>
      <c r="AL407" s="56"/>
      <c r="AS407" s="56"/>
      <c r="AT407" s="56"/>
      <c r="AU407" s="56"/>
    </row>
    <row r="408" spans="1:47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AF408" s="56"/>
      <c r="AG408" s="56"/>
      <c r="AH408" s="56"/>
      <c r="AI408" s="56"/>
      <c r="AJ408" s="56"/>
      <c r="AK408" s="56"/>
      <c r="AL408" s="56"/>
      <c r="AS408" s="56"/>
      <c r="AT408" s="56"/>
      <c r="AU408" s="56"/>
    </row>
    <row r="409" spans="1:47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AF409" s="56"/>
      <c r="AG409" s="56"/>
      <c r="AH409" s="56"/>
      <c r="AI409" s="56"/>
      <c r="AJ409" s="56"/>
      <c r="AK409" s="56"/>
      <c r="AL409" s="56"/>
      <c r="AS409" s="56"/>
      <c r="AT409" s="56"/>
      <c r="AU409" s="56"/>
    </row>
    <row r="410" spans="1:47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AF410" s="56"/>
      <c r="AG410" s="56"/>
      <c r="AH410" s="56"/>
      <c r="AI410" s="56"/>
      <c r="AJ410" s="56"/>
      <c r="AK410" s="56"/>
      <c r="AL410" s="56"/>
      <c r="AS410" s="56"/>
      <c r="AT410" s="56"/>
      <c r="AU410" s="56"/>
    </row>
    <row r="411" spans="1:47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AF411" s="56"/>
      <c r="AG411" s="56"/>
      <c r="AH411" s="56"/>
      <c r="AI411" s="56"/>
      <c r="AJ411" s="56"/>
      <c r="AK411" s="56"/>
      <c r="AL411" s="56"/>
      <c r="AS411" s="56"/>
      <c r="AT411" s="56"/>
      <c r="AU411" s="56"/>
    </row>
    <row r="412" spans="1:47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AF412" s="56"/>
      <c r="AG412" s="56"/>
      <c r="AH412" s="56"/>
      <c r="AI412" s="56"/>
      <c r="AJ412" s="56"/>
      <c r="AK412" s="56"/>
      <c r="AL412" s="56"/>
      <c r="AS412" s="56"/>
      <c r="AT412" s="56"/>
      <c r="AU412" s="56"/>
    </row>
    <row r="413" spans="1:47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AF413" s="56"/>
      <c r="AG413" s="56"/>
      <c r="AH413" s="56"/>
      <c r="AI413" s="56"/>
      <c r="AJ413" s="56"/>
      <c r="AK413" s="56"/>
      <c r="AL413" s="56"/>
      <c r="AS413" s="56"/>
      <c r="AT413" s="56"/>
      <c r="AU413" s="56"/>
    </row>
    <row r="414" spans="1:47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AF414" s="56"/>
      <c r="AG414" s="56"/>
      <c r="AH414" s="56"/>
      <c r="AI414" s="56"/>
      <c r="AJ414" s="56"/>
      <c r="AK414" s="56"/>
      <c r="AL414" s="56"/>
      <c r="AS414" s="56"/>
      <c r="AT414" s="56"/>
      <c r="AU414" s="56"/>
    </row>
    <row r="415" spans="1:47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AF415" s="56"/>
      <c r="AG415" s="56"/>
      <c r="AH415" s="56"/>
      <c r="AI415" s="56"/>
      <c r="AJ415" s="56"/>
      <c r="AK415" s="56"/>
      <c r="AL415" s="56"/>
      <c r="AS415" s="56"/>
      <c r="AT415" s="56"/>
      <c r="AU415" s="56"/>
    </row>
    <row r="416" spans="1:47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AF416" s="56"/>
      <c r="AG416" s="56"/>
      <c r="AH416" s="56"/>
      <c r="AI416" s="56"/>
      <c r="AJ416" s="56"/>
      <c r="AK416" s="56"/>
      <c r="AL416" s="56"/>
      <c r="AS416" s="56"/>
      <c r="AT416" s="56"/>
      <c r="AU416" s="56"/>
    </row>
    <row r="417" spans="1:47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AF417" s="56"/>
      <c r="AG417" s="56"/>
      <c r="AH417" s="56"/>
      <c r="AI417" s="56"/>
      <c r="AJ417" s="56"/>
      <c r="AK417" s="56"/>
      <c r="AL417" s="56"/>
      <c r="AS417" s="56"/>
      <c r="AT417" s="56"/>
      <c r="AU417" s="56"/>
    </row>
    <row r="418" spans="1:47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AF418" s="56"/>
      <c r="AG418" s="56"/>
      <c r="AH418" s="56"/>
      <c r="AI418" s="56"/>
      <c r="AJ418" s="56"/>
      <c r="AK418" s="56"/>
      <c r="AL418" s="56"/>
      <c r="AS418" s="56"/>
      <c r="AT418" s="56"/>
      <c r="AU418" s="56"/>
    </row>
    <row r="419" spans="1:47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AF419" s="56"/>
      <c r="AG419" s="56"/>
      <c r="AH419" s="56"/>
      <c r="AI419" s="56"/>
      <c r="AJ419" s="56"/>
      <c r="AK419" s="56"/>
      <c r="AL419" s="56"/>
      <c r="AS419" s="56"/>
      <c r="AT419" s="56"/>
      <c r="AU419" s="56"/>
    </row>
    <row r="420" spans="1:47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AF420" s="56"/>
      <c r="AG420" s="56"/>
      <c r="AH420" s="56"/>
      <c r="AI420" s="56"/>
      <c r="AJ420" s="56"/>
      <c r="AK420" s="56"/>
      <c r="AL420" s="56"/>
      <c r="AS420" s="56"/>
      <c r="AT420" s="56"/>
      <c r="AU420" s="56"/>
    </row>
    <row r="421" spans="1:47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AF421" s="56"/>
      <c r="AG421" s="56"/>
      <c r="AH421" s="56"/>
      <c r="AI421" s="56"/>
      <c r="AJ421" s="56"/>
      <c r="AK421" s="56"/>
      <c r="AL421" s="56"/>
      <c r="AS421" s="56"/>
      <c r="AT421" s="56"/>
      <c r="AU421" s="56"/>
    </row>
    <row r="422" spans="1:47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AF422" s="56"/>
      <c r="AG422" s="56"/>
      <c r="AH422" s="56"/>
      <c r="AI422" s="56"/>
      <c r="AJ422" s="56"/>
      <c r="AK422" s="56"/>
      <c r="AL422" s="56"/>
      <c r="AS422" s="56"/>
      <c r="AT422" s="56"/>
      <c r="AU422" s="56"/>
    </row>
    <row r="423" spans="1:47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AF423" s="56"/>
      <c r="AG423" s="56"/>
      <c r="AH423" s="56"/>
      <c r="AI423" s="56"/>
      <c r="AJ423" s="56"/>
      <c r="AK423" s="56"/>
      <c r="AL423" s="56"/>
      <c r="AS423" s="56"/>
      <c r="AT423" s="56"/>
      <c r="AU423" s="56"/>
    </row>
    <row r="424" spans="1:47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AF424" s="56"/>
      <c r="AG424" s="56"/>
      <c r="AH424" s="56"/>
      <c r="AI424" s="56"/>
      <c r="AJ424" s="56"/>
      <c r="AK424" s="56"/>
      <c r="AL424" s="56"/>
      <c r="AS424" s="56"/>
      <c r="AT424" s="56"/>
      <c r="AU424" s="56"/>
    </row>
    <row r="425" spans="1:47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AF425" s="56"/>
      <c r="AG425" s="56"/>
      <c r="AH425" s="56"/>
      <c r="AI425" s="56"/>
      <c r="AJ425" s="56"/>
      <c r="AK425" s="56"/>
      <c r="AL425" s="56"/>
      <c r="AS425" s="56"/>
      <c r="AT425" s="56"/>
      <c r="AU425" s="56"/>
    </row>
    <row r="426" spans="1:47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AF426" s="56"/>
      <c r="AG426" s="56"/>
      <c r="AH426" s="56"/>
      <c r="AI426" s="56"/>
      <c r="AJ426" s="56"/>
      <c r="AK426" s="56"/>
      <c r="AL426" s="56"/>
      <c r="AS426" s="56"/>
      <c r="AT426" s="56"/>
      <c r="AU426" s="56"/>
    </row>
    <row r="427" spans="1:47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AF427" s="56"/>
      <c r="AG427" s="56"/>
      <c r="AH427" s="56"/>
      <c r="AI427" s="56"/>
      <c r="AJ427" s="56"/>
      <c r="AK427" s="56"/>
      <c r="AL427" s="56"/>
      <c r="AS427" s="56"/>
      <c r="AT427" s="56"/>
      <c r="AU427" s="56"/>
    </row>
    <row r="428" spans="1:47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AF428" s="56"/>
      <c r="AG428" s="56"/>
      <c r="AH428" s="56"/>
      <c r="AI428" s="56"/>
      <c r="AJ428" s="56"/>
      <c r="AK428" s="56"/>
      <c r="AL428" s="56"/>
      <c r="AS428" s="56"/>
      <c r="AT428" s="56"/>
      <c r="AU428" s="56"/>
    </row>
    <row r="429" spans="1:47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AF429" s="56"/>
      <c r="AG429" s="56"/>
      <c r="AH429" s="56"/>
      <c r="AI429" s="56"/>
      <c r="AJ429" s="56"/>
      <c r="AK429" s="56"/>
      <c r="AL429" s="56"/>
      <c r="AS429" s="56"/>
      <c r="AT429" s="56"/>
      <c r="AU429" s="56"/>
    </row>
    <row r="430" spans="1:47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AF430" s="56"/>
      <c r="AG430" s="56"/>
      <c r="AH430" s="56"/>
      <c r="AI430" s="56"/>
      <c r="AJ430" s="56"/>
      <c r="AK430" s="56"/>
      <c r="AL430" s="56"/>
      <c r="AS430" s="56"/>
      <c r="AT430" s="56"/>
      <c r="AU430" s="56"/>
    </row>
    <row r="431" spans="1:47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AF431" s="56"/>
      <c r="AG431" s="56"/>
      <c r="AH431" s="56"/>
      <c r="AI431" s="56"/>
      <c r="AJ431" s="56"/>
      <c r="AK431" s="56"/>
      <c r="AL431" s="56"/>
      <c r="AS431" s="56"/>
      <c r="AT431" s="56"/>
      <c r="AU431" s="56"/>
    </row>
    <row r="432" spans="1:47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AF432" s="56"/>
      <c r="AG432" s="56"/>
      <c r="AH432" s="56"/>
      <c r="AI432" s="56"/>
      <c r="AJ432" s="56"/>
      <c r="AK432" s="56"/>
      <c r="AL432" s="56"/>
      <c r="AS432" s="56"/>
      <c r="AT432" s="56"/>
      <c r="AU432" s="56"/>
    </row>
    <row r="433" spans="1:47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AF433" s="56"/>
      <c r="AG433" s="56"/>
      <c r="AH433" s="56"/>
      <c r="AI433" s="56"/>
      <c r="AJ433" s="56"/>
      <c r="AK433" s="56"/>
      <c r="AL433" s="56"/>
      <c r="AS433" s="56"/>
      <c r="AT433" s="56"/>
      <c r="AU433" s="56"/>
    </row>
    <row r="434" spans="1:47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AF434" s="56"/>
      <c r="AG434" s="56"/>
      <c r="AH434" s="56"/>
      <c r="AI434" s="56"/>
      <c r="AJ434" s="56"/>
      <c r="AK434" s="56"/>
      <c r="AL434" s="56"/>
      <c r="AS434" s="56"/>
      <c r="AT434" s="56"/>
      <c r="AU434" s="56"/>
    </row>
    <row r="435" spans="1:47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AF435" s="56"/>
      <c r="AG435" s="56"/>
      <c r="AH435" s="56"/>
      <c r="AI435" s="56"/>
      <c r="AJ435" s="56"/>
      <c r="AK435" s="56"/>
      <c r="AL435" s="56"/>
      <c r="AS435" s="56"/>
      <c r="AT435" s="56"/>
      <c r="AU435" s="56"/>
    </row>
    <row r="436" spans="1:47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AF436" s="56"/>
      <c r="AG436" s="56"/>
      <c r="AH436" s="56"/>
      <c r="AI436" s="56"/>
      <c r="AJ436" s="56"/>
      <c r="AK436" s="56"/>
      <c r="AL436" s="56"/>
      <c r="AS436" s="56"/>
      <c r="AT436" s="56"/>
      <c r="AU436" s="56"/>
    </row>
    <row r="437" spans="1:47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AF437" s="56"/>
      <c r="AG437" s="56"/>
      <c r="AH437" s="56"/>
      <c r="AI437" s="56"/>
      <c r="AJ437" s="56"/>
      <c r="AK437" s="56"/>
      <c r="AL437" s="56"/>
      <c r="AS437" s="56"/>
      <c r="AT437" s="56"/>
      <c r="AU437" s="56"/>
    </row>
    <row r="438" spans="1:47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AF438" s="56"/>
      <c r="AG438" s="56"/>
      <c r="AH438" s="56"/>
      <c r="AI438" s="56"/>
      <c r="AJ438" s="56"/>
      <c r="AK438" s="56"/>
      <c r="AL438" s="56"/>
      <c r="AS438" s="56"/>
      <c r="AT438" s="56"/>
      <c r="AU438" s="56"/>
    </row>
    <row r="439" spans="1:47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AF439" s="56"/>
      <c r="AG439" s="56"/>
      <c r="AH439" s="56"/>
      <c r="AI439" s="56"/>
      <c r="AJ439" s="56"/>
      <c r="AK439" s="56"/>
      <c r="AL439" s="56"/>
      <c r="AS439" s="56"/>
      <c r="AT439" s="56"/>
      <c r="AU439" s="56"/>
    </row>
    <row r="440" spans="1:47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AF440" s="56"/>
      <c r="AG440" s="56"/>
      <c r="AH440" s="56"/>
      <c r="AI440" s="56"/>
      <c r="AJ440" s="56"/>
      <c r="AK440" s="56"/>
      <c r="AL440" s="56"/>
      <c r="AS440" s="56"/>
      <c r="AT440" s="56"/>
      <c r="AU440" s="56"/>
    </row>
    <row r="441" spans="1:47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AF441" s="56"/>
      <c r="AG441" s="56"/>
      <c r="AH441" s="56"/>
      <c r="AI441" s="56"/>
      <c r="AJ441" s="56"/>
      <c r="AK441" s="56"/>
      <c r="AL441" s="56"/>
      <c r="AS441" s="56"/>
      <c r="AT441" s="56"/>
      <c r="AU441" s="56"/>
    </row>
    <row r="442" spans="1:47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AF442" s="56"/>
      <c r="AG442" s="56"/>
      <c r="AH442" s="56"/>
      <c r="AI442" s="56"/>
      <c r="AJ442" s="56"/>
      <c r="AK442" s="56"/>
      <c r="AL442" s="56"/>
      <c r="AS442" s="56"/>
      <c r="AT442" s="56"/>
      <c r="AU442" s="56"/>
    </row>
    <row r="443" spans="1:47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AF443" s="56"/>
      <c r="AG443" s="56"/>
      <c r="AH443" s="56"/>
      <c r="AI443" s="56"/>
      <c r="AJ443" s="56"/>
      <c r="AK443" s="56"/>
      <c r="AL443" s="56"/>
      <c r="AS443" s="56"/>
      <c r="AT443" s="56"/>
      <c r="AU443" s="56"/>
    </row>
    <row r="444" spans="1:47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AF444" s="56"/>
      <c r="AG444" s="56"/>
      <c r="AH444" s="56"/>
      <c r="AI444" s="56"/>
      <c r="AJ444" s="56"/>
      <c r="AK444" s="56"/>
      <c r="AL444" s="56"/>
      <c r="AS444" s="56"/>
      <c r="AT444" s="56"/>
      <c r="AU444" s="56"/>
    </row>
    <row r="445" spans="1:47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AF445" s="56"/>
      <c r="AG445" s="56"/>
      <c r="AH445" s="56"/>
      <c r="AI445" s="56"/>
      <c r="AJ445" s="56"/>
      <c r="AK445" s="56"/>
      <c r="AL445" s="56"/>
      <c r="AS445" s="56"/>
      <c r="AT445" s="56"/>
      <c r="AU445" s="56"/>
    </row>
    <row r="446" spans="1:47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AF446" s="56"/>
      <c r="AG446" s="56"/>
      <c r="AH446" s="56"/>
      <c r="AI446" s="56"/>
      <c r="AJ446" s="56"/>
      <c r="AK446" s="56"/>
      <c r="AL446" s="56"/>
      <c r="AS446" s="56"/>
      <c r="AT446" s="56"/>
      <c r="AU446" s="56"/>
    </row>
    <row r="447" spans="1:47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AF447" s="56"/>
      <c r="AG447" s="56"/>
      <c r="AH447" s="56"/>
      <c r="AI447" s="56"/>
      <c r="AJ447" s="56"/>
      <c r="AK447" s="56"/>
      <c r="AL447" s="56"/>
      <c r="AS447" s="56"/>
      <c r="AT447" s="56"/>
      <c r="AU447" s="56"/>
    </row>
    <row r="448" spans="1:47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AF448" s="56"/>
      <c r="AG448" s="56"/>
      <c r="AH448" s="56"/>
      <c r="AI448" s="56"/>
      <c r="AJ448" s="56"/>
      <c r="AK448" s="56"/>
      <c r="AL448" s="56"/>
      <c r="AS448" s="56"/>
      <c r="AT448" s="56"/>
      <c r="AU448" s="56"/>
    </row>
    <row r="449" spans="1:47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AF449" s="56"/>
      <c r="AG449" s="56"/>
      <c r="AH449" s="56"/>
      <c r="AI449" s="56"/>
      <c r="AJ449" s="56"/>
      <c r="AK449" s="56"/>
      <c r="AL449" s="56"/>
      <c r="AS449" s="56"/>
      <c r="AT449" s="56"/>
      <c r="AU449" s="56"/>
    </row>
    <row r="450" spans="1:47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AF450" s="56"/>
      <c r="AG450" s="56"/>
      <c r="AH450" s="56"/>
      <c r="AI450" s="56"/>
      <c r="AJ450" s="56"/>
      <c r="AK450" s="56"/>
      <c r="AL450" s="56"/>
      <c r="AS450" s="56"/>
      <c r="AT450" s="56"/>
      <c r="AU450" s="56"/>
    </row>
    <row r="451" spans="1:47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AF451" s="56"/>
      <c r="AG451" s="56"/>
      <c r="AH451" s="56"/>
      <c r="AI451" s="56"/>
      <c r="AJ451" s="56"/>
      <c r="AK451" s="56"/>
      <c r="AL451" s="56"/>
      <c r="AS451" s="56"/>
      <c r="AT451" s="56"/>
      <c r="AU451" s="56"/>
    </row>
    <row r="452" spans="1:47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AF452" s="56"/>
      <c r="AG452" s="56"/>
      <c r="AH452" s="56"/>
      <c r="AI452" s="56"/>
      <c r="AJ452" s="56"/>
      <c r="AK452" s="56"/>
      <c r="AL452" s="56"/>
      <c r="AS452" s="56"/>
      <c r="AT452" s="56"/>
      <c r="AU452" s="56"/>
    </row>
    <row r="453" spans="1:47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AF453" s="56"/>
      <c r="AG453" s="56"/>
      <c r="AH453" s="56"/>
      <c r="AI453" s="56"/>
      <c r="AJ453" s="56"/>
      <c r="AK453" s="56"/>
      <c r="AL453" s="56"/>
      <c r="AS453" s="56"/>
      <c r="AT453" s="56"/>
      <c r="AU453" s="56"/>
    </row>
    <row r="454" spans="1:47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AF454" s="56"/>
      <c r="AG454" s="56"/>
      <c r="AH454" s="56"/>
      <c r="AI454" s="56"/>
      <c r="AJ454" s="56"/>
      <c r="AK454" s="56"/>
      <c r="AL454" s="56"/>
      <c r="AS454" s="56"/>
      <c r="AT454" s="56"/>
      <c r="AU454" s="56"/>
    </row>
    <row r="455" spans="1:47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AF455" s="56"/>
      <c r="AG455" s="56"/>
      <c r="AH455" s="56"/>
      <c r="AI455" s="56"/>
      <c r="AJ455" s="56"/>
      <c r="AK455" s="56"/>
      <c r="AL455" s="56"/>
      <c r="AS455" s="56"/>
      <c r="AT455" s="56"/>
      <c r="AU455" s="56"/>
    </row>
    <row r="456" spans="1:47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AF456" s="56"/>
      <c r="AG456" s="56"/>
      <c r="AH456" s="56"/>
      <c r="AI456" s="56"/>
      <c r="AJ456" s="56"/>
      <c r="AK456" s="56"/>
      <c r="AL456" s="56"/>
      <c r="AS456" s="56"/>
      <c r="AT456" s="56"/>
      <c r="AU456" s="56"/>
    </row>
    <row r="457" spans="1:47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AF457" s="56"/>
      <c r="AG457" s="56"/>
      <c r="AH457" s="56"/>
      <c r="AI457" s="56"/>
      <c r="AJ457" s="56"/>
      <c r="AK457" s="56"/>
      <c r="AL457" s="56"/>
      <c r="AS457" s="56"/>
      <c r="AT457" s="56"/>
      <c r="AU457" s="56"/>
    </row>
    <row r="458" spans="1:47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AF458" s="56"/>
      <c r="AG458" s="56"/>
      <c r="AH458" s="56"/>
      <c r="AI458" s="56"/>
      <c r="AJ458" s="56"/>
      <c r="AK458" s="56"/>
      <c r="AL458" s="56"/>
      <c r="AS458" s="56"/>
      <c r="AT458" s="56"/>
      <c r="AU458" s="56"/>
    </row>
    <row r="459" spans="1:47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AF459" s="56"/>
      <c r="AG459" s="56"/>
      <c r="AH459" s="56"/>
      <c r="AI459" s="56"/>
      <c r="AJ459" s="56"/>
      <c r="AK459" s="56"/>
      <c r="AL459" s="56"/>
      <c r="AS459" s="56"/>
      <c r="AT459" s="56"/>
      <c r="AU459" s="56"/>
    </row>
    <row r="460" spans="1:47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AF460" s="56"/>
      <c r="AG460" s="56"/>
      <c r="AH460" s="56"/>
      <c r="AI460" s="56"/>
      <c r="AJ460" s="56"/>
      <c r="AK460" s="56"/>
      <c r="AL460" s="56"/>
      <c r="AS460" s="56"/>
      <c r="AT460" s="56"/>
      <c r="AU460" s="56"/>
    </row>
    <row r="461" spans="1:47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AF461" s="56"/>
      <c r="AG461" s="56"/>
      <c r="AH461" s="56"/>
      <c r="AI461" s="56"/>
      <c r="AJ461" s="56"/>
      <c r="AK461" s="56"/>
      <c r="AL461" s="56"/>
      <c r="AS461" s="56"/>
      <c r="AT461" s="56"/>
      <c r="AU461" s="56"/>
    </row>
    <row r="462" spans="1:47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AF462" s="56"/>
      <c r="AG462" s="56"/>
      <c r="AH462" s="56"/>
      <c r="AI462" s="56"/>
      <c r="AJ462" s="56"/>
      <c r="AK462" s="56"/>
      <c r="AL462" s="56"/>
      <c r="AS462" s="56"/>
      <c r="AT462" s="56"/>
      <c r="AU462" s="56"/>
    </row>
    <row r="463" spans="1:47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AF463" s="56"/>
      <c r="AG463" s="56"/>
      <c r="AH463" s="56"/>
      <c r="AI463" s="56"/>
      <c r="AJ463" s="56"/>
      <c r="AK463" s="56"/>
      <c r="AL463" s="56"/>
      <c r="AS463" s="56"/>
      <c r="AT463" s="56"/>
      <c r="AU463" s="56"/>
    </row>
    <row r="464" spans="1:47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AF464" s="56"/>
      <c r="AG464" s="56"/>
      <c r="AH464" s="56"/>
      <c r="AI464" s="56"/>
      <c r="AJ464" s="56"/>
      <c r="AK464" s="56"/>
      <c r="AL464" s="56"/>
      <c r="AS464" s="56"/>
      <c r="AT464" s="56"/>
      <c r="AU464" s="56"/>
    </row>
    <row r="465" spans="1:47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AF465" s="56"/>
      <c r="AG465" s="56"/>
      <c r="AH465" s="56"/>
      <c r="AI465" s="56"/>
      <c r="AJ465" s="56"/>
      <c r="AK465" s="56"/>
      <c r="AL465" s="56"/>
      <c r="AS465" s="56"/>
      <c r="AT465" s="56"/>
      <c r="AU465" s="56"/>
    </row>
    <row r="466" spans="1:47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AF466" s="56"/>
      <c r="AG466" s="56"/>
      <c r="AH466" s="56"/>
      <c r="AI466" s="56"/>
      <c r="AJ466" s="56"/>
      <c r="AK466" s="56"/>
      <c r="AL466" s="56"/>
      <c r="AS466" s="56"/>
      <c r="AT466" s="56"/>
      <c r="AU466" s="56"/>
    </row>
    <row r="467" spans="1:47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AF467" s="56"/>
      <c r="AG467" s="56"/>
      <c r="AH467" s="56"/>
      <c r="AI467" s="56"/>
      <c r="AJ467" s="56"/>
      <c r="AK467" s="56"/>
      <c r="AL467" s="56"/>
      <c r="AS467" s="56"/>
      <c r="AT467" s="56"/>
      <c r="AU467" s="56"/>
    </row>
    <row r="468" spans="1:47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AF468" s="56"/>
      <c r="AG468" s="56"/>
      <c r="AH468" s="56"/>
      <c r="AI468" s="56"/>
      <c r="AJ468" s="56"/>
      <c r="AK468" s="56"/>
      <c r="AL468" s="56"/>
      <c r="AS468" s="56"/>
      <c r="AT468" s="56"/>
      <c r="AU468" s="56"/>
    </row>
    <row r="469" spans="1:47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AF469" s="56"/>
      <c r="AG469" s="56"/>
      <c r="AH469" s="56"/>
      <c r="AI469" s="56"/>
      <c r="AJ469" s="56"/>
      <c r="AK469" s="56"/>
      <c r="AL469" s="56"/>
      <c r="AS469" s="56"/>
      <c r="AT469" s="56"/>
      <c r="AU469" s="56"/>
    </row>
    <row r="470" spans="1:47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AF470" s="56"/>
      <c r="AG470" s="56"/>
      <c r="AH470" s="56"/>
      <c r="AI470" s="56"/>
      <c r="AJ470" s="56"/>
      <c r="AK470" s="56"/>
      <c r="AL470" s="56"/>
      <c r="AS470" s="56"/>
      <c r="AT470" s="56"/>
      <c r="AU470" s="56"/>
    </row>
    <row r="471" spans="1:47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AF471" s="56"/>
      <c r="AG471" s="56"/>
      <c r="AH471" s="56"/>
      <c r="AI471" s="56"/>
      <c r="AJ471" s="56"/>
      <c r="AK471" s="56"/>
      <c r="AL471" s="56"/>
      <c r="AS471" s="56"/>
      <c r="AT471" s="56"/>
      <c r="AU471" s="56"/>
    </row>
    <row r="472" spans="1:47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AF472" s="56"/>
      <c r="AG472" s="56"/>
      <c r="AH472" s="56"/>
      <c r="AI472" s="56"/>
      <c r="AJ472" s="56"/>
      <c r="AK472" s="56"/>
      <c r="AL472" s="56"/>
      <c r="AS472" s="56"/>
      <c r="AT472" s="56"/>
      <c r="AU472" s="56"/>
    </row>
    <row r="473" spans="1:47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AF473" s="56"/>
      <c r="AG473" s="56"/>
      <c r="AH473" s="56"/>
      <c r="AI473" s="56"/>
      <c r="AJ473" s="56"/>
      <c r="AK473" s="56"/>
      <c r="AL473" s="56"/>
      <c r="AS473" s="56"/>
      <c r="AT473" s="56"/>
      <c r="AU473" s="56"/>
    </row>
    <row r="474" spans="1:47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AF474" s="56"/>
      <c r="AG474" s="56"/>
      <c r="AH474" s="56"/>
      <c r="AI474" s="56"/>
      <c r="AJ474" s="56"/>
      <c r="AK474" s="56"/>
      <c r="AL474" s="56"/>
      <c r="AS474" s="56"/>
      <c r="AT474" s="56"/>
      <c r="AU474" s="56"/>
    </row>
    <row r="475" spans="1:47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AF475" s="56"/>
      <c r="AG475" s="56"/>
      <c r="AH475" s="56"/>
      <c r="AI475" s="56"/>
      <c r="AJ475" s="56"/>
      <c r="AK475" s="56"/>
      <c r="AL475" s="56"/>
      <c r="AS475" s="56"/>
      <c r="AT475" s="56"/>
      <c r="AU475" s="56"/>
    </row>
    <row r="476" spans="1:47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AF476" s="56"/>
      <c r="AG476" s="56"/>
      <c r="AH476" s="56"/>
      <c r="AI476" s="56"/>
      <c r="AJ476" s="56"/>
      <c r="AK476" s="56"/>
      <c r="AL476" s="56"/>
      <c r="AS476" s="56"/>
      <c r="AT476" s="56"/>
      <c r="AU476" s="56"/>
    </row>
    <row r="477" spans="1:47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AF477" s="56"/>
      <c r="AG477" s="56"/>
      <c r="AH477" s="56"/>
      <c r="AI477" s="56"/>
      <c r="AJ477" s="56"/>
      <c r="AK477" s="56"/>
      <c r="AL477" s="56"/>
      <c r="AS477" s="56"/>
      <c r="AT477" s="56"/>
      <c r="AU477" s="56"/>
    </row>
    <row r="478" spans="1:47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AF478" s="56"/>
      <c r="AG478" s="56"/>
      <c r="AH478" s="56"/>
      <c r="AI478" s="56"/>
      <c r="AJ478" s="56"/>
      <c r="AK478" s="56"/>
      <c r="AL478" s="56"/>
      <c r="AS478" s="56"/>
      <c r="AT478" s="56"/>
      <c r="AU478" s="56"/>
    </row>
    <row r="479" spans="1:47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AF479" s="56"/>
      <c r="AG479" s="56"/>
      <c r="AH479" s="56"/>
      <c r="AI479" s="56"/>
      <c r="AJ479" s="56"/>
      <c r="AK479" s="56"/>
      <c r="AL479" s="56"/>
      <c r="AS479" s="56"/>
      <c r="AT479" s="56"/>
      <c r="AU479" s="56"/>
    </row>
    <row r="480" spans="1:47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AF480" s="56"/>
      <c r="AG480" s="56"/>
      <c r="AH480" s="56"/>
      <c r="AI480" s="56"/>
      <c r="AJ480" s="56"/>
      <c r="AK480" s="56"/>
      <c r="AL480" s="56"/>
      <c r="AS480" s="56"/>
      <c r="AT480" s="56"/>
      <c r="AU480" s="56"/>
    </row>
    <row r="481" spans="1:47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AF481" s="56"/>
      <c r="AG481" s="56"/>
      <c r="AH481" s="56"/>
      <c r="AI481" s="56"/>
      <c r="AJ481" s="56"/>
      <c r="AK481" s="56"/>
      <c r="AL481" s="56"/>
      <c r="AS481" s="56"/>
      <c r="AT481" s="56"/>
      <c r="AU481" s="56"/>
    </row>
    <row r="482" spans="1:47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AF482" s="56"/>
      <c r="AG482" s="56"/>
      <c r="AH482" s="56"/>
      <c r="AI482" s="56"/>
      <c r="AJ482" s="56"/>
      <c r="AK482" s="56"/>
      <c r="AL482" s="56"/>
      <c r="AS482" s="56"/>
      <c r="AT482" s="56"/>
      <c r="AU482" s="56"/>
    </row>
    <row r="483" spans="1:47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AF483" s="56"/>
      <c r="AG483" s="56"/>
      <c r="AH483" s="56"/>
      <c r="AI483" s="56"/>
      <c r="AJ483" s="56"/>
      <c r="AK483" s="56"/>
      <c r="AL483" s="56"/>
      <c r="AS483" s="56"/>
      <c r="AT483" s="56"/>
      <c r="AU483" s="56"/>
    </row>
    <row r="484" spans="1:47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AF484" s="56"/>
      <c r="AG484" s="56"/>
      <c r="AH484" s="56"/>
      <c r="AI484" s="56"/>
      <c r="AJ484" s="56"/>
      <c r="AK484" s="56"/>
      <c r="AL484" s="56"/>
      <c r="AS484" s="56"/>
      <c r="AT484" s="56"/>
      <c r="AU484" s="56"/>
    </row>
    <row r="485" spans="1:47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AF485" s="56"/>
      <c r="AG485" s="56"/>
      <c r="AH485" s="56"/>
      <c r="AI485" s="56"/>
      <c r="AJ485" s="56"/>
      <c r="AK485" s="56"/>
      <c r="AL485" s="56"/>
      <c r="AS485" s="56"/>
      <c r="AT485" s="56"/>
      <c r="AU485" s="56"/>
    </row>
    <row r="486" spans="1:47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AF486" s="56"/>
      <c r="AG486" s="56"/>
      <c r="AH486" s="56"/>
      <c r="AI486" s="56"/>
      <c r="AJ486" s="56"/>
      <c r="AK486" s="56"/>
      <c r="AL486" s="56"/>
      <c r="AS486" s="56"/>
      <c r="AT486" s="56"/>
      <c r="AU486" s="56"/>
    </row>
    <row r="487" spans="1:47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AF487" s="56"/>
      <c r="AG487" s="56"/>
      <c r="AH487" s="56"/>
      <c r="AI487" s="56"/>
      <c r="AJ487" s="56"/>
      <c r="AK487" s="56"/>
      <c r="AL487" s="56"/>
      <c r="AS487" s="56"/>
      <c r="AT487" s="56"/>
      <c r="AU487" s="56"/>
    </row>
    <row r="488" spans="1:47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AF488" s="56"/>
      <c r="AG488" s="56"/>
      <c r="AH488" s="56"/>
      <c r="AI488" s="56"/>
      <c r="AJ488" s="56"/>
      <c r="AK488" s="56"/>
      <c r="AL488" s="56"/>
      <c r="AS488" s="56"/>
      <c r="AT488" s="56"/>
      <c r="AU488" s="56"/>
    </row>
    <row r="489" spans="1:47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AF489" s="56"/>
      <c r="AG489" s="56"/>
      <c r="AH489" s="56"/>
      <c r="AI489" s="56"/>
      <c r="AJ489" s="56"/>
      <c r="AK489" s="56"/>
      <c r="AL489" s="56"/>
      <c r="AS489" s="56"/>
      <c r="AT489" s="56"/>
      <c r="AU489" s="56"/>
    </row>
    <row r="490" spans="1:47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AF490" s="56"/>
      <c r="AG490" s="56"/>
      <c r="AH490" s="56"/>
      <c r="AI490" s="56"/>
      <c r="AJ490" s="56"/>
      <c r="AK490" s="56"/>
      <c r="AL490" s="56"/>
      <c r="AS490" s="56"/>
      <c r="AT490" s="56"/>
      <c r="AU490" s="56"/>
    </row>
    <row r="491" spans="1:47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AF491" s="56"/>
      <c r="AG491" s="56"/>
      <c r="AH491" s="56"/>
      <c r="AI491" s="56"/>
      <c r="AJ491" s="56"/>
      <c r="AK491" s="56"/>
      <c r="AL491" s="56"/>
      <c r="AS491" s="56"/>
      <c r="AT491" s="56"/>
      <c r="AU491" s="56"/>
    </row>
    <row r="492" spans="1:47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AF492" s="56"/>
      <c r="AG492" s="56"/>
      <c r="AH492" s="56"/>
      <c r="AI492" s="56"/>
      <c r="AJ492" s="56"/>
      <c r="AK492" s="56"/>
      <c r="AL492" s="56"/>
      <c r="AS492" s="56"/>
      <c r="AT492" s="56"/>
      <c r="AU492" s="56"/>
    </row>
    <row r="493" spans="1:47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AF493" s="56"/>
      <c r="AG493" s="56"/>
      <c r="AH493" s="56"/>
      <c r="AI493" s="56"/>
      <c r="AJ493" s="56"/>
      <c r="AK493" s="56"/>
      <c r="AL493" s="56"/>
      <c r="AS493" s="56"/>
      <c r="AT493" s="56"/>
      <c r="AU493" s="56"/>
    </row>
    <row r="494" spans="1:47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AF494" s="56"/>
      <c r="AG494" s="56"/>
      <c r="AH494" s="56"/>
      <c r="AI494" s="56"/>
      <c r="AJ494" s="56"/>
      <c r="AK494" s="56"/>
      <c r="AL494" s="56"/>
      <c r="AS494" s="56"/>
      <c r="AT494" s="56"/>
      <c r="AU494" s="56"/>
    </row>
    <row r="495" spans="1:47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AF495" s="56"/>
      <c r="AG495" s="56"/>
      <c r="AH495" s="56"/>
      <c r="AI495" s="56"/>
      <c r="AJ495" s="56"/>
      <c r="AK495" s="56"/>
      <c r="AL495" s="56"/>
      <c r="AS495" s="56"/>
      <c r="AT495" s="56"/>
      <c r="AU495" s="56"/>
    </row>
    <row r="496" spans="1:47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AF496" s="56"/>
      <c r="AG496" s="56"/>
      <c r="AH496" s="56"/>
      <c r="AI496" s="56"/>
      <c r="AJ496" s="56"/>
      <c r="AK496" s="56"/>
      <c r="AL496" s="56"/>
      <c r="AS496" s="56"/>
      <c r="AT496" s="56"/>
      <c r="AU496" s="56"/>
    </row>
    <row r="497" spans="1:47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AF497" s="56"/>
      <c r="AG497" s="56"/>
      <c r="AH497" s="56"/>
      <c r="AI497" s="56"/>
      <c r="AJ497" s="56"/>
      <c r="AK497" s="56"/>
      <c r="AL497" s="56"/>
      <c r="AS497" s="56"/>
      <c r="AT497" s="56"/>
      <c r="AU497" s="56"/>
    </row>
    <row r="498" spans="1:47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AF498" s="56"/>
      <c r="AG498" s="56"/>
      <c r="AH498" s="56"/>
      <c r="AI498" s="56"/>
      <c r="AJ498" s="56"/>
      <c r="AK498" s="56"/>
      <c r="AL498" s="56"/>
      <c r="AS498" s="56"/>
      <c r="AT498" s="56"/>
      <c r="AU498" s="56"/>
    </row>
    <row r="499" spans="1:47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AF499" s="56"/>
      <c r="AG499" s="56"/>
      <c r="AH499" s="56"/>
      <c r="AI499" s="56"/>
      <c r="AJ499" s="56"/>
      <c r="AK499" s="56"/>
      <c r="AL499" s="56"/>
      <c r="AS499" s="56"/>
      <c r="AT499" s="56"/>
      <c r="AU499" s="56"/>
    </row>
    <row r="500" spans="1:47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AF500" s="56"/>
      <c r="AG500" s="56"/>
      <c r="AH500" s="56"/>
      <c r="AI500" s="56"/>
      <c r="AJ500" s="56"/>
      <c r="AK500" s="56"/>
      <c r="AL500" s="56"/>
      <c r="AS500" s="56"/>
      <c r="AT500" s="56"/>
      <c r="AU500" s="56"/>
    </row>
    <row r="501" spans="1:47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AF501" s="56"/>
      <c r="AG501" s="56"/>
      <c r="AH501" s="56"/>
      <c r="AI501" s="56"/>
      <c r="AJ501" s="56"/>
      <c r="AK501" s="56"/>
      <c r="AL501" s="56"/>
      <c r="AS501" s="56"/>
      <c r="AT501" s="56"/>
      <c r="AU501" s="56"/>
    </row>
    <row r="502" spans="1:47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AF502" s="56"/>
      <c r="AG502" s="56"/>
      <c r="AH502" s="56"/>
      <c r="AI502" s="56"/>
      <c r="AJ502" s="56"/>
      <c r="AK502" s="56"/>
      <c r="AL502" s="56"/>
      <c r="AS502" s="56"/>
      <c r="AT502" s="56"/>
      <c r="AU502" s="56"/>
    </row>
    <row r="503" spans="1:47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AF503" s="56"/>
      <c r="AG503" s="56"/>
      <c r="AH503" s="56"/>
      <c r="AI503" s="56"/>
      <c r="AJ503" s="56"/>
      <c r="AK503" s="56"/>
      <c r="AL503" s="56"/>
      <c r="AS503" s="56"/>
      <c r="AT503" s="56"/>
      <c r="AU503" s="56"/>
    </row>
    <row r="504" spans="1:47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AF504" s="56"/>
      <c r="AG504" s="56"/>
      <c r="AH504" s="56"/>
      <c r="AI504" s="56"/>
      <c r="AJ504" s="56"/>
      <c r="AK504" s="56"/>
      <c r="AL504" s="56"/>
      <c r="AS504" s="56"/>
      <c r="AT504" s="56"/>
      <c r="AU504" s="56"/>
    </row>
    <row r="505" spans="1:47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AF505" s="56"/>
      <c r="AG505" s="56"/>
      <c r="AH505" s="56"/>
      <c r="AI505" s="56"/>
      <c r="AJ505" s="56"/>
      <c r="AK505" s="56"/>
      <c r="AL505" s="56"/>
      <c r="AS505" s="56"/>
      <c r="AT505" s="56"/>
      <c r="AU505" s="56"/>
    </row>
    <row r="506" spans="1:47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AF506" s="56"/>
      <c r="AG506" s="56"/>
      <c r="AH506" s="56"/>
      <c r="AI506" s="56"/>
      <c r="AJ506" s="56"/>
      <c r="AK506" s="56"/>
      <c r="AL506" s="56"/>
      <c r="AS506" s="56"/>
      <c r="AT506" s="56"/>
      <c r="AU506" s="56"/>
    </row>
    <row r="507" spans="1:47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AF507" s="56"/>
      <c r="AG507" s="56"/>
      <c r="AH507" s="56"/>
      <c r="AI507" s="56"/>
      <c r="AJ507" s="56"/>
      <c r="AK507" s="56"/>
      <c r="AL507" s="56"/>
      <c r="AS507" s="56"/>
      <c r="AT507" s="56"/>
      <c r="AU507" s="56"/>
    </row>
    <row r="508" spans="1:47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AF508" s="56"/>
      <c r="AG508" s="56"/>
      <c r="AH508" s="56"/>
      <c r="AI508" s="56"/>
      <c r="AJ508" s="56"/>
      <c r="AK508" s="56"/>
      <c r="AL508" s="56"/>
      <c r="AS508" s="56"/>
      <c r="AT508" s="56"/>
      <c r="AU508" s="56"/>
    </row>
    <row r="509" spans="1:47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AF509" s="56"/>
      <c r="AG509" s="56"/>
      <c r="AH509" s="56"/>
      <c r="AI509" s="56"/>
      <c r="AJ509" s="56"/>
      <c r="AK509" s="56"/>
      <c r="AL509" s="56"/>
      <c r="AS509" s="56"/>
      <c r="AT509" s="56"/>
      <c r="AU509" s="56"/>
    </row>
    <row r="510" spans="1:47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AF510" s="56"/>
      <c r="AG510" s="56"/>
      <c r="AH510" s="56"/>
      <c r="AI510" s="56"/>
      <c r="AJ510" s="56"/>
      <c r="AK510" s="56"/>
      <c r="AL510" s="56"/>
      <c r="AS510" s="56"/>
      <c r="AT510" s="56"/>
      <c r="AU510" s="56"/>
    </row>
    <row r="511" spans="1:47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AF511" s="56"/>
      <c r="AG511" s="56"/>
      <c r="AH511" s="56"/>
      <c r="AI511" s="56"/>
      <c r="AJ511" s="56"/>
      <c r="AK511" s="56"/>
      <c r="AL511" s="56"/>
      <c r="AS511" s="56"/>
      <c r="AT511" s="56"/>
      <c r="AU511" s="56"/>
    </row>
    <row r="512" spans="1:47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AF512" s="56"/>
      <c r="AG512" s="56"/>
      <c r="AH512" s="56"/>
      <c r="AI512" s="56"/>
      <c r="AJ512" s="56"/>
      <c r="AK512" s="56"/>
      <c r="AL512" s="56"/>
      <c r="AS512" s="56"/>
      <c r="AT512" s="56"/>
      <c r="AU512" s="56"/>
    </row>
    <row r="513" spans="1:47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AF513" s="56"/>
      <c r="AG513" s="56"/>
      <c r="AH513" s="56"/>
      <c r="AI513" s="56"/>
      <c r="AJ513" s="56"/>
      <c r="AK513" s="56"/>
      <c r="AL513" s="56"/>
      <c r="AS513" s="56"/>
      <c r="AT513" s="56"/>
      <c r="AU513" s="56"/>
    </row>
    <row r="514" spans="1:47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AF514" s="56"/>
      <c r="AG514" s="56"/>
      <c r="AH514" s="56"/>
      <c r="AI514" s="56"/>
      <c r="AJ514" s="56"/>
      <c r="AK514" s="56"/>
      <c r="AL514" s="56"/>
      <c r="AS514" s="56"/>
      <c r="AT514" s="56"/>
      <c r="AU514" s="56"/>
    </row>
    <row r="515" spans="1:47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AF515" s="56"/>
      <c r="AG515" s="56"/>
      <c r="AH515" s="56"/>
      <c r="AI515" s="56"/>
      <c r="AJ515" s="56"/>
      <c r="AK515" s="56"/>
      <c r="AL515" s="56"/>
      <c r="AS515" s="56"/>
      <c r="AT515" s="56"/>
      <c r="AU515" s="56"/>
    </row>
    <row r="516" spans="1:47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AF516" s="56"/>
      <c r="AG516" s="56"/>
      <c r="AH516" s="56"/>
      <c r="AI516" s="56"/>
      <c r="AJ516" s="56"/>
      <c r="AK516" s="56"/>
      <c r="AL516" s="56"/>
      <c r="AS516" s="56"/>
      <c r="AT516" s="56"/>
      <c r="AU516" s="56"/>
    </row>
    <row r="517" spans="1:47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AF517" s="56"/>
      <c r="AG517" s="56"/>
      <c r="AH517" s="56"/>
      <c r="AI517" s="56"/>
      <c r="AJ517" s="56"/>
      <c r="AK517" s="56"/>
      <c r="AL517" s="56"/>
      <c r="AS517" s="56"/>
      <c r="AT517" s="56"/>
      <c r="AU517" s="56"/>
    </row>
    <row r="518" spans="1:47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AF518" s="56"/>
      <c r="AG518" s="56"/>
      <c r="AH518" s="56"/>
      <c r="AI518" s="56"/>
      <c r="AJ518" s="56"/>
      <c r="AK518" s="56"/>
      <c r="AL518" s="56"/>
      <c r="AS518" s="56"/>
      <c r="AT518" s="56"/>
      <c r="AU518" s="56"/>
    </row>
    <row r="519" spans="1:47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AF519" s="56"/>
      <c r="AG519" s="56"/>
      <c r="AH519" s="56"/>
      <c r="AI519" s="56"/>
      <c r="AJ519" s="56"/>
      <c r="AK519" s="56"/>
      <c r="AL519" s="56"/>
      <c r="AS519" s="56"/>
      <c r="AT519" s="56"/>
      <c r="AU519" s="56"/>
    </row>
    <row r="520" spans="1:47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AF520" s="56"/>
      <c r="AG520" s="56"/>
      <c r="AH520" s="56"/>
      <c r="AI520" s="56"/>
      <c r="AJ520" s="56"/>
      <c r="AK520" s="56"/>
      <c r="AL520" s="56"/>
      <c r="AS520" s="56"/>
      <c r="AT520" s="56"/>
      <c r="AU520" s="56"/>
    </row>
    <row r="521" spans="1:47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AF521" s="56"/>
      <c r="AG521" s="56"/>
      <c r="AH521" s="56"/>
      <c r="AI521" s="56"/>
      <c r="AJ521" s="56"/>
      <c r="AK521" s="56"/>
      <c r="AL521" s="56"/>
      <c r="AS521" s="56"/>
      <c r="AT521" s="56"/>
      <c r="AU521" s="56"/>
    </row>
    <row r="522" spans="1:47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AF522" s="56"/>
      <c r="AG522" s="56"/>
      <c r="AH522" s="56"/>
      <c r="AI522" s="56"/>
      <c r="AJ522" s="56"/>
      <c r="AK522" s="56"/>
      <c r="AL522" s="56"/>
      <c r="AS522" s="56"/>
      <c r="AT522" s="56"/>
      <c r="AU522" s="56"/>
    </row>
    <row r="523" spans="1:47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AF523" s="56"/>
      <c r="AG523" s="56"/>
      <c r="AH523" s="56"/>
      <c r="AI523" s="56"/>
      <c r="AJ523" s="56"/>
      <c r="AK523" s="56"/>
      <c r="AL523" s="56"/>
      <c r="AS523" s="56"/>
      <c r="AT523" s="56"/>
      <c r="AU523" s="56"/>
    </row>
    <row r="524" spans="1:47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AF524" s="56"/>
      <c r="AG524" s="56"/>
      <c r="AH524" s="56"/>
      <c r="AI524" s="56"/>
      <c r="AJ524" s="56"/>
      <c r="AK524" s="56"/>
      <c r="AL524" s="56"/>
      <c r="AS524" s="56"/>
      <c r="AT524" s="56"/>
      <c r="AU524" s="56"/>
    </row>
    <row r="525" spans="1:47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AF525" s="56"/>
      <c r="AG525" s="56"/>
      <c r="AH525" s="56"/>
      <c r="AI525" s="56"/>
      <c r="AJ525" s="56"/>
      <c r="AK525" s="56"/>
      <c r="AL525" s="56"/>
      <c r="AS525" s="56"/>
      <c r="AT525" s="56"/>
      <c r="AU525" s="56"/>
    </row>
    <row r="526" spans="1:47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AF526" s="56"/>
      <c r="AG526" s="56"/>
      <c r="AH526" s="56"/>
      <c r="AI526" s="56"/>
      <c r="AJ526" s="56"/>
      <c r="AK526" s="56"/>
      <c r="AL526" s="56"/>
      <c r="AS526" s="56"/>
      <c r="AT526" s="56"/>
      <c r="AU526" s="56"/>
    </row>
    <row r="527" spans="1:47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AF527" s="56"/>
      <c r="AG527" s="56"/>
      <c r="AH527" s="56"/>
      <c r="AI527" s="56"/>
      <c r="AJ527" s="56"/>
      <c r="AK527" s="56"/>
      <c r="AL527" s="56"/>
      <c r="AS527" s="56"/>
      <c r="AT527" s="56"/>
      <c r="AU527" s="56"/>
    </row>
    <row r="528" spans="1:47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AF528" s="56"/>
      <c r="AG528" s="56"/>
      <c r="AH528" s="56"/>
      <c r="AI528" s="56"/>
      <c r="AJ528" s="56"/>
      <c r="AK528" s="56"/>
      <c r="AL528" s="56"/>
      <c r="AS528" s="56"/>
      <c r="AT528" s="56"/>
      <c r="AU528" s="56"/>
    </row>
    <row r="529" spans="1:47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AF529" s="56"/>
      <c r="AG529" s="56"/>
      <c r="AH529" s="56"/>
      <c r="AI529" s="56"/>
      <c r="AJ529" s="56"/>
      <c r="AK529" s="56"/>
      <c r="AL529" s="56"/>
      <c r="AS529" s="56"/>
      <c r="AT529" s="56"/>
      <c r="AU529" s="56"/>
    </row>
    <row r="530" spans="1:47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AF530" s="56"/>
      <c r="AG530" s="56"/>
      <c r="AH530" s="56"/>
      <c r="AI530" s="56"/>
      <c r="AJ530" s="56"/>
      <c r="AK530" s="56"/>
      <c r="AL530" s="56"/>
      <c r="AS530" s="56"/>
      <c r="AT530" s="56"/>
      <c r="AU530" s="56"/>
    </row>
    <row r="531" spans="1:47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AF531" s="56"/>
      <c r="AG531" s="56"/>
      <c r="AH531" s="56"/>
      <c r="AI531" s="56"/>
      <c r="AJ531" s="56"/>
      <c r="AK531" s="56"/>
      <c r="AL531" s="56"/>
      <c r="AS531" s="56"/>
      <c r="AT531" s="56"/>
      <c r="AU531" s="56"/>
    </row>
    <row r="532" spans="1:47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AF532" s="56"/>
      <c r="AG532" s="56"/>
      <c r="AH532" s="56"/>
      <c r="AI532" s="56"/>
      <c r="AJ532" s="56"/>
      <c r="AK532" s="56"/>
      <c r="AL532" s="56"/>
      <c r="AS532" s="56"/>
      <c r="AT532" s="56"/>
      <c r="AU532" s="56"/>
    </row>
    <row r="533" spans="1:47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AF533" s="56"/>
      <c r="AG533" s="56"/>
      <c r="AH533" s="56"/>
      <c r="AI533" s="56"/>
      <c r="AJ533" s="56"/>
      <c r="AK533" s="56"/>
      <c r="AL533" s="56"/>
      <c r="AS533" s="56"/>
      <c r="AT533" s="56"/>
      <c r="AU533" s="56"/>
    </row>
    <row r="534" spans="1:47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AF534" s="56"/>
      <c r="AG534" s="56"/>
      <c r="AH534" s="56"/>
      <c r="AI534" s="56"/>
      <c r="AJ534" s="56"/>
      <c r="AK534" s="56"/>
      <c r="AL534" s="56"/>
      <c r="AS534" s="56"/>
      <c r="AT534" s="56"/>
      <c r="AU534" s="56"/>
    </row>
    <row r="535" spans="1:47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AF535" s="56"/>
      <c r="AG535" s="56"/>
      <c r="AH535" s="56"/>
      <c r="AI535" s="56"/>
      <c r="AJ535" s="56"/>
      <c r="AK535" s="56"/>
      <c r="AL535" s="56"/>
      <c r="AS535" s="56"/>
      <c r="AT535" s="56"/>
      <c r="AU535" s="56"/>
    </row>
    <row r="536" spans="1:47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AF536" s="56"/>
      <c r="AG536" s="56"/>
      <c r="AH536" s="56"/>
      <c r="AI536" s="56"/>
      <c r="AJ536" s="56"/>
      <c r="AK536" s="56"/>
      <c r="AL536" s="56"/>
      <c r="AS536" s="56"/>
      <c r="AT536" s="56"/>
      <c r="AU536" s="56"/>
    </row>
    <row r="537" spans="1:47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AF537" s="56"/>
      <c r="AG537" s="56"/>
      <c r="AH537" s="56"/>
      <c r="AI537" s="56"/>
      <c r="AJ537" s="56"/>
      <c r="AK537" s="56"/>
      <c r="AL537" s="56"/>
      <c r="AS537" s="56"/>
      <c r="AT537" s="56"/>
      <c r="AU537" s="56"/>
    </row>
    <row r="538" spans="1:47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AF538" s="56"/>
      <c r="AG538" s="56"/>
      <c r="AH538" s="56"/>
      <c r="AI538" s="56"/>
      <c r="AJ538" s="56"/>
      <c r="AK538" s="56"/>
      <c r="AL538" s="56"/>
      <c r="AS538" s="56"/>
      <c r="AT538" s="56"/>
      <c r="AU538" s="56"/>
    </row>
    <row r="539" spans="1:47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AF539" s="56"/>
      <c r="AG539" s="56"/>
      <c r="AH539" s="56"/>
      <c r="AI539" s="56"/>
      <c r="AJ539" s="56"/>
      <c r="AK539" s="56"/>
      <c r="AL539" s="56"/>
      <c r="AS539" s="56"/>
      <c r="AT539" s="56"/>
      <c r="AU539" s="56"/>
    </row>
    <row r="540" spans="1:47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AF540" s="56"/>
      <c r="AG540" s="56"/>
      <c r="AH540" s="56"/>
      <c r="AI540" s="56"/>
      <c r="AJ540" s="56"/>
      <c r="AK540" s="56"/>
      <c r="AL540" s="56"/>
      <c r="AS540" s="56"/>
      <c r="AT540" s="56"/>
      <c r="AU540" s="56"/>
    </row>
    <row r="541" spans="1:47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AF541" s="56"/>
      <c r="AG541" s="56"/>
      <c r="AH541" s="56"/>
      <c r="AI541" s="56"/>
      <c r="AJ541" s="56"/>
      <c r="AK541" s="56"/>
      <c r="AL541" s="56"/>
      <c r="AS541" s="56"/>
      <c r="AT541" s="56"/>
      <c r="AU541" s="56"/>
    </row>
    <row r="542" spans="1:47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AF542" s="56"/>
      <c r="AG542" s="56"/>
      <c r="AH542" s="56"/>
      <c r="AI542" s="56"/>
      <c r="AJ542" s="56"/>
      <c r="AK542" s="56"/>
      <c r="AL542" s="56"/>
      <c r="AS542" s="56"/>
      <c r="AT542" s="56"/>
      <c r="AU542" s="56"/>
    </row>
    <row r="543" spans="1:47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AF543" s="56"/>
      <c r="AG543" s="56"/>
      <c r="AH543" s="56"/>
      <c r="AI543" s="56"/>
      <c r="AJ543" s="56"/>
      <c r="AK543" s="56"/>
      <c r="AL543" s="56"/>
      <c r="AS543" s="56"/>
      <c r="AT543" s="56"/>
      <c r="AU543" s="56"/>
    </row>
    <row r="544" spans="1:47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AF544" s="56"/>
      <c r="AG544" s="56"/>
      <c r="AH544" s="56"/>
      <c r="AI544" s="56"/>
      <c r="AJ544" s="56"/>
      <c r="AK544" s="56"/>
      <c r="AL544" s="56"/>
      <c r="AS544" s="56"/>
      <c r="AT544" s="56"/>
      <c r="AU544" s="56"/>
    </row>
    <row r="545" spans="1:47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AF545" s="56"/>
      <c r="AG545" s="56"/>
      <c r="AH545" s="56"/>
      <c r="AI545" s="56"/>
      <c r="AJ545" s="56"/>
      <c r="AK545" s="56"/>
      <c r="AL545" s="56"/>
      <c r="AS545" s="56"/>
      <c r="AT545" s="56"/>
      <c r="AU545" s="56"/>
    </row>
    <row r="546" spans="1:47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AF546" s="56"/>
      <c r="AG546" s="56"/>
      <c r="AH546" s="56"/>
      <c r="AI546" s="56"/>
      <c r="AJ546" s="56"/>
      <c r="AK546" s="56"/>
      <c r="AL546" s="56"/>
      <c r="AS546" s="56"/>
      <c r="AT546" s="56"/>
      <c r="AU546" s="56"/>
    </row>
    <row r="547" spans="1:47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AF547" s="56"/>
      <c r="AG547" s="56"/>
      <c r="AH547" s="56"/>
      <c r="AI547" s="56"/>
      <c r="AJ547" s="56"/>
      <c r="AK547" s="56"/>
      <c r="AL547" s="56"/>
      <c r="AS547" s="56"/>
      <c r="AT547" s="56"/>
      <c r="AU547" s="56"/>
    </row>
    <row r="548" spans="1:47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AF548" s="56"/>
      <c r="AG548" s="56"/>
      <c r="AH548" s="56"/>
      <c r="AI548" s="56"/>
      <c r="AJ548" s="56"/>
      <c r="AK548" s="56"/>
      <c r="AL548" s="56"/>
      <c r="AS548" s="56"/>
      <c r="AT548" s="56"/>
      <c r="AU548" s="56"/>
    </row>
    <row r="549" spans="1:47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AF549" s="56"/>
      <c r="AG549" s="56"/>
      <c r="AH549" s="56"/>
      <c r="AI549" s="56"/>
      <c r="AJ549" s="56"/>
      <c r="AK549" s="56"/>
      <c r="AL549" s="56"/>
      <c r="AS549" s="56"/>
      <c r="AT549" s="56"/>
      <c r="AU549" s="56"/>
    </row>
    <row r="550" spans="1:47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AF550" s="56"/>
      <c r="AG550" s="56"/>
      <c r="AH550" s="56"/>
      <c r="AI550" s="56"/>
      <c r="AJ550" s="56"/>
      <c r="AK550" s="56"/>
      <c r="AL550" s="56"/>
      <c r="AS550" s="56"/>
      <c r="AT550" s="56"/>
      <c r="AU550" s="56"/>
    </row>
    <row r="551" spans="1:47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AF551" s="56"/>
      <c r="AG551" s="56"/>
      <c r="AH551" s="56"/>
      <c r="AI551" s="56"/>
      <c r="AJ551" s="56"/>
      <c r="AK551" s="56"/>
      <c r="AL551" s="56"/>
      <c r="AS551" s="56"/>
      <c r="AT551" s="56"/>
      <c r="AU551" s="56"/>
    </row>
    <row r="552" spans="1:47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AF552" s="56"/>
      <c r="AG552" s="56"/>
      <c r="AH552" s="56"/>
      <c r="AI552" s="56"/>
      <c r="AJ552" s="56"/>
      <c r="AK552" s="56"/>
      <c r="AL552" s="56"/>
      <c r="AS552" s="56"/>
      <c r="AT552" s="56"/>
      <c r="AU552" s="56"/>
    </row>
    <row r="553" spans="1:47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AF553" s="56"/>
      <c r="AG553" s="56"/>
      <c r="AH553" s="56"/>
      <c r="AI553" s="56"/>
      <c r="AJ553" s="56"/>
      <c r="AK553" s="56"/>
      <c r="AL553" s="56"/>
      <c r="AS553" s="56"/>
      <c r="AT553" s="56"/>
      <c r="AU553" s="56"/>
    </row>
    <row r="554" spans="1:47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AF554" s="56"/>
      <c r="AG554" s="56"/>
      <c r="AH554" s="56"/>
      <c r="AI554" s="56"/>
      <c r="AJ554" s="56"/>
      <c r="AK554" s="56"/>
      <c r="AL554" s="56"/>
      <c r="AS554" s="56"/>
      <c r="AT554" s="56"/>
      <c r="AU554" s="56"/>
    </row>
    <row r="555" spans="1:47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AF555" s="56"/>
      <c r="AG555" s="56"/>
      <c r="AH555" s="56"/>
      <c r="AI555" s="56"/>
      <c r="AJ555" s="56"/>
      <c r="AK555" s="56"/>
      <c r="AL555" s="56"/>
      <c r="AS555" s="56"/>
      <c r="AT555" s="56"/>
      <c r="AU555" s="56"/>
    </row>
    <row r="556" spans="1:47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AF556" s="56"/>
      <c r="AG556" s="56"/>
      <c r="AH556" s="56"/>
      <c r="AI556" s="56"/>
      <c r="AJ556" s="56"/>
      <c r="AK556" s="56"/>
      <c r="AL556" s="56"/>
      <c r="AS556" s="56"/>
      <c r="AT556" s="56"/>
      <c r="AU556" s="56"/>
    </row>
    <row r="557" spans="1:47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AF557" s="56"/>
      <c r="AG557" s="56"/>
      <c r="AH557" s="56"/>
      <c r="AI557" s="56"/>
      <c r="AJ557" s="56"/>
      <c r="AK557" s="56"/>
      <c r="AL557" s="56"/>
      <c r="AS557" s="56"/>
      <c r="AT557" s="56"/>
      <c r="AU557" s="56"/>
    </row>
    <row r="558" spans="1:47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AF558" s="56"/>
      <c r="AG558" s="56"/>
      <c r="AH558" s="56"/>
      <c r="AI558" s="56"/>
      <c r="AJ558" s="56"/>
      <c r="AK558" s="56"/>
      <c r="AL558" s="56"/>
      <c r="AS558" s="56"/>
      <c r="AT558" s="56"/>
      <c r="AU558" s="56"/>
    </row>
    <row r="559" spans="1:47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AF559" s="56"/>
      <c r="AG559" s="56"/>
      <c r="AH559" s="56"/>
      <c r="AI559" s="56"/>
      <c r="AJ559" s="56"/>
      <c r="AK559" s="56"/>
      <c r="AL559" s="56"/>
      <c r="AS559" s="56"/>
      <c r="AT559" s="56"/>
      <c r="AU559" s="56"/>
    </row>
    <row r="560" spans="1:47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AF560" s="56"/>
      <c r="AG560" s="56"/>
      <c r="AH560" s="56"/>
      <c r="AI560" s="56"/>
      <c r="AJ560" s="56"/>
      <c r="AK560" s="56"/>
      <c r="AL560" s="56"/>
      <c r="AS560" s="56"/>
      <c r="AT560" s="56"/>
      <c r="AU560" s="56"/>
    </row>
    <row r="561" spans="1:47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AF561" s="56"/>
      <c r="AG561" s="56"/>
      <c r="AH561" s="56"/>
      <c r="AI561" s="56"/>
      <c r="AJ561" s="56"/>
      <c r="AK561" s="56"/>
      <c r="AL561" s="56"/>
      <c r="AS561" s="56"/>
      <c r="AT561" s="56"/>
      <c r="AU561" s="56"/>
    </row>
    <row r="562" spans="1:47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AF562" s="56"/>
      <c r="AG562" s="56"/>
      <c r="AH562" s="56"/>
      <c r="AI562" s="56"/>
      <c r="AJ562" s="56"/>
      <c r="AK562" s="56"/>
      <c r="AL562" s="56"/>
      <c r="AS562" s="56"/>
      <c r="AT562" s="56"/>
      <c r="AU562" s="56"/>
    </row>
    <row r="563" spans="1:47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AF563" s="56"/>
      <c r="AG563" s="56"/>
      <c r="AH563" s="56"/>
      <c r="AI563" s="56"/>
      <c r="AJ563" s="56"/>
      <c r="AK563" s="56"/>
      <c r="AL563" s="56"/>
      <c r="AS563" s="56"/>
      <c r="AT563" s="56"/>
      <c r="AU563" s="56"/>
    </row>
    <row r="564" spans="1:47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AF564" s="56"/>
      <c r="AG564" s="56"/>
      <c r="AH564" s="56"/>
      <c r="AI564" s="56"/>
      <c r="AJ564" s="56"/>
      <c r="AK564" s="56"/>
      <c r="AL564" s="56"/>
      <c r="AS564" s="56"/>
      <c r="AT564" s="56"/>
      <c r="AU564" s="56"/>
    </row>
    <row r="565" spans="1:47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AF565" s="56"/>
      <c r="AG565" s="56"/>
      <c r="AH565" s="56"/>
      <c r="AI565" s="56"/>
      <c r="AJ565" s="56"/>
      <c r="AK565" s="56"/>
      <c r="AL565" s="56"/>
      <c r="AS565" s="56"/>
      <c r="AT565" s="56"/>
      <c r="AU565" s="56"/>
    </row>
    <row r="566" spans="1:47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AF566" s="56"/>
      <c r="AG566" s="56"/>
      <c r="AH566" s="56"/>
      <c r="AI566" s="56"/>
      <c r="AJ566" s="56"/>
      <c r="AK566" s="56"/>
      <c r="AL566" s="56"/>
      <c r="AS566" s="56"/>
      <c r="AT566" s="56"/>
      <c r="AU566" s="56"/>
    </row>
    <row r="567" spans="1:47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AF567" s="56"/>
      <c r="AG567" s="56"/>
      <c r="AH567" s="56"/>
      <c r="AI567" s="56"/>
      <c r="AJ567" s="56"/>
      <c r="AK567" s="56"/>
      <c r="AL567" s="56"/>
      <c r="AS567" s="56"/>
      <c r="AT567" s="56"/>
      <c r="AU567" s="56"/>
    </row>
    <row r="568" spans="1:47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AF568" s="56"/>
      <c r="AG568" s="56"/>
      <c r="AH568" s="56"/>
      <c r="AI568" s="56"/>
      <c r="AJ568" s="56"/>
      <c r="AK568" s="56"/>
      <c r="AL568" s="56"/>
      <c r="AS568" s="56"/>
      <c r="AT568" s="56"/>
      <c r="AU568" s="56"/>
    </row>
    <row r="569" spans="1:47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AF569" s="56"/>
      <c r="AG569" s="56"/>
      <c r="AH569" s="56"/>
      <c r="AI569" s="56"/>
      <c r="AJ569" s="56"/>
      <c r="AK569" s="56"/>
      <c r="AL569" s="56"/>
      <c r="AS569" s="56"/>
      <c r="AT569" s="56"/>
      <c r="AU569" s="56"/>
    </row>
    <row r="570" spans="1:47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AF570" s="56"/>
      <c r="AG570" s="56"/>
      <c r="AH570" s="56"/>
      <c r="AI570" s="56"/>
      <c r="AJ570" s="56"/>
      <c r="AK570" s="56"/>
      <c r="AL570" s="56"/>
      <c r="AS570" s="56"/>
      <c r="AT570" s="56"/>
      <c r="AU570" s="56"/>
    </row>
    <row r="571" spans="1:47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AF571" s="56"/>
      <c r="AG571" s="56"/>
      <c r="AH571" s="56"/>
      <c r="AI571" s="56"/>
      <c r="AJ571" s="56"/>
      <c r="AK571" s="56"/>
      <c r="AL571" s="56"/>
      <c r="AS571" s="56"/>
      <c r="AT571" s="56"/>
      <c r="AU571" s="56"/>
    </row>
    <row r="572" spans="1:47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AF572" s="56"/>
      <c r="AG572" s="56"/>
      <c r="AH572" s="56"/>
      <c r="AI572" s="56"/>
      <c r="AJ572" s="56"/>
      <c r="AK572" s="56"/>
      <c r="AL572" s="56"/>
      <c r="AS572" s="56"/>
      <c r="AT572" s="56"/>
      <c r="AU572" s="56"/>
    </row>
    <row r="573" spans="1:47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AF573" s="56"/>
      <c r="AG573" s="56"/>
      <c r="AH573" s="56"/>
      <c r="AI573" s="56"/>
      <c r="AJ573" s="56"/>
      <c r="AK573" s="56"/>
      <c r="AL573" s="56"/>
      <c r="AS573" s="56"/>
      <c r="AT573" s="56"/>
      <c r="AU573" s="56"/>
    </row>
    <row r="574" spans="1:47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AF574" s="56"/>
      <c r="AG574" s="56"/>
      <c r="AH574" s="56"/>
      <c r="AI574" s="56"/>
      <c r="AJ574" s="56"/>
      <c r="AK574" s="56"/>
      <c r="AL574" s="56"/>
      <c r="AS574" s="56"/>
      <c r="AT574" s="56"/>
      <c r="AU574" s="56"/>
    </row>
    <row r="575" spans="1:47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AF575" s="56"/>
      <c r="AG575" s="56"/>
      <c r="AH575" s="56"/>
      <c r="AI575" s="56"/>
      <c r="AJ575" s="56"/>
      <c r="AK575" s="56"/>
      <c r="AL575" s="56"/>
      <c r="AS575" s="56"/>
      <c r="AT575" s="56"/>
      <c r="AU575" s="56"/>
    </row>
    <row r="576" spans="1:47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AF576" s="56"/>
      <c r="AG576" s="56"/>
      <c r="AH576" s="56"/>
      <c r="AI576" s="56"/>
      <c r="AJ576" s="56"/>
      <c r="AK576" s="56"/>
      <c r="AL576" s="56"/>
      <c r="AS576" s="56"/>
      <c r="AT576" s="56"/>
      <c r="AU576" s="56"/>
    </row>
    <row r="577" spans="1:47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AF577" s="56"/>
      <c r="AG577" s="56"/>
      <c r="AH577" s="56"/>
      <c r="AI577" s="56"/>
      <c r="AJ577" s="56"/>
      <c r="AK577" s="56"/>
      <c r="AL577" s="56"/>
      <c r="AS577" s="56"/>
      <c r="AT577" s="56"/>
      <c r="AU577" s="56"/>
    </row>
    <row r="578" spans="1:47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AF578" s="56"/>
      <c r="AG578" s="56"/>
      <c r="AH578" s="56"/>
      <c r="AI578" s="56"/>
      <c r="AJ578" s="56"/>
      <c r="AK578" s="56"/>
      <c r="AL578" s="56"/>
      <c r="AS578" s="56"/>
      <c r="AT578" s="56"/>
      <c r="AU578" s="56"/>
    </row>
    <row r="579" spans="1:47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AF579" s="56"/>
      <c r="AG579" s="56"/>
      <c r="AH579" s="56"/>
      <c r="AI579" s="56"/>
      <c r="AJ579" s="56"/>
      <c r="AK579" s="56"/>
      <c r="AL579" s="56"/>
      <c r="AS579" s="56"/>
      <c r="AT579" s="56"/>
      <c r="AU579" s="56"/>
    </row>
    <row r="580" spans="1:47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AF580" s="56"/>
      <c r="AG580" s="56"/>
      <c r="AH580" s="56"/>
      <c r="AI580" s="56"/>
      <c r="AJ580" s="56"/>
      <c r="AK580" s="56"/>
      <c r="AL580" s="56"/>
      <c r="AS580" s="56"/>
      <c r="AT580" s="56"/>
      <c r="AU580" s="56"/>
    </row>
    <row r="581" spans="1:47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AF581" s="56"/>
      <c r="AG581" s="56"/>
      <c r="AH581" s="56"/>
      <c r="AI581" s="56"/>
      <c r="AJ581" s="56"/>
      <c r="AK581" s="56"/>
      <c r="AL581" s="56"/>
      <c r="AS581" s="56"/>
      <c r="AT581" s="56"/>
      <c r="AU581" s="56"/>
    </row>
    <row r="582" spans="1:47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AF582" s="56"/>
      <c r="AG582" s="56"/>
      <c r="AH582" s="56"/>
      <c r="AI582" s="56"/>
      <c r="AJ582" s="56"/>
      <c r="AK582" s="56"/>
      <c r="AL582" s="56"/>
      <c r="AS582" s="56"/>
      <c r="AT582" s="56"/>
      <c r="AU582" s="56"/>
    </row>
    <row r="583" spans="1:47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AF583" s="56"/>
      <c r="AG583" s="56"/>
      <c r="AH583" s="56"/>
      <c r="AI583" s="56"/>
      <c r="AJ583" s="56"/>
      <c r="AK583" s="56"/>
      <c r="AL583" s="56"/>
      <c r="AS583" s="56"/>
      <c r="AT583" s="56"/>
      <c r="AU583" s="56"/>
    </row>
    <row r="584" spans="1:47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AF584" s="56"/>
      <c r="AG584" s="56"/>
      <c r="AH584" s="56"/>
      <c r="AI584" s="56"/>
      <c r="AJ584" s="56"/>
      <c r="AK584" s="56"/>
      <c r="AL584" s="56"/>
      <c r="AS584" s="56"/>
      <c r="AT584" s="56"/>
      <c r="AU584" s="56"/>
    </row>
    <row r="585" spans="1:47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AF585" s="56"/>
      <c r="AG585" s="56"/>
      <c r="AH585" s="56"/>
      <c r="AI585" s="56"/>
      <c r="AJ585" s="56"/>
      <c r="AK585" s="56"/>
      <c r="AL585" s="56"/>
      <c r="AS585" s="56"/>
      <c r="AT585" s="56"/>
      <c r="AU585" s="56"/>
    </row>
    <row r="586" spans="1:47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AF586" s="56"/>
      <c r="AG586" s="56"/>
      <c r="AH586" s="56"/>
      <c r="AI586" s="56"/>
      <c r="AJ586" s="56"/>
      <c r="AK586" s="56"/>
      <c r="AL586" s="56"/>
      <c r="AS586" s="56"/>
      <c r="AT586" s="56"/>
      <c r="AU586" s="56"/>
    </row>
    <row r="587" spans="1:47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AF587" s="56"/>
      <c r="AG587" s="56"/>
      <c r="AH587" s="56"/>
      <c r="AI587" s="56"/>
      <c r="AJ587" s="56"/>
      <c r="AK587" s="56"/>
      <c r="AL587" s="56"/>
      <c r="AS587" s="56"/>
      <c r="AT587" s="56"/>
      <c r="AU587" s="56"/>
    </row>
    <row r="588" spans="1:47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AF588" s="56"/>
      <c r="AG588" s="56"/>
      <c r="AH588" s="56"/>
      <c r="AI588" s="56"/>
      <c r="AJ588" s="56"/>
      <c r="AK588" s="56"/>
      <c r="AL588" s="56"/>
      <c r="AS588" s="56"/>
      <c r="AT588" s="56"/>
      <c r="AU588" s="56"/>
    </row>
    <row r="589" spans="1:47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AF589" s="56"/>
      <c r="AG589" s="56"/>
      <c r="AH589" s="56"/>
      <c r="AI589" s="56"/>
      <c r="AJ589" s="56"/>
      <c r="AK589" s="56"/>
      <c r="AL589" s="56"/>
      <c r="AS589" s="56"/>
      <c r="AT589" s="56"/>
      <c r="AU589" s="56"/>
    </row>
    <row r="590" spans="1:47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AF590" s="56"/>
      <c r="AG590" s="56"/>
      <c r="AH590" s="56"/>
      <c r="AI590" s="56"/>
      <c r="AJ590" s="56"/>
      <c r="AK590" s="56"/>
      <c r="AL590" s="56"/>
      <c r="AS590" s="56"/>
      <c r="AT590" s="56"/>
      <c r="AU590" s="56"/>
    </row>
    <row r="591" spans="1:47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AF591" s="56"/>
      <c r="AG591" s="56"/>
      <c r="AH591" s="56"/>
      <c r="AI591" s="56"/>
      <c r="AJ591" s="56"/>
      <c r="AK591" s="56"/>
      <c r="AL591" s="56"/>
      <c r="AS591" s="56"/>
      <c r="AT591" s="56"/>
      <c r="AU591" s="56"/>
    </row>
    <row r="592" spans="1:47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AF592" s="56"/>
      <c r="AG592" s="56"/>
      <c r="AH592" s="56"/>
      <c r="AI592" s="56"/>
      <c r="AJ592" s="56"/>
      <c r="AK592" s="56"/>
      <c r="AL592" s="56"/>
      <c r="AS592" s="56"/>
      <c r="AT592" s="56"/>
      <c r="AU592" s="56"/>
    </row>
    <row r="593" spans="1:47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AF593" s="56"/>
      <c r="AG593" s="56"/>
      <c r="AH593" s="56"/>
      <c r="AI593" s="56"/>
      <c r="AJ593" s="56"/>
      <c r="AK593" s="56"/>
      <c r="AL593" s="56"/>
      <c r="AS593" s="56"/>
      <c r="AT593" s="56"/>
      <c r="AU593" s="56"/>
    </row>
    <row r="594" spans="1:47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AF594" s="56"/>
      <c r="AG594" s="56"/>
      <c r="AH594" s="56"/>
      <c r="AI594" s="56"/>
      <c r="AJ594" s="56"/>
      <c r="AK594" s="56"/>
      <c r="AL594" s="56"/>
      <c r="AS594" s="56"/>
      <c r="AT594" s="56"/>
      <c r="AU594" s="56"/>
    </row>
    <row r="595" spans="1:47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AF595" s="56"/>
      <c r="AG595" s="56"/>
      <c r="AH595" s="56"/>
      <c r="AI595" s="56"/>
      <c r="AJ595" s="56"/>
      <c r="AK595" s="56"/>
      <c r="AL595" s="56"/>
      <c r="AS595" s="56"/>
      <c r="AT595" s="56"/>
      <c r="AU595" s="56"/>
    </row>
    <row r="596" spans="1:47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AF596" s="56"/>
      <c r="AG596" s="56"/>
      <c r="AH596" s="56"/>
      <c r="AI596" s="56"/>
      <c r="AJ596" s="56"/>
      <c r="AK596" s="56"/>
      <c r="AL596" s="56"/>
      <c r="AS596" s="56"/>
      <c r="AT596" s="56"/>
      <c r="AU596" s="56"/>
    </row>
    <row r="597" spans="1:47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AF597" s="56"/>
      <c r="AG597" s="56"/>
      <c r="AH597" s="56"/>
      <c r="AI597" s="56"/>
      <c r="AJ597" s="56"/>
      <c r="AK597" s="56"/>
      <c r="AL597" s="56"/>
      <c r="AS597" s="56"/>
      <c r="AT597" s="56"/>
      <c r="AU597" s="56"/>
    </row>
    <row r="598" spans="1:47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AF598" s="56"/>
      <c r="AG598" s="56"/>
      <c r="AH598" s="56"/>
      <c r="AI598" s="56"/>
      <c r="AJ598" s="56"/>
      <c r="AK598" s="56"/>
      <c r="AL598" s="56"/>
      <c r="AS598" s="56"/>
      <c r="AT598" s="56"/>
      <c r="AU598" s="56"/>
    </row>
    <row r="599" spans="1:47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AF599" s="56"/>
      <c r="AG599" s="56"/>
      <c r="AH599" s="56"/>
      <c r="AI599" s="56"/>
      <c r="AJ599" s="56"/>
      <c r="AK599" s="56"/>
      <c r="AL599" s="56"/>
      <c r="AS599" s="56"/>
      <c r="AT599" s="56"/>
      <c r="AU599" s="56"/>
    </row>
    <row r="600" spans="1:47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AF600" s="56"/>
      <c r="AG600" s="56"/>
      <c r="AH600" s="56"/>
      <c r="AI600" s="56"/>
      <c r="AJ600" s="56"/>
      <c r="AK600" s="56"/>
      <c r="AL600" s="56"/>
      <c r="AS600" s="56"/>
      <c r="AT600" s="56"/>
      <c r="AU600" s="56"/>
    </row>
    <row r="601" spans="1:47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AF601" s="56"/>
      <c r="AG601" s="56"/>
      <c r="AH601" s="56"/>
      <c r="AI601" s="56"/>
      <c r="AJ601" s="56"/>
      <c r="AK601" s="56"/>
      <c r="AL601" s="56"/>
      <c r="AS601" s="56"/>
      <c r="AT601" s="56"/>
      <c r="AU601" s="56"/>
    </row>
    <row r="602" spans="1:47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AF602" s="56"/>
      <c r="AG602" s="56"/>
      <c r="AH602" s="56"/>
      <c r="AI602" s="56"/>
      <c r="AJ602" s="56"/>
      <c r="AK602" s="56"/>
      <c r="AL602" s="56"/>
      <c r="AS602" s="56"/>
      <c r="AT602" s="56"/>
      <c r="AU602" s="56"/>
    </row>
    <row r="603" spans="1:47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AF603" s="56"/>
      <c r="AG603" s="56"/>
      <c r="AH603" s="56"/>
      <c r="AI603" s="56"/>
      <c r="AJ603" s="56"/>
      <c r="AK603" s="56"/>
      <c r="AL603" s="56"/>
      <c r="AS603" s="56"/>
      <c r="AT603" s="56"/>
      <c r="AU603" s="56"/>
    </row>
    <row r="604" spans="1:47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AF604" s="56"/>
      <c r="AG604" s="56"/>
      <c r="AH604" s="56"/>
      <c r="AI604" s="56"/>
      <c r="AJ604" s="56"/>
      <c r="AK604" s="56"/>
      <c r="AL604" s="56"/>
      <c r="AS604" s="56"/>
      <c r="AT604" s="56"/>
      <c r="AU604" s="56"/>
    </row>
    <row r="605" spans="1:47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AF605" s="56"/>
      <c r="AG605" s="56"/>
      <c r="AH605" s="56"/>
      <c r="AI605" s="56"/>
      <c r="AJ605" s="56"/>
      <c r="AK605" s="56"/>
      <c r="AL605" s="56"/>
      <c r="AS605" s="56"/>
      <c r="AT605" s="56"/>
      <c r="AU605" s="56"/>
    </row>
    <row r="606" spans="1:47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AF606" s="56"/>
      <c r="AG606" s="56"/>
      <c r="AH606" s="56"/>
      <c r="AI606" s="56"/>
      <c r="AJ606" s="56"/>
      <c r="AK606" s="56"/>
      <c r="AL606" s="56"/>
      <c r="AS606" s="56"/>
      <c r="AT606" s="56"/>
      <c r="AU606" s="56"/>
    </row>
    <row r="607" spans="1:47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AF607" s="56"/>
      <c r="AG607" s="56"/>
      <c r="AH607" s="56"/>
      <c r="AI607" s="56"/>
      <c r="AJ607" s="56"/>
      <c r="AK607" s="56"/>
      <c r="AL607" s="56"/>
      <c r="AS607" s="56"/>
      <c r="AT607" s="56"/>
      <c r="AU607" s="56"/>
    </row>
    <row r="608" spans="1:47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AF608" s="56"/>
      <c r="AG608" s="56"/>
      <c r="AH608" s="56"/>
      <c r="AI608" s="56"/>
      <c r="AJ608" s="56"/>
      <c r="AK608" s="56"/>
      <c r="AL608" s="56"/>
      <c r="AS608" s="56"/>
      <c r="AT608" s="56"/>
      <c r="AU608" s="56"/>
    </row>
    <row r="609" spans="1:47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AF609" s="56"/>
      <c r="AG609" s="56"/>
      <c r="AH609" s="56"/>
      <c r="AI609" s="56"/>
      <c r="AJ609" s="56"/>
      <c r="AK609" s="56"/>
      <c r="AL609" s="56"/>
      <c r="AS609" s="56"/>
      <c r="AT609" s="56"/>
      <c r="AU609" s="56"/>
    </row>
    <row r="610" spans="1:47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AF610" s="56"/>
      <c r="AG610" s="56"/>
      <c r="AH610" s="56"/>
      <c r="AI610" s="56"/>
      <c r="AJ610" s="56"/>
      <c r="AK610" s="56"/>
      <c r="AL610" s="56"/>
      <c r="AS610" s="56"/>
      <c r="AT610" s="56"/>
      <c r="AU610" s="56"/>
    </row>
    <row r="611" spans="1:47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AF611" s="56"/>
      <c r="AG611" s="56"/>
      <c r="AH611" s="56"/>
      <c r="AI611" s="56"/>
      <c r="AJ611" s="56"/>
      <c r="AK611" s="56"/>
      <c r="AL611" s="56"/>
      <c r="AS611" s="56"/>
      <c r="AT611" s="56"/>
      <c r="AU611" s="56"/>
    </row>
    <row r="612" spans="1:47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AF612" s="56"/>
      <c r="AG612" s="56"/>
      <c r="AH612" s="56"/>
      <c r="AI612" s="56"/>
      <c r="AJ612" s="56"/>
      <c r="AK612" s="56"/>
      <c r="AL612" s="56"/>
      <c r="AS612" s="56"/>
      <c r="AT612" s="56"/>
      <c r="AU612" s="56"/>
    </row>
    <row r="613" spans="1:47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AF613" s="56"/>
      <c r="AG613" s="56"/>
      <c r="AH613" s="56"/>
      <c r="AI613" s="56"/>
      <c r="AJ613" s="56"/>
      <c r="AK613" s="56"/>
      <c r="AL613" s="56"/>
      <c r="AS613" s="56"/>
      <c r="AT613" s="56"/>
      <c r="AU613" s="56"/>
    </row>
    <row r="614" spans="1:47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AF614" s="56"/>
      <c r="AG614" s="56"/>
      <c r="AH614" s="56"/>
      <c r="AI614" s="56"/>
      <c r="AJ614" s="56"/>
      <c r="AK614" s="56"/>
      <c r="AL614" s="56"/>
      <c r="AS614" s="56"/>
      <c r="AT614" s="56"/>
      <c r="AU614" s="56"/>
    </row>
    <row r="615" spans="1:47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AF615" s="56"/>
      <c r="AG615" s="56"/>
      <c r="AH615" s="56"/>
      <c r="AI615" s="56"/>
      <c r="AJ615" s="56"/>
      <c r="AK615" s="56"/>
      <c r="AL615" s="56"/>
      <c r="AS615" s="56"/>
      <c r="AT615" s="56"/>
      <c r="AU615" s="56"/>
    </row>
    <row r="616" spans="1:47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AF616" s="56"/>
      <c r="AG616" s="56"/>
      <c r="AH616" s="56"/>
      <c r="AI616" s="56"/>
      <c r="AJ616" s="56"/>
      <c r="AK616" s="56"/>
      <c r="AL616" s="56"/>
      <c r="AS616" s="56"/>
      <c r="AT616" s="56"/>
      <c r="AU616" s="56"/>
    </row>
    <row r="617" spans="1:47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AF617" s="56"/>
      <c r="AG617" s="56"/>
      <c r="AH617" s="56"/>
      <c r="AI617" s="56"/>
      <c r="AJ617" s="56"/>
      <c r="AK617" s="56"/>
      <c r="AL617" s="56"/>
      <c r="AS617" s="56"/>
      <c r="AT617" s="56"/>
      <c r="AU617" s="56"/>
    </row>
    <row r="618" spans="1:47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AF618" s="56"/>
      <c r="AG618" s="56"/>
      <c r="AH618" s="56"/>
      <c r="AI618" s="56"/>
      <c r="AJ618" s="56"/>
      <c r="AK618" s="56"/>
      <c r="AL618" s="56"/>
      <c r="AS618" s="56"/>
      <c r="AT618" s="56"/>
      <c r="AU618" s="56"/>
    </row>
    <row r="619" spans="1:47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AF619" s="56"/>
      <c r="AG619" s="56"/>
      <c r="AH619" s="56"/>
      <c r="AI619" s="56"/>
      <c r="AJ619" s="56"/>
      <c r="AK619" s="56"/>
      <c r="AL619" s="56"/>
      <c r="AS619" s="56"/>
      <c r="AT619" s="56"/>
      <c r="AU619" s="56"/>
    </row>
    <row r="620" spans="1:47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AF620" s="56"/>
      <c r="AG620" s="56"/>
      <c r="AH620" s="56"/>
      <c r="AI620" s="56"/>
      <c r="AJ620" s="56"/>
      <c r="AK620" s="56"/>
      <c r="AL620" s="56"/>
      <c r="AS620" s="56"/>
      <c r="AT620" s="56"/>
      <c r="AU620" s="56"/>
    </row>
    <row r="621" spans="1:47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AF621" s="56"/>
      <c r="AG621" s="56"/>
      <c r="AH621" s="56"/>
      <c r="AI621" s="56"/>
      <c r="AJ621" s="56"/>
      <c r="AK621" s="56"/>
      <c r="AL621" s="56"/>
      <c r="AS621" s="56"/>
      <c r="AT621" s="56"/>
      <c r="AU621" s="56"/>
    </row>
    <row r="622" spans="1:47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AF622" s="56"/>
      <c r="AG622" s="56"/>
      <c r="AH622" s="56"/>
      <c r="AI622" s="56"/>
      <c r="AJ622" s="56"/>
      <c r="AK622" s="56"/>
      <c r="AL622" s="56"/>
      <c r="AS622" s="56"/>
      <c r="AT622" s="56"/>
      <c r="AU622" s="56"/>
    </row>
    <row r="623" spans="1:47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AF623" s="56"/>
      <c r="AG623" s="56"/>
      <c r="AH623" s="56"/>
      <c r="AI623" s="56"/>
      <c r="AJ623" s="56"/>
      <c r="AK623" s="56"/>
      <c r="AL623" s="56"/>
      <c r="AS623" s="56"/>
      <c r="AT623" s="56"/>
      <c r="AU623" s="56"/>
    </row>
    <row r="624" spans="1:47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AF624" s="56"/>
      <c r="AG624" s="56"/>
      <c r="AH624" s="56"/>
      <c r="AI624" s="56"/>
      <c r="AJ624" s="56"/>
      <c r="AK624" s="56"/>
      <c r="AL624" s="56"/>
      <c r="AS624" s="56"/>
      <c r="AT624" s="56"/>
      <c r="AU624" s="56"/>
    </row>
    <row r="625" spans="1:47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AF625" s="56"/>
      <c r="AG625" s="56"/>
      <c r="AH625" s="56"/>
      <c r="AI625" s="56"/>
      <c r="AJ625" s="56"/>
      <c r="AK625" s="56"/>
      <c r="AL625" s="56"/>
      <c r="AS625" s="56"/>
      <c r="AT625" s="56"/>
      <c r="AU625" s="56"/>
    </row>
    <row r="626" spans="1:47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AF626" s="56"/>
      <c r="AG626" s="56"/>
      <c r="AH626" s="56"/>
      <c r="AI626" s="56"/>
      <c r="AJ626" s="56"/>
      <c r="AK626" s="56"/>
      <c r="AL626" s="56"/>
      <c r="AS626" s="56"/>
      <c r="AT626" s="56"/>
      <c r="AU626" s="56"/>
    </row>
    <row r="627" spans="1:47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AF627" s="56"/>
      <c r="AG627" s="56"/>
      <c r="AH627" s="56"/>
      <c r="AI627" s="56"/>
      <c r="AJ627" s="56"/>
      <c r="AK627" s="56"/>
      <c r="AL627" s="56"/>
      <c r="AS627" s="56"/>
      <c r="AT627" s="56"/>
      <c r="AU627" s="56"/>
    </row>
    <row r="628" spans="1:47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AF628" s="56"/>
      <c r="AG628" s="56"/>
      <c r="AH628" s="56"/>
      <c r="AI628" s="56"/>
      <c r="AJ628" s="56"/>
      <c r="AK628" s="56"/>
      <c r="AL628" s="56"/>
      <c r="AS628" s="56"/>
      <c r="AT628" s="56"/>
      <c r="AU628" s="56"/>
    </row>
    <row r="629" spans="1:47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AF629" s="56"/>
      <c r="AG629" s="56"/>
      <c r="AH629" s="56"/>
      <c r="AI629" s="56"/>
      <c r="AJ629" s="56"/>
      <c r="AK629" s="56"/>
      <c r="AL629" s="56"/>
      <c r="AS629" s="56"/>
      <c r="AT629" s="56"/>
      <c r="AU629" s="56"/>
    </row>
    <row r="630" spans="1:47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AF630" s="56"/>
      <c r="AG630" s="56"/>
      <c r="AH630" s="56"/>
      <c r="AI630" s="56"/>
      <c r="AJ630" s="56"/>
      <c r="AK630" s="56"/>
      <c r="AL630" s="56"/>
      <c r="AS630" s="56"/>
      <c r="AT630" s="56"/>
      <c r="AU630" s="56"/>
    </row>
    <row r="631" spans="1:47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AF631" s="56"/>
      <c r="AG631" s="56"/>
      <c r="AH631" s="56"/>
      <c r="AI631" s="56"/>
      <c r="AJ631" s="56"/>
      <c r="AK631" s="56"/>
      <c r="AL631" s="56"/>
      <c r="AS631" s="56"/>
      <c r="AT631" s="56"/>
      <c r="AU631" s="56"/>
    </row>
    <row r="632" spans="1:47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AF632" s="56"/>
      <c r="AG632" s="56"/>
      <c r="AH632" s="56"/>
      <c r="AI632" s="56"/>
      <c r="AJ632" s="56"/>
      <c r="AK632" s="56"/>
      <c r="AL632" s="56"/>
      <c r="AS632" s="56"/>
      <c r="AT632" s="56"/>
      <c r="AU632" s="56"/>
    </row>
    <row r="633" spans="1:47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AF633" s="56"/>
      <c r="AG633" s="56"/>
      <c r="AH633" s="56"/>
      <c r="AI633" s="56"/>
      <c r="AJ633" s="56"/>
      <c r="AK633" s="56"/>
      <c r="AL633" s="56"/>
      <c r="AS633" s="56"/>
      <c r="AT633" s="56"/>
      <c r="AU633" s="56"/>
    </row>
    <row r="634" spans="1:47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AF634" s="56"/>
      <c r="AG634" s="56"/>
      <c r="AH634" s="56"/>
      <c r="AI634" s="56"/>
      <c r="AJ634" s="56"/>
      <c r="AK634" s="56"/>
      <c r="AL634" s="56"/>
      <c r="AS634" s="56"/>
      <c r="AT634" s="56"/>
      <c r="AU634" s="56"/>
    </row>
    <row r="635" spans="1:47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AF635" s="56"/>
      <c r="AG635" s="56"/>
      <c r="AH635" s="56"/>
      <c r="AI635" s="56"/>
      <c r="AJ635" s="56"/>
      <c r="AK635" s="56"/>
      <c r="AL635" s="56"/>
      <c r="AS635" s="56"/>
      <c r="AT635" s="56"/>
      <c r="AU635" s="56"/>
    </row>
    <row r="636" spans="1:47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AF636" s="56"/>
      <c r="AG636" s="56"/>
      <c r="AH636" s="56"/>
      <c r="AI636" s="56"/>
      <c r="AJ636" s="56"/>
      <c r="AK636" s="56"/>
      <c r="AL636" s="56"/>
      <c r="AS636" s="56"/>
      <c r="AT636" s="56"/>
      <c r="AU636" s="56"/>
    </row>
    <row r="637" spans="1:47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AF637" s="56"/>
      <c r="AG637" s="56"/>
      <c r="AH637" s="56"/>
      <c r="AI637" s="56"/>
      <c r="AJ637" s="56"/>
      <c r="AK637" s="56"/>
      <c r="AL637" s="56"/>
      <c r="AS637" s="56"/>
      <c r="AT637" s="56"/>
      <c r="AU637" s="56"/>
    </row>
    <row r="638" spans="1:47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AF638" s="56"/>
      <c r="AG638" s="56"/>
      <c r="AH638" s="56"/>
      <c r="AI638" s="56"/>
      <c r="AJ638" s="56"/>
      <c r="AK638" s="56"/>
      <c r="AL638" s="56"/>
      <c r="AS638" s="56"/>
      <c r="AT638" s="56"/>
      <c r="AU638" s="56"/>
    </row>
    <row r="639" spans="1:47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AF639" s="56"/>
      <c r="AG639" s="56"/>
      <c r="AH639" s="56"/>
      <c r="AI639" s="56"/>
      <c r="AJ639" s="56"/>
      <c r="AK639" s="56"/>
      <c r="AL639" s="56"/>
      <c r="AS639" s="56"/>
      <c r="AT639" s="56"/>
      <c r="AU639" s="56"/>
    </row>
    <row r="640" spans="1:47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AF640" s="56"/>
      <c r="AG640" s="56"/>
      <c r="AH640" s="56"/>
      <c r="AI640" s="56"/>
      <c r="AJ640" s="56"/>
      <c r="AK640" s="56"/>
      <c r="AL640" s="56"/>
      <c r="AS640" s="56"/>
      <c r="AT640" s="56"/>
      <c r="AU640" s="56"/>
    </row>
    <row r="641" spans="1:47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AF641" s="56"/>
      <c r="AG641" s="56"/>
      <c r="AH641" s="56"/>
      <c r="AI641" s="56"/>
      <c r="AJ641" s="56"/>
      <c r="AK641" s="56"/>
      <c r="AL641" s="56"/>
      <c r="AS641" s="56"/>
      <c r="AT641" s="56"/>
      <c r="AU641" s="56"/>
    </row>
    <row r="642" spans="1:47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AF642" s="56"/>
      <c r="AG642" s="56"/>
      <c r="AH642" s="56"/>
      <c r="AI642" s="56"/>
      <c r="AJ642" s="56"/>
      <c r="AK642" s="56"/>
      <c r="AL642" s="56"/>
      <c r="AS642" s="56"/>
      <c r="AT642" s="56"/>
      <c r="AU642" s="56"/>
    </row>
    <row r="643" spans="1:47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AF643" s="56"/>
      <c r="AG643" s="56"/>
      <c r="AH643" s="56"/>
      <c r="AI643" s="56"/>
      <c r="AJ643" s="56"/>
      <c r="AK643" s="56"/>
      <c r="AL643" s="56"/>
      <c r="AS643" s="56"/>
      <c r="AT643" s="56"/>
      <c r="AU643" s="56"/>
    </row>
    <row r="644" spans="1:47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AF644" s="56"/>
      <c r="AG644" s="56"/>
      <c r="AH644" s="56"/>
      <c r="AI644" s="56"/>
      <c r="AJ644" s="56"/>
      <c r="AK644" s="56"/>
      <c r="AL644" s="56"/>
      <c r="AS644" s="56"/>
      <c r="AT644" s="56"/>
      <c r="AU644" s="56"/>
    </row>
    <row r="645" spans="1:47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AF645" s="56"/>
      <c r="AG645" s="56"/>
      <c r="AH645" s="56"/>
      <c r="AI645" s="56"/>
      <c r="AJ645" s="56"/>
      <c r="AK645" s="56"/>
      <c r="AL645" s="56"/>
      <c r="AS645" s="56"/>
      <c r="AT645" s="56"/>
      <c r="AU645" s="56"/>
    </row>
    <row r="646" spans="1:47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AF646" s="56"/>
      <c r="AG646" s="56"/>
      <c r="AH646" s="56"/>
      <c r="AI646" s="56"/>
      <c r="AJ646" s="56"/>
      <c r="AK646" s="56"/>
      <c r="AL646" s="56"/>
      <c r="AS646" s="56"/>
      <c r="AT646" s="56"/>
      <c r="AU646" s="56"/>
    </row>
    <row r="647" spans="1:47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AF647" s="56"/>
      <c r="AG647" s="56"/>
      <c r="AH647" s="56"/>
      <c r="AI647" s="56"/>
      <c r="AJ647" s="56"/>
      <c r="AK647" s="56"/>
      <c r="AL647" s="56"/>
      <c r="AS647" s="56"/>
      <c r="AT647" s="56"/>
      <c r="AU647" s="56"/>
    </row>
    <row r="648" spans="1:47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AF648" s="56"/>
      <c r="AG648" s="56"/>
      <c r="AH648" s="56"/>
      <c r="AI648" s="56"/>
      <c r="AJ648" s="56"/>
      <c r="AK648" s="56"/>
      <c r="AL648" s="56"/>
      <c r="AS648" s="56"/>
      <c r="AT648" s="56"/>
      <c r="AU648" s="56"/>
    </row>
    <row r="649" spans="1:47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AF649" s="56"/>
      <c r="AG649" s="56"/>
      <c r="AH649" s="56"/>
      <c r="AI649" s="56"/>
      <c r="AJ649" s="56"/>
      <c r="AK649" s="56"/>
      <c r="AL649" s="56"/>
      <c r="AS649" s="56"/>
      <c r="AT649" s="56"/>
      <c r="AU649" s="56"/>
    </row>
    <row r="650" spans="1:47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AF650" s="56"/>
      <c r="AG650" s="56"/>
      <c r="AH650" s="56"/>
      <c r="AI650" s="56"/>
      <c r="AJ650" s="56"/>
      <c r="AK650" s="56"/>
      <c r="AL650" s="56"/>
      <c r="AS650" s="56"/>
      <c r="AT650" s="56"/>
      <c r="AU650" s="56"/>
    </row>
    <row r="651" spans="1:47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AF651" s="56"/>
      <c r="AG651" s="56"/>
      <c r="AH651" s="56"/>
      <c r="AI651" s="56"/>
      <c r="AJ651" s="56"/>
      <c r="AK651" s="56"/>
      <c r="AL651" s="56"/>
      <c r="AS651" s="56"/>
      <c r="AT651" s="56"/>
      <c r="AU651" s="56"/>
    </row>
    <row r="652" spans="1:47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AF652" s="56"/>
      <c r="AG652" s="56"/>
      <c r="AH652" s="56"/>
      <c r="AI652" s="56"/>
      <c r="AJ652" s="56"/>
      <c r="AK652" s="56"/>
      <c r="AL652" s="56"/>
      <c r="AS652" s="56"/>
      <c r="AT652" s="56"/>
      <c r="AU652" s="56"/>
    </row>
    <row r="653" spans="1:47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AF653" s="56"/>
      <c r="AG653" s="56"/>
      <c r="AH653" s="56"/>
      <c r="AI653" s="56"/>
      <c r="AJ653" s="56"/>
      <c r="AK653" s="56"/>
      <c r="AL653" s="56"/>
      <c r="AS653" s="56"/>
      <c r="AT653" s="56"/>
      <c r="AU653" s="56"/>
    </row>
    <row r="654" spans="1:47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AF654" s="56"/>
      <c r="AG654" s="56"/>
      <c r="AH654" s="56"/>
      <c r="AI654" s="56"/>
      <c r="AJ654" s="56"/>
      <c r="AK654" s="56"/>
      <c r="AL654" s="56"/>
      <c r="AS654" s="56"/>
      <c r="AT654" s="56"/>
      <c r="AU654" s="56"/>
    </row>
    <row r="655" spans="1:47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AF655" s="56"/>
      <c r="AG655" s="56"/>
      <c r="AH655" s="56"/>
      <c r="AI655" s="56"/>
      <c r="AJ655" s="56"/>
      <c r="AK655" s="56"/>
      <c r="AL655" s="56"/>
      <c r="AS655" s="56"/>
      <c r="AT655" s="56"/>
      <c r="AU655" s="56"/>
    </row>
    <row r="656" spans="1:47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AF656" s="56"/>
      <c r="AG656" s="56"/>
      <c r="AH656" s="56"/>
      <c r="AI656" s="56"/>
      <c r="AJ656" s="56"/>
      <c r="AK656" s="56"/>
      <c r="AL656" s="56"/>
      <c r="AS656" s="56"/>
      <c r="AT656" s="56"/>
      <c r="AU656" s="56"/>
    </row>
    <row r="657" spans="1:47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AF657" s="56"/>
      <c r="AG657" s="56"/>
      <c r="AH657" s="56"/>
      <c r="AI657" s="56"/>
      <c r="AJ657" s="56"/>
      <c r="AK657" s="56"/>
      <c r="AL657" s="56"/>
      <c r="AS657" s="56"/>
      <c r="AT657" s="56"/>
      <c r="AU657" s="56"/>
    </row>
    <row r="658" spans="1:47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AF658" s="56"/>
      <c r="AG658" s="56"/>
      <c r="AH658" s="56"/>
      <c r="AI658" s="56"/>
      <c r="AJ658" s="56"/>
      <c r="AK658" s="56"/>
      <c r="AL658" s="56"/>
      <c r="AS658" s="56"/>
      <c r="AT658" s="56"/>
      <c r="AU658" s="56"/>
    </row>
    <row r="659" spans="1:47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AF659" s="56"/>
      <c r="AG659" s="56"/>
      <c r="AH659" s="56"/>
      <c r="AI659" s="56"/>
      <c r="AJ659" s="56"/>
      <c r="AK659" s="56"/>
      <c r="AL659" s="56"/>
      <c r="AS659" s="56"/>
      <c r="AT659" s="56"/>
      <c r="AU659" s="56"/>
    </row>
    <row r="660" spans="1:47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AF660" s="56"/>
      <c r="AG660" s="56"/>
      <c r="AH660" s="56"/>
      <c r="AI660" s="56"/>
      <c r="AJ660" s="56"/>
      <c r="AK660" s="56"/>
      <c r="AL660" s="56"/>
      <c r="AS660" s="56"/>
      <c r="AT660" s="56"/>
      <c r="AU660" s="56"/>
    </row>
    <row r="661" spans="1:47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AF661" s="56"/>
      <c r="AG661" s="56"/>
      <c r="AH661" s="56"/>
      <c r="AI661" s="56"/>
      <c r="AJ661" s="56"/>
      <c r="AK661" s="56"/>
      <c r="AL661" s="56"/>
      <c r="AS661" s="56"/>
      <c r="AT661" s="56"/>
      <c r="AU661" s="56"/>
    </row>
    <row r="662" spans="1:47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AF662" s="56"/>
      <c r="AG662" s="56"/>
      <c r="AH662" s="56"/>
      <c r="AI662" s="56"/>
      <c r="AJ662" s="56"/>
      <c r="AK662" s="56"/>
      <c r="AL662" s="56"/>
      <c r="AS662" s="56"/>
      <c r="AT662" s="56"/>
      <c r="AU662" s="56"/>
    </row>
    <row r="663" spans="1:47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AF663" s="56"/>
      <c r="AG663" s="56"/>
      <c r="AH663" s="56"/>
      <c r="AI663" s="56"/>
      <c r="AJ663" s="56"/>
      <c r="AK663" s="56"/>
      <c r="AL663" s="56"/>
      <c r="AS663" s="56"/>
      <c r="AT663" s="56"/>
      <c r="AU663" s="56"/>
    </row>
    <row r="664" spans="1:47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AF664" s="56"/>
      <c r="AG664" s="56"/>
      <c r="AH664" s="56"/>
      <c r="AI664" s="56"/>
      <c r="AJ664" s="56"/>
      <c r="AK664" s="56"/>
      <c r="AL664" s="56"/>
      <c r="AS664" s="56"/>
      <c r="AT664" s="56"/>
      <c r="AU664" s="56"/>
    </row>
    <row r="665" spans="1:47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AF665" s="56"/>
      <c r="AG665" s="56"/>
      <c r="AH665" s="56"/>
      <c r="AI665" s="56"/>
      <c r="AJ665" s="56"/>
      <c r="AK665" s="56"/>
      <c r="AL665" s="56"/>
      <c r="AS665" s="56"/>
      <c r="AT665" s="56"/>
      <c r="AU665" s="56"/>
    </row>
    <row r="666" spans="1:47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AF666" s="56"/>
      <c r="AG666" s="56"/>
      <c r="AH666" s="56"/>
      <c r="AI666" s="56"/>
      <c r="AJ666" s="56"/>
      <c r="AK666" s="56"/>
      <c r="AL666" s="56"/>
      <c r="AS666" s="56"/>
      <c r="AT666" s="56"/>
      <c r="AU666" s="56"/>
    </row>
    <row r="667" spans="1:47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AF667" s="56"/>
      <c r="AG667" s="56"/>
      <c r="AH667" s="56"/>
      <c r="AI667" s="56"/>
      <c r="AJ667" s="56"/>
      <c r="AK667" s="56"/>
      <c r="AL667" s="56"/>
      <c r="AS667" s="56"/>
      <c r="AT667" s="56"/>
      <c r="AU667" s="56"/>
    </row>
    <row r="668" spans="1:47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AF668" s="56"/>
      <c r="AG668" s="56"/>
      <c r="AH668" s="56"/>
      <c r="AI668" s="56"/>
      <c r="AJ668" s="56"/>
      <c r="AK668" s="56"/>
      <c r="AL668" s="56"/>
      <c r="AS668" s="56"/>
      <c r="AT668" s="56"/>
      <c r="AU668" s="56"/>
    </row>
    <row r="669" spans="1:47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AF669" s="56"/>
      <c r="AG669" s="56"/>
      <c r="AH669" s="56"/>
      <c r="AI669" s="56"/>
      <c r="AJ669" s="56"/>
      <c r="AK669" s="56"/>
      <c r="AL669" s="56"/>
      <c r="AS669" s="56"/>
      <c r="AT669" s="56"/>
      <c r="AU669" s="56"/>
    </row>
    <row r="670" spans="1:47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AF670" s="56"/>
      <c r="AG670" s="56"/>
      <c r="AH670" s="56"/>
      <c r="AI670" s="56"/>
      <c r="AJ670" s="56"/>
      <c r="AK670" s="56"/>
      <c r="AL670" s="56"/>
      <c r="AS670" s="56"/>
      <c r="AT670" s="56"/>
      <c r="AU670" s="56"/>
    </row>
    <row r="671" spans="1:47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AF671" s="56"/>
      <c r="AG671" s="56"/>
      <c r="AH671" s="56"/>
      <c r="AI671" s="56"/>
      <c r="AJ671" s="56"/>
      <c r="AK671" s="56"/>
      <c r="AL671" s="56"/>
      <c r="AS671" s="56"/>
      <c r="AT671" s="56"/>
      <c r="AU671" s="56"/>
    </row>
    <row r="672" spans="1:47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AF672" s="56"/>
      <c r="AG672" s="56"/>
      <c r="AH672" s="56"/>
      <c r="AI672" s="56"/>
      <c r="AJ672" s="56"/>
      <c r="AK672" s="56"/>
      <c r="AL672" s="56"/>
      <c r="AS672" s="56"/>
      <c r="AT672" s="56"/>
      <c r="AU672" s="56"/>
    </row>
    <row r="673" spans="1:47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AF673" s="56"/>
      <c r="AG673" s="56"/>
      <c r="AH673" s="56"/>
      <c r="AI673" s="56"/>
      <c r="AJ673" s="56"/>
      <c r="AK673" s="56"/>
      <c r="AL673" s="56"/>
      <c r="AS673" s="56"/>
      <c r="AT673" s="56"/>
      <c r="AU673" s="56"/>
    </row>
    <row r="674" spans="1:47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AF674" s="56"/>
      <c r="AG674" s="56"/>
      <c r="AH674" s="56"/>
      <c r="AI674" s="56"/>
      <c r="AJ674" s="56"/>
      <c r="AK674" s="56"/>
      <c r="AL674" s="56"/>
      <c r="AS674" s="56"/>
      <c r="AT674" s="56"/>
      <c r="AU674" s="56"/>
    </row>
    <row r="675" spans="1:47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AF675" s="56"/>
      <c r="AG675" s="56"/>
      <c r="AH675" s="56"/>
      <c r="AI675" s="56"/>
      <c r="AJ675" s="56"/>
      <c r="AK675" s="56"/>
      <c r="AL675" s="56"/>
      <c r="AS675" s="56"/>
      <c r="AT675" s="56"/>
      <c r="AU675" s="56"/>
    </row>
    <row r="676" spans="1:47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AF676" s="56"/>
      <c r="AG676" s="56"/>
      <c r="AH676" s="56"/>
      <c r="AI676" s="56"/>
      <c r="AJ676" s="56"/>
      <c r="AK676" s="56"/>
      <c r="AL676" s="56"/>
      <c r="AS676" s="56"/>
      <c r="AT676" s="56"/>
      <c r="AU676" s="56"/>
    </row>
    <row r="677" spans="1:47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AF677" s="56"/>
      <c r="AG677" s="56"/>
      <c r="AH677" s="56"/>
      <c r="AI677" s="56"/>
      <c r="AJ677" s="56"/>
      <c r="AK677" s="56"/>
      <c r="AL677" s="56"/>
      <c r="AS677" s="56"/>
      <c r="AT677" s="56"/>
      <c r="AU677" s="56"/>
    </row>
    <row r="678" spans="1:47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AF678" s="56"/>
      <c r="AG678" s="56"/>
      <c r="AH678" s="56"/>
      <c r="AI678" s="56"/>
      <c r="AJ678" s="56"/>
      <c r="AK678" s="56"/>
      <c r="AL678" s="56"/>
      <c r="AS678" s="56"/>
      <c r="AT678" s="56"/>
      <c r="AU678" s="56"/>
    </row>
    <row r="679" spans="1:47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AF679" s="56"/>
      <c r="AG679" s="56"/>
      <c r="AH679" s="56"/>
      <c r="AI679" s="56"/>
      <c r="AJ679" s="56"/>
      <c r="AK679" s="56"/>
      <c r="AL679" s="56"/>
      <c r="AS679" s="56"/>
      <c r="AT679" s="56"/>
      <c r="AU679" s="56"/>
    </row>
    <row r="680" spans="1:47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AF680" s="56"/>
      <c r="AG680" s="56"/>
      <c r="AH680" s="56"/>
      <c r="AI680" s="56"/>
      <c r="AJ680" s="56"/>
      <c r="AK680" s="56"/>
      <c r="AL680" s="56"/>
      <c r="AS680" s="56"/>
      <c r="AT680" s="56"/>
      <c r="AU680" s="56"/>
    </row>
    <row r="681" spans="1:47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AF681" s="56"/>
      <c r="AG681" s="56"/>
      <c r="AH681" s="56"/>
      <c r="AI681" s="56"/>
      <c r="AJ681" s="56"/>
      <c r="AK681" s="56"/>
      <c r="AL681" s="56"/>
      <c r="AS681" s="56"/>
      <c r="AT681" s="56"/>
      <c r="AU681" s="56"/>
    </row>
    <row r="682" spans="1:47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AF682" s="56"/>
      <c r="AG682" s="56"/>
      <c r="AH682" s="56"/>
      <c r="AI682" s="56"/>
      <c r="AJ682" s="56"/>
      <c r="AK682" s="56"/>
      <c r="AL682" s="56"/>
      <c r="AS682" s="56"/>
      <c r="AT682" s="56"/>
      <c r="AU682" s="56"/>
    </row>
    <row r="683" spans="1:47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AF683" s="56"/>
      <c r="AG683" s="56"/>
      <c r="AH683" s="56"/>
      <c r="AI683" s="56"/>
      <c r="AJ683" s="56"/>
      <c r="AK683" s="56"/>
      <c r="AL683" s="56"/>
      <c r="AS683" s="56"/>
      <c r="AT683" s="56"/>
      <c r="AU683" s="56"/>
    </row>
    <row r="684" spans="1:47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AF684" s="56"/>
      <c r="AG684" s="56"/>
      <c r="AH684" s="56"/>
      <c r="AI684" s="56"/>
      <c r="AJ684" s="56"/>
      <c r="AK684" s="56"/>
      <c r="AL684" s="56"/>
      <c r="AS684" s="56"/>
      <c r="AT684" s="56"/>
      <c r="AU684" s="56"/>
    </row>
    <row r="685" spans="1:47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AF685" s="56"/>
      <c r="AG685" s="56"/>
      <c r="AH685" s="56"/>
      <c r="AI685" s="56"/>
      <c r="AJ685" s="56"/>
      <c r="AK685" s="56"/>
      <c r="AL685" s="56"/>
      <c r="AS685" s="56"/>
      <c r="AT685" s="56"/>
      <c r="AU685" s="56"/>
    </row>
    <row r="686" spans="1:47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AF686" s="56"/>
      <c r="AG686" s="56"/>
      <c r="AH686" s="56"/>
      <c r="AI686" s="56"/>
      <c r="AJ686" s="56"/>
      <c r="AK686" s="56"/>
      <c r="AL686" s="56"/>
      <c r="AS686" s="56"/>
      <c r="AT686" s="56"/>
      <c r="AU686" s="56"/>
    </row>
    <row r="687" spans="1:47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AF687" s="56"/>
      <c r="AG687" s="56"/>
      <c r="AH687" s="56"/>
      <c r="AI687" s="56"/>
      <c r="AJ687" s="56"/>
      <c r="AK687" s="56"/>
      <c r="AL687" s="56"/>
      <c r="AS687" s="56"/>
      <c r="AT687" s="56"/>
      <c r="AU687" s="56"/>
    </row>
    <row r="688" spans="1:47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AF688" s="56"/>
      <c r="AG688" s="56"/>
      <c r="AH688" s="56"/>
      <c r="AI688" s="56"/>
      <c r="AJ688" s="56"/>
      <c r="AK688" s="56"/>
      <c r="AL688" s="56"/>
      <c r="AS688" s="56"/>
      <c r="AT688" s="56"/>
      <c r="AU688" s="56"/>
    </row>
    <row r="689" spans="1:47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AF689" s="56"/>
      <c r="AG689" s="56"/>
      <c r="AH689" s="56"/>
      <c r="AI689" s="56"/>
      <c r="AJ689" s="56"/>
      <c r="AK689" s="56"/>
      <c r="AL689" s="56"/>
      <c r="AS689" s="56"/>
      <c r="AT689" s="56"/>
      <c r="AU689" s="56"/>
    </row>
    <row r="690" spans="1:47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AF690" s="56"/>
      <c r="AG690" s="56"/>
      <c r="AH690" s="56"/>
      <c r="AI690" s="56"/>
      <c r="AJ690" s="56"/>
      <c r="AK690" s="56"/>
      <c r="AL690" s="56"/>
      <c r="AS690" s="56"/>
      <c r="AT690" s="56"/>
      <c r="AU690" s="56"/>
    </row>
    <row r="691" spans="1:47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AF691" s="56"/>
      <c r="AG691" s="56"/>
      <c r="AH691" s="56"/>
      <c r="AI691" s="56"/>
      <c r="AJ691" s="56"/>
      <c r="AK691" s="56"/>
      <c r="AL691" s="56"/>
      <c r="AS691" s="56"/>
      <c r="AT691" s="56"/>
      <c r="AU691" s="56"/>
    </row>
    <row r="692" spans="1:47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AF692" s="56"/>
      <c r="AG692" s="56"/>
      <c r="AH692" s="56"/>
      <c r="AI692" s="56"/>
      <c r="AJ692" s="56"/>
      <c r="AK692" s="56"/>
      <c r="AL692" s="56"/>
      <c r="AS692" s="56"/>
      <c r="AT692" s="56"/>
      <c r="AU692" s="56"/>
    </row>
    <row r="693" spans="1:47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AF693" s="56"/>
      <c r="AG693" s="56"/>
      <c r="AH693" s="56"/>
      <c r="AI693" s="56"/>
      <c r="AJ693" s="56"/>
      <c r="AK693" s="56"/>
      <c r="AL693" s="56"/>
      <c r="AS693" s="56"/>
      <c r="AT693" s="56"/>
      <c r="AU693" s="56"/>
    </row>
    <row r="694" spans="1:47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AF694" s="56"/>
      <c r="AG694" s="56"/>
      <c r="AH694" s="56"/>
      <c r="AI694" s="56"/>
      <c r="AJ694" s="56"/>
      <c r="AK694" s="56"/>
      <c r="AL694" s="56"/>
      <c r="AS694" s="56"/>
      <c r="AT694" s="56"/>
      <c r="AU694" s="56"/>
    </row>
    <row r="695" spans="1:47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AF695" s="56"/>
      <c r="AG695" s="56"/>
      <c r="AH695" s="56"/>
      <c r="AI695" s="56"/>
      <c r="AJ695" s="56"/>
      <c r="AK695" s="56"/>
      <c r="AL695" s="56"/>
      <c r="AS695" s="56"/>
      <c r="AT695" s="56"/>
      <c r="AU695" s="56"/>
    </row>
    <row r="696" spans="1:47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AF696" s="56"/>
      <c r="AG696" s="56"/>
      <c r="AH696" s="56"/>
      <c r="AI696" s="56"/>
      <c r="AJ696" s="56"/>
      <c r="AK696" s="56"/>
      <c r="AL696" s="56"/>
      <c r="AS696" s="56"/>
      <c r="AT696" s="56"/>
      <c r="AU696" s="56"/>
    </row>
    <row r="697" spans="1:47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AF697" s="56"/>
      <c r="AG697" s="56"/>
      <c r="AH697" s="56"/>
      <c r="AI697" s="56"/>
      <c r="AJ697" s="56"/>
      <c r="AK697" s="56"/>
      <c r="AL697" s="56"/>
      <c r="AS697" s="56"/>
      <c r="AT697" s="56"/>
      <c r="AU697" s="56"/>
    </row>
    <row r="698" spans="1:47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AF698" s="56"/>
      <c r="AG698" s="56"/>
      <c r="AH698" s="56"/>
      <c r="AI698" s="56"/>
      <c r="AJ698" s="56"/>
      <c r="AK698" s="56"/>
      <c r="AL698" s="56"/>
      <c r="AS698" s="56"/>
      <c r="AT698" s="56"/>
      <c r="AU698" s="56"/>
    </row>
    <row r="699" spans="1:47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AF699" s="56"/>
      <c r="AG699" s="56"/>
      <c r="AH699" s="56"/>
      <c r="AI699" s="56"/>
      <c r="AJ699" s="56"/>
      <c r="AK699" s="56"/>
      <c r="AL699" s="56"/>
      <c r="AS699" s="56"/>
      <c r="AT699" s="56"/>
      <c r="AU699" s="56"/>
    </row>
    <row r="700" spans="1:47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AF700" s="56"/>
      <c r="AG700" s="56"/>
      <c r="AH700" s="56"/>
      <c r="AI700" s="56"/>
      <c r="AJ700" s="56"/>
      <c r="AK700" s="56"/>
      <c r="AL700" s="56"/>
      <c r="AS700" s="56"/>
      <c r="AT700" s="56"/>
      <c r="AU700" s="56"/>
    </row>
    <row r="701" spans="1:47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AF701" s="56"/>
      <c r="AG701" s="56"/>
      <c r="AH701" s="56"/>
      <c r="AI701" s="56"/>
      <c r="AJ701" s="56"/>
      <c r="AK701" s="56"/>
      <c r="AL701" s="56"/>
      <c r="AS701" s="56"/>
      <c r="AT701" s="56"/>
      <c r="AU701" s="56"/>
    </row>
    <row r="702" spans="1:47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AF702" s="56"/>
      <c r="AG702" s="56"/>
      <c r="AH702" s="56"/>
      <c r="AI702" s="56"/>
      <c r="AJ702" s="56"/>
      <c r="AK702" s="56"/>
      <c r="AL702" s="56"/>
      <c r="AS702" s="56"/>
      <c r="AT702" s="56"/>
      <c r="AU702" s="56"/>
    </row>
    <row r="703" spans="1:47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AF703" s="56"/>
      <c r="AG703" s="56"/>
      <c r="AH703" s="56"/>
      <c r="AI703" s="56"/>
      <c r="AJ703" s="56"/>
      <c r="AK703" s="56"/>
      <c r="AL703" s="56"/>
      <c r="AS703" s="56"/>
      <c r="AT703" s="56"/>
      <c r="AU703" s="56"/>
    </row>
    <row r="704" spans="1:47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AF704" s="56"/>
      <c r="AG704" s="56"/>
      <c r="AH704" s="56"/>
      <c r="AI704" s="56"/>
      <c r="AJ704" s="56"/>
      <c r="AK704" s="56"/>
      <c r="AL704" s="56"/>
      <c r="AS704" s="56"/>
      <c r="AT704" s="56"/>
      <c r="AU704" s="56"/>
    </row>
    <row r="705" spans="1:47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AF705" s="56"/>
      <c r="AG705" s="56"/>
      <c r="AH705" s="56"/>
      <c r="AI705" s="56"/>
      <c r="AJ705" s="56"/>
      <c r="AK705" s="56"/>
      <c r="AL705" s="56"/>
      <c r="AS705" s="56"/>
      <c r="AT705" s="56"/>
      <c r="AU705" s="56"/>
    </row>
    <row r="706" spans="1:47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AF706" s="56"/>
      <c r="AG706" s="56"/>
      <c r="AH706" s="56"/>
      <c r="AI706" s="56"/>
      <c r="AJ706" s="56"/>
      <c r="AK706" s="56"/>
      <c r="AL706" s="56"/>
      <c r="AS706" s="56"/>
      <c r="AT706" s="56"/>
      <c r="AU706" s="56"/>
    </row>
    <row r="707" spans="1:47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AF707" s="56"/>
      <c r="AG707" s="56"/>
      <c r="AH707" s="56"/>
      <c r="AI707" s="56"/>
      <c r="AJ707" s="56"/>
      <c r="AK707" s="56"/>
      <c r="AL707" s="56"/>
      <c r="AS707" s="56"/>
      <c r="AT707" s="56"/>
      <c r="AU707" s="56"/>
    </row>
    <row r="708" spans="1:47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AF708" s="56"/>
      <c r="AG708" s="56"/>
      <c r="AH708" s="56"/>
      <c r="AI708" s="56"/>
      <c r="AJ708" s="56"/>
      <c r="AK708" s="56"/>
      <c r="AL708" s="56"/>
      <c r="AS708" s="56"/>
      <c r="AT708" s="56"/>
      <c r="AU708" s="56"/>
    </row>
    <row r="709" spans="1:47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AF709" s="56"/>
      <c r="AG709" s="56"/>
      <c r="AH709" s="56"/>
      <c r="AI709" s="56"/>
      <c r="AJ709" s="56"/>
      <c r="AK709" s="56"/>
      <c r="AL709" s="56"/>
      <c r="AS709" s="56"/>
      <c r="AT709" s="56"/>
      <c r="AU709" s="56"/>
    </row>
    <row r="710" spans="1:47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AF710" s="56"/>
      <c r="AG710" s="56"/>
      <c r="AH710" s="56"/>
      <c r="AI710" s="56"/>
      <c r="AJ710" s="56"/>
      <c r="AK710" s="56"/>
      <c r="AL710" s="56"/>
      <c r="AS710" s="56"/>
      <c r="AT710" s="56"/>
      <c r="AU710" s="56"/>
    </row>
    <row r="711" spans="1:47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AF711" s="56"/>
      <c r="AG711" s="56"/>
      <c r="AH711" s="56"/>
      <c r="AI711" s="56"/>
      <c r="AJ711" s="56"/>
      <c r="AK711" s="56"/>
      <c r="AL711" s="56"/>
      <c r="AS711" s="56"/>
      <c r="AT711" s="56"/>
      <c r="AU711" s="56"/>
    </row>
    <row r="712" spans="1:47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AF712" s="56"/>
      <c r="AG712" s="56"/>
      <c r="AH712" s="56"/>
      <c r="AI712" s="56"/>
      <c r="AJ712" s="56"/>
      <c r="AK712" s="56"/>
      <c r="AL712" s="56"/>
      <c r="AS712" s="56"/>
      <c r="AT712" s="56"/>
      <c r="AU712" s="56"/>
    </row>
    <row r="713" spans="1:47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AF713" s="56"/>
      <c r="AG713" s="56"/>
      <c r="AH713" s="56"/>
      <c r="AI713" s="56"/>
      <c r="AJ713" s="56"/>
      <c r="AK713" s="56"/>
      <c r="AL713" s="56"/>
      <c r="AS713" s="56"/>
      <c r="AT713" s="56"/>
      <c r="AU713" s="56"/>
    </row>
    <row r="714" spans="1:47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AF714" s="56"/>
      <c r="AG714" s="56"/>
      <c r="AH714" s="56"/>
      <c r="AI714" s="56"/>
      <c r="AJ714" s="56"/>
      <c r="AK714" s="56"/>
      <c r="AL714" s="56"/>
      <c r="AS714" s="56"/>
      <c r="AT714" s="56"/>
      <c r="AU714" s="56"/>
    </row>
    <row r="715" spans="1:47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AF715" s="56"/>
      <c r="AG715" s="56"/>
      <c r="AH715" s="56"/>
      <c r="AI715" s="56"/>
      <c r="AJ715" s="56"/>
      <c r="AK715" s="56"/>
      <c r="AL715" s="56"/>
      <c r="AS715" s="56"/>
      <c r="AT715" s="56"/>
      <c r="AU715" s="56"/>
    </row>
    <row r="716" spans="1:47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AF716" s="56"/>
      <c r="AG716" s="56"/>
      <c r="AH716" s="56"/>
      <c r="AI716" s="56"/>
      <c r="AJ716" s="56"/>
      <c r="AK716" s="56"/>
      <c r="AL716" s="56"/>
      <c r="AS716" s="56"/>
      <c r="AT716" s="56"/>
      <c r="AU716" s="56"/>
    </row>
    <row r="717" spans="1:47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AF717" s="56"/>
      <c r="AG717" s="56"/>
      <c r="AH717" s="56"/>
      <c r="AI717" s="56"/>
      <c r="AJ717" s="56"/>
      <c r="AK717" s="56"/>
      <c r="AL717" s="56"/>
      <c r="AS717" s="56"/>
      <c r="AT717" s="56"/>
      <c r="AU717" s="56"/>
    </row>
    <row r="718" spans="1:47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AF718" s="56"/>
      <c r="AG718" s="56"/>
      <c r="AH718" s="56"/>
      <c r="AI718" s="56"/>
      <c r="AJ718" s="56"/>
      <c r="AK718" s="56"/>
      <c r="AL718" s="56"/>
      <c r="AS718" s="56"/>
      <c r="AT718" s="56"/>
      <c r="AU718" s="56"/>
    </row>
    <row r="719" spans="1:47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AF719" s="56"/>
      <c r="AG719" s="56"/>
      <c r="AH719" s="56"/>
      <c r="AI719" s="56"/>
      <c r="AJ719" s="56"/>
      <c r="AK719" s="56"/>
      <c r="AL719" s="56"/>
      <c r="AS719" s="56"/>
      <c r="AT719" s="56"/>
      <c r="AU719" s="56"/>
    </row>
    <row r="720" spans="1:47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AF720" s="56"/>
      <c r="AG720" s="56"/>
      <c r="AH720" s="56"/>
      <c r="AI720" s="56"/>
      <c r="AJ720" s="56"/>
      <c r="AK720" s="56"/>
      <c r="AL720" s="56"/>
      <c r="AS720" s="56"/>
      <c r="AT720" s="56"/>
      <c r="AU720" s="56"/>
    </row>
    <row r="721" spans="1:47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AF721" s="56"/>
      <c r="AG721" s="56"/>
      <c r="AH721" s="56"/>
      <c r="AI721" s="56"/>
      <c r="AJ721" s="56"/>
      <c r="AK721" s="56"/>
      <c r="AL721" s="56"/>
      <c r="AS721" s="56"/>
      <c r="AT721" s="56"/>
      <c r="AU721" s="56"/>
    </row>
    <row r="722" spans="1:47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AF722" s="56"/>
      <c r="AG722" s="56"/>
      <c r="AH722" s="56"/>
      <c r="AI722" s="56"/>
      <c r="AJ722" s="56"/>
      <c r="AK722" s="56"/>
      <c r="AL722" s="56"/>
      <c r="AS722" s="56"/>
      <c r="AT722" s="56"/>
      <c r="AU722" s="56"/>
    </row>
    <row r="723" spans="1:47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AF723" s="56"/>
      <c r="AG723" s="56"/>
      <c r="AH723" s="56"/>
      <c r="AI723" s="56"/>
      <c r="AJ723" s="56"/>
      <c r="AK723" s="56"/>
      <c r="AL723" s="56"/>
      <c r="AS723" s="56"/>
      <c r="AT723" s="56"/>
      <c r="AU723" s="56"/>
    </row>
    <row r="724" spans="1:47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AF724" s="56"/>
      <c r="AG724" s="56"/>
      <c r="AH724" s="56"/>
      <c r="AI724" s="56"/>
      <c r="AJ724" s="56"/>
      <c r="AK724" s="56"/>
      <c r="AL724" s="56"/>
      <c r="AS724" s="56"/>
      <c r="AT724" s="56"/>
      <c r="AU724" s="56"/>
    </row>
    <row r="725" spans="1:47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AF725" s="56"/>
      <c r="AG725" s="56"/>
      <c r="AH725" s="56"/>
      <c r="AI725" s="56"/>
      <c r="AJ725" s="56"/>
      <c r="AK725" s="56"/>
      <c r="AL725" s="56"/>
      <c r="AS725" s="56"/>
      <c r="AT725" s="56"/>
      <c r="AU725" s="56"/>
    </row>
    <row r="726" spans="1:47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AF726" s="56"/>
      <c r="AG726" s="56"/>
      <c r="AH726" s="56"/>
      <c r="AI726" s="56"/>
      <c r="AJ726" s="56"/>
      <c r="AK726" s="56"/>
      <c r="AL726" s="56"/>
      <c r="AS726" s="56"/>
      <c r="AT726" s="56"/>
      <c r="AU726" s="56"/>
    </row>
    <row r="727" spans="1:47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AF727" s="56"/>
      <c r="AG727" s="56"/>
      <c r="AH727" s="56"/>
      <c r="AI727" s="56"/>
      <c r="AJ727" s="56"/>
      <c r="AK727" s="56"/>
      <c r="AL727" s="56"/>
      <c r="AS727" s="56"/>
      <c r="AT727" s="56"/>
      <c r="AU727" s="56"/>
    </row>
    <row r="728" spans="1:47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AF728" s="56"/>
      <c r="AG728" s="56"/>
      <c r="AH728" s="56"/>
      <c r="AI728" s="56"/>
      <c r="AJ728" s="56"/>
      <c r="AK728" s="56"/>
      <c r="AL728" s="56"/>
      <c r="AS728" s="56"/>
      <c r="AT728" s="56"/>
      <c r="AU728" s="56"/>
    </row>
    <row r="729" spans="1:47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AF729" s="56"/>
      <c r="AG729" s="56"/>
      <c r="AH729" s="56"/>
      <c r="AI729" s="56"/>
      <c r="AJ729" s="56"/>
      <c r="AK729" s="56"/>
      <c r="AL729" s="56"/>
      <c r="AS729" s="56"/>
      <c r="AT729" s="56"/>
      <c r="AU729" s="56"/>
    </row>
    <row r="730" spans="1:47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AF730" s="56"/>
      <c r="AG730" s="56"/>
      <c r="AH730" s="56"/>
      <c r="AI730" s="56"/>
      <c r="AJ730" s="56"/>
      <c r="AK730" s="56"/>
      <c r="AL730" s="56"/>
      <c r="AS730" s="56"/>
      <c r="AT730" s="56"/>
      <c r="AU730" s="56"/>
    </row>
    <row r="731" spans="1:47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AF731" s="56"/>
      <c r="AG731" s="56"/>
      <c r="AH731" s="56"/>
      <c r="AI731" s="56"/>
      <c r="AJ731" s="56"/>
      <c r="AK731" s="56"/>
      <c r="AL731" s="56"/>
      <c r="AS731" s="56"/>
      <c r="AT731" s="56"/>
      <c r="AU731" s="56"/>
    </row>
    <row r="732" spans="1:47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AF732" s="56"/>
      <c r="AG732" s="56"/>
      <c r="AH732" s="56"/>
      <c r="AI732" s="56"/>
      <c r="AJ732" s="56"/>
      <c r="AK732" s="56"/>
      <c r="AL732" s="56"/>
      <c r="AS732" s="56"/>
      <c r="AT732" s="56"/>
      <c r="AU732" s="56"/>
    </row>
    <row r="733" spans="1:47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AF733" s="56"/>
      <c r="AG733" s="56"/>
      <c r="AH733" s="56"/>
      <c r="AI733" s="56"/>
      <c r="AJ733" s="56"/>
      <c r="AK733" s="56"/>
      <c r="AL733" s="56"/>
      <c r="AS733" s="56"/>
      <c r="AT733" s="56"/>
      <c r="AU733" s="56"/>
    </row>
    <row r="734" spans="1:47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AF734" s="56"/>
      <c r="AG734" s="56"/>
      <c r="AH734" s="56"/>
      <c r="AI734" s="56"/>
      <c r="AJ734" s="56"/>
      <c r="AK734" s="56"/>
      <c r="AL734" s="56"/>
      <c r="AS734" s="56"/>
      <c r="AT734" s="56"/>
      <c r="AU734" s="56"/>
    </row>
    <row r="735" spans="1:47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AF735" s="56"/>
      <c r="AG735" s="56"/>
      <c r="AH735" s="56"/>
      <c r="AI735" s="56"/>
      <c r="AJ735" s="56"/>
      <c r="AK735" s="56"/>
      <c r="AL735" s="56"/>
      <c r="AS735" s="56"/>
      <c r="AT735" s="56"/>
      <c r="AU735" s="56"/>
    </row>
    <row r="736" spans="1:47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AF736" s="56"/>
      <c r="AG736" s="56"/>
      <c r="AH736" s="56"/>
      <c r="AI736" s="56"/>
      <c r="AJ736" s="56"/>
      <c r="AK736" s="56"/>
      <c r="AL736" s="56"/>
      <c r="AS736" s="56"/>
      <c r="AT736" s="56"/>
      <c r="AU736" s="56"/>
    </row>
    <row r="737" spans="1:47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AF737" s="56"/>
      <c r="AG737" s="56"/>
      <c r="AH737" s="56"/>
      <c r="AI737" s="56"/>
      <c r="AJ737" s="56"/>
      <c r="AK737" s="56"/>
      <c r="AL737" s="56"/>
      <c r="AS737" s="56"/>
      <c r="AT737" s="56"/>
      <c r="AU737" s="56"/>
    </row>
    <row r="738" spans="1:47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AF738" s="56"/>
      <c r="AG738" s="56"/>
      <c r="AH738" s="56"/>
      <c r="AI738" s="56"/>
      <c r="AJ738" s="56"/>
      <c r="AK738" s="56"/>
      <c r="AL738" s="56"/>
      <c r="AS738" s="56"/>
      <c r="AT738" s="56"/>
      <c r="AU738" s="56"/>
    </row>
    <row r="739" spans="1:47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AF739" s="56"/>
      <c r="AG739" s="56"/>
      <c r="AH739" s="56"/>
      <c r="AI739" s="56"/>
      <c r="AJ739" s="56"/>
      <c r="AK739" s="56"/>
      <c r="AL739" s="56"/>
      <c r="AS739" s="56"/>
      <c r="AT739" s="56"/>
      <c r="AU739" s="56"/>
    </row>
    <row r="740" spans="1:47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AF740" s="56"/>
      <c r="AG740" s="56"/>
      <c r="AH740" s="56"/>
      <c r="AI740" s="56"/>
      <c r="AJ740" s="56"/>
      <c r="AK740" s="56"/>
      <c r="AL740" s="56"/>
      <c r="AS740" s="56"/>
      <c r="AT740" s="56"/>
      <c r="AU740" s="56"/>
    </row>
    <row r="741" spans="1:47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AF741" s="56"/>
      <c r="AG741" s="56"/>
      <c r="AH741" s="56"/>
      <c r="AI741" s="56"/>
      <c r="AJ741" s="56"/>
      <c r="AK741" s="56"/>
      <c r="AL741" s="56"/>
      <c r="AS741" s="56"/>
      <c r="AT741" s="56"/>
      <c r="AU741" s="56"/>
    </row>
    <row r="742" spans="1:47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AF742" s="56"/>
      <c r="AG742" s="56"/>
      <c r="AH742" s="56"/>
      <c r="AI742" s="56"/>
      <c r="AJ742" s="56"/>
      <c r="AK742" s="56"/>
      <c r="AL742" s="56"/>
      <c r="AS742" s="56"/>
      <c r="AT742" s="56"/>
      <c r="AU742" s="56"/>
    </row>
    <row r="743" spans="1:47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AF743" s="56"/>
      <c r="AG743" s="56"/>
      <c r="AH743" s="56"/>
      <c r="AI743" s="56"/>
      <c r="AJ743" s="56"/>
      <c r="AK743" s="56"/>
      <c r="AL743" s="56"/>
      <c r="AS743" s="56"/>
      <c r="AT743" s="56"/>
      <c r="AU743" s="56"/>
    </row>
    <row r="744" spans="1:47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AF744" s="56"/>
      <c r="AG744" s="56"/>
      <c r="AH744" s="56"/>
      <c r="AI744" s="56"/>
      <c r="AJ744" s="56"/>
      <c r="AK744" s="56"/>
      <c r="AL744" s="56"/>
      <c r="AS744" s="56"/>
      <c r="AT744" s="56"/>
      <c r="AU744" s="56"/>
    </row>
    <row r="745" spans="1:47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AF745" s="56"/>
      <c r="AG745" s="56"/>
      <c r="AH745" s="56"/>
      <c r="AI745" s="56"/>
      <c r="AJ745" s="56"/>
      <c r="AK745" s="56"/>
      <c r="AL745" s="56"/>
      <c r="AS745" s="56"/>
      <c r="AT745" s="56"/>
      <c r="AU745" s="56"/>
    </row>
    <row r="746" spans="1:47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AF746" s="56"/>
      <c r="AG746" s="56"/>
      <c r="AH746" s="56"/>
      <c r="AI746" s="56"/>
      <c r="AJ746" s="56"/>
      <c r="AK746" s="56"/>
      <c r="AL746" s="56"/>
      <c r="AS746" s="56"/>
      <c r="AT746" s="56"/>
      <c r="AU746" s="56"/>
    </row>
    <row r="747" spans="1:47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AF747" s="56"/>
      <c r="AG747" s="56"/>
      <c r="AH747" s="56"/>
      <c r="AI747" s="56"/>
      <c r="AJ747" s="56"/>
      <c r="AK747" s="56"/>
      <c r="AL747" s="56"/>
      <c r="AS747" s="56"/>
      <c r="AT747" s="56"/>
      <c r="AU747" s="56"/>
    </row>
    <row r="748" spans="1:47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AF748" s="56"/>
      <c r="AG748" s="56"/>
      <c r="AH748" s="56"/>
      <c r="AI748" s="56"/>
      <c r="AJ748" s="56"/>
      <c r="AK748" s="56"/>
      <c r="AL748" s="56"/>
      <c r="AS748" s="56"/>
      <c r="AT748" s="56"/>
      <c r="AU748" s="56"/>
    </row>
    <row r="749" spans="1:47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AF749" s="56"/>
      <c r="AG749" s="56"/>
      <c r="AH749" s="56"/>
      <c r="AI749" s="56"/>
      <c r="AJ749" s="56"/>
      <c r="AK749" s="56"/>
      <c r="AL749" s="56"/>
      <c r="AS749" s="56"/>
      <c r="AT749" s="56"/>
      <c r="AU749" s="56"/>
    </row>
    <row r="750" spans="1:47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AF750" s="56"/>
      <c r="AG750" s="56"/>
      <c r="AH750" s="56"/>
      <c r="AI750" s="56"/>
      <c r="AJ750" s="56"/>
      <c r="AK750" s="56"/>
      <c r="AL750" s="56"/>
      <c r="AS750" s="56"/>
      <c r="AT750" s="56"/>
      <c r="AU750" s="56"/>
    </row>
    <row r="751" spans="1:47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AF751" s="56"/>
      <c r="AG751" s="56"/>
      <c r="AH751" s="56"/>
      <c r="AI751" s="56"/>
      <c r="AJ751" s="56"/>
      <c r="AK751" s="56"/>
      <c r="AL751" s="56"/>
      <c r="AS751" s="56"/>
      <c r="AT751" s="56"/>
      <c r="AU751" s="56"/>
    </row>
    <row r="752" spans="1:47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AF752" s="56"/>
      <c r="AG752" s="56"/>
      <c r="AH752" s="56"/>
      <c r="AI752" s="56"/>
      <c r="AJ752" s="56"/>
      <c r="AK752" s="56"/>
      <c r="AL752" s="56"/>
      <c r="AS752" s="56"/>
      <c r="AT752" s="56"/>
      <c r="AU752" s="56"/>
    </row>
    <row r="753" spans="1:47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AF753" s="56"/>
      <c r="AG753" s="56"/>
      <c r="AH753" s="56"/>
      <c r="AI753" s="56"/>
      <c r="AJ753" s="56"/>
      <c r="AK753" s="56"/>
      <c r="AL753" s="56"/>
      <c r="AS753" s="56"/>
      <c r="AT753" s="56"/>
      <c r="AU753" s="56"/>
    </row>
    <row r="754" spans="1:47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AF754" s="56"/>
      <c r="AG754" s="56"/>
      <c r="AH754" s="56"/>
      <c r="AI754" s="56"/>
      <c r="AJ754" s="56"/>
      <c r="AK754" s="56"/>
      <c r="AL754" s="56"/>
      <c r="AS754" s="56"/>
      <c r="AT754" s="56"/>
      <c r="AU754" s="56"/>
    </row>
    <row r="755" spans="1:47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AF755" s="56"/>
      <c r="AG755" s="56"/>
      <c r="AH755" s="56"/>
      <c r="AI755" s="56"/>
      <c r="AJ755" s="56"/>
      <c r="AK755" s="56"/>
      <c r="AL755" s="56"/>
      <c r="AS755" s="56"/>
      <c r="AT755" s="56"/>
      <c r="AU755" s="56"/>
    </row>
    <row r="756" spans="1:47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AF756" s="56"/>
      <c r="AG756" s="56"/>
      <c r="AH756" s="56"/>
      <c r="AI756" s="56"/>
      <c r="AJ756" s="56"/>
      <c r="AK756" s="56"/>
      <c r="AL756" s="56"/>
      <c r="AS756" s="56"/>
      <c r="AT756" s="56"/>
      <c r="AU756" s="56"/>
    </row>
    <row r="757" spans="1:47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AF757" s="56"/>
      <c r="AG757" s="56"/>
      <c r="AH757" s="56"/>
      <c r="AI757" s="56"/>
      <c r="AJ757" s="56"/>
      <c r="AK757" s="56"/>
      <c r="AL757" s="56"/>
      <c r="AS757" s="56"/>
      <c r="AT757" s="56"/>
      <c r="AU757" s="56"/>
    </row>
    <row r="758" spans="1:47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AF758" s="56"/>
      <c r="AG758" s="56"/>
      <c r="AH758" s="56"/>
      <c r="AI758" s="56"/>
      <c r="AJ758" s="56"/>
      <c r="AK758" s="56"/>
      <c r="AL758" s="56"/>
      <c r="AS758" s="56"/>
      <c r="AT758" s="56"/>
      <c r="AU758" s="56"/>
    </row>
    <row r="759" spans="1:47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AF759" s="56"/>
      <c r="AG759" s="56"/>
      <c r="AH759" s="56"/>
      <c r="AI759" s="56"/>
      <c r="AJ759" s="56"/>
      <c r="AK759" s="56"/>
      <c r="AL759" s="56"/>
      <c r="AS759" s="56"/>
      <c r="AT759" s="56"/>
      <c r="AU759" s="56"/>
    </row>
    <row r="760" spans="1:47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AF760" s="56"/>
      <c r="AG760" s="56"/>
      <c r="AH760" s="56"/>
      <c r="AI760" s="56"/>
      <c r="AJ760" s="56"/>
      <c r="AK760" s="56"/>
      <c r="AL760" s="56"/>
      <c r="AS760" s="56"/>
      <c r="AT760" s="56"/>
      <c r="AU760" s="56"/>
    </row>
    <row r="761" spans="1:47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AF761" s="56"/>
      <c r="AG761" s="56"/>
      <c r="AH761" s="56"/>
      <c r="AI761" s="56"/>
      <c r="AJ761" s="56"/>
      <c r="AK761" s="56"/>
      <c r="AL761" s="56"/>
      <c r="AS761" s="56"/>
      <c r="AT761" s="56"/>
      <c r="AU761" s="56"/>
    </row>
    <row r="762" spans="1:47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AF762" s="56"/>
      <c r="AG762" s="56"/>
      <c r="AH762" s="56"/>
      <c r="AI762" s="56"/>
      <c r="AJ762" s="56"/>
      <c r="AK762" s="56"/>
      <c r="AL762" s="56"/>
      <c r="AS762" s="56"/>
      <c r="AT762" s="56"/>
      <c r="AU762" s="56"/>
    </row>
    <row r="763" spans="1:47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AF763" s="56"/>
      <c r="AG763" s="56"/>
      <c r="AH763" s="56"/>
      <c r="AI763" s="56"/>
      <c r="AJ763" s="56"/>
      <c r="AK763" s="56"/>
      <c r="AL763" s="56"/>
      <c r="AS763" s="56"/>
      <c r="AT763" s="56"/>
      <c r="AU763" s="56"/>
    </row>
    <row r="764" spans="1:47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AF764" s="56"/>
      <c r="AG764" s="56"/>
      <c r="AH764" s="56"/>
      <c r="AI764" s="56"/>
      <c r="AJ764" s="56"/>
      <c r="AK764" s="56"/>
      <c r="AL764" s="56"/>
      <c r="AS764" s="56"/>
      <c r="AT764" s="56"/>
      <c r="AU764" s="56"/>
    </row>
    <row r="765" spans="1:47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AF765" s="56"/>
      <c r="AG765" s="56"/>
      <c r="AH765" s="56"/>
      <c r="AI765" s="56"/>
      <c r="AJ765" s="56"/>
      <c r="AK765" s="56"/>
      <c r="AL765" s="56"/>
      <c r="AS765" s="56"/>
      <c r="AT765" s="56"/>
      <c r="AU765" s="56"/>
    </row>
    <row r="766" spans="1:47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AF766" s="56"/>
      <c r="AG766" s="56"/>
      <c r="AH766" s="56"/>
      <c r="AI766" s="56"/>
      <c r="AJ766" s="56"/>
      <c r="AK766" s="56"/>
      <c r="AL766" s="56"/>
      <c r="AS766" s="56"/>
      <c r="AT766" s="56"/>
      <c r="AU766" s="56"/>
    </row>
    <row r="767" spans="1:47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AF767" s="56"/>
      <c r="AG767" s="56"/>
      <c r="AH767" s="56"/>
      <c r="AI767" s="56"/>
      <c r="AJ767" s="56"/>
      <c r="AK767" s="56"/>
      <c r="AL767" s="56"/>
      <c r="AS767" s="56"/>
      <c r="AT767" s="56"/>
      <c r="AU767" s="56"/>
    </row>
    <row r="768" spans="1:47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AF768" s="56"/>
      <c r="AG768" s="56"/>
      <c r="AH768" s="56"/>
      <c r="AI768" s="56"/>
      <c r="AJ768" s="56"/>
      <c r="AK768" s="56"/>
      <c r="AL768" s="56"/>
      <c r="AS768" s="56"/>
      <c r="AT768" s="56"/>
      <c r="AU768" s="56"/>
    </row>
    <row r="769" spans="1:47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AF769" s="56"/>
      <c r="AG769" s="56"/>
      <c r="AH769" s="56"/>
      <c r="AI769" s="56"/>
      <c r="AJ769" s="56"/>
      <c r="AK769" s="56"/>
      <c r="AL769" s="56"/>
      <c r="AS769" s="56"/>
      <c r="AT769" s="56"/>
      <c r="AU769" s="56"/>
    </row>
    <row r="770" spans="1:47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AF770" s="56"/>
      <c r="AG770" s="56"/>
      <c r="AH770" s="56"/>
      <c r="AI770" s="56"/>
      <c r="AJ770" s="56"/>
      <c r="AK770" s="56"/>
      <c r="AL770" s="56"/>
      <c r="AS770" s="56"/>
      <c r="AT770" s="56"/>
      <c r="AU770" s="56"/>
    </row>
    <row r="771" spans="1:47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AF771" s="56"/>
      <c r="AG771" s="56"/>
      <c r="AH771" s="56"/>
      <c r="AI771" s="56"/>
      <c r="AJ771" s="56"/>
      <c r="AK771" s="56"/>
      <c r="AL771" s="56"/>
      <c r="AS771" s="56"/>
      <c r="AT771" s="56"/>
      <c r="AU771" s="56"/>
    </row>
    <row r="772" spans="1:47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AF772" s="56"/>
      <c r="AG772" s="56"/>
      <c r="AH772" s="56"/>
      <c r="AI772" s="56"/>
      <c r="AJ772" s="56"/>
      <c r="AK772" s="56"/>
      <c r="AL772" s="56"/>
      <c r="AS772" s="56"/>
      <c r="AT772" s="56"/>
      <c r="AU772" s="56"/>
    </row>
    <row r="773" spans="1:47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AF773" s="56"/>
      <c r="AG773" s="56"/>
      <c r="AH773" s="56"/>
      <c r="AI773" s="56"/>
      <c r="AJ773" s="56"/>
      <c r="AK773" s="56"/>
      <c r="AL773" s="56"/>
      <c r="AS773" s="56"/>
      <c r="AT773" s="56"/>
      <c r="AU773" s="56"/>
    </row>
    <row r="774" spans="1:47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AF774" s="56"/>
      <c r="AG774" s="56"/>
      <c r="AH774" s="56"/>
      <c r="AI774" s="56"/>
      <c r="AJ774" s="56"/>
      <c r="AK774" s="56"/>
      <c r="AL774" s="56"/>
      <c r="AS774" s="56"/>
      <c r="AT774" s="56"/>
      <c r="AU774" s="56"/>
    </row>
    <row r="775" spans="1:47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AF775" s="56"/>
      <c r="AG775" s="56"/>
      <c r="AH775" s="56"/>
      <c r="AI775" s="56"/>
      <c r="AJ775" s="56"/>
      <c r="AK775" s="56"/>
      <c r="AL775" s="56"/>
      <c r="AS775" s="56"/>
      <c r="AT775" s="56"/>
      <c r="AU775" s="56"/>
    </row>
    <row r="776" spans="1:47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AF776" s="56"/>
      <c r="AG776" s="56"/>
      <c r="AH776" s="56"/>
      <c r="AI776" s="56"/>
      <c r="AJ776" s="56"/>
      <c r="AK776" s="56"/>
      <c r="AL776" s="56"/>
      <c r="AS776" s="56"/>
      <c r="AT776" s="56"/>
      <c r="AU776" s="56"/>
    </row>
    <row r="777" spans="1:47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AF777" s="56"/>
      <c r="AG777" s="56"/>
      <c r="AH777" s="56"/>
      <c r="AI777" s="56"/>
      <c r="AJ777" s="56"/>
      <c r="AK777" s="56"/>
      <c r="AL777" s="56"/>
      <c r="AS777" s="56"/>
      <c r="AT777" s="56"/>
      <c r="AU777" s="56"/>
    </row>
    <row r="778" spans="1:47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AF778" s="56"/>
      <c r="AG778" s="56"/>
      <c r="AH778" s="56"/>
      <c r="AI778" s="56"/>
      <c r="AJ778" s="56"/>
      <c r="AK778" s="56"/>
      <c r="AL778" s="56"/>
      <c r="AS778" s="56"/>
      <c r="AT778" s="56"/>
      <c r="AU778" s="56"/>
    </row>
    <row r="779" spans="1:47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AF779" s="56"/>
      <c r="AG779" s="56"/>
      <c r="AH779" s="56"/>
      <c r="AI779" s="56"/>
      <c r="AJ779" s="56"/>
      <c r="AK779" s="56"/>
      <c r="AL779" s="56"/>
      <c r="AS779" s="56"/>
      <c r="AT779" s="56"/>
      <c r="AU779" s="56"/>
    </row>
    <row r="780" spans="1:47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AF780" s="56"/>
      <c r="AG780" s="56"/>
      <c r="AH780" s="56"/>
      <c r="AI780" s="56"/>
      <c r="AJ780" s="56"/>
      <c r="AK780" s="56"/>
      <c r="AL780" s="56"/>
      <c r="AS780" s="56"/>
      <c r="AT780" s="56"/>
      <c r="AU780" s="56"/>
    </row>
    <row r="781" spans="1:47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AF781" s="56"/>
      <c r="AG781" s="56"/>
      <c r="AH781" s="56"/>
      <c r="AI781" s="56"/>
      <c r="AJ781" s="56"/>
      <c r="AK781" s="56"/>
      <c r="AL781" s="56"/>
      <c r="AS781" s="56"/>
      <c r="AT781" s="56"/>
      <c r="AU781" s="56"/>
    </row>
    <row r="782" spans="1:47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AF782" s="56"/>
      <c r="AG782" s="56"/>
      <c r="AH782" s="56"/>
      <c r="AI782" s="56"/>
      <c r="AJ782" s="56"/>
      <c r="AK782" s="56"/>
      <c r="AL782" s="56"/>
      <c r="AS782" s="56"/>
      <c r="AT782" s="56"/>
      <c r="AU782" s="56"/>
    </row>
    <row r="783" spans="1:47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AF783" s="56"/>
      <c r="AG783" s="56"/>
      <c r="AH783" s="56"/>
      <c r="AI783" s="56"/>
      <c r="AJ783" s="56"/>
      <c r="AK783" s="56"/>
      <c r="AL783" s="56"/>
      <c r="AS783" s="56"/>
      <c r="AT783" s="56"/>
      <c r="AU783" s="56"/>
    </row>
    <row r="784" spans="1:47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AF784" s="56"/>
      <c r="AG784" s="56"/>
      <c r="AH784" s="56"/>
      <c r="AI784" s="56"/>
      <c r="AJ784" s="56"/>
      <c r="AK784" s="56"/>
      <c r="AL784" s="56"/>
      <c r="AS784" s="56"/>
      <c r="AT784" s="56"/>
      <c r="AU784" s="56"/>
    </row>
    <row r="785" spans="1:47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AF785" s="56"/>
      <c r="AG785" s="56"/>
      <c r="AH785" s="56"/>
      <c r="AI785" s="56"/>
      <c r="AJ785" s="56"/>
      <c r="AK785" s="56"/>
      <c r="AL785" s="56"/>
      <c r="AS785" s="56"/>
      <c r="AT785" s="56"/>
      <c r="AU785" s="56"/>
    </row>
    <row r="786" spans="1:47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AF786" s="56"/>
      <c r="AG786" s="56"/>
      <c r="AH786" s="56"/>
      <c r="AI786" s="56"/>
      <c r="AJ786" s="56"/>
      <c r="AK786" s="56"/>
      <c r="AL786" s="56"/>
      <c r="AS786" s="56"/>
      <c r="AT786" s="56"/>
      <c r="AU786" s="56"/>
    </row>
    <row r="787" spans="1:47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AF787" s="56"/>
      <c r="AG787" s="56"/>
      <c r="AH787" s="56"/>
      <c r="AI787" s="56"/>
      <c r="AJ787" s="56"/>
      <c r="AK787" s="56"/>
      <c r="AL787" s="56"/>
      <c r="AS787" s="56"/>
      <c r="AT787" s="56"/>
      <c r="AU787" s="56"/>
    </row>
    <row r="788" spans="1:47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AF788" s="56"/>
      <c r="AG788" s="56"/>
      <c r="AH788" s="56"/>
      <c r="AI788" s="56"/>
      <c r="AJ788" s="56"/>
      <c r="AK788" s="56"/>
      <c r="AL788" s="56"/>
      <c r="AS788" s="56"/>
      <c r="AT788" s="56"/>
      <c r="AU788" s="56"/>
    </row>
    <row r="789" spans="1:47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AF789" s="56"/>
      <c r="AG789" s="56"/>
      <c r="AH789" s="56"/>
      <c r="AI789" s="56"/>
      <c r="AJ789" s="56"/>
      <c r="AK789" s="56"/>
      <c r="AL789" s="56"/>
      <c r="AS789" s="56"/>
      <c r="AT789" s="56"/>
      <c r="AU789" s="56"/>
    </row>
    <row r="790" spans="1:47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AF790" s="56"/>
      <c r="AG790" s="56"/>
      <c r="AH790" s="56"/>
      <c r="AI790" s="56"/>
      <c r="AJ790" s="56"/>
      <c r="AK790" s="56"/>
      <c r="AL790" s="56"/>
      <c r="AS790" s="56"/>
      <c r="AT790" s="56"/>
      <c r="AU790" s="56"/>
    </row>
    <row r="791" spans="1:47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AF791" s="56"/>
      <c r="AG791" s="56"/>
      <c r="AH791" s="56"/>
      <c r="AI791" s="56"/>
      <c r="AJ791" s="56"/>
      <c r="AK791" s="56"/>
      <c r="AL791" s="56"/>
      <c r="AS791" s="56"/>
      <c r="AT791" s="56"/>
      <c r="AU791" s="56"/>
    </row>
    <row r="792" spans="1:47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AF792" s="56"/>
      <c r="AG792" s="56"/>
      <c r="AH792" s="56"/>
      <c r="AI792" s="56"/>
      <c r="AJ792" s="56"/>
      <c r="AK792" s="56"/>
      <c r="AL792" s="56"/>
      <c r="AS792" s="56"/>
      <c r="AT792" s="56"/>
      <c r="AU792" s="56"/>
    </row>
    <row r="793" spans="1:47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AF793" s="56"/>
      <c r="AG793" s="56"/>
      <c r="AH793" s="56"/>
      <c r="AI793" s="56"/>
      <c r="AJ793" s="56"/>
      <c r="AK793" s="56"/>
      <c r="AL793" s="56"/>
      <c r="AS793" s="56"/>
      <c r="AT793" s="56"/>
      <c r="AU793" s="56"/>
    </row>
    <row r="794" spans="1:47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AF794" s="56"/>
      <c r="AG794" s="56"/>
      <c r="AH794" s="56"/>
      <c r="AI794" s="56"/>
      <c r="AJ794" s="56"/>
      <c r="AK794" s="56"/>
      <c r="AL794" s="56"/>
      <c r="AS794" s="56"/>
      <c r="AT794" s="56"/>
      <c r="AU794" s="56"/>
    </row>
    <row r="795" spans="1:47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AF795" s="56"/>
      <c r="AG795" s="56"/>
      <c r="AH795" s="56"/>
      <c r="AI795" s="56"/>
      <c r="AJ795" s="56"/>
      <c r="AK795" s="56"/>
      <c r="AL795" s="56"/>
      <c r="AS795" s="56"/>
      <c r="AT795" s="56"/>
      <c r="AU795" s="56"/>
    </row>
    <row r="796" spans="1:47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AF796" s="56"/>
      <c r="AG796" s="56"/>
      <c r="AH796" s="56"/>
      <c r="AI796" s="56"/>
      <c r="AJ796" s="56"/>
      <c r="AK796" s="56"/>
      <c r="AL796" s="56"/>
      <c r="AS796" s="56"/>
      <c r="AT796" s="56"/>
      <c r="AU796" s="56"/>
    </row>
    <row r="797" spans="1:47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AF797" s="56"/>
      <c r="AG797" s="56"/>
      <c r="AH797" s="56"/>
      <c r="AI797" s="56"/>
      <c r="AJ797" s="56"/>
      <c r="AK797" s="56"/>
      <c r="AL797" s="56"/>
      <c r="AS797" s="56"/>
      <c r="AT797" s="56"/>
      <c r="AU797" s="56"/>
    </row>
    <row r="798" spans="1:47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AF798" s="56"/>
      <c r="AG798" s="56"/>
      <c r="AH798" s="56"/>
      <c r="AI798" s="56"/>
      <c r="AJ798" s="56"/>
      <c r="AK798" s="56"/>
      <c r="AL798" s="56"/>
      <c r="AS798" s="56"/>
      <c r="AT798" s="56"/>
      <c r="AU798" s="56"/>
    </row>
    <row r="799" spans="1:47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AF799" s="56"/>
      <c r="AG799" s="56"/>
      <c r="AH799" s="56"/>
      <c r="AI799" s="56"/>
      <c r="AJ799" s="56"/>
      <c r="AK799" s="56"/>
      <c r="AL799" s="56"/>
      <c r="AS799" s="56"/>
      <c r="AT799" s="56"/>
      <c r="AU799" s="56"/>
    </row>
    <row r="800" spans="1:47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AF800" s="56"/>
      <c r="AG800" s="56"/>
      <c r="AH800" s="56"/>
      <c r="AI800" s="56"/>
      <c r="AJ800" s="56"/>
      <c r="AK800" s="56"/>
      <c r="AL800" s="56"/>
      <c r="AS800" s="56"/>
      <c r="AT800" s="56"/>
      <c r="AU800" s="56"/>
    </row>
    <row r="801" spans="1:47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AF801" s="56"/>
      <c r="AG801" s="56"/>
      <c r="AH801" s="56"/>
      <c r="AI801" s="56"/>
      <c r="AJ801" s="56"/>
      <c r="AK801" s="56"/>
      <c r="AL801" s="56"/>
      <c r="AS801" s="56"/>
      <c r="AT801" s="56"/>
      <c r="AU801" s="56"/>
    </row>
    <row r="802" spans="1:47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AF802" s="56"/>
      <c r="AG802" s="56"/>
      <c r="AH802" s="56"/>
      <c r="AI802" s="56"/>
      <c r="AJ802" s="56"/>
      <c r="AK802" s="56"/>
      <c r="AL802" s="56"/>
      <c r="AS802" s="56"/>
      <c r="AT802" s="56"/>
      <c r="AU802" s="56"/>
    </row>
    <row r="803" spans="1:47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AF803" s="56"/>
      <c r="AG803" s="56"/>
      <c r="AH803" s="56"/>
      <c r="AI803" s="56"/>
      <c r="AJ803" s="56"/>
      <c r="AK803" s="56"/>
      <c r="AL803" s="56"/>
      <c r="AS803" s="56"/>
      <c r="AT803" s="56"/>
      <c r="AU803" s="56"/>
    </row>
    <row r="804" spans="1:47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AF804" s="56"/>
      <c r="AG804" s="56"/>
      <c r="AH804" s="56"/>
      <c r="AI804" s="56"/>
      <c r="AJ804" s="56"/>
      <c r="AK804" s="56"/>
      <c r="AL804" s="56"/>
      <c r="AS804" s="56"/>
      <c r="AT804" s="56"/>
      <c r="AU804" s="56"/>
    </row>
    <row r="805" spans="1:47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AF805" s="56"/>
      <c r="AG805" s="56"/>
      <c r="AH805" s="56"/>
      <c r="AI805" s="56"/>
      <c r="AJ805" s="56"/>
      <c r="AK805" s="56"/>
      <c r="AL805" s="56"/>
      <c r="AS805" s="56"/>
      <c r="AT805" s="56"/>
      <c r="AU805" s="56"/>
    </row>
    <row r="806" spans="1:47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AF806" s="56"/>
      <c r="AG806" s="56"/>
      <c r="AH806" s="56"/>
      <c r="AI806" s="56"/>
      <c r="AJ806" s="56"/>
      <c r="AK806" s="56"/>
      <c r="AL806" s="56"/>
      <c r="AS806" s="56"/>
      <c r="AT806" s="56"/>
      <c r="AU806" s="56"/>
    </row>
    <row r="807" spans="1:47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AF807" s="56"/>
      <c r="AG807" s="56"/>
      <c r="AH807" s="56"/>
      <c r="AI807" s="56"/>
      <c r="AJ807" s="56"/>
      <c r="AK807" s="56"/>
      <c r="AL807" s="56"/>
      <c r="AS807" s="56"/>
      <c r="AT807" s="56"/>
      <c r="AU807" s="56"/>
    </row>
    <row r="808" spans="1:47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AF808" s="56"/>
      <c r="AG808" s="56"/>
      <c r="AH808" s="56"/>
      <c r="AI808" s="56"/>
      <c r="AJ808" s="56"/>
      <c r="AK808" s="56"/>
      <c r="AL808" s="56"/>
      <c r="AS808" s="56"/>
      <c r="AT808" s="56"/>
      <c r="AU808" s="56"/>
    </row>
    <row r="809" spans="1:47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AF809" s="56"/>
      <c r="AG809" s="56"/>
      <c r="AH809" s="56"/>
      <c r="AI809" s="56"/>
      <c r="AJ809" s="56"/>
      <c r="AK809" s="56"/>
      <c r="AL809" s="56"/>
      <c r="AS809" s="56"/>
      <c r="AT809" s="56"/>
      <c r="AU809" s="56"/>
    </row>
    <row r="810" spans="1:47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AF810" s="56"/>
      <c r="AG810" s="56"/>
      <c r="AH810" s="56"/>
      <c r="AI810" s="56"/>
      <c r="AJ810" s="56"/>
      <c r="AK810" s="56"/>
      <c r="AL810" s="56"/>
      <c r="AS810" s="56"/>
      <c r="AT810" s="56"/>
      <c r="AU810" s="56"/>
    </row>
    <row r="811" spans="1:47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AF811" s="56"/>
      <c r="AG811" s="56"/>
      <c r="AH811" s="56"/>
      <c r="AI811" s="56"/>
      <c r="AJ811" s="56"/>
      <c r="AK811" s="56"/>
      <c r="AL811" s="56"/>
      <c r="AS811" s="56"/>
      <c r="AT811" s="56"/>
      <c r="AU811" s="56"/>
    </row>
    <row r="812" spans="1:47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AF812" s="56"/>
      <c r="AG812" s="56"/>
      <c r="AH812" s="56"/>
      <c r="AI812" s="56"/>
      <c r="AJ812" s="56"/>
      <c r="AK812" s="56"/>
      <c r="AL812" s="56"/>
      <c r="AS812" s="56"/>
      <c r="AT812" s="56"/>
      <c r="AU812" s="56"/>
    </row>
    <row r="813" spans="1:47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AF813" s="56"/>
      <c r="AG813" s="56"/>
      <c r="AH813" s="56"/>
      <c r="AI813" s="56"/>
      <c r="AJ813" s="56"/>
      <c r="AK813" s="56"/>
      <c r="AL813" s="56"/>
      <c r="AS813" s="56"/>
      <c r="AT813" s="56"/>
      <c r="AU813" s="56"/>
    </row>
    <row r="814" spans="1:47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AF814" s="56"/>
      <c r="AG814" s="56"/>
      <c r="AH814" s="56"/>
      <c r="AI814" s="56"/>
      <c r="AJ814" s="56"/>
      <c r="AK814" s="56"/>
      <c r="AL814" s="56"/>
      <c r="AS814" s="56"/>
      <c r="AT814" s="56"/>
      <c r="AU814" s="56"/>
    </row>
    <row r="815" spans="1:47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AF815" s="56"/>
      <c r="AG815" s="56"/>
      <c r="AH815" s="56"/>
      <c r="AI815" s="56"/>
      <c r="AJ815" s="56"/>
      <c r="AK815" s="56"/>
      <c r="AL815" s="56"/>
      <c r="AS815" s="56"/>
      <c r="AT815" s="56"/>
      <c r="AU815" s="56"/>
    </row>
    <row r="816" spans="1:47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AF816" s="56"/>
      <c r="AG816" s="56"/>
      <c r="AH816" s="56"/>
      <c r="AI816" s="56"/>
      <c r="AJ816" s="56"/>
      <c r="AK816" s="56"/>
      <c r="AL816" s="56"/>
      <c r="AS816" s="56"/>
      <c r="AT816" s="56"/>
      <c r="AU816" s="56"/>
    </row>
    <row r="817" spans="1:47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AF817" s="56"/>
      <c r="AG817" s="56"/>
      <c r="AH817" s="56"/>
      <c r="AI817" s="56"/>
      <c r="AJ817" s="56"/>
      <c r="AK817" s="56"/>
      <c r="AL817" s="56"/>
      <c r="AS817" s="56"/>
      <c r="AT817" s="56"/>
      <c r="AU817" s="56"/>
    </row>
    <row r="818" spans="1:47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AF818" s="56"/>
      <c r="AG818" s="56"/>
      <c r="AH818" s="56"/>
      <c r="AI818" s="56"/>
      <c r="AJ818" s="56"/>
      <c r="AK818" s="56"/>
      <c r="AL818" s="56"/>
      <c r="AS818" s="56"/>
      <c r="AT818" s="56"/>
      <c r="AU818" s="56"/>
    </row>
    <row r="819" spans="1:47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AF819" s="56"/>
      <c r="AG819" s="56"/>
      <c r="AH819" s="56"/>
      <c r="AI819" s="56"/>
      <c r="AJ819" s="56"/>
      <c r="AK819" s="56"/>
      <c r="AL819" s="56"/>
      <c r="AS819" s="56"/>
      <c r="AT819" s="56"/>
      <c r="AU819" s="56"/>
    </row>
    <row r="820" spans="1:47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AF820" s="56"/>
      <c r="AG820" s="56"/>
      <c r="AH820" s="56"/>
      <c r="AI820" s="56"/>
      <c r="AJ820" s="56"/>
      <c r="AK820" s="56"/>
      <c r="AL820" s="56"/>
      <c r="AS820" s="56"/>
      <c r="AT820" s="56"/>
      <c r="AU820" s="56"/>
    </row>
    <row r="821" spans="1:47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AF821" s="56"/>
      <c r="AG821" s="56"/>
      <c r="AH821" s="56"/>
      <c r="AI821" s="56"/>
      <c r="AJ821" s="56"/>
      <c r="AK821" s="56"/>
      <c r="AL821" s="56"/>
      <c r="AS821" s="56"/>
      <c r="AT821" s="56"/>
      <c r="AU821" s="56"/>
    </row>
    <row r="822" spans="1:47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AF822" s="56"/>
      <c r="AG822" s="56"/>
      <c r="AH822" s="56"/>
      <c r="AI822" s="56"/>
      <c r="AJ822" s="56"/>
      <c r="AK822" s="56"/>
      <c r="AL822" s="56"/>
      <c r="AS822" s="56"/>
      <c r="AT822" s="56"/>
      <c r="AU822" s="56"/>
    </row>
    <row r="823" spans="1:47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AF823" s="56"/>
      <c r="AG823" s="56"/>
      <c r="AH823" s="56"/>
      <c r="AI823" s="56"/>
      <c r="AJ823" s="56"/>
      <c r="AK823" s="56"/>
      <c r="AL823" s="56"/>
      <c r="AS823" s="56"/>
      <c r="AT823" s="56"/>
      <c r="AU823" s="56"/>
    </row>
    <row r="824" spans="1:47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AF824" s="56"/>
      <c r="AG824" s="56"/>
      <c r="AH824" s="56"/>
      <c r="AI824" s="56"/>
      <c r="AJ824" s="56"/>
      <c r="AK824" s="56"/>
      <c r="AL824" s="56"/>
      <c r="AS824" s="56"/>
      <c r="AT824" s="56"/>
      <c r="AU824" s="56"/>
    </row>
    <row r="825" spans="1:47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AF825" s="56"/>
      <c r="AG825" s="56"/>
      <c r="AH825" s="56"/>
      <c r="AI825" s="56"/>
      <c r="AJ825" s="56"/>
      <c r="AK825" s="56"/>
      <c r="AL825" s="56"/>
      <c r="AS825" s="56"/>
      <c r="AT825" s="56"/>
      <c r="AU825" s="56"/>
    </row>
    <row r="826" spans="1:47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AF826" s="56"/>
      <c r="AG826" s="56"/>
      <c r="AH826" s="56"/>
      <c r="AI826" s="56"/>
      <c r="AJ826" s="56"/>
      <c r="AK826" s="56"/>
      <c r="AL826" s="56"/>
      <c r="AS826" s="56"/>
      <c r="AT826" s="56"/>
      <c r="AU826" s="56"/>
    </row>
    <row r="827" spans="1:47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AF827" s="56"/>
      <c r="AG827" s="56"/>
      <c r="AH827" s="56"/>
      <c r="AI827" s="56"/>
      <c r="AJ827" s="56"/>
      <c r="AK827" s="56"/>
      <c r="AL827" s="56"/>
      <c r="AS827" s="56"/>
      <c r="AT827" s="56"/>
      <c r="AU827" s="56"/>
    </row>
    <row r="828" spans="1:47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AF828" s="56"/>
      <c r="AG828" s="56"/>
      <c r="AH828" s="56"/>
      <c r="AI828" s="56"/>
      <c r="AJ828" s="56"/>
      <c r="AK828" s="56"/>
      <c r="AL828" s="56"/>
      <c r="AS828" s="56"/>
      <c r="AT828" s="56"/>
      <c r="AU828" s="56"/>
    </row>
    <row r="829" spans="1:47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AF829" s="56"/>
      <c r="AG829" s="56"/>
      <c r="AH829" s="56"/>
      <c r="AI829" s="56"/>
      <c r="AJ829" s="56"/>
      <c r="AK829" s="56"/>
      <c r="AL829" s="56"/>
      <c r="AS829" s="56"/>
      <c r="AT829" s="56"/>
      <c r="AU829" s="56"/>
    </row>
    <row r="830" spans="1:47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AF830" s="56"/>
      <c r="AG830" s="56"/>
      <c r="AH830" s="56"/>
      <c r="AI830" s="56"/>
      <c r="AJ830" s="56"/>
      <c r="AK830" s="56"/>
      <c r="AL830" s="56"/>
      <c r="AS830" s="56"/>
      <c r="AT830" s="56"/>
      <c r="AU830" s="56"/>
    </row>
    <row r="831" spans="1:47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AF831" s="56"/>
      <c r="AG831" s="56"/>
      <c r="AH831" s="56"/>
      <c r="AI831" s="56"/>
      <c r="AJ831" s="56"/>
      <c r="AK831" s="56"/>
      <c r="AL831" s="56"/>
      <c r="AS831" s="56"/>
      <c r="AT831" s="56"/>
      <c r="AU831" s="56"/>
    </row>
    <row r="832" spans="1:47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AF832" s="56"/>
      <c r="AG832" s="56"/>
      <c r="AH832" s="56"/>
      <c r="AI832" s="56"/>
      <c r="AJ832" s="56"/>
      <c r="AK832" s="56"/>
      <c r="AL832" s="56"/>
      <c r="AS832" s="56"/>
      <c r="AT832" s="56"/>
      <c r="AU832" s="56"/>
    </row>
    <row r="833" spans="1:47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AF833" s="56"/>
      <c r="AG833" s="56"/>
      <c r="AH833" s="56"/>
      <c r="AI833" s="56"/>
      <c r="AJ833" s="56"/>
      <c r="AK833" s="56"/>
      <c r="AL833" s="56"/>
      <c r="AS833" s="56"/>
      <c r="AT833" s="56"/>
      <c r="AU833" s="56"/>
    </row>
    <row r="834" spans="1:47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AF834" s="56"/>
      <c r="AG834" s="56"/>
      <c r="AH834" s="56"/>
      <c r="AI834" s="56"/>
      <c r="AJ834" s="56"/>
      <c r="AK834" s="56"/>
      <c r="AL834" s="56"/>
      <c r="AS834" s="56"/>
      <c r="AT834" s="56"/>
      <c r="AU834" s="56"/>
    </row>
    <row r="835" spans="1:47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AF835" s="56"/>
      <c r="AG835" s="56"/>
      <c r="AH835" s="56"/>
      <c r="AI835" s="56"/>
      <c r="AJ835" s="56"/>
      <c r="AK835" s="56"/>
      <c r="AL835" s="56"/>
      <c r="AS835" s="56"/>
      <c r="AT835" s="56"/>
      <c r="AU835" s="56"/>
    </row>
    <row r="836" spans="1:47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AF836" s="56"/>
      <c r="AG836" s="56"/>
      <c r="AH836" s="56"/>
      <c r="AI836" s="56"/>
      <c r="AJ836" s="56"/>
      <c r="AK836" s="56"/>
      <c r="AL836" s="56"/>
      <c r="AS836" s="56"/>
      <c r="AT836" s="56"/>
      <c r="AU836" s="56"/>
    </row>
    <row r="837" spans="1:47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AF837" s="56"/>
      <c r="AG837" s="56"/>
      <c r="AH837" s="56"/>
      <c r="AI837" s="56"/>
      <c r="AJ837" s="56"/>
      <c r="AK837" s="56"/>
      <c r="AL837" s="56"/>
      <c r="AS837" s="56"/>
      <c r="AT837" s="56"/>
      <c r="AU837" s="56"/>
    </row>
    <row r="838" spans="1:47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AF838" s="56"/>
      <c r="AG838" s="56"/>
      <c r="AH838" s="56"/>
      <c r="AI838" s="56"/>
      <c r="AJ838" s="56"/>
      <c r="AK838" s="56"/>
      <c r="AL838" s="56"/>
      <c r="AS838" s="56"/>
      <c r="AT838" s="56"/>
      <c r="AU838" s="56"/>
    </row>
    <row r="839" spans="1:47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AF839" s="56"/>
      <c r="AG839" s="56"/>
      <c r="AH839" s="56"/>
      <c r="AI839" s="56"/>
      <c r="AJ839" s="56"/>
      <c r="AK839" s="56"/>
      <c r="AL839" s="56"/>
      <c r="AS839" s="56"/>
      <c r="AT839" s="56"/>
      <c r="AU839" s="56"/>
    </row>
    <row r="840" spans="1:47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AF840" s="56"/>
      <c r="AG840" s="56"/>
      <c r="AH840" s="56"/>
      <c r="AI840" s="56"/>
      <c r="AJ840" s="56"/>
      <c r="AK840" s="56"/>
      <c r="AL840" s="56"/>
      <c r="AS840" s="56"/>
      <c r="AT840" s="56"/>
      <c r="AU840" s="56"/>
    </row>
    <row r="841" spans="1:47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AF841" s="56"/>
      <c r="AG841" s="56"/>
      <c r="AH841" s="56"/>
      <c r="AI841" s="56"/>
      <c r="AJ841" s="56"/>
      <c r="AK841" s="56"/>
      <c r="AL841" s="56"/>
      <c r="AS841" s="56"/>
      <c r="AT841" s="56"/>
      <c r="AU841" s="56"/>
    </row>
    <row r="842" spans="1:47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AF842" s="56"/>
      <c r="AG842" s="56"/>
      <c r="AH842" s="56"/>
      <c r="AI842" s="56"/>
      <c r="AJ842" s="56"/>
      <c r="AK842" s="56"/>
      <c r="AL842" s="56"/>
      <c r="AS842" s="56"/>
      <c r="AT842" s="56"/>
      <c r="AU842" s="56"/>
    </row>
    <row r="843" spans="1:47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AF843" s="56"/>
      <c r="AG843" s="56"/>
      <c r="AH843" s="56"/>
      <c r="AI843" s="56"/>
      <c r="AJ843" s="56"/>
      <c r="AK843" s="56"/>
      <c r="AL843" s="56"/>
      <c r="AS843" s="56"/>
      <c r="AT843" s="56"/>
      <c r="AU843" s="56"/>
    </row>
    <row r="844" spans="1:47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AF844" s="56"/>
      <c r="AG844" s="56"/>
      <c r="AH844" s="56"/>
      <c r="AI844" s="56"/>
      <c r="AJ844" s="56"/>
      <c r="AK844" s="56"/>
      <c r="AL844" s="56"/>
      <c r="AS844" s="56"/>
      <c r="AT844" s="56"/>
      <c r="AU844" s="56"/>
    </row>
    <row r="845" spans="1:47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AF845" s="56"/>
      <c r="AG845" s="56"/>
      <c r="AH845" s="56"/>
      <c r="AI845" s="56"/>
      <c r="AJ845" s="56"/>
      <c r="AK845" s="56"/>
      <c r="AL845" s="56"/>
      <c r="AS845" s="56"/>
      <c r="AT845" s="56"/>
      <c r="AU845" s="56"/>
    </row>
    <row r="846" spans="1:47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AF846" s="56"/>
      <c r="AG846" s="56"/>
      <c r="AH846" s="56"/>
      <c r="AI846" s="56"/>
      <c r="AJ846" s="56"/>
      <c r="AK846" s="56"/>
      <c r="AL846" s="56"/>
      <c r="AS846" s="56"/>
      <c r="AT846" s="56"/>
      <c r="AU846" s="56"/>
    </row>
    <row r="847" spans="1:47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AF847" s="56"/>
      <c r="AG847" s="56"/>
      <c r="AH847" s="56"/>
      <c r="AI847" s="56"/>
      <c r="AJ847" s="56"/>
      <c r="AK847" s="56"/>
      <c r="AL847" s="56"/>
      <c r="AS847" s="56"/>
      <c r="AT847" s="56"/>
      <c r="AU847" s="56"/>
    </row>
    <row r="848" spans="1:47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AF848" s="56"/>
      <c r="AG848" s="56"/>
      <c r="AH848" s="56"/>
      <c r="AI848" s="56"/>
      <c r="AJ848" s="56"/>
      <c r="AK848" s="56"/>
      <c r="AL848" s="56"/>
      <c r="AS848" s="56"/>
      <c r="AT848" s="56"/>
      <c r="AU848" s="56"/>
    </row>
    <row r="849" spans="1:47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AF849" s="56"/>
      <c r="AG849" s="56"/>
      <c r="AH849" s="56"/>
      <c r="AI849" s="56"/>
      <c r="AJ849" s="56"/>
      <c r="AK849" s="56"/>
      <c r="AL849" s="56"/>
      <c r="AS849" s="56"/>
      <c r="AT849" s="56"/>
      <c r="AU849" s="56"/>
    </row>
    <row r="850" spans="1:47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AF850" s="56"/>
      <c r="AG850" s="56"/>
      <c r="AH850" s="56"/>
      <c r="AI850" s="56"/>
      <c r="AJ850" s="56"/>
      <c r="AK850" s="56"/>
      <c r="AL850" s="56"/>
      <c r="AS850" s="56"/>
      <c r="AT850" s="56"/>
      <c r="AU850" s="56"/>
    </row>
    <row r="851" spans="1:47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AF851" s="56"/>
      <c r="AG851" s="56"/>
      <c r="AH851" s="56"/>
      <c r="AI851" s="56"/>
      <c r="AJ851" s="56"/>
      <c r="AK851" s="56"/>
      <c r="AL851" s="56"/>
      <c r="AS851" s="56"/>
      <c r="AT851" s="56"/>
      <c r="AU851" s="56"/>
    </row>
    <row r="852" spans="1:47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AF852" s="56"/>
      <c r="AG852" s="56"/>
      <c r="AH852" s="56"/>
      <c r="AI852" s="56"/>
      <c r="AJ852" s="56"/>
      <c r="AK852" s="56"/>
      <c r="AL852" s="56"/>
      <c r="AS852" s="56"/>
      <c r="AT852" s="56"/>
      <c r="AU852" s="56"/>
    </row>
    <row r="853" spans="1:47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AF853" s="56"/>
      <c r="AG853" s="56"/>
      <c r="AH853" s="56"/>
      <c r="AI853" s="56"/>
      <c r="AJ853" s="56"/>
      <c r="AK853" s="56"/>
      <c r="AL853" s="56"/>
      <c r="AS853" s="56"/>
      <c r="AT853" s="56"/>
      <c r="AU853" s="56"/>
    </row>
    <row r="854" spans="1:47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AF854" s="56"/>
      <c r="AG854" s="56"/>
      <c r="AH854" s="56"/>
      <c r="AI854" s="56"/>
      <c r="AJ854" s="56"/>
      <c r="AK854" s="56"/>
      <c r="AL854" s="56"/>
      <c r="AS854" s="56"/>
      <c r="AT854" s="56"/>
      <c r="AU854" s="56"/>
    </row>
    <row r="855" spans="1:47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AF855" s="56"/>
      <c r="AG855" s="56"/>
      <c r="AH855" s="56"/>
      <c r="AI855" s="56"/>
      <c r="AJ855" s="56"/>
      <c r="AK855" s="56"/>
      <c r="AL855" s="56"/>
      <c r="AS855" s="56"/>
      <c r="AT855" s="56"/>
      <c r="AU855" s="56"/>
    </row>
    <row r="856" spans="1:47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AF856" s="56"/>
      <c r="AG856" s="56"/>
      <c r="AH856" s="56"/>
      <c r="AI856" s="56"/>
      <c r="AJ856" s="56"/>
      <c r="AK856" s="56"/>
      <c r="AL856" s="56"/>
      <c r="AS856" s="56"/>
      <c r="AT856" s="56"/>
      <c r="AU856" s="56"/>
    </row>
    <row r="857" spans="1:47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AF857" s="56"/>
      <c r="AG857" s="56"/>
      <c r="AH857" s="56"/>
      <c r="AI857" s="56"/>
      <c r="AJ857" s="56"/>
      <c r="AK857" s="56"/>
      <c r="AL857" s="56"/>
      <c r="AS857" s="56"/>
      <c r="AT857" s="56"/>
      <c r="AU857" s="56"/>
    </row>
    <row r="858" spans="1:47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AF858" s="56"/>
      <c r="AG858" s="56"/>
      <c r="AH858" s="56"/>
      <c r="AI858" s="56"/>
      <c r="AJ858" s="56"/>
      <c r="AK858" s="56"/>
      <c r="AL858" s="56"/>
      <c r="AS858" s="56"/>
      <c r="AT858" s="56"/>
      <c r="AU858" s="56"/>
    </row>
    <row r="859" spans="1:47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AF859" s="56"/>
      <c r="AG859" s="56"/>
      <c r="AH859" s="56"/>
      <c r="AI859" s="56"/>
      <c r="AJ859" s="56"/>
      <c r="AK859" s="56"/>
      <c r="AL859" s="56"/>
      <c r="AS859" s="56"/>
      <c r="AT859" s="56"/>
      <c r="AU859" s="56"/>
    </row>
    <row r="860" spans="1:47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AF860" s="56"/>
      <c r="AG860" s="56"/>
      <c r="AH860" s="56"/>
      <c r="AI860" s="56"/>
      <c r="AJ860" s="56"/>
      <c r="AK860" s="56"/>
      <c r="AL860" s="56"/>
      <c r="AS860" s="56"/>
      <c r="AT860" s="56"/>
      <c r="AU860" s="56"/>
    </row>
    <row r="861" spans="1:47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AF861" s="56"/>
      <c r="AG861" s="56"/>
      <c r="AH861" s="56"/>
      <c r="AI861" s="56"/>
      <c r="AJ861" s="56"/>
      <c r="AK861" s="56"/>
      <c r="AL861" s="56"/>
      <c r="AS861" s="56"/>
      <c r="AT861" s="56"/>
      <c r="AU861" s="56"/>
    </row>
    <row r="862" spans="1:47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AF862" s="56"/>
      <c r="AG862" s="56"/>
      <c r="AH862" s="56"/>
      <c r="AI862" s="56"/>
      <c r="AJ862" s="56"/>
      <c r="AK862" s="56"/>
      <c r="AL862" s="56"/>
      <c r="AS862" s="56"/>
      <c r="AT862" s="56"/>
      <c r="AU862" s="56"/>
    </row>
    <row r="863" spans="1:47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AF863" s="56"/>
      <c r="AG863" s="56"/>
      <c r="AH863" s="56"/>
      <c r="AI863" s="56"/>
      <c r="AJ863" s="56"/>
      <c r="AK863" s="56"/>
      <c r="AL863" s="56"/>
      <c r="AS863" s="56"/>
      <c r="AT863" s="56"/>
      <c r="AU863" s="56"/>
    </row>
    <row r="864" spans="1:47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AF864" s="56"/>
      <c r="AG864" s="56"/>
      <c r="AH864" s="56"/>
      <c r="AI864" s="56"/>
      <c r="AJ864" s="56"/>
      <c r="AK864" s="56"/>
      <c r="AL864" s="56"/>
      <c r="AS864" s="56"/>
      <c r="AT864" s="56"/>
      <c r="AU864" s="56"/>
    </row>
    <row r="865" spans="1:47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AF865" s="56"/>
      <c r="AG865" s="56"/>
      <c r="AH865" s="56"/>
      <c r="AI865" s="56"/>
      <c r="AJ865" s="56"/>
      <c r="AK865" s="56"/>
      <c r="AL865" s="56"/>
      <c r="AS865" s="56"/>
      <c r="AT865" s="56"/>
      <c r="AU865" s="56"/>
    </row>
    <row r="866" spans="1:47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AF866" s="56"/>
      <c r="AG866" s="56"/>
      <c r="AH866" s="56"/>
      <c r="AI866" s="56"/>
      <c r="AJ866" s="56"/>
      <c r="AK866" s="56"/>
      <c r="AL866" s="56"/>
      <c r="AS866" s="56"/>
      <c r="AT866" s="56"/>
      <c r="AU866" s="56"/>
    </row>
    <row r="867" spans="1:47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AF867" s="56"/>
      <c r="AG867" s="56"/>
      <c r="AH867" s="56"/>
      <c r="AI867" s="56"/>
      <c r="AJ867" s="56"/>
      <c r="AK867" s="56"/>
      <c r="AL867" s="56"/>
      <c r="AS867" s="56"/>
      <c r="AT867" s="56"/>
      <c r="AU867" s="56"/>
    </row>
    <row r="868" spans="1:47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AF868" s="56"/>
      <c r="AG868" s="56"/>
      <c r="AH868" s="56"/>
      <c r="AI868" s="56"/>
      <c r="AJ868" s="56"/>
      <c r="AK868" s="56"/>
      <c r="AL868" s="56"/>
      <c r="AS868" s="56"/>
      <c r="AT868" s="56"/>
      <c r="AU868" s="56"/>
    </row>
    <row r="869" spans="1:47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AF869" s="56"/>
      <c r="AG869" s="56"/>
      <c r="AH869" s="56"/>
      <c r="AI869" s="56"/>
      <c r="AJ869" s="56"/>
      <c r="AK869" s="56"/>
      <c r="AL869" s="56"/>
      <c r="AS869" s="56"/>
      <c r="AT869" s="56"/>
      <c r="AU869" s="56"/>
    </row>
    <row r="870" spans="1:47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AF870" s="56"/>
      <c r="AG870" s="56"/>
      <c r="AH870" s="56"/>
      <c r="AI870" s="56"/>
      <c r="AJ870" s="56"/>
      <c r="AK870" s="56"/>
      <c r="AL870" s="56"/>
      <c r="AS870" s="56"/>
      <c r="AT870" s="56"/>
      <c r="AU870" s="56"/>
    </row>
    <row r="871" spans="1:47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AF871" s="56"/>
      <c r="AG871" s="56"/>
      <c r="AH871" s="56"/>
      <c r="AI871" s="56"/>
      <c r="AJ871" s="56"/>
      <c r="AK871" s="56"/>
      <c r="AL871" s="56"/>
      <c r="AS871" s="56"/>
      <c r="AT871" s="56"/>
      <c r="AU871" s="56"/>
    </row>
    <row r="872" spans="1:47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AF872" s="56"/>
      <c r="AG872" s="56"/>
      <c r="AH872" s="56"/>
      <c r="AI872" s="56"/>
      <c r="AJ872" s="56"/>
      <c r="AK872" s="56"/>
      <c r="AL872" s="56"/>
      <c r="AS872" s="56"/>
      <c r="AT872" s="56"/>
      <c r="AU872" s="56"/>
    </row>
    <row r="873" spans="1:47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AF873" s="56"/>
      <c r="AG873" s="56"/>
      <c r="AH873" s="56"/>
      <c r="AI873" s="56"/>
      <c r="AJ873" s="56"/>
      <c r="AK873" s="56"/>
      <c r="AL873" s="56"/>
      <c r="AS873" s="56"/>
      <c r="AT873" s="56"/>
      <c r="AU873" s="56"/>
    </row>
    <row r="874" spans="1:47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AF874" s="56"/>
      <c r="AG874" s="56"/>
      <c r="AH874" s="56"/>
      <c r="AI874" s="56"/>
      <c r="AJ874" s="56"/>
      <c r="AK874" s="56"/>
      <c r="AL874" s="56"/>
      <c r="AS874" s="56"/>
      <c r="AT874" s="56"/>
      <c r="AU874" s="56"/>
    </row>
    <row r="875" spans="1:47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AF875" s="56"/>
      <c r="AG875" s="56"/>
      <c r="AH875" s="56"/>
      <c r="AI875" s="56"/>
      <c r="AJ875" s="56"/>
      <c r="AK875" s="56"/>
      <c r="AL875" s="56"/>
      <c r="AS875" s="56"/>
      <c r="AT875" s="56"/>
      <c r="AU875" s="56"/>
    </row>
    <row r="876" spans="1:47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AF876" s="56"/>
      <c r="AG876" s="56"/>
      <c r="AH876" s="56"/>
      <c r="AI876" s="56"/>
      <c r="AJ876" s="56"/>
      <c r="AK876" s="56"/>
      <c r="AL876" s="56"/>
      <c r="AS876" s="56"/>
      <c r="AT876" s="56"/>
      <c r="AU876" s="56"/>
    </row>
    <row r="877" spans="1:47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AF877" s="56"/>
      <c r="AG877" s="56"/>
      <c r="AH877" s="56"/>
      <c r="AI877" s="56"/>
      <c r="AJ877" s="56"/>
      <c r="AK877" s="56"/>
      <c r="AL877" s="56"/>
      <c r="AS877" s="56"/>
      <c r="AT877" s="56"/>
      <c r="AU877" s="56"/>
    </row>
    <row r="878" spans="1:47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AF878" s="56"/>
      <c r="AG878" s="56"/>
      <c r="AH878" s="56"/>
      <c r="AI878" s="56"/>
      <c r="AJ878" s="56"/>
      <c r="AK878" s="56"/>
      <c r="AL878" s="56"/>
      <c r="AS878" s="56"/>
      <c r="AT878" s="56"/>
      <c r="AU878" s="56"/>
    </row>
    <row r="879" spans="1:47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AF879" s="56"/>
      <c r="AG879" s="56"/>
      <c r="AH879" s="56"/>
      <c r="AI879" s="56"/>
      <c r="AJ879" s="56"/>
      <c r="AK879" s="56"/>
      <c r="AL879" s="56"/>
      <c r="AS879" s="56"/>
      <c r="AT879" s="56"/>
      <c r="AU879" s="56"/>
    </row>
    <row r="880" spans="1:47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AF880" s="56"/>
      <c r="AG880" s="56"/>
      <c r="AH880" s="56"/>
      <c r="AI880" s="56"/>
      <c r="AJ880" s="56"/>
      <c r="AK880" s="56"/>
      <c r="AL880" s="56"/>
      <c r="AS880" s="56"/>
      <c r="AT880" s="56"/>
      <c r="AU880" s="56"/>
    </row>
    <row r="881" spans="1:47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AF881" s="56"/>
      <c r="AG881" s="56"/>
      <c r="AH881" s="56"/>
      <c r="AI881" s="56"/>
      <c r="AJ881" s="56"/>
      <c r="AK881" s="56"/>
      <c r="AL881" s="56"/>
      <c r="AS881" s="56"/>
      <c r="AT881" s="56"/>
      <c r="AU881" s="56"/>
    </row>
    <row r="882" spans="1:47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AF882" s="56"/>
      <c r="AG882" s="56"/>
      <c r="AH882" s="56"/>
      <c r="AI882" s="56"/>
      <c r="AJ882" s="56"/>
      <c r="AK882" s="56"/>
      <c r="AL882" s="56"/>
      <c r="AS882" s="56"/>
      <c r="AT882" s="56"/>
      <c r="AU882" s="56"/>
    </row>
    <row r="883" spans="1:47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AF883" s="56"/>
      <c r="AG883" s="56"/>
      <c r="AH883" s="56"/>
      <c r="AI883" s="56"/>
      <c r="AJ883" s="56"/>
      <c r="AK883" s="56"/>
      <c r="AL883" s="56"/>
      <c r="AS883" s="56"/>
      <c r="AT883" s="56"/>
      <c r="AU883" s="56"/>
    </row>
    <row r="884" spans="1:47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AF884" s="56"/>
      <c r="AG884" s="56"/>
      <c r="AH884" s="56"/>
      <c r="AI884" s="56"/>
      <c r="AJ884" s="56"/>
      <c r="AK884" s="56"/>
      <c r="AL884" s="56"/>
      <c r="AS884" s="56"/>
      <c r="AT884" s="56"/>
      <c r="AU884" s="56"/>
    </row>
    <row r="885" spans="1:47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AF885" s="56"/>
      <c r="AG885" s="56"/>
      <c r="AH885" s="56"/>
      <c r="AI885" s="56"/>
      <c r="AJ885" s="56"/>
      <c r="AK885" s="56"/>
      <c r="AL885" s="56"/>
      <c r="AS885" s="56"/>
      <c r="AT885" s="56"/>
      <c r="AU885" s="56"/>
    </row>
    <row r="886" spans="1:47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AF886" s="56"/>
      <c r="AG886" s="56"/>
      <c r="AH886" s="56"/>
      <c r="AI886" s="56"/>
      <c r="AJ886" s="56"/>
      <c r="AK886" s="56"/>
      <c r="AL886" s="56"/>
      <c r="AS886" s="56"/>
      <c r="AT886" s="56"/>
      <c r="AU886" s="56"/>
    </row>
    <row r="887" spans="1:47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AF887" s="56"/>
      <c r="AG887" s="56"/>
      <c r="AH887" s="56"/>
      <c r="AI887" s="56"/>
      <c r="AJ887" s="56"/>
      <c r="AK887" s="56"/>
      <c r="AL887" s="56"/>
      <c r="AS887" s="56"/>
      <c r="AT887" s="56"/>
      <c r="AU887" s="56"/>
    </row>
    <row r="888" spans="1:47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AF888" s="56"/>
      <c r="AG888" s="56"/>
      <c r="AH888" s="56"/>
      <c r="AI888" s="56"/>
      <c r="AJ888" s="56"/>
      <c r="AK888" s="56"/>
      <c r="AL888" s="56"/>
      <c r="AS888" s="56"/>
      <c r="AT888" s="56"/>
      <c r="AU888" s="56"/>
    </row>
    <row r="889" spans="1:47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AF889" s="56"/>
      <c r="AG889" s="56"/>
      <c r="AH889" s="56"/>
      <c r="AI889" s="56"/>
      <c r="AJ889" s="56"/>
      <c r="AK889" s="56"/>
      <c r="AL889" s="56"/>
      <c r="AS889" s="56"/>
      <c r="AT889" s="56"/>
      <c r="AU889" s="56"/>
    </row>
    <row r="890" spans="1:47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AF890" s="56"/>
      <c r="AG890" s="56"/>
      <c r="AH890" s="56"/>
      <c r="AI890" s="56"/>
      <c r="AJ890" s="56"/>
      <c r="AK890" s="56"/>
      <c r="AL890" s="56"/>
      <c r="AS890" s="56"/>
      <c r="AT890" s="56"/>
      <c r="AU890" s="56"/>
    </row>
    <row r="891" spans="1:47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AF891" s="56"/>
      <c r="AG891" s="56"/>
      <c r="AH891" s="56"/>
      <c r="AI891" s="56"/>
      <c r="AJ891" s="56"/>
      <c r="AK891" s="56"/>
      <c r="AL891" s="56"/>
      <c r="AS891" s="56"/>
      <c r="AT891" s="56"/>
      <c r="AU891" s="56"/>
    </row>
    <row r="892" spans="1:47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AF892" s="56"/>
      <c r="AG892" s="56"/>
      <c r="AH892" s="56"/>
      <c r="AI892" s="56"/>
      <c r="AJ892" s="56"/>
      <c r="AK892" s="56"/>
      <c r="AL892" s="56"/>
      <c r="AS892" s="56"/>
      <c r="AT892" s="56"/>
      <c r="AU892" s="56"/>
    </row>
    <row r="893" spans="1:47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AF893" s="56"/>
      <c r="AG893" s="56"/>
      <c r="AH893" s="56"/>
      <c r="AI893" s="56"/>
      <c r="AJ893" s="56"/>
      <c r="AK893" s="56"/>
      <c r="AL893" s="56"/>
      <c r="AS893" s="56"/>
      <c r="AT893" s="56"/>
      <c r="AU893" s="56"/>
    </row>
    <row r="894" spans="1:47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AF894" s="56"/>
      <c r="AG894" s="56"/>
      <c r="AH894" s="56"/>
      <c r="AI894" s="56"/>
      <c r="AJ894" s="56"/>
      <c r="AK894" s="56"/>
      <c r="AL894" s="56"/>
      <c r="AS894" s="56"/>
      <c r="AT894" s="56"/>
      <c r="AU894" s="56"/>
    </row>
    <row r="895" spans="1:47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AF895" s="56"/>
      <c r="AG895" s="56"/>
      <c r="AH895" s="56"/>
      <c r="AI895" s="56"/>
      <c r="AJ895" s="56"/>
      <c r="AK895" s="56"/>
      <c r="AL895" s="56"/>
      <c r="AS895" s="56"/>
      <c r="AT895" s="56"/>
      <c r="AU895" s="56"/>
    </row>
    <row r="896" spans="1:47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AF896" s="56"/>
      <c r="AG896" s="56"/>
      <c r="AH896" s="56"/>
      <c r="AI896" s="56"/>
      <c r="AJ896" s="56"/>
      <c r="AK896" s="56"/>
      <c r="AL896" s="56"/>
      <c r="AS896" s="56"/>
      <c r="AT896" s="56"/>
      <c r="AU896" s="56"/>
    </row>
    <row r="897" spans="1:47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AF897" s="56"/>
      <c r="AG897" s="56"/>
      <c r="AH897" s="56"/>
      <c r="AI897" s="56"/>
      <c r="AJ897" s="56"/>
      <c r="AK897" s="56"/>
      <c r="AL897" s="56"/>
      <c r="AS897" s="56"/>
      <c r="AT897" s="56"/>
      <c r="AU897" s="56"/>
    </row>
    <row r="898" spans="1:47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AF898" s="56"/>
      <c r="AG898" s="56"/>
      <c r="AH898" s="56"/>
      <c r="AI898" s="56"/>
      <c r="AJ898" s="56"/>
      <c r="AK898" s="56"/>
      <c r="AL898" s="56"/>
      <c r="AS898" s="56"/>
      <c r="AT898" s="56"/>
      <c r="AU898" s="56"/>
    </row>
    <row r="899" spans="1:47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AF899" s="56"/>
      <c r="AG899" s="56"/>
      <c r="AH899" s="56"/>
      <c r="AI899" s="56"/>
      <c r="AJ899" s="56"/>
      <c r="AK899" s="56"/>
      <c r="AL899" s="56"/>
      <c r="AS899" s="56"/>
      <c r="AT899" s="56"/>
      <c r="AU899" s="56"/>
    </row>
    <row r="900" spans="1:47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AF900" s="56"/>
      <c r="AG900" s="56"/>
      <c r="AH900" s="56"/>
      <c r="AI900" s="56"/>
      <c r="AJ900" s="56"/>
      <c r="AK900" s="56"/>
      <c r="AL900" s="56"/>
      <c r="AS900" s="56"/>
      <c r="AT900" s="56"/>
      <c r="AU900" s="56"/>
    </row>
    <row r="901" spans="1:47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AF901" s="56"/>
      <c r="AG901" s="56"/>
      <c r="AH901" s="56"/>
      <c r="AI901" s="56"/>
      <c r="AJ901" s="56"/>
      <c r="AK901" s="56"/>
      <c r="AL901" s="56"/>
      <c r="AS901" s="56"/>
      <c r="AT901" s="56"/>
      <c r="AU901" s="56"/>
    </row>
    <row r="902" spans="1:47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AF902" s="56"/>
      <c r="AG902" s="56"/>
      <c r="AH902" s="56"/>
      <c r="AI902" s="56"/>
      <c r="AJ902" s="56"/>
      <c r="AK902" s="56"/>
      <c r="AL902" s="56"/>
      <c r="AS902" s="56"/>
      <c r="AT902" s="56"/>
      <c r="AU902" s="56"/>
    </row>
    <row r="903" spans="1:47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AF903" s="56"/>
      <c r="AG903" s="56"/>
      <c r="AH903" s="56"/>
      <c r="AI903" s="56"/>
      <c r="AJ903" s="56"/>
      <c r="AK903" s="56"/>
      <c r="AL903" s="56"/>
      <c r="AS903" s="56"/>
      <c r="AT903" s="56"/>
      <c r="AU903" s="56"/>
    </row>
    <row r="904" spans="1:47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AF904" s="56"/>
      <c r="AG904" s="56"/>
      <c r="AH904" s="56"/>
      <c r="AI904" s="56"/>
      <c r="AJ904" s="56"/>
      <c r="AK904" s="56"/>
      <c r="AL904" s="56"/>
      <c r="AS904" s="56"/>
      <c r="AT904" s="56"/>
      <c r="AU904" s="56"/>
    </row>
    <row r="905" spans="1:47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AF905" s="56"/>
      <c r="AG905" s="56"/>
      <c r="AH905" s="56"/>
      <c r="AI905" s="56"/>
      <c r="AJ905" s="56"/>
      <c r="AK905" s="56"/>
      <c r="AL905" s="56"/>
      <c r="AS905" s="56"/>
      <c r="AT905" s="56"/>
      <c r="AU905" s="56"/>
    </row>
    <row r="906" spans="1:47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AF906" s="56"/>
      <c r="AG906" s="56"/>
      <c r="AH906" s="56"/>
      <c r="AI906" s="56"/>
      <c r="AJ906" s="56"/>
      <c r="AK906" s="56"/>
      <c r="AL906" s="56"/>
      <c r="AS906" s="56"/>
      <c r="AT906" s="56"/>
      <c r="AU906" s="56"/>
    </row>
    <row r="907" spans="1:47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AF907" s="56"/>
      <c r="AG907" s="56"/>
      <c r="AH907" s="56"/>
      <c r="AI907" s="56"/>
      <c r="AJ907" s="56"/>
      <c r="AK907" s="56"/>
      <c r="AL907" s="56"/>
      <c r="AS907" s="56"/>
      <c r="AT907" s="56"/>
      <c r="AU907" s="56"/>
    </row>
    <row r="908" spans="1:47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AF908" s="56"/>
      <c r="AG908" s="56"/>
      <c r="AH908" s="56"/>
      <c r="AI908" s="56"/>
      <c r="AJ908" s="56"/>
      <c r="AK908" s="56"/>
      <c r="AL908" s="56"/>
      <c r="AS908" s="56"/>
      <c r="AT908" s="56"/>
      <c r="AU908" s="56"/>
    </row>
    <row r="909" spans="1:47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AF909" s="56"/>
      <c r="AG909" s="56"/>
      <c r="AH909" s="56"/>
      <c r="AI909" s="56"/>
      <c r="AJ909" s="56"/>
      <c r="AK909" s="56"/>
      <c r="AL909" s="56"/>
      <c r="AS909" s="56"/>
      <c r="AT909" s="56"/>
      <c r="AU909" s="56"/>
    </row>
    <row r="910" spans="1:47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AF910" s="56"/>
      <c r="AG910" s="56"/>
      <c r="AH910" s="56"/>
      <c r="AI910" s="56"/>
      <c r="AJ910" s="56"/>
      <c r="AK910" s="56"/>
      <c r="AL910" s="56"/>
      <c r="AS910" s="56"/>
      <c r="AT910" s="56"/>
      <c r="AU910" s="56"/>
    </row>
    <row r="911" spans="1:47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AF911" s="56"/>
      <c r="AG911" s="56"/>
      <c r="AH911" s="56"/>
      <c r="AI911" s="56"/>
      <c r="AJ911" s="56"/>
      <c r="AK911" s="56"/>
      <c r="AL911" s="56"/>
      <c r="AS911" s="56"/>
      <c r="AT911" s="56"/>
      <c r="AU911" s="56"/>
    </row>
    <row r="912" spans="1:47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AF912" s="56"/>
      <c r="AG912" s="56"/>
      <c r="AH912" s="56"/>
      <c r="AI912" s="56"/>
      <c r="AJ912" s="56"/>
      <c r="AK912" s="56"/>
      <c r="AL912" s="56"/>
      <c r="AS912" s="56"/>
      <c r="AT912" s="56"/>
      <c r="AU912" s="56"/>
    </row>
    <row r="913" spans="1:47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AF913" s="56"/>
      <c r="AG913" s="56"/>
      <c r="AH913" s="56"/>
      <c r="AI913" s="56"/>
      <c r="AJ913" s="56"/>
      <c r="AK913" s="56"/>
      <c r="AL913" s="56"/>
      <c r="AS913" s="56"/>
      <c r="AT913" s="56"/>
      <c r="AU913" s="56"/>
    </row>
    <row r="914" spans="1:47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AF914" s="56"/>
      <c r="AG914" s="56"/>
      <c r="AH914" s="56"/>
      <c r="AI914" s="56"/>
      <c r="AJ914" s="56"/>
      <c r="AK914" s="56"/>
      <c r="AL914" s="56"/>
      <c r="AS914" s="56"/>
      <c r="AT914" s="56"/>
      <c r="AU914" s="56"/>
    </row>
    <row r="915" spans="1:47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AF915" s="56"/>
      <c r="AG915" s="56"/>
      <c r="AH915" s="56"/>
      <c r="AI915" s="56"/>
      <c r="AJ915" s="56"/>
      <c r="AK915" s="56"/>
      <c r="AL915" s="56"/>
      <c r="AS915" s="56"/>
      <c r="AT915" s="56"/>
      <c r="AU915" s="56"/>
    </row>
    <row r="916" spans="1:47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AF916" s="56"/>
      <c r="AG916" s="56"/>
      <c r="AH916" s="56"/>
      <c r="AI916" s="56"/>
      <c r="AJ916" s="56"/>
      <c r="AK916" s="56"/>
      <c r="AL916" s="56"/>
      <c r="AS916" s="56"/>
      <c r="AT916" s="56"/>
      <c r="AU916" s="56"/>
    </row>
    <row r="917" spans="1:47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AF917" s="56"/>
      <c r="AG917" s="56"/>
      <c r="AH917" s="56"/>
      <c r="AI917" s="56"/>
      <c r="AJ917" s="56"/>
      <c r="AK917" s="56"/>
      <c r="AL917" s="56"/>
      <c r="AS917" s="56"/>
      <c r="AT917" s="56"/>
      <c r="AU917" s="56"/>
    </row>
    <row r="918" spans="1:47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AF918" s="56"/>
      <c r="AG918" s="56"/>
      <c r="AH918" s="56"/>
      <c r="AI918" s="56"/>
      <c r="AJ918" s="56"/>
      <c r="AK918" s="56"/>
      <c r="AL918" s="56"/>
      <c r="AS918" s="56"/>
      <c r="AT918" s="56"/>
      <c r="AU918" s="56"/>
    </row>
    <row r="919" spans="1:47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AF919" s="56"/>
      <c r="AG919" s="56"/>
      <c r="AH919" s="56"/>
      <c r="AI919" s="56"/>
      <c r="AJ919" s="56"/>
      <c r="AK919" s="56"/>
      <c r="AL919" s="56"/>
      <c r="AS919" s="56"/>
      <c r="AT919" s="56"/>
      <c r="AU919" s="56"/>
    </row>
    <row r="920" spans="1:47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AF920" s="56"/>
      <c r="AG920" s="56"/>
      <c r="AH920" s="56"/>
      <c r="AI920" s="56"/>
      <c r="AJ920" s="56"/>
      <c r="AK920" s="56"/>
      <c r="AL920" s="56"/>
      <c r="AS920" s="56"/>
      <c r="AT920" s="56"/>
      <c r="AU920" s="56"/>
    </row>
    <row r="921" spans="1:47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AF921" s="56"/>
      <c r="AG921" s="56"/>
      <c r="AH921" s="56"/>
      <c r="AI921" s="56"/>
      <c r="AJ921" s="56"/>
      <c r="AK921" s="56"/>
      <c r="AL921" s="56"/>
      <c r="AS921" s="56"/>
      <c r="AT921" s="56"/>
      <c r="AU921" s="56"/>
    </row>
    <row r="922" spans="1:47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AF922" s="56"/>
      <c r="AG922" s="56"/>
      <c r="AH922" s="56"/>
      <c r="AI922" s="56"/>
      <c r="AJ922" s="56"/>
      <c r="AK922" s="56"/>
      <c r="AL922" s="56"/>
      <c r="AS922" s="56"/>
      <c r="AT922" s="56"/>
      <c r="AU922" s="56"/>
    </row>
    <row r="923" spans="1:47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AF923" s="56"/>
      <c r="AG923" s="56"/>
      <c r="AH923" s="56"/>
      <c r="AI923" s="56"/>
      <c r="AJ923" s="56"/>
      <c r="AK923" s="56"/>
      <c r="AL923" s="56"/>
      <c r="AS923" s="56"/>
      <c r="AT923" s="56"/>
      <c r="AU923" s="56"/>
    </row>
    <row r="924" spans="1:47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AF924" s="56"/>
      <c r="AG924" s="56"/>
      <c r="AH924" s="56"/>
      <c r="AI924" s="56"/>
      <c r="AJ924" s="56"/>
      <c r="AK924" s="56"/>
      <c r="AL924" s="56"/>
      <c r="AS924" s="56"/>
      <c r="AT924" s="56"/>
      <c r="AU924" s="56"/>
    </row>
    <row r="925" spans="1:47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AF925" s="56"/>
      <c r="AG925" s="56"/>
      <c r="AH925" s="56"/>
      <c r="AI925" s="56"/>
      <c r="AJ925" s="56"/>
      <c r="AK925" s="56"/>
      <c r="AL925" s="56"/>
      <c r="AS925" s="56"/>
      <c r="AT925" s="56"/>
      <c r="AU925" s="56"/>
    </row>
    <row r="926" spans="1:47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AF926" s="56"/>
      <c r="AG926" s="56"/>
      <c r="AH926" s="56"/>
      <c r="AI926" s="56"/>
      <c r="AJ926" s="56"/>
      <c r="AK926" s="56"/>
      <c r="AL926" s="56"/>
      <c r="AS926" s="56"/>
      <c r="AT926" s="56"/>
      <c r="AU926" s="56"/>
    </row>
    <row r="927" spans="1:47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AF927" s="56"/>
      <c r="AG927" s="56"/>
      <c r="AH927" s="56"/>
      <c r="AI927" s="56"/>
      <c r="AJ927" s="56"/>
      <c r="AK927" s="56"/>
      <c r="AL927" s="56"/>
      <c r="AS927" s="56"/>
      <c r="AT927" s="56"/>
      <c r="AU927" s="56"/>
    </row>
    <row r="928" spans="1:47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AF928" s="56"/>
      <c r="AG928" s="56"/>
      <c r="AH928" s="56"/>
      <c r="AI928" s="56"/>
      <c r="AJ928" s="56"/>
      <c r="AK928" s="56"/>
      <c r="AL928" s="56"/>
      <c r="AS928" s="56"/>
      <c r="AT928" s="56"/>
      <c r="AU928" s="56"/>
    </row>
    <row r="929" spans="1:47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AF929" s="56"/>
      <c r="AG929" s="56"/>
      <c r="AH929" s="56"/>
      <c r="AI929" s="56"/>
      <c r="AJ929" s="56"/>
      <c r="AK929" s="56"/>
      <c r="AL929" s="56"/>
      <c r="AS929" s="56"/>
      <c r="AT929" s="56"/>
      <c r="AU929" s="56"/>
    </row>
    <row r="930" spans="1:47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AF930" s="56"/>
      <c r="AG930" s="56"/>
      <c r="AH930" s="56"/>
      <c r="AI930" s="56"/>
      <c r="AJ930" s="56"/>
      <c r="AK930" s="56"/>
      <c r="AL930" s="56"/>
      <c r="AS930" s="56"/>
      <c r="AT930" s="56"/>
      <c r="AU930" s="56"/>
    </row>
    <row r="931" spans="1:47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AF931" s="56"/>
      <c r="AG931" s="56"/>
      <c r="AH931" s="56"/>
      <c r="AI931" s="56"/>
      <c r="AJ931" s="56"/>
      <c r="AK931" s="56"/>
      <c r="AL931" s="56"/>
      <c r="AS931" s="56"/>
      <c r="AT931" s="56"/>
      <c r="AU931" s="56"/>
    </row>
    <row r="932" spans="1:47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AF932" s="56"/>
      <c r="AG932" s="56"/>
      <c r="AH932" s="56"/>
      <c r="AI932" s="56"/>
      <c r="AJ932" s="56"/>
      <c r="AK932" s="56"/>
      <c r="AL932" s="56"/>
      <c r="AS932" s="56"/>
      <c r="AT932" s="56"/>
      <c r="AU932" s="56"/>
    </row>
    <row r="933" spans="1:47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AF933" s="56"/>
      <c r="AG933" s="56"/>
      <c r="AH933" s="56"/>
      <c r="AI933" s="56"/>
      <c r="AJ933" s="56"/>
      <c r="AK933" s="56"/>
      <c r="AL933" s="56"/>
      <c r="AS933" s="56"/>
      <c r="AT933" s="56"/>
      <c r="AU933" s="56"/>
    </row>
    <row r="934" spans="1:47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AF934" s="56"/>
      <c r="AG934" s="56"/>
      <c r="AH934" s="56"/>
      <c r="AI934" s="56"/>
      <c r="AJ934" s="56"/>
      <c r="AK934" s="56"/>
      <c r="AL934" s="56"/>
      <c r="AS934" s="56"/>
      <c r="AT934" s="56"/>
      <c r="AU934" s="56"/>
    </row>
    <row r="935" spans="1:47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AF935" s="56"/>
      <c r="AG935" s="56"/>
      <c r="AH935" s="56"/>
      <c r="AI935" s="56"/>
      <c r="AJ935" s="56"/>
      <c r="AK935" s="56"/>
      <c r="AL935" s="56"/>
      <c r="AS935" s="56"/>
      <c r="AT935" s="56"/>
      <c r="AU935" s="56"/>
    </row>
    <row r="936" spans="1:47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AF936" s="56"/>
      <c r="AG936" s="56"/>
      <c r="AH936" s="56"/>
      <c r="AI936" s="56"/>
      <c r="AJ936" s="56"/>
      <c r="AK936" s="56"/>
      <c r="AL936" s="56"/>
      <c r="AS936" s="56"/>
      <c r="AT936" s="56"/>
      <c r="AU936" s="56"/>
    </row>
    <row r="937" spans="1:47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AF937" s="56"/>
      <c r="AG937" s="56"/>
      <c r="AH937" s="56"/>
      <c r="AI937" s="56"/>
      <c r="AJ937" s="56"/>
      <c r="AK937" s="56"/>
      <c r="AL937" s="56"/>
      <c r="AS937" s="56"/>
      <c r="AT937" s="56"/>
      <c r="AU937" s="56"/>
    </row>
    <row r="938" spans="1:47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AF938" s="56"/>
      <c r="AG938" s="56"/>
      <c r="AH938" s="56"/>
      <c r="AI938" s="56"/>
      <c r="AJ938" s="56"/>
      <c r="AK938" s="56"/>
      <c r="AL938" s="56"/>
      <c r="AS938" s="56"/>
      <c r="AT938" s="56"/>
      <c r="AU938" s="56"/>
    </row>
    <row r="939" spans="1:47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AF939" s="56"/>
      <c r="AG939" s="56"/>
      <c r="AH939" s="56"/>
      <c r="AI939" s="56"/>
      <c r="AJ939" s="56"/>
      <c r="AK939" s="56"/>
      <c r="AL939" s="56"/>
      <c r="AS939" s="56"/>
      <c r="AT939" s="56"/>
      <c r="AU939" s="56"/>
    </row>
    <row r="940" spans="1:47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AF940" s="56"/>
      <c r="AG940" s="56"/>
      <c r="AH940" s="56"/>
      <c r="AI940" s="56"/>
      <c r="AJ940" s="56"/>
      <c r="AK940" s="56"/>
      <c r="AL940" s="56"/>
      <c r="AS940" s="56"/>
      <c r="AT940" s="56"/>
      <c r="AU940" s="56"/>
    </row>
    <row r="941" spans="1:47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AF941" s="56"/>
      <c r="AG941" s="56"/>
      <c r="AH941" s="56"/>
      <c r="AI941" s="56"/>
      <c r="AJ941" s="56"/>
      <c r="AK941" s="56"/>
      <c r="AL941" s="56"/>
      <c r="AS941" s="56"/>
      <c r="AT941" s="56"/>
      <c r="AU941" s="56"/>
    </row>
    <row r="942" spans="1:47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AF942" s="56"/>
      <c r="AG942" s="56"/>
      <c r="AH942" s="56"/>
      <c r="AI942" s="56"/>
      <c r="AJ942" s="56"/>
      <c r="AK942" s="56"/>
      <c r="AL942" s="56"/>
      <c r="AS942" s="56"/>
      <c r="AT942" s="56"/>
      <c r="AU942" s="56"/>
    </row>
    <row r="943" spans="1:47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AF943" s="56"/>
      <c r="AG943" s="56"/>
      <c r="AH943" s="56"/>
      <c r="AI943" s="56"/>
      <c r="AJ943" s="56"/>
      <c r="AK943" s="56"/>
      <c r="AL943" s="56"/>
      <c r="AS943" s="56"/>
      <c r="AT943" s="56"/>
      <c r="AU943" s="56"/>
    </row>
    <row r="944" spans="1:47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AF944" s="56"/>
      <c r="AG944" s="56"/>
      <c r="AH944" s="56"/>
      <c r="AI944" s="56"/>
      <c r="AJ944" s="56"/>
      <c r="AK944" s="56"/>
      <c r="AL944" s="56"/>
      <c r="AS944" s="56"/>
      <c r="AT944" s="56"/>
      <c r="AU944" s="56"/>
    </row>
    <row r="945" spans="1:47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AF945" s="56"/>
      <c r="AG945" s="56"/>
      <c r="AH945" s="56"/>
      <c r="AI945" s="56"/>
      <c r="AJ945" s="56"/>
      <c r="AK945" s="56"/>
      <c r="AL945" s="56"/>
      <c r="AS945" s="56"/>
      <c r="AT945" s="56"/>
      <c r="AU945" s="56"/>
    </row>
    <row r="946" spans="1:47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AF946" s="56"/>
      <c r="AG946" s="56"/>
      <c r="AH946" s="56"/>
      <c r="AI946" s="56"/>
      <c r="AJ946" s="56"/>
      <c r="AK946" s="56"/>
      <c r="AL946" s="56"/>
      <c r="AS946" s="56"/>
      <c r="AT946" s="56"/>
      <c r="AU946" s="56"/>
    </row>
    <row r="947" spans="1:47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AF947" s="56"/>
      <c r="AG947" s="56"/>
      <c r="AH947" s="56"/>
      <c r="AI947" s="56"/>
      <c r="AJ947" s="56"/>
      <c r="AK947" s="56"/>
      <c r="AL947" s="56"/>
      <c r="AS947" s="56"/>
      <c r="AT947" s="56"/>
      <c r="AU947" s="56"/>
    </row>
    <row r="948" spans="1:47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AF948" s="56"/>
      <c r="AG948" s="56"/>
      <c r="AH948" s="56"/>
      <c r="AI948" s="56"/>
      <c r="AJ948" s="56"/>
      <c r="AK948" s="56"/>
      <c r="AL948" s="56"/>
      <c r="AS948" s="56"/>
      <c r="AT948" s="56"/>
      <c r="AU948" s="56"/>
    </row>
    <row r="949" spans="1:47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AF949" s="56"/>
      <c r="AG949" s="56"/>
      <c r="AH949" s="56"/>
      <c r="AI949" s="56"/>
      <c r="AJ949" s="56"/>
      <c r="AK949" s="56"/>
      <c r="AL949" s="56"/>
      <c r="AS949" s="56"/>
      <c r="AT949" s="56"/>
      <c r="AU949" s="56"/>
    </row>
    <row r="950" spans="1:47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AF950" s="56"/>
      <c r="AG950" s="56"/>
      <c r="AH950" s="56"/>
      <c r="AI950" s="56"/>
      <c r="AJ950" s="56"/>
      <c r="AK950" s="56"/>
      <c r="AL950" s="56"/>
      <c r="AS950" s="56"/>
      <c r="AT950" s="56"/>
      <c r="AU950" s="56"/>
    </row>
    <row r="951" spans="1:47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AF951" s="56"/>
      <c r="AG951" s="56"/>
      <c r="AH951" s="56"/>
      <c r="AI951" s="56"/>
      <c r="AJ951" s="56"/>
      <c r="AK951" s="56"/>
      <c r="AL951" s="56"/>
      <c r="AS951" s="56"/>
      <c r="AT951" s="56"/>
      <c r="AU951" s="56"/>
    </row>
    <row r="952" spans="1:47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AF952" s="56"/>
      <c r="AG952" s="56"/>
      <c r="AH952" s="56"/>
      <c r="AI952" s="56"/>
      <c r="AJ952" s="56"/>
      <c r="AK952" s="56"/>
      <c r="AL952" s="56"/>
      <c r="AS952" s="56"/>
      <c r="AT952" s="56"/>
      <c r="AU952" s="56"/>
    </row>
    <row r="953" spans="1:47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AF953" s="56"/>
      <c r="AG953" s="56"/>
      <c r="AH953" s="56"/>
      <c r="AI953" s="56"/>
      <c r="AJ953" s="56"/>
      <c r="AK953" s="56"/>
      <c r="AL953" s="56"/>
      <c r="AS953" s="56"/>
      <c r="AT953" s="56"/>
      <c r="AU953" s="56"/>
    </row>
    <row r="954" spans="1:47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AF954" s="56"/>
      <c r="AG954" s="56"/>
      <c r="AH954" s="56"/>
      <c r="AI954" s="56"/>
      <c r="AJ954" s="56"/>
      <c r="AK954" s="56"/>
      <c r="AL954" s="56"/>
      <c r="AS954" s="56"/>
      <c r="AT954" s="56"/>
      <c r="AU954" s="56"/>
    </row>
    <row r="955" spans="1:47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AF955" s="56"/>
      <c r="AG955" s="56"/>
      <c r="AH955" s="56"/>
      <c r="AI955" s="56"/>
      <c r="AJ955" s="56"/>
      <c r="AK955" s="56"/>
      <c r="AL955" s="56"/>
      <c r="AS955" s="56"/>
      <c r="AT955" s="56"/>
      <c r="AU955" s="56"/>
    </row>
    <row r="956" spans="1:47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AF956" s="56"/>
      <c r="AG956" s="56"/>
      <c r="AH956" s="56"/>
      <c r="AI956" s="56"/>
      <c r="AJ956" s="56"/>
      <c r="AK956" s="56"/>
      <c r="AL956" s="56"/>
      <c r="AS956" s="56"/>
      <c r="AT956" s="56"/>
      <c r="AU956" s="56"/>
    </row>
    <row r="957" spans="1:47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AF957" s="56"/>
      <c r="AG957" s="56"/>
      <c r="AH957" s="56"/>
      <c r="AI957" s="56"/>
      <c r="AJ957" s="56"/>
      <c r="AK957" s="56"/>
      <c r="AL957" s="56"/>
      <c r="AS957" s="56"/>
      <c r="AT957" s="56"/>
      <c r="AU957" s="56"/>
    </row>
    <row r="958" spans="1:47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AF958" s="56"/>
      <c r="AG958" s="56"/>
      <c r="AH958" s="56"/>
      <c r="AI958" s="56"/>
      <c r="AJ958" s="56"/>
      <c r="AK958" s="56"/>
      <c r="AL958" s="56"/>
      <c r="AS958" s="56"/>
      <c r="AT958" s="56"/>
      <c r="AU958" s="56"/>
    </row>
    <row r="959" spans="1:47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AF959" s="56"/>
      <c r="AG959" s="56"/>
      <c r="AH959" s="56"/>
      <c r="AI959" s="56"/>
      <c r="AJ959" s="56"/>
      <c r="AK959" s="56"/>
      <c r="AL959" s="56"/>
      <c r="AS959" s="56"/>
      <c r="AT959" s="56"/>
      <c r="AU959" s="56"/>
    </row>
    <row r="960" spans="1:47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AF960" s="56"/>
      <c r="AG960" s="56"/>
      <c r="AH960" s="56"/>
      <c r="AI960" s="56"/>
      <c r="AJ960" s="56"/>
      <c r="AK960" s="56"/>
      <c r="AL960" s="56"/>
      <c r="AS960" s="56"/>
      <c r="AT960" s="56"/>
      <c r="AU960" s="56"/>
    </row>
    <row r="961" spans="1:47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AF961" s="56"/>
      <c r="AG961" s="56"/>
      <c r="AH961" s="56"/>
      <c r="AI961" s="56"/>
      <c r="AJ961" s="56"/>
      <c r="AK961" s="56"/>
      <c r="AL961" s="56"/>
      <c r="AS961" s="56"/>
      <c r="AT961" s="56"/>
      <c r="AU961" s="56"/>
    </row>
    <row r="962" spans="1:47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AF962" s="56"/>
      <c r="AG962" s="56"/>
      <c r="AH962" s="56"/>
      <c r="AI962" s="56"/>
      <c r="AJ962" s="56"/>
      <c r="AK962" s="56"/>
      <c r="AL962" s="56"/>
      <c r="AS962" s="56"/>
      <c r="AT962" s="56"/>
      <c r="AU962" s="56"/>
    </row>
    <row r="963" spans="1:47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AF963" s="56"/>
      <c r="AG963" s="56"/>
      <c r="AH963" s="56"/>
      <c r="AI963" s="56"/>
      <c r="AJ963" s="56"/>
      <c r="AK963" s="56"/>
      <c r="AL963" s="56"/>
      <c r="AS963" s="56"/>
      <c r="AT963" s="56"/>
      <c r="AU963" s="56"/>
    </row>
    <row r="964" spans="1:47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AF964" s="56"/>
      <c r="AG964" s="56"/>
      <c r="AH964" s="56"/>
      <c r="AI964" s="56"/>
      <c r="AJ964" s="56"/>
      <c r="AK964" s="56"/>
      <c r="AL964" s="56"/>
      <c r="AS964" s="56"/>
      <c r="AT964" s="56"/>
      <c r="AU964" s="56"/>
    </row>
    <row r="965" spans="1:47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AF965" s="56"/>
      <c r="AG965" s="56"/>
      <c r="AH965" s="56"/>
      <c r="AI965" s="56"/>
      <c r="AJ965" s="56"/>
      <c r="AK965" s="56"/>
      <c r="AL965" s="56"/>
      <c r="AS965" s="56"/>
      <c r="AT965" s="56"/>
      <c r="AU965" s="56"/>
    </row>
    <row r="966" spans="1:47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AF966" s="56"/>
      <c r="AG966" s="56"/>
      <c r="AH966" s="56"/>
      <c r="AI966" s="56"/>
      <c r="AJ966" s="56"/>
      <c r="AK966" s="56"/>
      <c r="AL966" s="56"/>
      <c r="AS966" s="56"/>
      <c r="AT966" s="56"/>
      <c r="AU966" s="56"/>
    </row>
    <row r="967" spans="1:47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AF967" s="56"/>
      <c r="AG967" s="56"/>
      <c r="AH967" s="56"/>
      <c r="AI967" s="56"/>
      <c r="AJ967" s="56"/>
      <c r="AK967" s="56"/>
      <c r="AL967" s="56"/>
      <c r="AS967" s="56"/>
      <c r="AT967" s="56"/>
      <c r="AU967" s="56"/>
    </row>
    <row r="968" spans="1:47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AF968" s="56"/>
      <c r="AG968" s="56"/>
      <c r="AH968" s="56"/>
      <c r="AI968" s="56"/>
      <c r="AJ968" s="56"/>
      <c r="AK968" s="56"/>
      <c r="AL968" s="56"/>
      <c r="AS968" s="56"/>
      <c r="AT968" s="56"/>
      <c r="AU968" s="56"/>
    </row>
    <row r="969" spans="1:47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AF969" s="56"/>
      <c r="AG969" s="56"/>
      <c r="AH969" s="56"/>
      <c r="AI969" s="56"/>
      <c r="AJ969" s="56"/>
      <c r="AK969" s="56"/>
      <c r="AL969" s="56"/>
      <c r="AS969" s="56"/>
      <c r="AT969" s="56"/>
      <c r="AU969" s="56"/>
    </row>
    <row r="970" spans="1:47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AF970" s="56"/>
      <c r="AG970" s="56"/>
      <c r="AH970" s="56"/>
      <c r="AI970" s="56"/>
      <c r="AJ970" s="56"/>
      <c r="AK970" s="56"/>
      <c r="AL970" s="56"/>
      <c r="AS970" s="56"/>
      <c r="AT970" s="56"/>
      <c r="AU970" s="56"/>
    </row>
    <row r="971" spans="1:47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AF971" s="56"/>
      <c r="AG971" s="56"/>
      <c r="AH971" s="56"/>
      <c r="AI971" s="56"/>
      <c r="AJ971" s="56"/>
      <c r="AK971" s="56"/>
      <c r="AL971" s="56"/>
      <c r="AS971" s="56"/>
      <c r="AT971" s="56"/>
      <c r="AU971" s="56"/>
    </row>
    <row r="972" spans="1:47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AF972" s="56"/>
      <c r="AG972" s="56"/>
      <c r="AH972" s="56"/>
      <c r="AI972" s="56"/>
      <c r="AJ972" s="56"/>
      <c r="AK972" s="56"/>
      <c r="AL972" s="56"/>
      <c r="AS972" s="56"/>
      <c r="AT972" s="56"/>
      <c r="AU972" s="56"/>
    </row>
    <row r="973" spans="1:47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AF973" s="56"/>
      <c r="AG973" s="56"/>
      <c r="AH973" s="56"/>
      <c r="AI973" s="56"/>
      <c r="AJ973" s="56"/>
      <c r="AK973" s="56"/>
      <c r="AL973" s="56"/>
      <c r="AS973" s="56"/>
      <c r="AT973" s="56"/>
      <c r="AU973" s="56"/>
    </row>
    <row r="974" spans="1:47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AF974" s="56"/>
      <c r="AG974" s="56"/>
      <c r="AH974" s="56"/>
      <c r="AI974" s="56"/>
      <c r="AJ974" s="56"/>
      <c r="AK974" s="56"/>
      <c r="AL974" s="56"/>
      <c r="AS974" s="56"/>
      <c r="AT974" s="56"/>
      <c r="AU974" s="56"/>
    </row>
    <row r="975" spans="1:47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AF975" s="56"/>
      <c r="AG975" s="56"/>
      <c r="AH975" s="56"/>
      <c r="AI975" s="56"/>
      <c r="AJ975" s="56"/>
      <c r="AK975" s="56"/>
      <c r="AL975" s="56"/>
      <c r="AS975" s="56"/>
      <c r="AT975" s="56"/>
      <c r="AU975" s="56"/>
    </row>
    <row r="976" spans="1:47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AF976" s="56"/>
      <c r="AG976" s="56"/>
      <c r="AH976" s="56"/>
      <c r="AI976" s="56"/>
      <c r="AJ976" s="56"/>
      <c r="AK976" s="56"/>
      <c r="AL976" s="56"/>
      <c r="AS976" s="56"/>
      <c r="AT976" s="56"/>
      <c r="AU976" s="56"/>
    </row>
    <row r="977" spans="1:47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AF977" s="56"/>
      <c r="AG977" s="56"/>
      <c r="AH977" s="56"/>
      <c r="AI977" s="56"/>
      <c r="AJ977" s="56"/>
      <c r="AK977" s="56"/>
      <c r="AL977" s="56"/>
      <c r="AS977" s="56"/>
      <c r="AT977" s="56"/>
      <c r="AU977" s="56"/>
    </row>
    <row r="978" spans="1:47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AF978" s="56"/>
      <c r="AG978" s="56"/>
      <c r="AH978" s="56"/>
      <c r="AI978" s="56"/>
      <c r="AJ978" s="56"/>
      <c r="AK978" s="56"/>
      <c r="AL978" s="56"/>
      <c r="AS978" s="56"/>
      <c r="AT978" s="56"/>
      <c r="AU978" s="56"/>
    </row>
    <row r="979" spans="1:47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AF979" s="56"/>
      <c r="AG979" s="56"/>
      <c r="AH979" s="56"/>
      <c r="AI979" s="56"/>
      <c r="AJ979" s="56"/>
      <c r="AK979" s="56"/>
      <c r="AL979" s="56"/>
      <c r="AS979" s="56"/>
      <c r="AT979" s="56"/>
      <c r="AU979" s="56"/>
    </row>
    <row r="980" spans="1:47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AF980" s="56"/>
      <c r="AG980" s="56"/>
      <c r="AH980" s="56"/>
      <c r="AI980" s="56"/>
      <c r="AJ980" s="56"/>
      <c r="AK980" s="56"/>
      <c r="AL980" s="56"/>
      <c r="AS980" s="56"/>
      <c r="AT980" s="56"/>
      <c r="AU980" s="56"/>
    </row>
    <row r="981" spans="1:47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AF981" s="56"/>
      <c r="AG981" s="56"/>
      <c r="AH981" s="56"/>
      <c r="AI981" s="56"/>
      <c r="AJ981" s="56"/>
      <c r="AK981" s="56"/>
      <c r="AL981" s="56"/>
      <c r="AS981" s="56"/>
      <c r="AT981" s="56"/>
      <c r="AU981" s="56"/>
    </row>
    <row r="982" spans="1:47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AF982" s="56"/>
      <c r="AG982" s="56"/>
      <c r="AH982" s="56"/>
      <c r="AI982" s="56"/>
      <c r="AJ982" s="56"/>
      <c r="AK982" s="56"/>
      <c r="AL982" s="56"/>
      <c r="AS982" s="56"/>
      <c r="AT982" s="56"/>
      <c r="AU982" s="56"/>
    </row>
    <row r="983" spans="1:47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AF983" s="56"/>
      <c r="AG983" s="56"/>
      <c r="AH983" s="56"/>
      <c r="AI983" s="56"/>
      <c r="AJ983" s="56"/>
      <c r="AK983" s="56"/>
      <c r="AL983" s="56"/>
      <c r="AS983" s="56"/>
      <c r="AT983" s="56"/>
      <c r="AU983" s="56"/>
    </row>
    <row r="984" spans="1:47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AF984" s="56"/>
      <c r="AG984" s="56"/>
      <c r="AH984" s="56"/>
      <c r="AI984" s="56"/>
      <c r="AJ984" s="56"/>
      <c r="AK984" s="56"/>
      <c r="AL984" s="56"/>
      <c r="AS984" s="56"/>
      <c r="AT984" s="56"/>
      <c r="AU984" s="56"/>
    </row>
    <row r="985" spans="1:47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AF985" s="56"/>
      <c r="AG985" s="56"/>
      <c r="AH985" s="56"/>
      <c r="AI985" s="56"/>
      <c r="AJ985" s="56"/>
      <c r="AK985" s="56"/>
      <c r="AL985" s="56"/>
      <c r="AS985" s="56"/>
      <c r="AT985" s="56"/>
      <c r="AU985" s="56"/>
    </row>
    <row r="986" spans="1:47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AF986" s="56"/>
      <c r="AG986" s="56"/>
      <c r="AH986" s="56"/>
      <c r="AI986" s="56"/>
      <c r="AJ986" s="56"/>
      <c r="AK986" s="56"/>
      <c r="AL986" s="56"/>
      <c r="AS986" s="56"/>
      <c r="AT986" s="56"/>
      <c r="AU986" s="56"/>
    </row>
    <row r="987" spans="1:47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AF987" s="56"/>
      <c r="AG987" s="56"/>
      <c r="AH987" s="56"/>
      <c r="AI987" s="56"/>
      <c r="AJ987" s="56"/>
      <c r="AK987" s="56"/>
      <c r="AL987" s="56"/>
      <c r="AS987" s="56"/>
      <c r="AT987" s="56"/>
      <c r="AU987" s="56"/>
    </row>
    <row r="988" spans="1:47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AF988" s="56"/>
      <c r="AG988" s="56"/>
      <c r="AH988" s="56"/>
      <c r="AI988" s="56"/>
      <c r="AJ988" s="56"/>
      <c r="AK988" s="56"/>
      <c r="AL988" s="56"/>
      <c r="AS988" s="56"/>
      <c r="AT988" s="56"/>
      <c r="AU988" s="56"/>
    </row>
    <row r="989" spans="1:47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AF989" s="56"/>
      <c r="AG989" s="56"/>
      <c r="AH989" s="56"/>
      <c r="AI989" s="56"/>
      <c r="AJ989" s="56"/>
      <c r="AK989" s="56"/>
      <c r="AL989" s="56"/>
      <c r="AS989" s="56"/>
      <c r="AT989" s="56"/>
      <c r="AU989" s="56"/>
    </row>
    <row r="990" spans="1:47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AF990" s="56"/>
      <c r="AG990" s="56"/>
      <c r="AH990" s="56"/>
      <c r="AI990" s="56"/>
      <c r="AJ990" s="56"/>
      <c r="AK990" s="56"/>
      <c r="AL990" s="56"/>
      <c r="AS990" s="56"/>
      <c r="AT990" s="56"/>
      <c r="AU990" s="56"/>
    </row>
    <row r="991" spans="1:47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AF991" s="56"/>
      <c r="AG991" s="56"/>
      <c r="AH991" s="56"/>
      <c r="AI991" s="56"/>
      <c r="AJ991" s="56"/>
      <c r="AK991" s="56"/>
      <c r="AL991" s="56"/>
      <c r="AS991" s="56"/>
      <c r="AT991" s="56"/>
      <c r="AU991" s="56"/>
    </row>
    <row r="992" spans="1:47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AF992" s="56"/>
      <c r="AG992" s="56"/>
      <c r="AH992" s="56"/>
      <c r="AI992" s="56"/>
      <c r="AJ992" s="56"/>
      <c r="AK992" s="56"/>
      <c r="AL992" s="56"/>
      <c r="AS992" s="56"/>
      <c r="AT992" s="56"/>
      <c r="AU992" s="56"/>
    </row>
    <row r="993" spans="1:47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AF993" s="56"/>
      <c r="AG993" s="56"/>
      <c r="AH993" s="56"/>
      <c r="AI993" s="56"/>
      <c r="AJ993" s="56"/>
      <c r="AK993" s="56"/>
      <c r="AL993" s="56"/>
      <c r="AS993" s="56"/>
      <c r="AT993" s="56"/>
      <c r="AU993" s="56"/>
    </row>
    <row r="994" spans="1:47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AF994" s="56"/>
      <c r="AG994" s="56"/>
      <c r="AH994" s="56"/>
      <c r="AI994" s="56"/>
      <c r="AJ994" s="56"/>
      <c r="AK994" s="56"/>
      <c r="AL994" s="56"/>
      <c r="AS994" s="56"/>
      <c r="AT994" s="56"/>
      <c r="AU994" s="56"/>
    </row>
    <row r="995" spans="1:47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AF995" s="56"/>
      <c r="AG995" s="56"/>
      <c r="AH995" s="56"/>
      <c r="AI995" s="56"/>
      <c r="AJ995" s="56"/>
      <c r="AK995" s="56"/>
      <c r="AL995" s="56"/>
      <c r="AS995" s="56"/>
      <c r="AT995" s="56"/>
      <c r="AU995" s="56"/>
    </row>
    <row r="996" spans="1:47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AF996" s="56"/>
      <c r="AG996" s="56"/>
      <c r="AH996" s="56"/>
      <c r="AI996" s="56"/>
      <c r="AJ996" s="56"/>
      <c r="AK996" s="56"/>
      <c r="AL996" s="56"/>
      <c r="AS996" s="56"/>
      <c r="AT996" s="56"/>
      <c r="AU996" s="56"/>
    </row>
    <row r="997" spans="1:47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AF997" s="56"/>
      <c r="AG997" s="56"/>
      <c r="AH997" s="56"/>
      <c r="AI997" s="56"/>
      <c r="AJ997" s="56"/>
      <c r="AK997" s="56"/>
      <c r="AL997" s="56"/>
      <c r="AS997" s="56"/>
      <c r="AT997" s="56"/>
      <c r="AU997" s="56"/>
    </row>
    <row r="998" spans="1:47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AF998" s="56"/>
      <c r="AG998" s="56"/>
      <c r="AH998" s="56"/>
      <c r="AI998" s="56"/>
      <c r="AJ998" s="56"/>
      <c r="AK998" s="56"/>
      <c r="AL998" s="56"/>
      <c r="AS998" s="56"/>
      <c r="AT998" s="56"/>
      <c r="AU998" s="56"/>
    </row>
    <row r="999" spans="1:47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AF999" s="56"/>
      <c r="AG999" s="56"/>
      <c r="AH999" s="56"/>
      <c r="AI999" s="56"/>
      <c r="AJ999" s="56"/>
      <c r="AK999" s="56"/>
      <c r="AL999" s="56"/>
      <c r="AS999" s="56"/>
      <c r="AT999" s="56"/>
      <c r="AU999" s="56"/>
    </row>
    <row r="1000" spans="1:47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AF1000" s="56"/>
      <c r="AG1000" s="56"/>
      <c r="AH1000" s="56"/>
      <c r="AI1000" s="56"/>
      <c r="AJ1000" s="56"/>
      <c r="AK1000" s="56"/>
      <c r="AL1000" s="56"/>
      <c r="AS1000" s="56"/>
      <c r="AT1000" s="56"/>
      <c r="AU1000" s="56"/>
    </row>
    <row r="1001" spans="1:47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AF1001" s="56"/>
      <c r="AG1001" s="56"/>
      <c r="AH1001" s="56"/>
      <c r="AI1001" s="56"/>
      <c r="AJ1001" s="56"/>
      <c r="AK1001" s="56"/>
      <c r="AL1001" s="56"/>
      <c r="AS1001" s="56"/>
      <c r="AT1001" s="56"/>
      <c r="AU1001" s="56"/>
    </row>
    <row r="1002" spans="1:47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AF1002" s="56"/>
      <c r="AG1002" s="56"/>
      <c r="AH1002" s="56"/>
      <c r="AI1002" s="56"/>
      <c r="AJ1002" s="56"/>
      <c r="AK1002" s="56"/>
      <c r="AL1002" s="56"/>
      <c r="AS1002" s="56"/>
      <c r="AT1002" s="56"/>
      <c r="AU1002" s="56"/>
    </row>
    <row r="1003" spans="1:47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AF1003" s="56"/>
      <c r="AG1003" s="56"/>
      <c r="AH1003" s="56"/>
      <c r="AI1003" s="56"/>
      <c r="AJ1003" s="56"/>
      <c r="AK1003" s="56"/>
      <c r="AL1003" s="56"/>
      <c r="AS1003" s="56"/>
      <c r="AT1003" s="56"/>
      <c r="AU1003" s="56"/>
    </row>
    <row r="1004" spans="1:47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AF1004" s="56"/>
      <c r="AG1004" s="56"/>
      <c r="AH1004" s="56"/>
      <c r="AI1004" s="56"/>
      <c r="AJ1004" s="56"/>
      <c r="AK1004" s="56"/>
      <c r="AL1004" s="56"/>
      <c r="AS1004" s="56"/>
      <c r="AT1004" s="56"/>
      <c r="AU1004" s="56"/>
    </row>
    <row r="1005" spans="1:47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AF1005" s="56"/>
      <c r="AG1005" s="56"/>
      <c r="AH1005" s="56"/>
      <c r="AI1005" s="56"/>
      <c r="AJ1005" s="56"/>
      <c r="AK1005" s="56"/>
      <c r="AL1005" s="56"/>
      <c r="AS1005" s="56"/>
      <c r="AT1005" s="56"/>
      <c r="AU1005" s="56"/>
    </row>
    <row r="1006" spans="1:47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AF1006" s="56"/>
      <c r="AG1006" s="56"/>
      <c r="AH1006" s="56"/>
      <c r="AI1006" s="56"/>
      <c r="AJ1006" s="56"/>
      <c r="AK1006" s="56"/>
      <c r="AL1006" s="56"/>
      <c r="AS1006" s="56"/>
      <c r="AT1006" s="56"/>
      <c r="AU1006" s="56"/>
    </row>
    <row r="1007" spans="1:47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AF1007" s="56"/>
      <c r="AG1007" s="56"/>
      <c r="AH1007" s="56"/>
      <c r="AI1007" s="56"/>
      <c r="AJ1007" s="56"/>
      <c r="AK1007" s="56"/>
      <c r="AL1007" s="56"/>
      <c r="AS1007" s="56"/>
      <c r="AT1007" s="56"/>
      <c r="AU1007" s="56"/>
    </row>
    <row r="1008" spans="1:47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AF1008" s="56"/>
      <c r="AG1008" s="56"/>
      <c r="AH1008" s="56"/>
      <c r="AI1008" s="56"/>
      <c r="AJ1008" s="56"/>
      <c r="AK1008" s="56"/>
      <c r="AL1008" s="56"/>
      <c r="AS1008" s="56"/>
      <c r="AT1008" s="56"/>
      <c r="AU1008" s="56"/>
    </row>
    <row r="1009" spans="1:47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AF1009" s="56"/>
      <c r="AG1009" s="56"/>
      <c r="AH1009" s="56"/>
      <c r="AI1009" s="56"/>
      <c r="AJ1009" s="56"/>
      <c r="AK1009" s="56"/>
      <c r="AL1009" s="56"/>
      <c r="AS1009" s="56"/>
      <c r="AT1009" s="56"/>
      <c r="AU1009" s="56"/>
    </row>
    <row r="1010" spans="1:47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AF1010" s="56"/>
      <c r="AG1010" s="56"/>
      <c r="AH1010" s="56"/>
      <c r="AI1010" s="56"/>
      <c r="AJ1010" s="56"/>
      <c r="AK1010" s="56"/>
      <c r="AL1010" s="56"/>
      <c r="AS1010" s="56"/>
      <c r="AT1010" s="56"/>
      <c r="AU1010" s="56"/>
    </row>
    <row r="1011" spans="1:47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AF1011" s="56"/>
      <c r="AG1011" s="56"/>
      <c r="AH1011" s="56"/>
      <c r="AI1011" s="56"/>
      <c r="AJ1011" s="56"/>
      <c r="AK1011" s="56"/>
      <c r="AL1011" s="56"/>
      <c r="AS1011" s="56"/>
      <c r="AT1011" s="56"/>
      <c r="AU1011" s="56"/>
    </row>
    <row r="1012" spans="1:47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AF1012" s="56"/>
      <c r="AG1012" s="56"/>
      <c r="AH1012" s="56"/>
      <c r="AI1012" s="56"/>
      <c r="AJ1012" s="56"/>
      <c r="AK1012" s="56"/>
      <c r="AL1012" s="56"/>
      <c r="AS1012" s="56"/>
      <c r="AT1012" s="56"/>
      <c r="AU1012" s="56"/>
    </row>
    <row r="1013" spans="1:47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AF1013" s="56"/>
      <c r="AG1013" s="56"/>
      <c r="AH1013" s="56"/>
      <c r="AI1013" s="56"/>
      <c r="AJ1013" s="56"/>
      <c r="AK1013" s="56"/>
      <c r="AL1013" s="56"/>
      <c r="AS1013" s="56"/>
      <c r="AT1013" s="56"/>
      <c r="AU1013" s="56"/>
    </row>
    <row r="1014" spans="1:47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AF1014" s="56"/>
      <c r="AG1014" s="56"/>
      <c r="AH1014" s="56"/>
      <c r="AI1014" s="56"/>
      <c r="AJ1014" s="56"/>
      <c r="AK1014" s="56"/>
      <c r="AL1014" s="56"/>
      <c r="AS1014" s="56"/>
      <c r="AT1014" s="56"/>
      <c r="AU1014" s="56"/>
    </row>
    <row r="1015" spans="1:47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AF1015" s="56"/>
      <c r="AG1015" s="56"/>
      <c r="AH1015" s="56"/>
      <c r="AI1015" s="56"/>
      <c r="AJ1015" s="56"/>
      <c r="AK1015" s="56"/>
      <c r="AL1015" s="56"/>
      <c r="AS1015" s="56"/>
      <c r="AT1015" s="56"/>
      <c r="AU1015" s="56"/>
    </row>
    <row r="1016" spans="1:47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AF1016" s="56"/>
      <c r="AG1016" s="56"/>
      <c r="AH1016" s="56"/>
      <c r="AI1016" s="56"/>
      <c r="AJ1016" s="56"/>
      <c r="AK1016" s="56"/>
      <c r="AL1016" s="56"/>
      <c r="AS1016" s="56"/>
      <c r="AT1016" s="56"/>
      <c r="AU1016" s="56"/>
    </row>
    <row r="1017" spans="1:47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AF1017" s="56"/>
      <c r="AG1017" s="56"/>
      <c r="AH1017" s="56"/>
      <c r="AI1017" s="56"/>
      <c r="AJ1017" s="56"/>
      <c r="AK1017" s="56"/>
      <c r="AL1017" s="56"/>
      <c r="AS1017" s="56"/>
      <c r="AT1017" s="56"/>
      <c r="AU1017" s="56"/>
    </row>
    <row r="1018" spans="1:47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AF1018" s="56"/>
      <c r="AG1018" s="56"/>
      <c r="AH1018" s="56"/>
      <c r="AI1018" s="56"/>
      <c r="AJ1018" s="56"/>
      <c r="AK1018" s="56"/>
      <c r="AL1018" s="56"/>
      <c r="AS1018" s="56"/>
      <c r="AT1018" s="56"/>
      <c r="AU1018" s="56"/>
    </row>
    <row r="1019" spans="1:47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AF1019" s="56"/>
      <c r="AG1019" s="56"/>
      <c r="AH1019" s="56"/>
      <c r="AI1019" s="56"/>
      <c r="AJ1019" s="56"/>
      <c r="AK1019" s="56"/>
      <c r="AL1019" s="56"/>
      <c r="AS1019" s="56"/>
      <c r="AT1019" s="56"/>
      <c r="AU1019" s="56"/>
    </row>
    <row r="1020" spans="1:47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AF1020" s="56"/>
      <c r="AG1020" s="56"/>
      <c r="AH1020" s="56"/>
      <c r="AI1020" s="56"/>
      <c r="AJ1020" s="56"/>
      <c r="AK1020" s="56"/>
      <c r="AL1020" s="56"/>
      <c r="AS1020" s="56"/>
      <c r="AT1020" s="56"/>
      <c r="AU1020" s="56"/>
    </row>
    <row r="1021" spans="1:47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AF1021" s="56"/>
      <c r="AG1021" s="56"/>
      <c r="AH1021" s="56"/>
      <c r="AI1021" s="56"/>
      <c r="AJ1021" s="56"/>
      <c r="AK1021" s="56"/>
      <c r="AL1021" s="56"/>
      <c r="AS1021" s="56"/>
      <c r="AT1021" s="56"/>
      <c r="AU1021" s="56"/>
    </row>
    <row r="1022" spans="1:47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AF1022" s="56"/>
      <c r="AG1022" s="56"/>
      <c r="AH1022" s="56"/>
      <c r="AI1022" s="56"/>
      <c r="AJ1022" s="56"/>
      <c r="AK1022" s="56"/>
      <c r="AL1022" s="56"/>
      <c r="AS1022" s="56"/>
      <c r="AT1022" s="56"/>
      <c r="AU1022" s="56"/>
    </row>
    <row r="1023" spans="1:47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AF1023" s="56"/>
      <c r="AG1023" s="56"/>
      <c r="AH1023" s="56"/>
      <c r="AI1023" s="56"/>
      <c r="AJ1023" s="56"/>
      <c r="AK1023" s="56"/>
      <c r="AL1023" s="56"/>
      <c r="AS1023" s="56"/>
      <c r="AT1023" s="56"/>
      <c r="AU1023" s="56"/>
    </row>
    <row r="1024" spans="1:47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AF1024" s="56"/>
      <c r="AG1024" s="56"/>
      <c r="AH1024" s="56"/>
      <c r="AI1024" s="56"/>
      <c r="AJ1024" s="56"/>
      <c r="AK1024" s="56"/>
      <c r="AL1024" s="56"/>
      <c r="AS1024" s="56"/>
      <c r="AT1024" s="56"/>
      <c r="AU1024" s="56"/>
    </row>
    <row r="1025" spans="1:47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AF1025" s="56"/>
      <c r="AG1025" s="56"/>
      <c r="AH1025" s="56"/>
      <c r="AI1025" s="56"/>
      <c r="AJ1025" s="56"/>
      <c r="AK1025" s="56"/>
      <c r="AL1025" s="56"/>
      <c r="AS1025" s="56"/>
      <c r="AT1025" s="56"/>
      <c r="AU1025" s="56"/>
    </row>
    <row r="1026" spans="1:47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AF1026" s="56"/>
      <c r="AG1026" s="56"/>
      <c r="AH1026" s="56"/>
      <c r="AI1026" s="56"/>
      <c r="AJ1026" s="56"/>
      <c r="AK1026" s="56"/>
      <c r="AL1026" s="56"/>
      <c r="AS1026" s="56"/>
      <c r="AT1026" s="56"/>
      <c r="AU1026" s="56"/>
    </row>
    <row r="1027" spans="1:47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AF1027" s="56"/>
      <c r="AG1027" s="56"/>
      <c r="AH1027" s="56"/>
      <c r="AI1027" s="56"/>
      <c r="AJ1027" s="56"/>
      <c r="AK1027" s="56"/>
      <c r="AL1027" s="56"/>
      <c r="AS1027" s="56"/>
      <c r="AT1027" s="56"/>
      <c r="AU1027" s="56"/>
    </row>
    <row r="1028" spans="1:47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AF1028" s="56"/>
      <c r="AG1028" s="56"/>
      <c r="AH1028" s="56"/>
      <c r="AI1028" s="56"/>
      <c r="AJ1028" s="56"/>
      <c r="AK1028" s="56"/>
      <c r="AL1028" s="56"/>
      <c r="AS1028" s="56"/>
      <c r="AT1028" s="56"/>
      <c r="AU1028" s="56"/>
    </row>
    <row r="1029" spans="1:47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AF1029" s="56"/>
      <c r="AG1029" s="56"/>
      <c r="AH1029" s="56"/>
      <c r="AI1029" s="56"/>
      <c r="AJ1029" s="56"/>
      <c r="AK1029" s="56"/>
      <c r="AL1029" s="56"/>
      <c r="AS1029" s="56"/>
      <c r="AT1029" s="56"/>
      <c r="AU1029" s="56"/>
    </row>
    <row r="1030" spans="1:47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AF1030" s="56"/>
      <c r="AG1030" s="56"/>
      <c r="AH1030" s="56"/>
      <c r="AI1030" s="56"/>
      <c r="AJ1030" s="56"/>
      <c r="AK1030" s="56"/>
      <c r="AL1030" s="56"/>
      <c r="AS1030" s="56"/>
      <c r="AT1030" s="56"/>
      <c r="AU1030" s="56"/>
    </row>
    <row r="1031" spans="1:47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AF1031" s="56"/>
      <c r="AG1031" s="56"/>
      <c r="AH1031" s="56"/>
      <c r="AI1031" s="56"/>
      <c r="AJ1031" s="56"/>
      <c r="AK1031" s="56"/>
      <c r="AL1031" s="56"/>
      <c r="AS1031" s="56"/>
      <c r="AT1031" s="56"/>
      <c r="AU1031" s="56"/>
    </row>
    <row r="1032" spans="1:47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AF1032" s="56"/>
      <c r="AG1032" s="56"/>
      <c r="AH1032" s="56"/>
      <c r="AI1032" s="56"/>
      <c r="AJ1032" s="56"/>
      <c r="AK1032" s="56"/>
      <c r="AL1032" s="56"/>
      <c r="AS1032" s="56"/>
      <c r="AT1032" s="56"/>
      <c r="AU1032" s="56"/>
    </row>
    <row r="1033" spans="1:47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AF1033" s="56"/>
      <c r="AG1033" s="56"/>
      <c r="AH1033" s="56"/>
      <c r="AI1033" s="56"/>
      <c r="AJ1033" s="56"/>
      <c r="AK1033" s="56"/>
      <c r="AL1033" s="56"/>
      <c r="AS1033" s="56"/>
      <c r="AT1033" s="56"/>
      <c r="AU1033" s="56"/>
    </row>
    <row r="1034" spans="1:47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AF1034" s="56"/>
      <c r="AG1034" s="56"/>
      <c r="AH1034" s="56"/>
      <c r="AI1034" s="56"/>
      <c r="AJ1034" s="56"/>
      <c r="AK1034" s="56"/>
      <c r="AL1034" s="56"/>
      <c r="AS1034" s="56"/>
      <c r="AT1034" s="56"/>
      <c r="AU1034" s="56"/>
    </row>
    <row r="1035" spans="1:47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AF1035" s="56"/>
      <c r="AG1035" s="56"/>
      <c r="AH1035" s="56"/>
      <c r="AI1035" s="56"/>
      <c r="AJ1035" s="56"/>
      <c r="AK1035" s="56"/>
      <c r="AL1035" s="56"/>
      <c r="AS1035" s="56"/>
      <c r="AT1035" s="56"/>
      <c r="AU1035" s="56"/>
    </row>
    <row r="1036" spans="1:47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AF1036" s="56"/>
      <c r="AG1036" s="56"/>
      <c r="AH1036" s="56"/>
      <c r="AI1036" s="56"/>
      <c r="AJ1036" s="56"/>
      <c r="AK1036" s="56"/>
      <c r="AL1036" s="56"/>
      <c r="AS1036" s="56"/>
      <c r="AT1036" s="56"/>
      <c r="AU1036" s="56"/>
    </row>
    <row r="1037" spans="1:47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AF1037" s="56"/>
      <c r="AG1037" s="56"/>
      <c r="AH1037" s="56"/>
      <c r="AI1037" s="56"/>
      <c r="AJ1037" s="56"/>
      <c r="AK1037" s="56"/>
      <c r="AL1037" s="56"/>
      <c r="AS1037" s="56"/>
      <c r="AT1037" s="56"/>
      <c r="AU1037" s="56"/>
    </row>
    <row r="1038" spans="1:47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AF1038" s="56"/>
      <c r="AG1038" s="56"/>
      <c r="AH1038" s="56"/>
      <c r="AI1038" s="56"/>
      <c r="AJ1038" s="56"/>
      <c r="AK1038" s="56"/>
      <c r="AL1038" s="56"/>
      <c r="AS1038" s="56"/>
      <c r="AT1038" s="56"/>
      <c r="AU1038" s="56"/>
    </row>
    <row r="1039" spans="1:47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AF1039" s="56"/>
      <c r="AG1039" s="56"/>
      <c r="AH1039" s="56"/>
      <c r="AI1039" s="56"/>
      <c r="AJ1039" s="56"/>
      <c r="AK1039" s="56"/>
      <c r="AL1039" s="56"/>
      <c r="AS1039" s="56"/>
      <c r="AT1039" s="56"/>
      <c r="AU1039" s="56"/>
    </row>
    <row r="1040" spans="1:47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AF1040" s="56"/>
      <c r="AG1040" s="56"/>
      <c r="AH1040" s="56"/>
      <c r="AI1040" s="56"/>
      <c r="AJ1040" s="56"/>
      <c r="AK1040" s="56"/>
      <c r="AL1040" s="56"/>
      <c r="AS1040" s="56"/>
      <c r="AT1040" s="56"/>
      <c r="AU1040" s="56"/>
    </row>
    <row r="1041" spans="1:47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AF1041" s="56"/>
      <c r="AG1041" s="56"/>
      <c r="AH1041" s="56"/>
      <c r="AI1041" s="56"/>
      <c r="AJ1041" s="56"/>
      <c r="AK1041" s="56"/>
      <c r="AL1041" s="56"/>
      <c r="AS1041" s="56"/>
      <c r="AT1041" s="56"/>
      <c r="AU1041" s="56"/>
    </row>
    <row r="1042" spans="1:47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AF1042" s="56"/>
      <c r="AG1042" s="56"/>
      <c r="AH1042" s="56"/>
      <c r="AI1042" s="56"/>
      <c r="AJ1042" s="56"/>
      <c r="AK1042" s="56"/>
      <c r="AL1042" s="56"/>
      <c r="AS1042" s="56"/>
      <c r="AT1042" s="56"/>
      <c r="AU1042" s="56"/>
    </row>
    <row r="1043" spans="1:47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AF1043" s="56"/>
      <c r="AG1043" s="56"/>
      <c r="AH1043" s="56"/>
      <c r="AI1043" s="56"/>
      <c r="AJ1043" s="56"/>
      <c r="AK1043" s="56"/>
      <c r="AL1043" s="56"/>
      <c r="AS1043" s="56"/>
      <c r="AT1043" s="56"/>
      <c r="AU1043" s="56"/>
    </row>
    <row r="1044" spans="1:47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AF1044" s="56"/>
      <c r="AG1044" s="56"/>
      <c r="AH1044" s="56"/>
      <c r="AI1044" s="56"/>
      <c r="AJ1044" s="56"/>
      <c r="AK1044" s="56"/>
      <c r="AL1044" s="56"/>
      <c r="AS1044" s="56"/>
      <c r="AT1044" s="56"/>
      <c r="AU1044" s="56"/>
    </row>
    <row r="1045" spans="1:47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AF1045" s="56"/>
      <c r="AG1045" s="56"/>
      <c r="AH1045" s="56"/>
      <c r="AI1045" s="56"/>
      <c r="AJ1045" s="56"/>
      <c r="AK1045" s="56"/>
      <c r="AL1045" s="56"/>
      <c r="AS1045" s="56"/>
      <c r="AT1045" s="56"/>
      <c r="AU1045" s="56"/>
    </row>
    <row r="1046" spans="1:47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AF1046" s="56"/>
      <c r="AG1046" s="56"/>
      <c r="AH1046" s="56"/>
      <c r="AI1046" s="56"/>
      <c r="AJ1046" s="56"/>
      <c r="AK1046" s="56"/>
      <c r="AL1046" s="56"/>
      <c r="AS1046" s="56"/>
      <c r="AT1046" s="56"/>
      <c r="AU1046" s="56"/>
    </row>
    <row r="1047" spans="1:47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AF1047" s="56"/>
      <c r="AG1047" s="56"/>
      <c r="AH1047" s="56"/>
      <c r="AI1047" s="56"/>
      <c r="AJ1047" s="56"/>
      <c r="AK1047" s="56"/>
      <c r="AL1047" s="56"/>
      <c r="AS1047" s="56"/>
      <c r="AT1047" s="56"/>
      <c r="AU1047" s="56"/>
    </row>
    <row r="1048" spans="1:47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AF1048" s="56"/>
      <c r="AG1048" s="56"/>
      <c r="AH1048" s="56"/>
      <c r="AI1048" s="56"/>
      <c r="AJ1048" s="56"/>
      <c r="AK1048" s="56"/>
      <c r="AL1048" s="56"/>
      <c r="AS1048" s="56"/>
      <c r="AT1048" s="56"/>
      <c r="AU1048" s="56"/>
    </row>
    <row r="1049" spans="1:47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AF1049" s="56"/>
      <c r="AG1049" s="56"/>
      <c r="AH1049" s="56"/>
      <c r="AI1049" s="56"/>
      <c r="AJ1049" s="56"/>
      <c r="AK1049" s="56"/>
      <c r="AL1049" s="56"/>
      <c r="AS1049" s="56"/>
      <c r="AT1049" s="56"/>
      <c r="AU1049" s="56"/>
    </row>
    <row r="1050" spans="1:47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AF1050" s="56"/>
      <c r="AG1050" s="56"/>
      <c r="AH1050" s="56"/>
      <c r="AI1050" s="56"/>
      <c r="AJ1050" s="56"/>
      <c r="AK1050" s="56"/>
      <c r="AL1050" s="56"/>
      <c r="AS1050" s="56"/>
      <c r="AT1050" s="56"/>
      <c r="AU1050" s="56"/>
    </row>
    <row r="1051" spans="1:47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AF1051" s="56"/>
      <c r="AG1051" s="56"/>
      <c r="AH1051" s="56"/>
      <c r="AI1051" s="56"/>
      <c r="AJ1051" s="56"/>
      <c r="AK1051" s="56"/>
      <c r="AL1051" s="56"/>
      <c r="AS1051" s="56"/>
      <c r="AT1051" s="56"/>
      <c r="AU1051" s="56"/>
    </row>
    <row r="1052" spans="1:47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AF1052" s="56"/>
      <c r="AG1052" s="56"/>
      <c r="AH1052" s="56"/>
      <c r="AI1052" s="56"/>
      <c r="AJ1052" s="56"/>
      <c r="AK1052" s="56"/>
      <c r="AL1052" s="56"/>
      <c r="AS1052" s="56"/>
      <c r="AT1052" s="56"/>
      <c r="AU1052" s="56"/>
    </row>
    <row r="1053" spans="1:47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AF1053" s="56"/>
      <c r="AG1053" s="56"/>
      <c r="AH1053" s="56"/>
      <c r="AI1053" s="56"/>
      <c r="AJ1053" s="56"/>
      <c r="AK1053" s="56"/>
      <c r="AL1053" s="56"/>
      <c r="AS1053" s="56"/>
      <c r="AT1053" s="56"/>
      <c r="AU1053" s="56"/>
    </row>
    <row r="1054" spans="1:47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AF1054" s="56"/>
      <c r="AG1054" s="56"/>
      <c r="AH1054" s="56"/>
      <c r="AI1054" s="56"/>
      <c r="AJ1054" s="56"/>
      <c r="AK1054" s="56"/>
      <c r="AL1054" s="56"/>
      <c r="AS1054" s="56"/>
      <c r="AT1054" s="56"/>
      <c r="AU1054" s="56"/>
    </row>
    <row r="1055" spans="1:47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AF1055" s="56"/>
      <c r="AG1055" s="56"/>
      <c r="AH1055" s="56"/>
      <c r="AI1055" s="56"/>
      <c r="AJ1055" s="56"/>
      <c r="AK1055" s="56"/>
      <c r="AL1055" s="56"/>
      <c r="AS1055" s="56"/>
      <c r="AT1055" s="56"/>
      <c r="AU1055" s="56"/>
    </row>
    <row r="1056" spans="1:47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AF1056" s="56"/>
      <c r="AG1056" s="56"/>
      <c r="AH1056" s="56"/>
      <c r="AI1056" s="56"/>
      <c r="AJ1056" s="56"/>
      <c r="AK1056" s="56"/>
      <c r="AL1056" s="56"/>
      <c r="AS1056" s="56"/>
      <c r="AT1056" s="56"/>
      <c r="AU1056" s="56"/>
    </row>
    <row r="1057" spans="1:47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AF1057" s="56"/>
      <c r="AG1057" s="56"/>
      <c r="AH1057" s="56"/>
      <c r="AI1057" s="56"/>
      <c r="AJ1057" s="56"/>
      <c r="AK1057" s="56"/>
      <c r="AL1057" s="56"/>
      <c r="AS1057" s="56"/>
      <c r="AT1057" s="56"/>
      <c r="AU1057" s="56"/>
    </row>
    <row r="1058" spans="1:47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AF1058" s="56"/>
      <c r="AG1058" s="56"/>
      <c r="AH1058" s="56"/>
      <c r="AI1058" s="56"/>
      <c r="AJ1058" s="56"/>
      <c r="AK1058" s="56"/>
      <c r="AL1058" s="56"/>
      <c r="AS1058" s="56"/>
      <c r="AT1058" s="56"/>
      <c r="AU1058" s="56"/>
    </row>
    <row r="1059" spans="1:47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AF1059" s="56"/>
      <c r="AG1059" s="56"/>
      <c r="AH1059" s="56"/>
      <c r="AI1059" s="56"/>
      <c r="AJ1059" s="56"/>
      <c r="AK1059" s="56"/>
      <c r="AL1059" s="56"/>
      <c r="AS1059" s="56"/>
      <c r="AT1059" s="56"/>
      <c r="AU1059" s="56"/>
    </row>
    <row r="1060" spans="1:47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AF1060" s="56"/>
      <c r="AG1060" s="56"/>
      <c r="AH1060" s="56"/>
      <c r="AI1060" s="56"/>
      <c r="AJ1060" s="56"/>
      <c r="AK1060" s="56"/>
      <c r="AL1060" s="56"/>
      <c r="AS1060" s="56"/>
      <c r="AT1060" s="56"/>
      <c r="AU1060" s="56"/>
    </row>
    <row r="1061" spans="1:47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AF1061" s="56"/>
      <c r="AG1061" s="56"/>
      <c r="AH1061" s="56"/>
      <c r="AI1061" s="56"/>
      <c r="AJ1061" s="56"/>
      <c r="AK1061" s="56"/>
      <c r="AL1061" s="56"/>
      <c r="AS1061" s="56"/>
      <c r="AT1061" s="56"/>
      <c r="AU1061" s="56"/>
    </row>
    <row r="1062" spans="1:47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AF1062" s="56"/>
      <c r="AG1062" s="56"/>
      <c r="AH1062" s="56"/>
      <c r="AI1062" s="56"/>
      <c r="AJ1062" s="56"/>
      <c r="AK1062" s="56"/>
      <c r="AL1062" s="56"/>
      <c r="AS1062" s="56"/>
      <c r="AT1062" s="56"/>
      <c r="AU1062" s="56"/>
    </row>
    <row r="1063" spans="1:47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AF1063" s="56"/>
      <c r="AG1063" s="56"/>
      <c r="AH1063" s="56"/>
      <c r="AI1063" s="56"/>
      <c r="AJ1063" s="56"/>
      <c r="AK1063" s="56"/>
      <c r="AL1063" s="56"/>
      <c r="AS1063" s="56"/>
      <c r="AT1063" s="56"/>
      <c r="AU1063" s="56"/>
    </row>
    <row r="1064" spans="1:47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AF1064" s="56"/>
      <c r="AG1064" s="56"/>
      <c r="AH1064" s="56"/>
      <c r="AI1064" s="56"/>
      <c r="AJ1064" s="56"/>
      <c r="AK1064" s="56"/>
      <c r="AL1064" s="56"/>
      <c r="AS1064" s="56"/>
      <c r="AT1064" s="56"/>
      <c r="AU1064" s="56"/>
    </row>
    <row r="1065" spans="1:47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AF1065" s="56"/>
      <c r="AG1065" s="56"/>
      <c r="AH1065" s="56"/>
      <c r="AI1065" s="56"/>
      <c r="AJ1065" s="56"/>
      <c r="AK1065" s="56"/>
      <c r="AL1065" s="56"/>
      <c r="AS1065" s="56"/>
      <c r="AT1065" s="56"/>
      <c r="AU1065" s="56"/>
    </row>
    <row r="1066" spans="1:47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AF1066" s="56"/>
      <c r="AG1066" s="56"/>
      <c r="AH1066" s="56"/>
      <c r="AI1066" s="56"/>
      <c r="AJ1066" s="56"/>
      <c r="AK1066" s="56"/>
      <c r="AL1066" s="56"/>
      <c r="AS1066" s="56"/>
      <c r="AT1066" s="56"/>
      <c r="AU1066" s="56"/>
    </row>
    <row r="1067" spans="1:47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AF1067" s="56"/>
      <c r="AG1067" s="56"/>
      <c r="AH1067" s="56"/>
      <c r="AI1067" s="56"/>
      <c r="AJ1067" s="56"/>
      <c r="AK1067" s="56"/>
      <c r="AL1067" s="56"/>
      <c r="AS1067" s="56"/>
      <c r="AT1067" s="56"/>
      <c r="AU1067" s="56"/>
    </row>
    <row r="1068" spans="1:47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AF1068" s="56"/>
      <c r="AG1068" s="56"/>
      <c r="AH1068" s="56"/>
      <c r="AI1068" s="56"/>
      <c r="AJ1068" s="56"/>
      <c r="AK1068" s="56"/>
      <c r="AL1068" s="56"/>
      <c r="AS1068" s="56"/>
      <c r="AT1068" s="56"/>
      <c r="AU1068" s="56"/>
    </row>
    <row r="1069" spans="1:47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AF1069" s="56"/>
      <c r="AG1069" s="56"/>
      <c r="AH1069" s="56"/>
      <c r="AI1069" s="56"/>
      <c r="AJ1069" s="56"/>
      <c r="AK1069" s="56"/>
      <c r="AL1069" s="56"/>
      <c r="AS1069" s="56"/>
      <c r="AT1069" s="56"/>
      <c r="AU1069" s="56"/>
    </row>
    <row r="1070" spans="1:47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AF1070" s="56"/>
      <c r="AG1070" s="56"/>
      <c r="AH1070" s="56"/>
      <c r="AI1070" s="56"/>
      <c r="AJ1070" s="56"/>
      <c r="AK1070" s="56"/>
      <c r="AL1070" s="56"/>
      <c r="AS1070" s="56"/>
      <c r="AT1070" s="56"/>
      <c r="AU1070" s="56"/>
    </row>
    <row r="1071" spans="1:47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AF1071" s="56"/>
      <c r="AG1071" s="56"/>
      <c r="AH1071" s="56"/>
      <c r="AI1071" s="56"/>
      <c r="AJ1071" s="56"/>
      <c r="AK1071" s="56"/>
      <c r="AL1071" s="56"/>
      <c r="AS1071" s="56"/>
      <c r="AT1071" s="56"/>
      <c r="AU1071" s="56"/>
    </row>
    <row r="1072" spans="1:47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AF1072" s="56"/>
      <c r="AG1072" s="56"/>
      <c r="AH1072" s="56"/>
      <c r="AI1072" s="56"/>
      <c r="AJ1072" s="56"/>
      <c r="AK1072" s="56"/>
      <c r="AL1072" s="56"/>
      <c r="AS1072" s="56"/>
      <c r="AT1072" s="56"/>
      <c r="AU1072" s="56"/>
    </row>
    <row r="1073" spans="1:47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AF1073" s="56"/>
      <c r="AG1073" s="56"/>
      <c r="AH1073" s="56"/>
      <c r="AI1073" s="56"/>
      <c r="AJ1073" s="56"/>
      <c r="AK1073" s="56"/>
      <c r="AL1073" s="56"/>
      <c r="AS1073" s="56"/>
      <c r="AT1073" s="56"/>
      <c r="AU1073" s="56"/>
    </row>
    <row r="1074" spans="1:47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AF1074" s="56"/>
      <c r="AG1074" s="56"/>
      <c r="AH1074" s="56"/>
      <c r="AI1074" s="56"/>
      <c r="AJ1074" s="56"/>
      <c r="AK1074" s="56"/>
      <c r="AL1074" s="56"/>
      <c r="AS1074" s="56"/>
      <c r="AT1074" s="56"/>
      <c r="AU1074" s="56"/>
    </row>
    <row r="1075" spans="1:47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AF1075" s="56"/>
      <c r="AG1075" s="56"/>
      <c r="AH1075" s="56"/>
      <c r="AI1075" s="56"/>
      <c r="AJ1075" s="56"/>
      <c r="AK1075" s="56"/>
      <c r="AL1075" s="56"/>
      <c r="AS1075" s="56"/>
      <c r="AT1075" s="56"/>
      <c r="AU1075" s="56"/>
    </row>
    <row r="1076" spans="1:47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AF1076" s="56"/>
      <c r="AG1076" s="56"/>
      <c r="AH1076" s="56"/>
      <c r="AI1076" s="56"/>
      <c r="AJ1076" s="56"/>
      <c r="AK1076" s="56"/>
      <c r="AL1076" s="56"/>
      <c r="AS1076" s="56"/>
      <c r="AT1076" s="56"/>
      <c r="AU1076" s="56"/>
    </row>
    <row r="1077" spans="1:47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AF1077" s="56"/>
      <c r="AG1077" s="56"/>
      <c r="AH1077" s="56"/>
      <c r="AI1077" s="56"/>
      <c r="AJ1077" s="56"/>
      <c r="AK1077" s="56"/>
      <c r="AL1077" s="56"/>
      <c r="AS1077" s="56"/>
      <c r="AT1077" s="56"/>
      <c r="AU1077" s="56"/>
    </row>
    <row r="1078" spans="1:47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AF1078" s="56"/>
      <c r="AG1078" s="56"/>
      <c r="AH1078" s="56"/>
      <c r="AI1078" s="56"/>
      <c r="AJ1078" s="56"/>
      <c r="AK1078" s="56"/>
      <c r="AL1078" s="56"/>
      <c r="AS1078" s="56"/>
      <c r="AT1078" s="56"/>
      <c r="AU1078" s="56"/>
    </row>
    <row r="1079" spans="1:47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AF1079" s="56"/>
      <c r="AG1079" s="56"/>
      <c r="AH1079" s="56"/>
      <c r="AI1079" s="56"/>
      <c r="AJ1079" s="56"/>
      <c r="AK1079" s="56"/>
      <c r="AL1079" s="56"/>
      <c r="AS1079" s="56"/>
      <c r="AT1079" s="56"/>
      <c r="AU1079" s="56"/>
    </row>
    <row r="1080" spans="1:47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AF1080" s="56"/>
      <c r="AG1080" s="56"/>
      <c r="AH1080" s="56"/>
      <c r="AI1080" s="56"/>
      <c r="AJ1080" s="56"/>
      <c r="AK1080" s="56"/>
      <c r="AL1080" s="56"/>
      <c r="AS1080" s="56"/>
      <c r="AT1080" s="56"/>
      <c r="AU1080" s="56"/>
    </row>
    <row r="1081" spans="1:47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AF1081" s="56"/>
      <c r="AG1081" s="56"/>
      <c r="AH1081" s="56"/>
      <c r="AI1081" s="56"/>
      <c r="AJ1081" s="56"/>
      <c r="AK1081" s="56"/>
      <c r="AL1081" s="56"/>
      <c r="AS1081" s="56"/>
      <c r="AT1081" s="56"/>
      <c r="AU1081" s="56"/>
    </row>
    <row r="1082" spans="1:47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AF1082" s="56"/>
      <c r="AG1082" s="56"/>
      <c r="AH1082" s="56"/>
      <c r="AI1082" s="56"/>
      <c r="AJ1082" s="56"/>
      <c r="AK1082" s="56"/>
      <c r="AL1082" s="56"/>
      <c r="AS1082" s="56"/>
      <c r="AT1082" s="56"/>
      <c r="AU1082" s="56"/>
    </row>
    <row r="1083" spans="1:47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AF1083" s="56"/>
      <c r="AG1083" s="56"/>
      <c r="AH1083" s="56"/>
      <c r="AI1083" s="56"/>
      <c r="AJ1083" s="56"/>
      <c r="AK1083" s="56"/>
      <c r="AL1083" s="56"/>
      <c r="AS1083" s="56"/>
      <c r="AT1083" s="56"/>
      <c r="AU1083" s="56"/>
    </row>
    <row r="1084" spans="1:47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AF1084" s="56"/>
      <c r="AG1084" s="56"/>
      <c r="AH1084" s="56"/>
      <c r="AI1084" s="56"/>
      <c r="AJ1084" s="56"/>
      <c r="AK1084" s="56"/>
      <c r="AL1084" s="56"/>
      <c r="AS1084" s="56"/>
      <c r="AT1084" s="56"/>
      <c r="AU1084" s="56"/>
    </row>
    <row r="1085" spans="1:47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AF1085" s="56"/>
      <c r="AG1085" s="56"/>
      <c r="AH1085" s="56"/>
      <c r="AI1085" s="56"/>
      <c r="AJ1085" s="56"/>
      <c r="AK1085" s="56"/>
      <c r="AL1085" s="56"/>
      <c r="AS1085" s="56"/>
      <c r="AT1085" s="56"/>
      <c r="AU1085" s="56"/>
    </row>
    <row r="1086" spans="1:47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AF1086" s="56"/>
      <c r="AG1086" s="56"/>
      <c r="AH1086" s="56"/>
      <c r="AI1086" s="56"/>
      <c r="AJ1086" s="56"/>
      <c r="AK1086" s="56"/>
      <c r="AL1086" s="56"/>
      <c r="AS1086" s="56"/>
      <c r="AT1086" s="56"/>
      <c r="AU1086" s="56"/>
    </row>
    <row r="1087" spans="1:47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AF1087" s="56"/>
      <c r="AG1087" s="56"/>
      <c r="AH1087" s="56"/>
      <c r="AI1087" s="56"/>
      <c r="AJ1087" s="56"/>
      <c r="AK1087" s="56"/>
      <c r="AL1087" s="56"/>
      <c r="AS1087" s="56"/>
      <c r="AT1087" s="56"/>
      <c r="AU1087" s="56"/>
    </row>
    <row r="1088" spans="1:47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AF1088" s="56"/>
      <c r="AG1088" s="56"/>
      <c r="AH1088" s="56"/>
      <c r="AI1088" s="56"/>
      <c r="AJ1088" s="56"/>
      <c r="AK1088" s="56"/>
      <c r="AL1088" s="56"/>
      <c r="AS1088" s="56"/>
      <c r="AT1088" s="56"/>
      <c r="AU1088" s="56"/>
    </row>
    <row r="1089" spans="1:47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AF1089" s="56"/>
      <c r="AG1089" s="56"/>
      <c r="AH1089" s="56"/>
      <c r="AI1089" s="56"/>
      <c r="AJ1089" s="56"/>
      <c r="AK1089" s="56"/>
      <c r="AL1089" s="56"/>
      <c r="AS1089" s="56"/>
      <c r="AT1089" s="56"/>
      <c r="AU1089" s="56"/>
    </row>
    <row r="1090" spans="1:47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AF1090" s="56"/>
      <c r="AG1090" s="56"/>
      <c r="AH1090" s="56"/>
      <c r="AI1090" s="56"/>
      <c r="AJ1090" s="56"/>
      <c r="AK1090" s="56"/>
      <c r="AL1090" s="56"/>
      <c r="AS1090" s="56"/>
      <c r="AT1090" s="56"/>
      <c r="AU1090" s="56"/>
    </row>
    <row r="1091" spans="1:47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AF1091" s="56"/>
      <c r="AG1091" s="56"/>
      <c r="AH1091" s="56"/>
      <c r="AI1091" s="56"/>
      <c r="AJ1091" s="56"/>
      <c r="AK1091" s="56"/>
      <c r="AL1091" s="56"/>
      <c r="AS1091" s="56"/>
      <c r="AT1091" s="56"/>
      <c r="AU1091" s="56"/>
    </row>
    <row r="1092" spans="1:47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AF1092" s="56"/>
      <c r="AG1092" s="56"/>
      <c r="AH1092" s="56"/>
      <c r="AI1092" s="56"/>
      <c r="AJ1092" s="56"/>
      <c r="AK1092" s="56"/>
      <c r="AL1092" s="56"/>
      <c r="AS1092" s="56"/>
      <c r="AT1092" s="56"/>
      <c r="AU1092" s="56"/>
    </row>
    <row r="1093" spans="1:47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AF1093" s="56"/>
      <c r="AG1093" s="56"/>
      <c r="AH1093" s="56"/>
      <c r="AI1093" s="56"/>
      <c r="AJ1093" s="56"/>
      <c r="AK1093" s="56"/>
      <c r="AL1093" s="56"/>
      <c r="AS1093" s="56"/>
      <c r="AT1093" s="56"/>
      <c r="AU1093" s="56"/>
    </row>
    <row r="1094" spans="1:47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AF1094" s="56"/>
      <c r="AG1094" s="56"/>
      <c r="AH1094" s="56"/>
      <c r="AI1094" s="56"/>
      <c r="AJ1094" s="56"/>
      <c r="AK1094" s="56"/>
      <c r="AL1094" s="56"/>
      <c r="AS1094" s="56"/>
      <c r="AT1094" s="56"/>
      <c r="AU1094" s="56"/>
    </row>
    <row r="1095" spans="1:47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AF1095" s="56"/>
      <c r="AG1095" s="56"/>
      <c r="AH1095" s="56"/>
      <c r="AI1095" s="56"/>
      <c r="AJ1095" s="56"/>
      <c r="AK1095" s="56"/>
      <c r="AL1095" s="56"/>
      <c r="AS1095" s="56"/>
      <c r="AT1095" s="56"/>
      <c r="AU1095" s="56"/>
    </row>
    <row r="1096" spans="1:47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AF1096" s="56"/>
      <c r="AG1096" s="56"/>
      <c r="AH1096" s="56"/>
      <c r="AI1096" s="56"/>
      <c r="AJ1096" s="56"/>
      <c r="AK1096" s="56"/>
      <c r="AL1096" s="56"/>
      <c r="AS1096" s="56"/>
      <c r="AT1096" s="56"/>
      <c r="AU1096" s="56"/>
    </row>
    <row r="1097" spans="1:47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AF1097" s="56"/>
      <c r="AG1097" s="56"/>
      <c r="AH1097" s="56"/>
      <c r="AI1097" s="56"/>
      <c r="AJ1097" s="56"/>
      <c r="AK1097" s="56"/>
      <c r="AL1097" s="56"/>
      <c r="AS1097" s="56"/>
      <c r="AT1097" s="56"/>
      <c r="AU1097" s="56"/>
    </row>
    <row r="1098" spans="1:47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AF1098" s="56"/>
      <c r="AG1098" s="56"/>
      <c r="AH1098" s="56"/>
      <c r="AI1098" s="56"/>
      <c r="AJ1098" s="56"/>
      <c r="AK1098" s="56"/>
      <c r="AL1098" s="56"/>
      <c r="AS1098" s="56"/>
      <c r="AT1098" s="56"/>
      <c r="AU1098" s="56"/>
    </row>
    <row r="1099" spans="1:47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AF1099" s="56"/>
      <c r="AG1099" s="56"/>
      <c r="AH1099" s="56"/>
      <c r="AI1099" s="56"/>
      <c r="AJ1099" s="56"/>
      <c r="AK1099" s="56"/>
      <c r="AL1099" s="56"/>
      <c r="AS1099" s="56"/>
      <c r="AT1099" s="56"/>
      <c r="AU1099" s="56"/>
    </row>
    <row r="1100" spans="1:47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AF1100" s="56"/>
      <c r="AG1100" s="56"/>
      <c r="AH1100" s="56"/>
      <c r="AI1100" s="56"/>
      <c r="AJ1100" s="56"/>
      <c r="AK1100" s="56"/>
      <c r="AL1100" s="56"/>
      <c r="AS1100" s="56"/>
      <c r="AT1100" s="56"/>
      <c r="AU1100" s="56"/>
    </row>
    <row r="1101" spans="1:47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AF1101" s="56"/>
      <c r="AG1101" s="56"/>
      <c r="AH1101" s="56"/>
      <c r="AI1101" s="56"/>
      <c r="AJ1101" s="56"/>
      <c r="AK1101" s="56"/>
      <c r="AL1101" s="56"/>
      <c r="AS1101" s="56"/>
      <c r="AT1101" s="56"/>
      <c r="AU1101" s="56"/>
    </row>
    <row r="1102" spans="1:47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AF1102" s="56"/>
      <c r="AG1102" s="56"/>
      <c r="AH1102" s="56"/>
      <c r="AI1102" s="56"/>
      <c r="AJ1102" s="56"/>
      <c r="AK1102" s="56"/>
      <c r="AL1102" s="56"/>
      <c r="AS1102" s="56"/>
      <c r="AT1102" s="56"/>
      <c r="AU1102" s="56"/>
    </row>
    <row r="1103" spans="1:47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AF1103" s="56"/>
      <c r="AG1103" s="56"/>
      <c r="AH1103" s="56"/>
      <c r="AI1103" s="56"/>
      <c r="AJ1103" s="56"/>
      <c r="AK1103" s="56"/>
      <c r="AL1103" s="56"/>
      <c r="AS1103" s="56"/>
      <c r="AT1103" s="56"/>
      <c r="AU1103" s="56"/>
    </row>
    <row r="1104" spans="1:47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AF1104" s="56"/>
      <c r="AG1104" s="56"/>
      <c r="AH1104" s="56"/>
      <c r="AI1104" s="56"/>
      <c r="AJ1104" s="56"/>
      <c r="AK1104" s="56"/>
      <c r="AL1104" s="56"/>
      <c r="AS1104" s="56"/>
      <c r="AT1104" s="56"/>
      <c r="AU1104" s="56"/>
    </row>
    <row r="1105" spans="1:47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AF1105" s="56"/>
      <c r="AG1105" s="56"/>
      <c r="AH1105" s="56"/>
      <c r="AI1105" s="56"/>
      <c r="AJ1105" s="56"/>
      <c r="AK1105" s="56"/>
      <c r="AL1105" s="56"/>
      <c r="AS1105" s="56"/>
      <c r="AT1105" s="56"/>
      <c r="AU1105" s="56"/>
    </row>
    <row r="1106" spans="1:47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AF1106" s="56"/>
      <c r="AG1106" s="56"/>
      <c r="AH1106" s="56"/>
      <c r="AI1106" s="56"/>
      <c r="AJ1106" s="56"/>
      <c r="AK1106" s="56"/>
      <c r="AL1106" s="56"/>
      <c r="AS1106" s="56"/>
      <c r="AT1106" s="56"/>
      <c r="AU1106" s="56"/>
    </row>
    <row r="1107" spans="1:47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AF1107" s="56"/>
      <c r="AG1107" s="56"/>
      <c r="AH1107" s="56"/>
      <c r="AI1107" s="56"/>
      <c r="AJ1107" s="56"/>
      <c r="AK1107" s="56"/>
      <c r="AL1107" s="56"/>
      <c r="AS1107" s="56"/>
      <c r="AT1107" s="56"/>
      <c r="AU1107" s="56"/>
    </row>
    <row r="1108" spans="1:47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AF1108" s="56"/>
      <c r="AG1108" s="56"/>
      <c r="AH1108" s="56"/>
      <c r="AI1108" s="56"/>
      <c r="AJ1108" s="56"/>
      <c r="AK1108" s="56"/>
      <c r="AL1108" s="56"/>
      <c r="AS1108" s="56"/>
      <c r="AT1108" s="56"/>
      <c r="AU1108" s="56"/>
    </row>
    <row r="1109" spans="1:47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AF1109" s="56"/>
      <c r="AG1109" s="56"/>
      <c r="AH1109" s="56"/>
      <c r="AI1109" s="56"/>
      <c r="AJ1109" s="56"/>
      <c r="AK1109" s="56"/>
      <c r="AL1109" s="56"/>
      <c r="AS1109" s="56"/>
      <c r="AT1109" s="56"/>
      <c r="AU1109" s="56"/>
    </row>
    <row r="1110" spans="1:47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AF1110" s="56"/>
      <c r="AG1110" s="56"/>
      <c r="AH1110" s="56"/>
      <c r="AI1110" s="56"/>
      <c r="AJ1110" s="56"/>
      <c r="AK1110" s="56"/>
      <c r="AL1110" s="56"/>
      <c r="AS1110" s="56"/>
      <c r="AT1110" s="56"/>
      <c r="AU1110" s="56"/>
    </row>
    <row r="1111" spans="1:47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AF1111" s="56"/>
      <c r="AG1111" s="56"/>
      <c r="AH1111" s="56"/>
      <c r="AI1111" s="56"/>
      <c r="AJ1111" s="56"/>
      <c r="AK1111" s="56"/>
      <c r="AL1111" s="56"/>
      <c r="AS1111" s="56"/>
      <c r="AT1111" s="56"/>
      <c r="AU1111" s="56"/>
    </row>
    <row r="1112" spans="1:47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AF1112" s="56"/>
      <c r="AG1112" s="56"/>
      <c r="AH1112" s="56"/>
      <c r="AI1112" s="56"/>
      <c r="AJ1112" s="56"/>
      <c r="AK1112" s="56"/>
      <c r="AL1112" s="56"/>
      <c r="AS1112" s="56"/>
      <c r="AT1112" s="56"/>
      <c r="AU1112" s="56"/>
    </row>
    <row r="1113" spans="1:47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AF1113" s="56"/>
      <c r="AG1113" s="56"/>
      <c r="AH1113" s="56"/>
      <c r="AI1113" s="56"/>
      <c r="AJ1113" s="56"/>
      <c r="AK1113" s="56"/>
      <c r="AL1113" s="56"/>
      <c r="AS1113" s="56"/>
      <c r="AT1113" s="56"/>
      <c r="AU1113" s="56"/>
    </row>
    <row r="1114" spans="1:47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AF1114" s="56"/>
      <c r="AG1114" s="56"/>
      <c r="AH1114" s="56"/>
      <c r="AI1114" s="56"/>
      <c r="AJ1114" s="56"/>
      <c r="AK1114" s="56"/>
      <c r="AL1114" s="56"/>
      <c r="AS1114" s="56"/>
      <c r="AT1114" s="56"/>
      <c r="AU1114" s="56"/>
    </row>
    <row r="1115" spans="1:47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AF1115" s="56"/>
      <c r="AG1115" s="56"/>
      <c r="AH1115" s="56"/>
      <c r="AI1115" s="56"/>
      <c r="AJ1115" s="56"/>
      <c r="AK1115" s="56"/>
      <c r="AL1115" s="56"/>
      <c r="AS1115" s="56"/>
      <c r="AT1115" s="56"/>
      <c r="AU1115" s="56"/>
    </row>
    <row r="1116" spans="1:47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AF1116" s="56"/>
      <c r="AG1116" s="56"/>
      <c r="AH1116" s="56"/>
      <c r="AI1116" s="56"/>
      <c r="AJ1116" s="56"/>
      <c r="AK1116" s="56"/>
      <c r="AL1116" s="56"/>
      <c r="AS1116" s="56"/>
      <c r="AT1116" s="56"/>
      <c r="AU1116" s="56"/>
    </row>
    <row r="1117" spans="1:47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AF1117" s="56"/>
      <c r="AG1117" s="56"/>
      <c r="AH1117" s="56"/>
      <c r="AI1117" s="56"/>
      <c r="AJ1117" s="56"/>
      <c r="AK1117" s="56"/>
      <c r="AL1117" s="56"/>
      <c r="AS1117" s="56"/>
      <c r="AT1117" s="56"/>
      <c r="AU1117" s="56"/>
    </row>
    <row r="1118" spans="1:47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AF1118" s="56"/>
      <c r="AG1118" s="56"/>
      <c r="AH1118" s="56"/>
      <c r="AI1118" s="56"/>
      <c r="AJ1118" s="56"/>
      <c r="AK1118" s="56"/>
      <c r="AL1118" s="56"/>
      <c r="AS1118" s="56"/>
      <c r="AT1118" s="56"/>
      <c r="AU1118" s="56"/>
    </row>
    <row r="1119" spans="1:47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AF1119" s="56"/>
      <c r="AG1119" s="56"/>
      <c r="AH1119" s="56"/>
      <c r="AI1119" s="56"/>
      <c r="AJ1119" s="56"/>
      <c r="AK1119" s="56"/>
      <c r="AL1119" s="56"/>
      <c r="AS1119" s="56"/>
      <c r="AT1119" s="56"/>
      <c r="AU1119" s="56"/>
    </row>
    <row r="1120" spans="1:47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AF1120" s="56"/>
      <c r="AG1120" s="56"/>
      <c r="AH1120" s="56"/>
      <c r="AI1120" s="56"/>
      <c r="AJ1120" s="56"/>
      <c r="AK1120" s="56"/>
      <c r="AL1120" s="56"/>
      <c r="AS1120" s="56"/>
      <c r="AT1120" s="56"/>
      <c r="AU1120" s="56"/>
    </row>
    <row r="1121" spans="1:47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AF1121" s="56"/>
      <c r="AG1121" s="56"/>
      <c r="AH1121" s="56"/>
      <c r="AI1121" s="56"/>
      <c r="AJ1121" s="56"/>
      <c r="AK1121" s="56"/>
      <c r="AL1121" s="56"/>
      <c r="AS1121" s="56"/>
      <c r="AT1121" s="56"/>
      <c r="AU1121" s="56"/>
    </row>
    <row r="1122" spans="1:47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AF1122" s="56"/>
      <c r="AG1122" s="56"/>
      <c r="AH1122" s="56"/>
      <c r="AI1122" s="56"/>
      <c r="AJ1122" s="56"/>
      <c r="AK1122" s="56"/>
      <c r="AL1122" s="56"/>
      <c r="AS1122" s="56"/>
      <c r="AT1122" s="56"/>
      <c r="AU1122" s="56"/>
    </row>
    <row r="1123" spans="1:47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AF1123" s="56"/>
      <c r="AG1123" s="56"/>
      <c r="AH1123" s="56"/>
      <c r="AI1123" s="56"/>
      <c r="AJ1123" s="56"/>
      <c r="AK1123" s="56"/>
      <c r="AL1123" s="56"/>
      <c r="AS1123" s="56"/>
      <c r="AT1123" s="56"/>
      <c r="AU1123" s="56"/>
    </row>
    <row r="1124" spans="1:47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AF1124" s="56"/>
      <c r="AG1124" s="56"/>
      <c r="AH1124" s="56"/>
      <c r="AI1124" s="56"/>
      <c r="AJ1124" s="56"/>
      <c r="AK1124" s="56"/>
      <c r="AL1124" s="56"/>
      <c r="AS1124" s="56"/>
      <c r="AT1124" s="56"/>
      <c r="AU1124" s="56"/>
    </row>
    <row r="1125" spans="1:47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AF1125" s="56"/>
      <c r="AG1125" s="56"/>
      <c r="AH1125" s="56"/>
      <c r="AI1125" s="56"/>
      <c r="AJ1125" s="56"/>
      <c r="AK1125" s="56"/>
      <c r="AL1125" s="56"/>
      <c r="AS1125" s="56"/>
      <c r="AT1125" s="56"/>
      <c r="AU1125" s="56"/>
    </row>
    <row r="1126" spans="1:47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AF1126" s="56"/>
      <c r="AG1126" s="56"/>
      <c r="AH1126" s="56"/>
      <c r="AI1126" s="56"/>
      <c r="AJ1126" s="56"/>
      <c r="AK1126" s="56"/>
      <c r="AL1126" s="56"/>
      <c r="AS1126" s="56"/>
      <c r="AT1126" s="56"/>
      <c r="AU1126" s="56"/>
    </row>
    <row r="1127" spans="1:47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AF1127" s="56"/>
      <c r="AG1127" s="56"/>
      <c r="AH1127" s="56"/>
      <c r="AI1127" s="56"/>
      <c r="AJ1127" s="56"/>
      <c r="AK1127" s="56"/>
      <c r="AL1127" s="56"/>
      <c r="AS1127" s="56"/>
      <c r="AT1127" s="56"/>
      <c r="AU1127" s="56"/>
    </row>
    <row r="1128" spans="1:47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AF1128" s="56"/>
      <c r="AG1128" s="56"/>
      <c r="AH1128" s="56"/>
      <c r="AI1128" s="56"/>
      <c r="AJ1128" s="56"/>
      <c r="AK1128" s="56"/>
      <c r="AL1128" s="56"/>
      <c r="AS1128" s="56"/>
      <c r="AT1128" s="56"/>
      <c r="AU1128" s="56"/>
    </row>
    <row r="1129" spans="1:47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AF1129" s="56"/>
      <c r="AG1129" s="56"/>
      <c r="AH1129" s="56"/>
      <c r="AI1129" s="56"/>
      <c r="AJ1129" s="56"/>
      <c r="AK1129" s="56"/>
      <c r="AL1129" s="56"/>
      <c r="AS1129" s="56"/>
      <c r="AT1129" s="56"/>
      <c r="AU1129" s="56"/>
    </row>
    <row r="1130" spans="1:47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AF1130" s="56"/>
      <c r="AG1130" s="56"/>
      <c r="AH1130" s="56"/>
      <c r="AI1130" s="56"/>
      <c r="AJ1130" s="56"/>
      <c r="AK1130" s="56"/>
      <c r="AL1130" s="56"/>
      <c r="AS1130" s="56"/>
      <c r="AT1130" s="56"/>
      <c r="AU1130" s="56"/>
    </row>
    <row r="1131" spans="1:47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AF1131" s="56"/>
      <c r="AG1131" s="56"/>
      <c r="AH1131" s="56"/>
      <c r="AI1131" s="56"/>
      <c r="AJ1131" s="56"/>
      <c r="AK1131" s="56"/>
      <c r="AL1131" s="56"/>
      <c r="AS1131" s="56"/>
      <c r="AT1131" s="56"/>
      <c r="AU1131" s="56"/>
    </row>
    <row r="1132" spans="1:47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AF1132" s="56"/>
      <c r="AG1132" s="56"/>
      <c r="AH1132" s="56"/>
      <c r="AI1132" s="56"/>
      <c r="AJ1132" s="56"/>
      <c r="AK1132" s="56"/>
      <c r="AL1132" s="56"/>
      <c r="AS1132" s="56"/>
      <c r="AT1132" s="56"/>
      <c r="AU1132" s="56"/>
    </row>
    <row r="1133" spans="1:47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AF1133" s="56"/>
      <c r="AG1133" s="56"/>
      <c r="AH1133" s="56"/>
      <c r="AI1133" s="56"/>
      <c r="AJ1133" s="56"/>
      <c r="AK1133" s="56"/>
      <c r="AL1133" s="56"/>
      <c r="AS1133" s="56"/>
      <c r="AT1133" s="56"/>
      <c r="AU1133" s="56"/>
    </row>
    <row r="1134" spans="1:47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AF1134" s="56"/>
      <c r="AG1134" s="56"/>
      <c r="AH1134" s="56"/>
      <c r="AI1134" s="56"/>
      <c r="AJ1134" s="56"/>
      <c r="AK1134" s="56"/>
      <c r="AL1134" s="56"/>
      <c r="AS1134" s="56"/>
      <c r="AT1134" s="56"/>
      <c r="AU1134" s="56"/>
    </row>
    <row r="1135" spans="1:47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AF1135" s="56"/>
      <c r="AG1135" s="56"/>
      <c r="AH1135" s="56"/>
      <c r="AI1135" s="56"/>
      <c r="AJ1135" s="56"/>
      <c r="AK1135" s="56"/>
      <c r="AL1135" s="56"/>
      <c r="AS1135" s="56"/>
      <c r="AT1135" s="56"/>
      <c r="AU1135" s="56"/>
    </row>
    <row r="1136" spans="1:47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AF1136" s="56"/>
      <c r="AG1136" s="56"/>
      <c r="AH1136" s="56"/>
      <c r="AI1136" s="56"/>
      <c r="AJ1136" s="56"/>
      <c r="AK1136" s="56"/>
      <c r="AL1136" s="56"/>
      <c r="AS1136" s="56"/>
      <c r="AT1136" s="56"/>
      <c r="AU1136" s="56"/>
    </row>
    <row r="1137" spans="1:47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AF1137" s="56"/>
      <c r="AG1137" s="56"/>
      <c r="AH1137" s="56"/>
      <c r="AI1137" s="56"/>
      <c r="AJ1137" s="56"/>
      <c r="AK1137" s="56"/>
      <c r="AL1137" s="56"/>
      <c r="AS1137" s="56"/>
      <c r="AT1137" s="56"/>
      <c r="AU1137" s="56"/>
    </row>
    <row r="1138" spans="1:47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AF1138" s="56"/>
      <c r="AG1138" s="56"/>
      <c r="AH1138" s="56"/>
      <c r="AI1138" s="56"/>
      <c r="AJ1138" s="56"/>
      <c r="AK1138" s="56"/>
      <c r="AL1138" s="56"/>
      <c r="AS1138" s="56"/>
      <c r="AT1138" s="56"/>
      <c r="AU1138" s="56"/>
    </row>
    <row r="1139" spans="1:47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AF1139" s="56"/>
      <c r="AG1139" s="56"/>
      <c r="AH1139" s="56"/>
      <c r="AI1139" s="56"/>
      <c r="AJ1139" s="56"/>
      <c r="AK1139" s="56"/>
      <c r="AL1139" s="56"/>
      <c r="AS1139" s="56"/>
      <c r="AT1139" s="56"/>
      <c r="AU1139" s="56"/>
    </row>
    <row r="1140" spans="1:47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AF1140" s="56"/>
      <c r="AG1140" s="56"/>
      <c r="AH1140" s="56"/>
      <c r="AI1140" s="56"/>
      <c r="AJ1140" s="56"/>
      <c r="AK1140" s="56"/>
      <c r="AL1140" s="56"/>
      <c r="AS1140" s="56"/>
      <c r="AT1140" s="56"/>
      <c r="AU1140" s="56"/>
    </row>
    <row r="1141" spans="1:47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AF1141" s="56"/>
      <c r="AG1141" s="56"/>
      <c r="AH1141" s="56"/>
      <c r="AI1141" s="56"/>
      <c r="AJ1141" s="56"/>
      <c r="AK1141" s="56"/>
      <c r="AL1141" s="56"/>
      <c r="AS1141" s="56"/>
      <c r="AT1141" s="56"/>
      <c r="AU1141" s="56"/>
    </row>
    <row r="1142" spans="1:47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AF1142" s="56"/>
      <c r="AG1142" s="56"/>
      <c r="AH1142" s="56"/>
      <c r="AI1142" s="56"/>
      <c r="AJ1142" s="56"/>
      <c r="AK1142" s="56"/>
      <c r="AL1142" s="56"/>
      <c r="AS1142" s="56"/>
      <c r="AT1142" s="56"/>
      <c r="AU1142" s="56"/>
    </row>
    <row r="1143" spans="1:47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AF1143" s="56"/>
      <c r="AG1143" s="56"/>
      <c r="AH1143" s="56"/>
      <c r="AI1143" s="56"/>
      <c r="AJ1143" s="56"/>
      <c r="AK1143" s="56"/>
      <c r="AL1143" s="56"/>
      <c r="AS1143" s="56"/>
      <c r="AT1143" s="56"/>
      <c r="AU1143" s="56"/>
    </row>
    <row r="1144" spans="1:47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AF1144" s="56"/>
      <c r="AG1144" s="56"/>
      <c r="AH1144" s="56"/>
      <c r="AI1144" s="56"/>
      <c r="AJ1144" s="56"/>
      <c r="AK1144" s="56"/>
      <c r="AL1144" s="56"/>
      <c r="AS1144" s="56"/>
      <c r="AT1144" s="56"/>
      <c r="AU1144" s="56"/>
    </row>
    <row r="1145" spans="1:47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AF1145" s="56"/>
      <c r="AG1145" s="56"/>
      <c r="AH1145" s="56"/>
      <c r="AI1145" s="56"/>
      <c r="AJ1145" s="56"/>
      <c r="AK1145" s="56"/>
      <c r="AL1145" s="56"/>
      <c r="AS1145" s="56"/>
      <c r="AT1145" s="56"/>
      <c r="AU1145" s="56"/>
    </row>
    <row r="1146" spans="1:47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AF1146" s="56"/>
      <c r="AG1146" s="56"/>
      <c r="AH1146" s="56"/>
      <c r="AI1146" s="56"/>
      <c r="AJ1146" s="56"/>
      <c r="AK1146" s="56"/>
      <c r="AL1146" s="56"/>
      <c r="AS1146" s="56"/>
      <c r="AT1146" s="56"/>
      <c r="AU1146" s="56"/>
    </row>
    <row r="1147" spans="1:47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AF1147" s="56"/>
      <c r="AG1147" s="56"/>
      <c r="AH1147" s="56"/>
      <c r="AI1147" s="56"/>
      <c r="AJ1147" s="56"/>
      <c r="AK1147" s="56"/>
      <c r="AL1147" s="56"/>
      <c r="AS1147" s="56"/>
      <c r="AT1147" s="56"/>
      <c r="AU1147" s="56"/>
    </row>
    <row r="1148" spans="1:47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AF1148" s="56"/>
      <c r="AG1148" s="56"/>
      <c r="AH1148" s="56"/>
      <c r="AI1148" s="56"/>
      <c r="AJ1148" s="56"/>
      <c r="AK1148" s="56"/>
      <c r="AL1148" s="56"/>
      <c r="AS1148" s="56"/>
      <c r="AT1148" s="56"/>
      <c r="AU1148" s="56"/>
    </row>
    <row r="1149" spans="1:47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AF1149" s="56"/>
      <c r="AG1149" s="56"/>
      <c r="AH1149" s="56"/>
      <c r="AI1149" s="56"/>
      <c r="AJ1149" s="56"/>
      <c r="AK1149" s="56"/>
      <c r="AL1149" s="56"/>
      <c r="AS1149" s="56"/>
      <c r="AT1149" s="56"/>
      <c r="AU1149" s="56"/>
    </row>
    <row r="1150" spans="1:47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AF1150" s="56"/>
      <c r="AG1150" s="56"/>
      <c r="AH1150" s="56"/>
      <c r="AI1150" s="56"/>
      <c r="AJ1150" s="56"/>
      <c r="AK1150" s="56"/>
      <c r="AL1150" s="56"/>
      <c r="AS1150" s="56"/>
      <c r="AT1150" s="56"/>
      <c r="AU1150" s="56"/>
    </row>
    <row r="1151" spans="1:47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AF1151" s="56"/>
      <c r="AG1151" s="56"/>
      <c r="AH1151" s="56"/>
      <c r="AI1151" s="56"/>
      <c r="AJ1151" s="56"/>
      <c r="AK1151" s="56"/>
      <c r="AL1151" s="56"/>
      <c r="AS1151" s="56"/>
      <c r="AT1151" s="56"/>
      <c r="AU1151" s="56"/>
    </row>
    <row r="1152" spans="1:47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AF1152" s="56"/>
      <c r="AG1152" s="56"/>
      <c r="AH1152" s="56"/>
      <c r="AI1152" s="56"/>
      <c r="AJ1152" s="56"/>
      <c r="AK1152" s="56"/>
      <c r="AL1152" s="56"/>
      <c r="AS1152" s="56"/>
      <c r="AT1152" s="56"/>
      <c r="AU1152" s="56"/>
    </row>
    <row r="1153" spans="3:47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AF1153" s="56"/>
      <c r="AG1153" s="56"/>
      <c r="AH1153" s="56"/>
      <c r="AI1153" s="56"/>
      <c r="AJ1153" s="56"/>
      <c r="AK1153" s="56"/>
      <c r="AL1153" s="56"/>
      <c r="AS1153" s="56"/>
      <c r="AT1153" s="56"/>
      <c r="AU1153" s="56"/>
    </row>
    <row r="1154" spans="3:47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AF1154" s="56"/>
      <c r="AG1154" s="56"/>
      <c r="AH1154" s="56"/>
      <c r="AI1154" s="56"/>
      <c r="AJ1154" s="56"/>
      <c r="AK1154" s="56"/>
      <c r="AL1154" s="56"/>
      <c r="AS1154" s="56"/>
      <c r="AT1154" s="56"/>
      <c r="AU1154" s="56"/>
    </row>
  </sheetData>
  <mergeCells count="1">
    <mergeCell ref="A1:A2"/>
  </mergeCells>
  <conditionalFormatting sqref="J7:AE7">
    <cfRule type="expression" dxfId="202" priority="1">
      <formula>$AF7=0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2"/>
  <dimension ref="A1: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12" width="13" style="1" customWidth="1"/>
    <col min="13" max="16384" width="9.140625" style="56"/>
  </cols>
  <sheetData>
    <row r="1" spans="1:13" s="1" customFormat="1" ht="23.25" x14ac:dyDescent="0.35">
      <c r="A1" s="96"/>
      <c r="C1" s="70" t="s">
        <v>1482</v>
      </c>
      <c r="D1" s="2"/>
      <c r="J1" s="74" t="s">
        <v>447</v>
      </c>
      <c r="K1" s="75"/>
      <c r="L1" s="75"/>
      <c r="M1" s="82" t="s">
        <v>446</v>
      </c>
    </row>
    <row r="2" spans="1:13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</row>
    <row r="3" spans="1:13" s="4" customFormat="1" x14ac:dyDescent="0.25">
      <c r="A3" s="3"/>
      <c r="C3" s="71"/>
      <c r="D3" s="2"/>
      <c r="E3" s="5"/>
      <c r="F3" s="5"/>
      <c r="G3" s="5"/>
      <c r="H3" s="6"/>
      <c r="I3" s="6"/>
      <c r="J3" s="48" t="s">
        <v>106</v>
      </c>
      <c r="K3" s="50"/>
      <c r="L3" s="51"/>
    </row>
    <row r="4" spans="1:13" s="1" customFormat="1" ht="135.75" customHeight="1" x14ac:dyDescent="0.25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10" t="s">
        <v>1481</v>
      </c>
      <c r="K4" s="11" t="s">
        <v>1480</v>
      </c>
      <c r="L4" s="12" t="s">
        <v>1479</v>
      </c>
    </row>
    <row r="5" spans="1:13" x14ac:dyDescent="0.25">
      <c r="A5" s="14"/>
      <c r="C5" s="1" t="s">
        <v>390</v>
      </c>
    </row>
    <row r="6" spans="1:13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247</v>
      </c>
      <c r="K6" s="25" t="s">
        <v>259</v>
      </c>
      <c r="L6" s="25" t="s">
        <v>1485</v>
      </c>
    </row>
    <row r="7" spans="1:13" x14ac:dyDescent="0.25">
      <c r="A7" s="15"/>
      <c r="C7" s="39"/>
      <c r="D7" s="39"/>
      <c r="E7" s="39"/>
      <c r="F7" s="39"/>
      <c r="G7" s="39"/>
      <c r="H7" s="39"/>
      <c r="I7" s="39"/>
      <c r="J7" s="41"/>
      <c r="K7" s="41"/>
      <c r="L7" s="41"/>
    </row>
    <row r="8" spans="1:13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</row>
    <row r="9" spans="1:13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</row>
    <row r="10" spans="1:13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</row>
    <row r="11" spans="1:13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3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</row>
    <row r="13" spans="1:13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</row>
    <row r="14" spans="1:13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</row>
    <row r="15" spans="1:13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</row>
    <row r="16" spans="1:13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</row>
    <row r="17" spans="1:12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</row>
    <row r="18" spans="1:12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</row>
    <row r="19" spans="1:12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</row>
    <row r="20" spans="1:12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</row>
    <row r="21" spans="1:12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</row>
    <row r="22" spans="1:12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</row>
    <row r="23" spans="1:12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</row>
    <row r="24" spans="1:12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</row>
    <row r="25" spans="1:12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</row>
    <row r="26" spans="1:12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</row>
    <row r="27" spans="1:12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</row>
    <row r="28" spans="1:12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</row>
    <row r="29" spans="1:12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</row>
    <row r="30" spans="1:12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</row>
    <row r="31" spans="1:12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</row>
    <row r="32" spans="1:12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</row>
    <row r="33" spans="1:12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</row>
    <row r="34" spans="1:12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</row>
    <row r="35" spans="1:12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</row>
    <row r="36" spans="1:12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</row>
    <row r="37" spans="1:12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</row>
    <row r="38" spans="1:12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</row>
    <row r="39" spans="1:12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</row>
    <row r="40" spans="1:12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</row>
    <row r="41" spans="1:12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</row>
    <row r="42" spans="1:12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</row>
    <row r="43" spans="1:12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</row>
    <row r="44" spans="1:12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</row>
    <row r="45" spans="1:12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</row>
    <row r="46" spans="1:12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</row>
    <row r="47" spans="1:12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</row>
    <row r="48" spans="1:12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</row>
    <row r="49" spans="1:12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</row>
    <row r="50" spans="1:12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</row>
    <row r="51" spans="1:12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</row>
    <row r="52" spans="1:12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</row>
    <row r="53" spans="1:12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</row>
    <row r="54" spans="1:12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</row>
    <row r="55" spans="1:12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</row>
    <row r="56" spans="1:12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</row>
    <row r="57" spans="1:12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</row>
    <row r="58" spans="1:12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</row>
    <row r="59" spans="1:12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</row>
    <row r="60" spans="1:12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</row>
    <row r="61" spans="1:12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</row>
    <row r="62" spans="1:12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</row>
    <row r="63" spans="1:12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</row>
    <row r="64" spans="1:12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</row>
    <row r="65" spans="1:12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</row>
    <row r="66" spans="1:12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</row>
    <row r="67" spans="1:12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</row>
    <row r="68" spans="1:12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</row>
    <row r="69" spans="1:12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</row>
    <row r="70" spans="1:12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</row>
    <row r="71" spans="1:12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</row>
    <row r="72" spans="1:12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</row>
    <row r="73" spans="1:12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</row>
    <row r="74" spans="1:12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</row>
    <row r="75" spans="1:12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</row>
    <row r="76" spans="1:12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</row>
    <row r="77" spans="1:12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</row>
    <row r="78" spans="1:12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</row>
    <row r="79" spans="1:12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</row>
    <row r="80" spans="1:12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</row>
    <row r="81" spans="1:12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</row>
    <row r="82" spans="1:12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</row>
    <row r="83" spans="1:12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</row>
    <row r="84" spans="1:12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</row>
    <row r="85" spans="1:12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</row>
    <row r="86" spans="1:12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</row>
    <row r="87" spans="1:12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</row>
    <row r="88" spans="1:12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</row>
    <row r="89" spans="1:12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</row>
    <row r="90" spans="1:12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</row>
    <row r="91" spans="1:12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</row>
    <row r="92" spans="1:12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</row>
    <row r="93" spans="1:12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</row>
    <row r="94" spans="1:12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</row>
    <row r="95" spans="1:12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</row>
    <row r="96" spans="1:12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</row>
    <row r="97" spans="1:12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</row>
    <row r="98" spans="1:12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</row>
    <row r="99" spans="1:12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</row>
    <row r="100" spans="1:12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</row>
    <row r="101" spans="1:12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</row>
    <row r="102" spans="1:12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</row>
    <row r="103" spans="1:12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</row>
    <row r="104" spans="1:12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</row>
    <row r="105" spans="1:12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</row>
    <row r="106" spans="1:12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</row>
    <row r="107" spans="1:12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</row>
    <row r="108" spans="1:12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</row>
    <row r="109" spans="1:12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</row>
    <row r="110" spans="1:12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</row>
    <row r="111" spans="1:12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</row>
    <row r="112" spans="1:12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</row>
    <row r="113" spans="1:12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</row>
    <row r="114" spans="1:12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</row>
    <row r="115" spans="1:12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</row>
    <row r="116" spans="1:12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</row>
    <row r="117" spans="1:12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</row>
    <row r="118" spans="1:12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</row>
    <row r="119" spans="1:12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</row>
    <row r="120" spans="1:12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</row>
    <row r="121" spans="1:12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</row>
    <row r="122" spans="1:12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</row>
    <row r="123" spans="1:12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</row>
    <row r="124" spans="1:12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</row>
    <row r="125" spans="1:12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</row>
    <row r="126" spans="1:12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</row>
    <row r="127" spans="1:12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</row>
    <row r="128" spans="1:12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</row>
    <row r="129" spans="1:12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</row>
    <row r="130" spans="1:12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</row>
    <row r="131" spans="1:12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</row>
    <row r="132" spans="1:12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</row>
    <row r="133" spans="1:12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</row>
    <row r="134" spans="1:12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</row>
    <row r="135" spans="1:12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</row>
    <row r="136" spans="1:12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</row>
    <row r="137" spans="1:12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</row>
    <row r="138" spans="1:12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</row>
    <row r="139" spans="1:12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</row>
    <row r="140" spans="1:12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</row>
    <row r="141" spans="1:12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</row>
    <row r="142" spans="1:12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</row>
    <row r="143" spans="1:12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</row>
    <row r="144" spans="1:12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</row>
    <row r="145" spans="1:12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</row>
    <row r="146" spans="1:12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</row>
    <row r="147" spans="1:12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</row>
    <row r="148" spans="1:12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</row>
    <row r="149" spans="1:12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</row>
    <row r="150" spans="1:12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</row>
    <row r="151" spans="1:12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</row>
    <row r="152" spans="1:12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</row>
    <row r="153" spans="1:12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</row>
    <row r="154" spans="1:12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</row>
    <row r="155" spans="1:12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</row>
    <row r="156" spans="1:12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</row>
    <row r="157" spans="1:12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</row>
    <row r="158" spans="1:12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</row>
    <row r="159" spans="1:12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</row>
    <row r="160" spans="1:12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</row>
    <row r="161" spans="1:12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</row>
    <row r="162" spans="1:12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</row>
    <row r="163" spans="1:12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</row>
    <row r="164" spans="1:12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</row>
    <row r="165" spans="1:12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</row>
    <row r="166" spans="1:12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</row>
    <row r="167" spans="1:12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</row>
    <row r="168" spans="1:12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</row>
    <row r="169" spans="1:12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</row>
    <row r="170" spans="1:12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</row>
    <row r="171" spans="1:12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</row>
    <row r="172" spans="1:12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</row>
    <row r="173" spans="1:12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</row>
    <row r="174" spans="1:12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</row>
    <row r="175" spans="1:12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</row>
    <row r="176" spans="1:12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</row>
    <row r="177" spans="1:12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</row>
    <row r="178" spans="1:12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</row>
    <row r="179" spans="1:12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</row>
    <row r="180" spans="1:12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</row>
    <row r="181" spans="1:12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</row>
    <row r="182" spans="1:12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</row>
    <row r="183" spans="1:12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</row>
    <row r="184" spans="1:12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</row>
    <row r="185" spans="1:12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</row>
    <row r="186" spans="1:12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</row>
    <row r="187" spans="1:12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</row>
    <row r="188" spans="1:12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</row>
    <row r="189" spans="1:12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</row>
    <row r="190" spans="1:12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</row>
    <row r="191" spans="1:12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</row>
    <row r="192" spans="1:12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</row>
    <row r="193" spans="1:12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</row>
    <row r="194" spans="1:12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</row>
    <row r="195" spans="1:12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</row>
    <row r="196" spans="1:12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</row>
    <row r="197" spans="1:12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</row>
    <row r="198" spans="1:12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</row>
    <row r="199" spans="1:12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</row>
    <row r="200" spans="1:12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</row>
    <row r="201" spans="1:12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</row>
    <row r="202" spans="1:12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</row>
    <row r="203" spans="1:12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</row>
    <row r="204" spans="1:12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</row>
    <row r="205" spans="1:12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</row>
    <row r="206" spans="1:12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</row>
    <row r="207" spans="1:12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</row>
    <row r="208" spans="1:12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</row>
    <row r="209" spans="1:12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</row>
    <row r="210" spans="1:12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</row>
    <row r="211" spans="1:12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</row>
    <row r="212" spans="1:12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</row>
    <row r="213" spans="1:12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</row>
    <row r="214" spans="1:12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</row>
    <row r="215" spans="1:12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</row>
    <row r="216" spans="1:12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</row>
    <row r="217" spans="1:12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</row>
    <row r="218" spans="1:12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</row>
    <row r="219" spans="1:12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</row>
    <row r="220" spans="1:12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</row>
    <row r="221" spans="1:12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</row>
    <row r="222" spans="1:12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</row>
    <row r="223" spans="1:12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</row>
    <row r="224" spans="1:12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</row>
    <row r="225" spans="1:12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</row>
    <row r="226" spans="1:12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</row>
    <row r="227" spans="1:12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</row>
    <row r="228" spans="1:12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</row>
    <row r="229" spans="1:12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</row>
    <row r="230" spans="1:12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</row>
    <row r="231" spans="1:12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</row>
    <row r="232" spans="1:12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</row>
    <row r="233" spans="1:12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</row>
    <row r="234" spans="1:12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</row>
    <row r="235" spans="1:12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</row>
    <row r="236" spans="1:12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</row>
    <row r="237" spans="1:12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</row>
    <row r="238" spans="1:12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</row>
    <row r="239" spans="1:12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</row>
    <row r="240" spans="1:12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</row>
    <row r="241" spans="1:12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</row>
    <row r="242" spans="1:12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</row>
    <row r="243" spans="1:12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</row>
    <row r="244" spans="1:12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</row>
    <row r="245" spans="1:12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</row>
    <row r="246" spans="1:12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</row>
    <row r="247" spans="1:12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</row>
    <row r="248" spans="1:12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</row>
    <row r="249" spans="1:12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</row>
    <row r="250" spans="1:12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</row>
    <row r="251" spans="1:12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</row>
    <row r="252" spans="1:12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</row>
    <row r="253" spans="1:12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</row>
    <row r="254" spans="1:12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</row>
    <row r="255" spans="1:12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</row>
    <row r="256" spans="1:12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</row>
    <row r="257" spans="1:12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</row>
    <row r="258" spans="1:12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</row>
    <row r="259" spans="1:12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</row>
    <row r="260" spans="1:12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</row>
    <row r="261" spans="1:12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</row>
    <row r="262" spans="1:12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</row>
    <row r="263" spans="1:12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</row>
    <row r="264" spans="1:12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</row>
    <row r="265" spans="1:12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</row>
    <row r="266" spans="1:12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</row>
    <row r="267" spans="1:12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</row>
    <row r="268" spans="1:12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</row>
    <row r="269" spans="1:12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</row>
    <row r="270" spans="1:12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</row>
    <row r="271" spans="1:12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</row>
    <row r="272" spans="1:12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</row>
    <row r="273" spans="1:12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</row>
    <row r="274" spans="1:12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</row>
    <row r="275" spans="1:12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</row>
    <row r="276" spans="1:12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</row>
    <row r="277" spans="1:12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</row>
    <row r="278" spans="1:12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</row>
    <row r="279" spans="1:12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</row>
    <row r="280" spans="1:12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</row>
    <row r="281" spans="1:12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</row>
    <row r="282" spans="1:12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</row>
    <row r="283" spans="1:12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</row>
    <row r="284" spans="1:12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</row>
    <row r="285" spans="1:12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</row>
    <row r="286" spans="1:12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</row>
    <row r="287" spans="1:12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</row>
    <row r="288" spans="1:12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</row>
    <row r="289" spans="1:12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</row>
    <row r="290" spans="1:12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</row>
    <row r="291" spans="1:12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</row>
    <row r="292" spans="1:12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</row>
    <row r="293" spans="1:12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</row>
    <row r="294" spans="1:12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</row>
    <row r="295" spans="1:12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</row>
    <row r="296" spans="1:12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</row>
    <row r="297" spans="1:12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</row>
    <row r="298" spans="1:12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</row>
    <row r="299" spans="1:12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</row>
    <row r="300" spans="1:12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</row>
    <row r="301" spans="1:12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</row>
    <row r="302" spans="1:12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</row>
    <row r="303" spans="1:12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</row>
    <row r="304" spans="1:12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</row>
    <row r="305" spans="1:12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</row>
    <row r="306" spans="1:12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</row>
    <row r="307" spans="1:12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</row>
    <row r="308" spans="1:12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</row>
    <row r="309" spans="1:12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</row>
    <row r="310" spans="1:12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</row>
    <row r="311" spans="1:12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</row>
    <row r="312" spans="1:12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</row>
    <row r="313" spans="1:12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</row>
    <row r="314" spans="1:12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</row>
    <row r="315" spans="1:12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</row>
    <row r="316" spans="1:12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</row>
    <row r="317" spans="1:12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</row>
    <row r="318" spans="1:12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</row>
    <row r="319" spans="1:12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</row>
    <row r="320" spans="1:12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</row>
    <row r="321" spans="1:12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</row>
    <row r="322" spans="1:12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</row>
    <row r="323" spans="1:12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</row>
    <row r="324" spans="1:12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</row>
    <row r="325" spans="1:12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</row>
    <row r="326" spans="1:12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</row>
    <row r="327" spans="1:12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</row>
    <row r="328" spans="1:12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</row>
    <row r="329" spans="1:12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</row>
    <row r="330" spans="1:12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</row>
    <row r="331" spans="1:12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</row>
    <row r="332" spans="1:12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</row>
    <row r="333" spans="1:12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</row>
    <row r="334" spans="1:12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</row>
    <row r="335" spans="1:12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</row>
    <row r="336" spans="1:12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</row>
    <row r="337" spans="1:12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</row>
    <row r="338" spans="1:12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</row>
    <row r="339" spans="1:12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</row>
    <row r="340" spans="1:12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</row>
    <row r="341" spans="1:12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</row>
    <row r="342" spans="1:12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</row>
    <row r="343" spans="1:12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</row>
    <row r="344" spans="1:12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</row>
    <row r="345" spans="1:12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</row>
    <row r="346" spans="1:12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</row>
    <row r="347" spans="1:12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</row>
    <row r="348" spans="1:12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</row>
    <row r="349" spans="1:12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</row>
    <row r="350" spans="1:12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</row>
    <row r="351" spans="1:12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</row>
    <row r="352" spans="1:12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</row>
    <row r="353" spans="1:12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</row>
    <row r="354" spans="1:12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</row>
    <row r="355" spans="1:12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</row>
    <row r="356" spans="1:12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</row>
    <row r="357" spans="1:12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</row>
    <row r="358" spans="1:12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</row>
    <row r="359" spans="1:12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</row>
    <row r="360" spans="1:12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</row>
    <row r="361" spans="1:12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</row>
    <row r="362" spans="1:12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</row>
    <row r="363" spans="1:12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</row>
    <row r="364" spans="1:12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</row>
    <row r="365" spans="1:12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</row>
    <row r="366" spans="1:12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</row>
    <row r="367" spans="1:12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</row>
    <row r="368" spans="1:12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</row>
    <row r="369" spans="1:12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</row>
    <row r="370" spans="1:12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</row>
    <row r="371" spans="1:12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</row>
    <row r="372" spans="1:12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</row>
    <row r="373" spans="1:12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</row>
    <row r="374" spans="1:12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</row>
    <row r="375" spans="1:12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</row>
    <row r="376" spans="1:12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</row>
    <row r="377" spans="1:12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</row>
    <row r="378" spans="1:12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</row>
    <row r="379" spans="1:12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</row>
    <row r="380" spans="1:12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</row>
    <row r="381" spans="1:12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</row>
    <row r="382" spans="1:12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</row>
    <row r="383" spans="1:12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</row>
    <row r="384" spans="1:12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</row>
    <row r="385" spans="1:12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</row>
    <row r="386" spans="1:12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</row>
    <row r="387" spans="1:12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</row>
    <row r="388" spans="1:12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</row>
    <row r="389" spans="1:12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</row>
    <row r="390" spans="1:12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</row>
    <row r="391" spans="1:12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</row>
    <row r="392" spans="1:12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</row>
    <row r="393" spans="1:12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</row>
    <row r="394" spans="1:12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</row>
    <row r="395" spans="1:12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</row>
    <row r="396" spans="1:12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</row>
    <row r="397" spans="1:12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</row>
    <row r="398" spans="1:12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</row>
    <row r="399" spans="1:12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</row>
    <row r="400" spans="1:12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</row>
    <row r="401" spans="1:12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</row>
    <row r="402" spans="1:12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</row>
    <row r="403" spans="1:12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</row>
    <row r="404" spans="1:12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</row>
    <row r="405" spans="1:12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</row>
    <row r="406" spans="1:12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</row>
    <row r="407" spans="1:12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</row>
    <row r="408" spans="1:12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</row>
    <row r="409" spans="1:12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</row>
    <row r="410" spans="1:12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</row>
    <row r="411" spans="1:12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</row>
    <row r="412" spans="1:12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</row>
    <row r="413" spans="1:12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</row>
    <row r="414" spans="1:12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</row>
    <row r="415" spans="1:12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</row>
    <row r="416" spans="1:12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</row>
    <row r="417" spans="1:12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</row>
    <row r="418" spans="1:12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</row>
    <row r="419" spans="1:12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</row>
    <row r="420" spans="1:12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</row>
    <row r="421" spans="1:12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</row>
    <row r="422" spans="1:12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</row>
    <row r="423" spans="1:12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</row>
    <row r="424" spans="1:12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</row>
    <row r="425" spans="1:12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</row>
    <row r="426" spans="1:12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</row>
    <row r="427" spans="1:12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</row>
    <row r="428" spans="1:12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</row>
    <row r="432" spans="1:12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</row>
    <row r="433" spans="1:12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1" spans="1:12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</row>
    <row r="482" spans="1:12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</row>
    <row r="483" spans="1:12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</row>
    <row r="484" spans="1:12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</row>
    <row r="485" spans="1:12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</row>
    <row r="486" spans="1:12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  <row r="534" spans="1:12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</row>
    <row r="535" spans="1:12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</row>
    <row r="536" spans="1:12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</row>
    <row r="537" spans="1:12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</row>
    <row r="538" spans="1:12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</row>
    <row r="539" spans="1:12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</row>
    <row r="540" spans="1:12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</row>
    <row r="541" spans="1:12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</row>
    <row r="542" spans="1:12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</row>
    <row r="543" spans="1:12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</row>
    <row r="544" spans="1:12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</row>
    <row r="545" spans="1:12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</row>
    <row r="546" spans="1:12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</row>
    <row r="547" spans="1:12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</row>
    <row r="548" spans="1:12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</row>
    <row r="549" spans="1:12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</row>
    <row r="550" spans="1:12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</row>
    <row r="551" spans="1:12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</row>
    <row r="552" spans="1:12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</row>
    <row r="553" spans="1:12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</row>
    <row r="554" spans="1:12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</row>
    <row r="555" spans="1:12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</row>
    <row r="556" spans="1:12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</row>
    <row r="557" spans="1:12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</row>
    <row r="558" spans="1:12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</row>
    <row r="559" spans="1:12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</row>
    <row r="560" spans="1:12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</row>
    <row r="561" spans="1:12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</row>
    <row r="562" spans="1:12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</row>
    <row r="563" spans="1:12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</row>
    <row r="564" spans="1:12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</row>
    <row r="565" spans="1:12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</row>
    <row r="566" spans="1:12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</row>
    <row r="567" spans="1:12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</row>
    <row r="568" spans="1:12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</row>
    <row r="569" spans="1:12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</row>
    <row r="570" spans="1:12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</row>
    <row r="571" spans="1:12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</row>
    <row r="572" spans="1:12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</row>
    <row r="573" spans="1:12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</row>
    <row r="574" spans="1:12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</row>
    <row r="575" spans="1:12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</row>
    <row r="576" spans="1:12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</row>
    <row r="577" spans="1:12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</row>
    <row r="578" spans="1:12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</row>
    <row r="579" spans="1:12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</row>
    <row r="580" spans="1:12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</row>
    <row r="581" spans="1:12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</row>
    <row r="582" spans="1:12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</row>
    <row r="583" spans="1:12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</row>
    <row r="584" spans="1:12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</row>
    <row r="585" spans="1:12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</row>
    <row r="586" spans="1:12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</row>
    <row r="587" spans="1:12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</row>
    <row r="588" spans="1:12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</row>
    <row r="589" spans="1:12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</row>
    <row r="590" spans="1:12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</row>
    <row r="591" spans="1:12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</row>
    <row r="592" spans="1:12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</row>
    <row r="593" spans="1:12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</row>
    <row r="594" spans="1:12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</row>
    <row r="595" spans="1:12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</row>
    <row r="596" spans="1:12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</row>
    <row r="597" spans="1:12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</row>
    <row r="598" spans="1:12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</row>
    <row r="599" spans="1:12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</row>
    <row r="600" spans="1:12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</row>
    <row r="601" spans="1:12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</row>
    <row r="602" spans="1:12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</row>
    <row r="603" spans="1:12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</row>
    <row r="604" spans="1:12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</row>
    <row r="605" spans="1:12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</row>
    <row r="606" spans="1:12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</row>
    <row r="607" spans="1:12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</row>
    <row r="608" spans="1:12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</row>
    <row r="609" spans="1:12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</row>
    <row r="610" spans="1:12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</row>
    <row r="611" spans="1:12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</row>
    <row r="612" spans="1:12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</row>
    <row r="613" spans="1:12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</row>
    <row r="614" spans="1:12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</row>
    <row r="615" spans="1:12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</row>
    <row r="616" spans="1:12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</row>
    <row r="617" spans="1:12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</row>
    <row r="618" spans="1:12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</row>
    <row r="619" spans="1:12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</row>
    <row r="620" spans="1:12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</row>
    <row r="621" spans="1:12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</row>
    <row r="622" spans="1:12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</row>
    <row r="623" spans="1:12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</row>
    <row r="624" spans="1:12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</row>
    <row r="625" spans="1:12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</row>
    <row r="626" spans="1:12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</row>
    <row r="627" spans="1:12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</row>
    <row r="628" spans="1:12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</row>
    <row r="629" spans="1:12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</row>
    <row r="630" spans="1:12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</row>
    <row r="631" spans="1:12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</row>
    <row r="632" spans="1:12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</row>
    <row r="633" spans="1:12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</row>
    <row r="634" spans="1:12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</row>
    <row r="635" spans="1:12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</row>
    <row r="636" spans="1:12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</row>
    <row r="637" spans="1:12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</row>
    <row r="638" spans="1:12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</row>
    <row r="639" spans="1:12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</row>
    <row r="640" spans="1:12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</row>
    <row r="641" spans="1:12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</row>
    <row r="642" spans="1:12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</row>
    <row r="643" spans="1:12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</row>
    <row r="644" spans="1:12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</row>
    <row r="645" spans="1:12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</row>
    <row r="646" spans="1:12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</row>
    <row r="647" spans="1:12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</row>
    <row r="648" spans="1:12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</row>
    <row r="649" spans="1:12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</row>
    <row r="650" spans="1:12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</row>
    <row r="651" spans="1:12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</row>
    <row r="652" spans="1:12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</row>
    <row r="653" spans="1:12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</row>
    <row r="654" spans="1:12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</row>
    <row r="655" spans="1:12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</row>
    <row r="656" spans="1:12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</row>
    <row r="657" spans="1:12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</row>
    <row r="658" spans="1:12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</row>
    <row r="659" spans="1:12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</row>
    <row r="660" spans="1:12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</row>
    <row r="661" spans="1:12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</row>
    <row r="662" spans="1:12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</row>
    <row r="663" spans="1:12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</row>
    <row r="664" spans="1:12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</row>
    <row r="665" spans="1:12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</row>
    <row r="666" spans="1:12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</row>
    <row r="667" spans="1:12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</row>
    <row r="668" spans="1:12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</row>
    <row r="669" spans="1:12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</row>
    <row r="670" spans="1:12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</row>
    <row r="671" spans="1:12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</row>
    <row r="672" spans="1:12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</row>
    <row r="673" spans="1:12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</row>
    <row r="674" spans="1:12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</row>
    <row r="675" spans="1:12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</row>
    <row r="676" spans="1:12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</row>
    <row r="677" spans="1:12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</row>
    <row r="678" spans="1:12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</row>
    <row r="679" spans="1:12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</row>
    <row r="680" spans="1:12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</row>
    <row r="681" spans="1:12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</row>
    <row r="682" spans="1:12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</row>
    <row r="683" spans="1:12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</row>
    <row r="684" spans="1:12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</row>
    <row r="685" spans="1:12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</row>
    <row r="686" spans="1:12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</row>
    <row r="687" spans="1:12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</row>
    <row r="688" spans="1:12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</row>
    <row r="689" spans="1:12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</row>
    <row r="690" spans="1:12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</row>
    <row r="691" spans="1:12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</row>
    <row r="692" spans="1:12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</row>
    <row r="693" spans="1:12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</row>
    <row r="694" spans="1:12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</row>
    <row r="695" spans="1:12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</row>
    <row r="696" spans="1:12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</row>
    <row r="697" spans="1:12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</row>
    <row r="698" spans="1:12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</row>
    <row r="699" spans="1:12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</row>
    <row r="700" spans="1:12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</row>
    <row r="701" spans="1:12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</row>
    <row r="702" spans="1:12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</row>
    <row r="703" spans="1:12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</row>
    <row r="704" spans="1:12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</row>
    <row r="705" spans="1:12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</row>
    <row r="706" spans="1:12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</row>
    <row r="707" spans="1:12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</row>
    <row r="708" spans="1:12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</row>
    <row r="709" spans="1:12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</row>
    <row r="710" spans="1:12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</row>
    <row r="711" spans="1:12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</row>
    <row r="712" spans="1:12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</row>
    <row r="713" spans="1:12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</row>
    <row r="714" spans="1:12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</row>
    <row r="715" spans="1:12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</row>
    <row r="716" spans="1:12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</row>
    <row r="717" spans="1:12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</row>
    <row r="718" spans="1:12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</row>
    <row r="719" spans="1:12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</row>
    <row r="720" spans="1:12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</row>
    <row r="721" spans="1:12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</row>
    <row r="722" spans="1:12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</row>
    <row r="723" spans="1:12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</row>
    <row r="724" spans="1:12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</row>
    <row r="725" spans="1:12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</row>
    <row r="726" spans="1:12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</row>
    <row r="727" spans="1:12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</row>
    <row r="728" spans="1:12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</row>
    <row r="729" spans="1:12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</row>
    <row r="730" spans="1:12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</row>
    <row r="731" spans="1:12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</row>
    <row r="732" spans="1:12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</row>
    <row r="733" spans="1:12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</row>
    <row r="734" spans="1:12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</row>
    <row r="735" spans="1:12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</row>
    <row r="736" spans="1:12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</row>
    <row r="737" spans="1:12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</row>
    <row r="738" spans="1:12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</row>
    <row r="739" spans="1:12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</row>
    <row r="740" spans="1:12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</row>
    <row r="741" spans="1:12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</row>
    <row r="742" spans="1:12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</row>
    <row r="743" spans="1:12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</row>
    <row r="744" spans="1:12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</row>
    <row r="745" spans="1:12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</row>
    <row r="746" spans="1:12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</row>
    <row r="747" spans="1:12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</row>
    <row r="748" spans="1:12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</row>
    <row r="749" spans="1:12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</row>
    <row r="750" spans="1:12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</row>
    <row r="751" spans="1:12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</row>
    <row r="752" spans="1:12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</row>
    <row r="753" spans="1:12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</row>
    <row r="754" spans="1:12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</row>
    <row r="755" spans="1:12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</row>
    <row r="756" spans="1:12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</row>
    <row r="757" spans="1:12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</row>
    <row r="758" spans="1:12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</row>
    <row r="759" spans="1:12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</row>
    <row r="760" spans="1:12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</row>
    <row r="761" spans="1:12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</row>
    <row r="762" spans="1:12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</row>
    <row r="763" spans="1:12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</row>
    <row r="764" spans="1:12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</row>
    <row r="765" spans="1:12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</row>
    <row r="766" spans="1:12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</row>
    <row r="767" spans="1:12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</row>
    <row r="768" spans="1:12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</row>
    <row r="769" spans="1:12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</row>
    <row r="770" spans="1:12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</row>
    <row r="771" spans="1:12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</row>
    <row r="772" spans="1:12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</row>
    <row r="773" spans="1:12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</row>
    <row r="774" spans="1:12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</row>
    <row r="775" spans="1:12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</row>
    <row r="776" spans="1:12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</row>
    <row r="777" spans="1:12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</row>
    <row r="778" spans="1:12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</row>
    <row r="779" spans="1:12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</row>
    <row r="780" spans="1:12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</row>
    <row r="781" spans="1:12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</row>
    <row r="782" spans="1:12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</row>
    <row r="783" spans="1:12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</row>
    <row r="784" spans="1:12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</row>
    <row r="785" spans="1:12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</row>
    <row r="786" spans="1:12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</row>
    <row r="787" spans="1:12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</row>
    <row r="788" spans="1:12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</row>
    <row r="789" spans="1:12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</row>
    <row r="790" spans="1:12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</row>
    <row r="791" spans="1:12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</row>
    <row r="792" spans="1:12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</row>
    <row r="793" spans="1:12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</row>
    <row r="794" spans="1:12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</row>
    <row r="795" spans="1:12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</row>
    <row r="796" spans="1:12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</row>
    <row r="797" spans="1:12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</row>
    <row r="798" spans="1:12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</row>
    <row r="799" spans="1:12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</row>
    <row r="800" spans="1:12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</row>
    <row r="801" spans="1:12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</row>
    <row r="802" spans="1:12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</row>
    <row r="803" spans="1:12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</row>
    <row r="804" spans="1:12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</row>
    <row r="805" spans="1:12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</row>
    <row r="806" spans="1:12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</row>
    <row r="807" spans="1:12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</row>
    <row r="808" spans="1:12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</row>
    <row r="809" spans="1:12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</row>
    <row r="810" spans="1:12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</row>
    <row r="811" spans="1:12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</row>
    <row r="812" spans="1:12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</row>
    <row r="813" spans="1:12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</row>
    <row r="814" spans="1:12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</row>
    <row r="815" spans="1:12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</row>
    <row r="816" spans="1:12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</row>
    <row r="817" spans="1:12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</row>
    <row r="818" spans="1:12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</row>
    <row r="819" spans="1:12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</row>
    <row r="820" spans="1:12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</row>
    <row r="821" spans="1:12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</row>
    <row r="822" spans="1:12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</row>
    <row r="823" spans="1:12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</row>
    <row r="824" spans="1:12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</row>
    <row r="825" spans="1:12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</row>
    <row r="826" spans="1:12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</row>
    <row r="827" spans="1:12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</row>
    <row r="828" spans="1:12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</row>
    <row r="829" spans="1:12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</row>
    <row r="830" spans="1:12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</row>
    <row r="831" spans="1:12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</row>
    <row r="832" spans="1:12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</row>
    <row r="833" spans="1:12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</row>
    <row r="834" spans="1:12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</row>
    <row r="835" spans="1:12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</row>
    <row r="836" spans="1:12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</row>
    <row r="837" spans="1:12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</row>
    <row r="838" spans="1:12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</row>
    <row r="839" spans="1:12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</row>
    <row r="840" spans="1:12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</row>
    <row r="841" spans="1:12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</row>
    <row r="842" spans="1:12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</row>
    <row r="843" spans="1:12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</row>
    <row r="844" spans="1:12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</row>
    <row r="845" spans="1:12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</row>
    <row r="846" spans="1:12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</row>
    <row r="847" spans="1:12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</row>
    <row r="848" spans="1:12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</row>
    <row r="849" spans="1:12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</row>
    <row r="850" spans="1:12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</row>
    <row r="851" spans="1:12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</row>
    <row r="852" spans="1:12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</row>
    <row r="853" spans="1:12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</row>
    <row r="854" spans="1:12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</row>
    <row r="855" spans="1:12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</row>
    <row r="856" spans="1:12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</row>
    <row r="857" spans="1:12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</row>
    <row r="858" spans="1:12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</row>
    <row r="859" spans="1:12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</row>
    <row r="860" spans="1:12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</row>
    <row r="861" spans="1:12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</row>
    <row r="862" spans="1:12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</row>
    <row r="863" spans="1:12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</row>
    <row r="864" spans="1:12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</row>
    <row r="865" spans="1:12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</row>
    <row r="866" spans="1:12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</row>
    <row r="867" spans="1:12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</row>
    <row r="868" spans="1:12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</row>
    <row r="869" spans="1:12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</row>
    <row r="870" spans="1:12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</row>
    <row r="871" spans="1:12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</row>
    <row r="872" spans="1:12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</row>
    <row r="873" spans="1:12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</row>
    <row r="874" spans="1:12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</row>
    <row r="875" spans="1:12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</row>
    <row r="876" spans="1:12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</row>
    <row r="877" spans="1:12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</row>
    <row r="878" spans="1:12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</row>
    <row r="879" spans="1:12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</row>
    <row r="880" spans="1:12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</row>
    <row r="881" spans="1:12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</row>
    <row r="882" spans="1:12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</row>
    <row r="883" spans="1:12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</row>
    <row r="884" spans="1:12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</row>
    <row r="885" spans="1:12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</row>
    <row r="886" spans="1:12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</row>
    <row r="887" spans="1:12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</row>
    <row r="888" spans="1:12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</row>
    <row r="889" spans="1:12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</row>
    <row r="890" spans="1:12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</row>
    <row r="891" spans="1:12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</row>
    <row r="892" spans="1:12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</row>
    <row r="893" spans="1:12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</row>
    <row r="894" spans="1:12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</row>
    <row r="895" spans="1:12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</row>
    <row r="896" spans="1:12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</row>
    <row r="897" spans="1:12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</row>
    <row r="898" spans="1:12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</row>
    <row r="899" spans="1:12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</row>
    <row r="900" spans="1:12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</row>
    <row r="901" spans="1:12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</row>
    <row r="902" spans="1:12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</row>
    <row r="903" spans="1:12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</row>
    <row r="904" spans="1:12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</row>
    <row r="905" spans="1:12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</row>
    <row r="906" spans="1:12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</row>
    <row r="907" spans="1:12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</row>
    <row r="908" spans="1:12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</row>
    <row r="909" spans="1:12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</row>
    <row r="910" spans="1:12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</row>
    <row r="911" spans="1:12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</row>
    <row r="912" spans="1:12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</row>
    <row r="913" spans="1:12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</row>
    <row r="914" spans="1:12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</row>
    <row r="915" spans="1:12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</row>
    <row r="916" spans="1:12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</row>
    <row r="917" spans="1:12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</row>
    <row r="918" spans="1:12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</row>
    <row r="919" spans="1:12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</row>
    <row r="920" spans="1:12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</row>
    <row r="921" spans="1:12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</row>
    <row r="922" spans="1:12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</row>
    <row r="923" spans="1:12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</row>
    <row r="924" spans="1:12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</row>
    <row r="925" spans="1:12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</row>
    <row r="926" spans="1:12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</row>
    <row r="927" spans="1:12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</row>
    <row r="928" spans="1:12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</row>
    <row r="929" spans="1:12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</row>
    <row r="930" spans="1:12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</row>
    <row r="931" spans="1:12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</row>
    <row r="932" spans="1:12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</row>
    <row r="933" spans="1:12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</row>
    <row r="934" spans="1:12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</row>
    <row r="935" spans="1:12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</row>
    <row r="936" spans="1:12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</row>
    <row r="937" spans="1:12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</row>
    <row r="938" spans="1:12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</row>
    <row r="939" spans="1:12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</row>
    <row r="940" spans="1:12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</row>
    <row r="941" spans="1:12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</row>
    <row r="942" spans="1:12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</row>
    <row r="943" spans="1:12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</row>
    <row r="944" spans="1:12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</row>
    <row r="945" spans="1:12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</row>
    <row r="946" spans="1:12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</row>
    <row r="947" spans="1:12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</row>
    <row r="948" spans="1:12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</row>
    <row r="949" spans="1:12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</row>
    <row r="950" spans="1:12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</row>
    <row r="951" spans="1:12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</row>
    <row r="952" spans="1:12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</row>
    <row r="953" spans="1:12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</row>
    <row r="954" spans="1:12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</row>
    <row r="955" spans="1:12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</row>
    <row r="956" spans="1:12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</row>
    <row r="957" spans="1:12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</row>
    <row r="958" spans="1:12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</row>
    <row r="959" spans="1:12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</row>
    <row r="960" spans="1:12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</row>
    <row r="961" spans="1:12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</row>
    <row r="962" spans="1:12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</row>
    <row r="963" spans="1:12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</row>
    <row r="964" spans="1:12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</row>
    <row r="965" spans="1:12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</row>
    <row r="966" spans="1:12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</row>
    <row r="967" spans="1:12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</row>
    <row r="968" spans="1:12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</row>
    <row r="969" spans="1:12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</row>
    <row r="970" spans="1:12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</row>
    <row r="971" spans="1:12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</row>
    <row r="972" spans="1:12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</row>
    <row r="973" spans="1:12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</row>
    <row r="974" spans="1:12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</row>
    <row r="975" spans="1:12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</row>
    <row r="976" spans="1:12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</row>
    <row r="977" spans="1:12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</row>
    <row r="978" spans="1:12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</row>
    <row r="979" spans="1:12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</row>
    <row r="980" spans="1:12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</row>
    <row r="981" spans="1:12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</row>
    <row r="982" spans="1:12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</row>
    <row r="983" spans="1:12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</row>
    <row r="984" spans="1:12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</row>
    <row r="985" spans="1:12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</row>
    <row r="986" spans="1:12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</row>
    <row r="987" spans="1:12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</row>
    <row r="988" spans="1:12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</row>
    <row r="989" spans="1:12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</row>
    <row r="990" spans="1:12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</row>
    <row r="991" spans="1:12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</row>
    <row r="992" spans="1:12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</row>
    <row r="993" spans="1:12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</row>
    <row r="994" spans="1:12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</row>
    <row r="995" spans="1:12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</row>
    <row r="996" spans="1:12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</row>
    <row r="997" spans="1:12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</row>
    <row r="998" spans="1:12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</row>
    <row r="999" spans="1:12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</row>
    <row r="1000" spans="1:12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</row>
    <row r="1001" spans="1:12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</row>
    <row r="1002" spans="1:12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</row>
    <row r="1003" spans="1:12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</row>
    <row r="1004" spans="1:12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</row>
    <row r="1005" spans="1:12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</row>
    <row r="1006" spans="1:12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</row>
    <row r="1007" spans="1:12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</row>
    <row r="1008" spans="1:12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</row>
    <row r="1009" spans="1:12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</row>
    <row r="1010" spans="1:12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</row>
    <row r="1011" spans="1:12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</row>
    <row r="1012" spans="1:12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</row>
    <row r="1013" spans="1:12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</row>
    <row r="1014" spans="1:12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</row>
    <row r="1015" spans="1:12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</row>
    <row r="1016" spans="1:12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</row>
    <row r="1017" spans="1:12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</row>
    <row r="1018" spans="1:12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</row>
    <row r="1019" spans="1:12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</row>
    <row r="1020" spans="1:12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</row>
    <row r="1021" spans="1:12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</row>
    <row r="1022" spans="1:12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</row>
    <row r="1023" spans="1:12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</row>
    <row r="1024" spans="1:12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</row>
    <row r="1025" spans="1:12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</row>
    <row r="1026" spans="1:12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</row>
    <row r="1027" spans="1:12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</row>
    <row r="1028" spans="1:12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</row>
    <row r="1029" spans="1:12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</row>
    <row r="1030" spans="1:12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</row>
    <row r="1031" spans="1:12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</row>
    <row r="1032" spans="1:12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</row>
    <row r="1033" spans="1:12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</row>
    <row r="1034" spans="1:12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</row>
    <row r="1035" spans="1:12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</row>
    <row r="1036" spans="1:12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</row>
    <row r="1037" spans="1:12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</row>
    <row r="1038" spans="1:12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</row>
    <row r="1039" spans="1:12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</row>
    <row r="1040" spans="1:12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</row>
    <row r="1041" spans="1:12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</row>
    <row r="1042" spans="1:12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</row>
    <row r="1043" spans="1:12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</row>
    <row r="1044" spans="1:12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</row>
    <row r="1045" spans="1:12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</row>
    <row r="1046" spans="1:12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</row>
    <row r="1047" spans="1:12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</row>
    <row r="1048" spans="1:12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</row>
    <row r="1049" spans="1:12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</row>
    <row r="1050" spans="1:12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</row>
    <row r="1051" spans="1:12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</row>
    <row r="1052" spans="1:12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</row>
    <row r="1053" spans="1:12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</row>
    <row r="1054" spans="1:12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</row>
    <row r="1055" spans="1:12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</row>
    <row r="1056" spans="1:12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</row>
    <row r="1057" spans="1:12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</row>
    <row r="1058" spans="1:12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</row>
    <row r="1059" spans="1:12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</row>
    <row r="1060" spans="1:12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</row>
    <row r="1061" spans="1:12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</row>
    <row r="1062" spans="1:12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</row>
    <row r="1063" spans="1:12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</row>
    <row r="1064" spans="1:12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</row>
    <row r="1065" spans="1:12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</row>
    <row r="1066" spans="1:12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</row>
    <row r="1067" spans="1:12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</row>
    <row r="1068" spans="1:12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</row>
    <row r="1069" spans="1:12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</row>
    <row r="1070" spans="1:12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</row>
    <row r="1071" spans="1:12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</row>
    <row r="1072" spans="1:12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</row>
    <row r="1073" spans="1:12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</row>
    <row r="1074" spans="1:12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</row>
    <row r="1075" spans="1:12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</row>
    <row r="1076" spans="1:12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</row>
    <row r="1077" spans="1:12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</row>
    <row r="1078" spans="1:12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</row>
    <row r="1079" spans="1:12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</row>
    <row r="1080" spans="1:12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</row>
    <row r="1081" spans="1:12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</row>
    <row r="1082" spans="1:12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</row>
    <row r="1083" spans="1:12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</row>
    <row r="1084" spans="1:12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</row>
    <row r="1085" spans="1:12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</row>
    <row r="1086" spans="1:12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</row>
    <row r="1087" spans="1:12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</row>
    <row r="1088" spans="1:12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</row>
    <row r="1089" spans="1:12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</row>
    <row r="1090" spans="1:12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</row>
    <row r="1091" spans="1:12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</row>
    <row r="1092" spans="1:12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</row>
    <row r="1093" spans="1:12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</row>
    <row r="1094" spans="1:12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</row>
    <row r="1095" spans="1:12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</row>
    <row r="1096" spans="1:12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</row>
    <row r="1097" spans="1:12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</row>
    <row r="1098" spans="1:12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</row>
    <row r="1099" spans="1:12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</row>
    <row r="1100" spans="1:12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</row>
    <row r="1101" spans="1:12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</row>
    <row r="1102" spans="1:12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</row>
    <row r="1103" spans="1:12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</row>
    <row r="1104" spans="1:12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</row>
    <row r="1105" spans="1:12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</row>
    <row r="1106" spans="1:12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</row>
    <row r="1107" spans="1:12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</row>
    <row r="1108" spans="1:12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</row>
    <row r="1109" spans="1:12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</row>
    <row r="1110" spans="1:12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</row>
    <row r="1111" spans="1:12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</row>
    <row r="1112" spans="1:12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</row>
    <row r="1113" spans="1:12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</row>
    <row r="1114" spans="1:12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</row>
    <row r="1115" spans="1:12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</row>
    <row r="1116" spans="1:12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</row>
    <row r="1117" spans="1:12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</row>
    <row r="1118" spans="1:12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</row>
    <row r="1119" spans="1:12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</row>
    <row r="1120" spans="1:12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</row>
    <row r="1121" spans="1:12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</row>
    <row r="1122" spans="1:12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</row>
    <row r="1123" spans="1:12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</row>
    <row r="1124" spans="1:12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</row>
    <row r="1125" spans="1:12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</row>
    <row r="1126" spans="1:12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</row>
    <row r="1127" spans="1:12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</row>
    <row r="1128" spans="1:12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</row>
    <row r="1129" spans="1:12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</row>
    <row r="1130" spans="1:12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</row>
    <row r="1131" spans="1:12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</row>
    <row r="1132" spans="1:12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</row>
    <row r="1133" spans="1:12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</row>
    <row r="1134" spans="1:12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</row>
    <row r="1135" spans="1:12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</row>
    <row r="1136" spans="1:12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</row>
    <row r="1137" spans="1:12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</row>
    <row r="1138" spans="1:12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</row>
    <row r="1139" spans="1:12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</row>
    <row r="1140" spans="1:12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</row>
    <row r="1141" spans="1:12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</row>
    <row r="1142" spans="1:12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</row>
    <row r="1143" spans="1:12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</row>
    <row r="1144" spans="1:12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</row>
    <row r="1145" spans="1:12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</row>
    <row r="1146" spans="1:12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</row>
    <row r="1147" spans="1:12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</row>
    <row r="1148" spans="1:12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</row>
    <row r="1149" spans="1:12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</row>
    <row r="1150" spans="1:12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</row>
    <row r="1151" spans="1:12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</row>
    <row r="1152" spans="1:12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</row>
    <row r="1153" spans="3:12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</row>
    <row r="1154" spans="3:12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</row>
  </sheetData>
  <mergeCells count="1">
    <mergeCell ref="A1:A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3"/>
  <dimension ref="A1: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12" width="13" style="1" customWidth="1"/>
    <col min="13" max="16384" width="9.140625" style="56"/>
  </cols>
  <sheetData>
    <row r="1" spans="1:13" s="1" customFormat="1" ht="23.25" x14ac:dyDescent="0.35">
      <c r="A1" s="96"/>
      <c r="C1" s="70" t="s">
        <v>1483</v>
      </c>
      <c r="D1" s="2"/>
      <c r="J1" s="74" t="s">
        <v>447</v>
      </c>
      <c r="K1" s="75"/>
      <c r="L1" s="75"/>
      <c r="M1" s="81" t="s">
        <v>446</v>
      </c>
    </row>
    <row r="2" spans="1:13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</row>
    <row r="3" spans="1:13" s="4" customFormat="1" x14ac:dyDescent="0.25">
      <c r="A3" s="3"/>
      <c r="C3" s="71"/>
      <c r="D3" s="2"/>
      <c r="E3" s="5"/>
      <c r="F3" s="5"/>
      <c r="G3" s="5"/>
      <c r="H3" s="6"/>
      <c r="I3" s="6"/>
      <c r="J3" s="48" t="s">
        <v>106</v>
      </c>
      <c r="K3" s="50"/>
      <c r="L3" s="51"/>
    </row>
    <row r="4" spans="1:13" s="1" customFormat="1" ht="135.75" customHeight="1" x14ac:dyDescent="0.25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10" t="s">
        <v>1481</v>
      </c>
      <c r="K4" s="11" t="s">
        <v>1480</v>
      </c>
      <c r="L4" s="12" t="s">
        <v>1479</v>
      </c>
    </row>
    <row r="5" spans="1:13" x14ac:dyDescent="0.25">
      <c r="A5" s="14"/>
      <c r="C5" s="1" t="s">
        <v>390</v>
      </c>
    </row>
    <row r="6" spans="1:13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248</v>
      </c>
      <c r="K6" s="25" t="s">
        <v>260</v>
      </c>
      <c r="L6" s="25" t="s">
        <v>1484</v>
      </c>
    </row>
    <row r="7" spans="1:13" x14ac:dyDescent="0.25">
      <c r="A7" s="15"/>
      <c r="C7" s="39"/>
      <c r="D7" s="39"/>
      <c r="E7" s="39"/>
      <c r="F7" s="39"/>
      <c r="G7" s="39"/>
      <c r="H7" s="39"/>
      <c r="I7" s="39"/>
      <c r="J7" s="41"/>
      <c r="K7" s="41"/>
      <c r="L7" s="41"/>
    </row>
    <row r="8" spans="1:13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</row>
    <row r="9" spans="1:13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</row>
    <row r="10" spans="1:13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</row>
    <row r="11" spans="1:13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3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</row>
    <row r="13" spans="1:13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</row>
    <row r="14" spans="1:13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</row>
    <row r="15" spans="1:13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</row>
    <row r="16" spans="1:13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</row>
    <row r="17" spans="1:12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</row>
    <row r="18" spans="1:12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</row>
    <row r="19" spans="1:12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</row>
    <row r="20" spans="1:12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</row>
    <row r="21" spans="1:12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</row>
    <row r="22" spans="1:12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</row>
    <row r="23" spans="1:12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</row>
    <row r="24" spans="1:12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</row>
    <row r="25" spans="1:12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</row>
    <row r="26" spans="1:12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</row>
    <row r="27" spans="1:12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</row>
    <row r="28" spans="1:12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</row>
    <row r="29" spans="1:12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</row>
    <row r="30" spans="1:12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</row>
    <row r="31" spans="1:12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</row>
    <row r="32" spans="1:12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</row>
    <row r="33" spans="1:12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</row>
    <row r="34" spans="1:12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</row>
    <row r="35" spans="1:12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</row>
    <row r="36" spans="1:12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</row>
    <row r="37" spans="1:12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</row>
    <row r="38" spans="1:12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</row>
    <row r="39" spans="1:12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</row>
    <row r="40" spans="1:12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</row>
    <row r="41" spans="1:12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</row>
    <row r="42" spans="1:12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</row>
    <row r="43" spans="1:12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</row>
    <row r="44" spans="1:12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</row>
    <row r="45" spans="1:12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</row>
    <row r="46" spans="1:12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</row>
    <row r="47" spans="1:12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</row>
    <row r="48" spans="1:12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</row>
    <row r="49" spans="1:12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</row>
    <row r="50" spans="1:12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</row>
    <row r="51" spans="1:12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</row>
    <row r="52" spans="1:12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</row>
    <row r="53" spans="1:12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</row>
    <row r="54" spans="1:12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</row>
    <row r="55" spans="1:12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</row>
    <row r="56" spans="1:12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</row>
    <row r="57" spans="1:12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</row>
    <row r="58" spans="1:12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</row>
    <row r="59" spans="1:12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</row>
    <row r="60" spans="1:12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</row>
    <row r="61" spans="1:12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</row>
    <row r="62" spans="1:12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</row>
    <row r="63" spans="1:12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</row>
    <row r="64" spans="1:12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</row>
    <row r="65" spans="1:12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</row>
    <row r="66" spans="1:12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</row>
    <row r="67" spans="1:12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</row>
    <row r="68" spans="1:12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</row>
    <row r="69" spans="1:12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</row>
    <row r="70" spans="1:12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</row>
    <row r="71" spans="1:12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</row>
    <row r="72" spans="1:12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</row>
    <row r="73" spans="1:12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</row>
    <row r="74" spans="1:12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</row>
    <row r="75" spans="1:12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</row>
    <row r="76" spans="1:12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</row>
    <row r="77" spans="1:12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</row>
    <row r="78" spans="1:12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</row>
    <row r="79" spans="1:12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</row>
    <row r="80" spans="1:12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</row>
    <row r="81" spans="1:12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</row>
    <row r="82" spans="1:12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</row>
    <row r="83" spans="1:12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</row>
    <row r="84" spans="1:12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</row>
    <row r="85" spans="1:12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</row>
    <row r="86" spans="1:12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</row>
    <row r="87" spans="1:12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</row>
    <row r="88" spans="1:12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</row>
    <row r="89" spans="1:12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</row>
    <row r="90" spans="1:12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</row>
    <row r="91" spans="1:12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</row>
    <row r="92" spans="1:12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</row>
    <row r="93" spans="1:12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</row>
    <row r="94" spans="1:12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</row>
    <row r="95" spans="1:12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</row>
    <row r="96" spans="1:12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</row>
    <row r="97" spans="1:12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</row>
    <row r="98" spans="1:12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</row>
    <row r="99" spans="1:12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</row>
    <row r="100" spans="1:12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</row>
    <row r="101" spans="1:12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</row>
    <row r="102" spans="1:12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</row>
    <row r="103" spans="1:12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</row>
    <row r="104" spans="1:12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</row>
    <row r="105" spans="1:12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</row>
    <row r="106" spans="1:12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</row>
    <row r="107" spans="1:12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</row>
    <row r="108" spans="1:12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</row>
    <row r="109" spans="1:12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</row>
    <row r="110" spans="1:12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</row>
    <row r="111" spans="1:12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</row>
    <row r="112" spans="1:12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</row>
    <row r="113" spans="1:12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</row>
    <row r="114" spans="1:12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</row>
    <row r="115" spans="1:12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</row>
    <row r="116" spans="1:12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</row>
    <row r="117" spans="1:12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</row>
    <row r="118" spans="1:12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</row>
    <row r="119" spans="1:12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</row>
    <row r="120" spans="1:12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</row>
    <row r="121" spans="1:12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</row>
    <row r="122" spans="1:12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</row>
    <row r="123" spans="1:12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</row>
    <row r="124" spans="1:12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</row>
    <row r="125" spans="1:12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</row>
    <row r="126" spans="1:12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</row>
    <row r="127" spans="1:12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</row>
    <row r="128" spans="1:12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</row>
    <row r="129" spans="1:12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</row>
    <row r="130" spans="1:12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</row>
    <row r="131" spans="1:12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</row>
    <row r="132" spans="1:12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</row>
    <row r="133" spans="1:12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</row>
    <row r="134" spans="1:12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</row>
    <row r="135" spans="1:12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</row>
    <row r="136" spans="1:12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</row>
    <row r="137" spans="1:12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</row>
    <row r="138" spans="1:12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</row>
    <row r="139" spans="1:12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</row>
    <row r="140" spans="1:12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</row>
    <row r="141" spans="1:12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</row>
    <row r="142" spans="1:12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</row>
    <row r="143" spans="1:12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</row>
    <row r="144" spans="1:12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</row>
    <row r="145" spans="1:12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</row>
    <row r="146" spans="1:12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</row>
    <row r="147" spans="1:12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</row>
    <row r="148" spans="1:12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</row>
    <row r="149" spans="1:12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</row>
    <row r="150" spans="1:12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</row>
    <row r="151" spans="1:12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</row>
    <row r="152" spans="1:12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</row>
    <row r="153" spans="1:12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</row>
    <row r="154" spans="1:12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</row>
    <row r="155" spans="1:12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</row>
    <row r="156" spans="1:12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</row>
    <row r="157" spans="1:12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</row>
    <row r="158" spans="1:12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</row>
    <row r="159" spans="1:12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</row>
    <row r="160" spans="1:12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</row>
    <row r="161" spans="1:12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</row>
    <row r="162" spans="1:12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</row>
    <row r="163" spans="1:12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</row>
    <row r="164" spans="1:12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</row>
    <row r="165" spans="1:12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</row>
    <row r="166" spans="1:12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</row>
    <row r="167" spans="1:12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</row>
    <row r="168" spans="1:12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</row>
    <row r="169" spans="1:12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</row>
    <row r="170" spans="1:12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</row>
    <row r="171" spans="1:12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</row>
    <row r="172" spans="1:12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</row>
    <row r="173" spans="1:12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</row>
    <row r="174" spans="1:12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</row>
    <row r="175" spans="1:12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</row>
    <row r="176" spans="1:12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</row>
    <row r="177" spans="1:12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</row>
    <row r="178" spans="1:12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</row>
    <row r="179" spans="1:12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</row>
    <row r="180" spans="1:12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</row>
    <row r="181" spans="1:12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</row>
    <row r="182" spans="1:12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</row>
    <row r="183" spans="1:12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</row>
    <row r="184" spans="1:12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</row>
    <row r="185" spans="1:12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</row>
    <row r="186" spans="1:12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</row>
    <row r="187" spans="1:12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</row>
    <row r="188" spans="1:12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</row>
    <row r="189" spans="1:12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</row>
    <row r="190" spans="1:12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</row>
    <row r="191" spans="1:12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</row>
    <row r="192" spans="1:12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</row>
    <row r="193" spans="1:12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</row>
    <row r="194" spans="1:12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</row>
    <row r="195" spans="1:12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</row>
    <row r="196" spans="1:12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</row>
    <row r="197" spans="1:12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</row>
    <row r="198" spans="1:12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</row>
    <row r="199" spans="1:12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</row>
    <row r="200" spans="1:12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</row>
    <row r="201" spans="1:12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</row>
    <row r="202" spans="1:12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</row>
    <row r="203" spans="1:12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</row>
    <row r="204" spans="1:12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</row>
    <row r="205" spans="1:12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</row>
    <row r="206" spans="1:12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</row>
    <row r="207" spans="1:12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</row>
    <row r="208" spans="1:12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</row>
    <row r="209" spans="1:12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</row>
    <row r="210" spans="1:12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</row>
    <row r="211" spans="1:12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</row>
    <row r="212" spans="1:12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</row>
    <row r="213" spans="1:12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</row>
    <row r="214" spans="1:12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</row>
    <row r="215" spans="1:12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</row>
    <row r="216" spans="1:12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</row>
    <row r="217" spans="1:12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</row>
    <row r="218" spans="1:12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</row>
    <row r="219" spans="1:12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</row>
    <row r="220" spans="1:12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</row>
    <row r="221" spans="1:12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</row>
    <row r="222" spans="1:12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</row>
    <row r="223" spans="1:12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</row>
    <row r="224" spans="1:12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</row>
    <row r="225" spans="1:12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</row>
    <row r="226" spans="1:12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</row>
    <row r="227" spans="1:12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</row>
    <row r="228" spans="1:12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</row>
    <row r="229" spans="1:12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</row>
    <row r="230" spans="1:12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</row>
    <row r="231" spans="1:12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</row>
    <row r="232" spans="1:12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</row>
    <row r="233" spans="1:12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</row>
    <row r="234" spans="1:12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</row>
    <row r="235" spans="1:12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</row>
    <row r="236" spans="1:12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</row>
    <row r="237" spans="1:12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</row>
    <row r="238" spans="1:12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</row>
    <row r="239" spans="1:12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</row>
    <row r="240" spans="1:12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</row>
    <row r="241" spans="1:12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</row>
    <row r="242" spans="1:12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</row>
    <row r="243" spans="1:12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</row>
    <row r="244" spans="1:12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</row>
    <row r="245" spans="1:12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</row>
    <row r="246" spans="1:12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</row>
    <row r="247" spans="1:12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</row>
    <row r="248" spans="1:12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</row>
    <row r="249" spans="1:12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</row>
    <row r="250" spans="1:12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</row>
    <row r="251" spans="1:12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</row>
    <row r="252" spans="1:12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</row>
    <row r="253" spans="1:12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</row>
    <row r="254" spans="1:12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</row>
    <row r="255" spans="1:12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</row>
    <row r="256" spans="1:12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</row>
    <row r="257" spans="1:12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</row>
    <row r="258" spans="1:12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</row>
    <row r="259" spans="1:12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</row>
    <row r="260" spans="1:12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</row>
    <row r="261" spans="1:12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</row>
    <row r="262" spans="1:12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</row>
    <row r="263" spans="1:12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</row>
    <row r="264" spans="1:12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</row>
    <row r="265" spans="1:12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</row>
    <row r="266" spans="1:12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</row>
    <row r="267" spans="1:12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</row>
    <row r="268" spans="1:12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</row>
    <row r="269" spans="1:12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</row>
    <row r="270" spans="1:12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</row>
    <row r="271" spans="1:12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</row>
    <row r="272" spans="1:12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</row>
    <row r="273" spans="1:12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</row>
    <row r="274" spans="1:12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</row>
    <row r="275" spans="1:12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</row>
    <row r="276" spans="1:12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</row>
    <row r="277" spans="1:12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</row>
    <row r="278" spans="1:12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</row>
    <row r="279" spans="1:12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</row>
    <row r="280" spans="1:12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</row>
    <row r="281" spans="1:12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</row>
    <row r="282" spans="1:12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</row>
    <row r="283" spans="1:12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</row>
    <row r="284" spans="1:12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</row>
    <row r="285" spans="1:12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</row>
    <row r="286" spans="1:12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</row>
    <row r="287" spans="1:12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</row>
    <row r="288" spans="1:12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</row>
    <row r="289" spans="1:12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</row>
    <row r="290" spans="1:12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</row>
    <row r="291" spans="1:12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</row>
    <row r="292" spans="1:12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</row>
    <row r="293" spans="1:12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</row>
    <row r="294" spans="1:12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</row>
    <row r="295" spans="1:12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</row>
    <row r="296" spans="1:12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</row>
    <row r="297" spans="1:12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</row>
    <row r="298" spans="1:12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</row>
    <row r="299" spans="1:12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</row>
    <row r="300" spans="1:12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</row>
    <row r="301" spans="1:12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</row>
    <row r="302" spans="1:12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</row>
    <row r="303" spans="1:12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</row>
    <row r="304" spans="1:12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</row>
    <row r="305" spans="1:12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</row>
    <row r="306" spans="1:12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</row>
    <row r="307" spans="1:12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</row>
    <row r="308" spans="1:12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</row>
    <row r="309" spans="1:12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</row>
    <row r="310" spans="1:12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</row>
    <row r="311" spans="1:12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</row>
    <row r="312" spans="1:12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</row>
    <row r="313" spans="1:12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</row>
    <row r="314" spans="1:12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</row>
    <row r="315" spans="1:12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</row>
    <row r="316" spans="1:12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</row>
    <row r="317" spans="1:12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</row>
    <row r="318" spans="1:12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</row>
    <row r="319" spans="1:12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</row>
    <row r="320" spans="1:12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</row>
    <row r="321" spans="1:12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</row>
    <row r="322" spans="1:12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</row>
    <row r="323" spans="1:12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</row>
    <row r="324" spans="1:12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</row>
    <row r="325" spans="1:12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</row>
    <row r="326" spans="1:12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</row>
    <row r="327" spans="1:12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</row>
    <row r="328" spans="1:12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</row>
    <row r="329" spans="1:12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</row>
    <row r="330" spans="1:12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</row>
    <row r="331" spans="1:12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</row>
    <row r="332" spans="1:12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</row>
    <row r="333" spans="1:12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</row>
    <row r="334" spans="1:12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</row>
    <row r="335" spans="1:12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</row>
    <row r="336" spans="1:12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</row>
    <row r="337" spans="1:12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</row>
    <row r="338" spans="1:12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</row>
    <row r="339" spans="1:12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</row>
    <row r="340" spans="1:12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</row>
    <row r="341" spans="1:12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</row>
    <row r="342" spans="1:12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</row>
    <row r="343" spans="1:12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</row>
    <row r="344" spans="1:12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</row>
    <row r="345" spans="1:12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</row>
    <row r="346" spans="1:12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</row>
    <row r="347" spans="1:12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</row>
    <row r="348" spans="1:12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</row>
    <row r="349" spans="1:12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</row>
    <row r="350" spans="1:12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</row>
    <row r="351" spans="1:12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</row>
    <row r="352" spans="1:12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</row>
    <row r="353" spans="1:12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</row>
    <row r="354" spans="1:12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</row>
    <row r="355" spans="1:12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</row>
    <row r="356" spans="1:12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</row>
    <row r="357" spans="1:12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</row>
    <row r="358" spans="1:12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</row>
    <row r="359" spans="1:12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</row>
    <row r="360" spans="1:12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</row>
    <row r="361" spans="1:12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</row>
    <row r="362" spans="1:12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</row>
    <row r="363" spans="1:12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</row>
    <row r="364" spans="1:12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</row>
    <row r="365" spans="1:12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</row>
    <row r="366" spans="1:12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</row>
    <row r="367" spans="1:12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</row>
    <row r="368" spans="1:12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</row>
    <row r="369" spans="1:12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</row>
    <row r="370" spans="1:12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</row>
    <row r="371" spans="1:12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</row>
    <row r="372" spans="1:12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</row>
    <row r="373" spans="1:12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</row>
    <row r="374" spans="1:12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</row>
    <row r="375" spans="1:12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</row>
    <row r="376" spans="1:12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</row>
    <row r="377" spans="1:12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</row>
    <row r="378" spans="1:12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</row>
    <row r="379" spans="1:12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</row>
    <row r="380" spans="1:12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</row>
    <row r="381" spans="1:12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</row>
    <row r="382" spans="1:12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</row>
    <row r="383" spans="1:12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</row>
    <row r="384" spans="1:12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</row>
    <row r="385" spans="1:12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</row>
    <row r="386" spans="1:12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</row>
    <row r="387" spans="1:12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</row>
    <row r="388" spans="1:12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</row>
    <row r="389" spans="1:12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</row>
    <row r="390" spans="1:12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</row>
    <row r="391" spans="1:12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</row>
    <row r="392" spans="1:12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</row>
    <row r="393" spans="1:12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</row>
    <row r="394" spans="1:12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</row>
    <row r="395" spans="1:12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</row>
    <row r="396" spans="1:12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</row>
    <row r="397" spans="1:12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</row>
    <row r="398" spans="1:12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</row>
    <row r="399" spans="1:12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</row>
    <row r="400" spans="1:12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</row>
    <row r="401" spans="1:12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</row>
    <row r="402" spans="1:12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</row>
    <row r="403" spans="1:12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</row>
    <row r="404" spans="1:12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</row>
    <row r="405" spans="1:12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</row>
    <row r="406" spans="1:12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</row>
    <row r="407" spans="1:12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</row>
    <row r="408" spans="1:12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</row>
    <row r="409" spans="1:12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</row>
    <row r="410" spans="1:12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</row>
    <row r="411" spans="1:12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</row>
    <row r="412" spans="1:12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</row>
    <row r="413" spans="1:12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</row>
    <row r="414" spans="1:12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</row>
    <row r="415" spans="1:12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</row>
    <row r="416" spans="1:12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</row>
    <row r="417" spans="1:12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</row>
    <row r="418" spans="1:12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</row>
    <row r="419" spans="1:12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</row>
    <row r="420" spans="1:12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</row>
    <row r="421" spans="1:12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</row>
    <row r="422" spans="1:12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</row>
    <row r="423" spans="1:12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</row>
    <row r="424" spans="1:12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</row>
    <row r="425" spans="1:12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</row>
    <row r="426" spans="1:12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</row>
    <row r="427" spans="1:12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</row>
    <row r="428" spans="1:12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</row>
    <row r="432" spans="1:12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</row>
    <row r="433" spans="1:12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1" spans="1:12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</row>
    <row r="482" spans="1:12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</row>
    <row r="483" spans="1:12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</row>
    <row r="484" spans="1:12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</row>
    <row r="485" spans="1:12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</row>
    <row r="486" spans="1:12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  <row r="534" spans="1:12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</row>
    <row r="535" spans="1:12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</row>
    <row r="536" spans="1:12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</row>
    <row r="537" spans="1:12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</row>
    <row r="538" spans="1:12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</row>
    <row r="539" spans="1:12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</row>
    <row r="540" spans="1:12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</row>
    <row r="541" spans="1:12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</row>
    <row r="542" spans="1:12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</row>
    <row r="543" spans="1:12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</row>
    <row r="544" spans="1:12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</row>
    <row r="545" spans="1:12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</row>
    <row r="546" spans="1:12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</row>
    <row r="547" spans="1:12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</row>
    <row r="548" spans="1:12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</row>
    <row r="549" spans="1:12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</row>
    <row r="550" spans="1:12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</row>
    <row r="551" spans="1:12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</row>
    <row r="552" spans="1:12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</row>
    <row r="553" spans="1:12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</row>
    <row r="554" spans="1:12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</row>
    <row r="555" spans="1:12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</row>
    <row r="556" spans="1:12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</row>
    <row r="557" spans="1:12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</row>
    <row r="558" spans="1:12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</row>
    <row r="559" spans="1:12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</row>
    <row r="560" spans="1:12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</row>
    <row r="561" spans="1:12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</row>
    <row r="562" spans="1:12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</row>
    <row r="563" spans="1:12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</row>
    <row r="564" spans="1:12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</row>
    <row r="565" spans="1:12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</row>
    <row r="566" spans="1:12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</row>
    <row r="567" spans="1:12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</row>
    <row r="568" spans="1:12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</row>
    <row r="569" spans="1:12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</row>
    <row r="570" spans="1:12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</row>
    <row r="571" spans="1:12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</row>
    <row r="572" spans="1:12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</row>
    <row r="573" spans="1:12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</row>
    <row r="574" spans="1:12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</row>
    <row r="575" spans="1:12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</row>
    <row r="576" spans="1:12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</row>
    <row r="577" spans="1:12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</row>
    <row r="578" spans="1:12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</row>
    <row r="579" spans="1:12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</row>
    <row r="580" spans="1:12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</row>
    <row r="581" spans="1:12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</row>
    <row r="582" spans="1:12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</row>
    <row r="583" spans="1:12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</row>
    <row r="584" spans="1:12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</row>
    <row r="585" spans="1:12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</row>
    <row r="586" spans="1:12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</row>
    <row r="587" spans="1:12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</row>
    <row r="588" spans="1:12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</row>
    <row r="589" spans="1:12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</row>
    <row r="590" spans="1:12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</row>
    <row r="591" spans="1:12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</row>
    <row r="592" spans="1:12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</row>
    <row r="593" spans="1:12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</row>
    <row r="594" spans="1:12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</row>
    <row r="595" spans="1:12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</row>
    <row r="596" spans="1:12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</row>
    <row r="597" spans="1:12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</row>
    <row r="598" spans="1:12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</row>
    <row r="599" spans="1:12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</row>
    <row r="600" spans="1:12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</row>
    <row r="601" spans="1:12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</row>
    <row r="602" spans="1:12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</row>
    <row r="603" spans="1:12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</row>
    <row r="604" spans="1:12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</row>
    <row r="605" spans="1:12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</row>
    <row r="606" spans="1:12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</row>
    <row r="607" spans="1:12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</row>
    <row r="608" spans="1:12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</row>
    <row r="609" spans="1:12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</row>
    <row r="610" spans="1:12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</row>
    <row r="611" spans="1:12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</row>
    <row r="612" spans="1:12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</row>
    <row r="613" spans="1:12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</row>
    <row r="614" spans="1:12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</row>
    <row r="615" spans="1:12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</row>
    <row r="616" spans="1:12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</row>
    <row r="617" spans="1:12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</row>
    <row r="618" spans="1:12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</row>
    <row r="619" spans="1:12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</row>
    <row r="620" spans="1:12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</row>
    <row r="621" spans="1:12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</row>
    <row r="622" spans="1:12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</row>
    <row r="623" spans="1:12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</row>
    <row r="624" spans="1:12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</row>
    <row r="625" spans="1:12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</row>
    <row r="626" spans="1:12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</row>
    <row r="627" spans="1:12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</row>
    <row r="628" spans="1:12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</row>
    <row r="629" spans="1:12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</row>
    <row r="630" spans="1:12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</row>
    <row r="631" spans="1:12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</row>
    <row r="632" spans="1:12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</row>
    <row r="633" spans="1:12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</row>
    <row r="634" spans="1:12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</row>
    <row r="635" spans="1:12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</row>
    <row r="636" spans="1:12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</row>
    <row r="637" spans="1:12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</row>
    <row r="638" spans="1:12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</row>
    <row r="639" spans="1:12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</row>
    <row r="640" spans="1:12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</row>
    <row r="641" spans="1:12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</row>
    <row r="642" spans="1:12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</row>
    <row r="643" spans="1:12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</row>
    <row r="644" spans="1:12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</row>
    <row r="645" spans="1:12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</row>
    <row r="646" spans="1:12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</row>
    <row r="647" spans="1:12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</row>
    <row r="648" spans="1:12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</row>
    <row r="649" spans="1:12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</row>
    <row r="650" spans="1:12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</row>
    <row r="651" spans="1:12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</row>
    <row r="652" spans="1:12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</row>
    <row r="653" spans="1:12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</row>
    <row r="654" spans="1:12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</row>
    <row r="655" spans="1:12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</row>
    <row r="656" spans="1:12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</row>
    <row r="657" spans="1:12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</row>
    <row r="658" spans="1:12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</row>
    <row r="659" spans="1:12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</row>
    <row r="660" spans="1:12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</row>
    <row r="661" spans="1:12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</row>
    <row r="662" spans="1:12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</row>
    <row r="663" spans="1:12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</row>
    <row r="664" spans="1:12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</row>
    <row r="665" spans="1:12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</row>
    <row r="666" spans="1:12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</row>
    <row r="667" spans="1:12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</row>
    <row r="668" spans="1:12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</row>
    <row r="669" spans="1:12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</row>
    <row r="670" spans="1:12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</row>
    <row r="671" spans="1:12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</row>
    <row r="672" spans="1:12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</row>
    <row r="673" spans="1:12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</row>
    <row r="674" spans="1:12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</row>
    <row r="675" spans="1:12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</row>
    <row r="676" spans="1:12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</row>
    <row r="677" spans="1:12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</row>
    <row r="678" spans="1:12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</row>
    <row r="679" spans="1:12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</row>
    <row r="680" spans="1:12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</row>
    <row r="681" spans="1:12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</row>
    <row r="682" spans="1:12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</row>
    <row r="683" spans="1:12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</row>
    <row r="684" spans="1:12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</row>
    <row r="685" spans="1:12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</row>
    <row r="686" spans="1:12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</row>
    <row r="687" spans="1:12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</row>
    <row r="688" spans="1:12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</row>
    <row r="689" spans="1:12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</row>
    <row r="690" spans="1:12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</row>
    <row r="691" spans="1:12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</row>
    <row r="692" spans="1:12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</row>
    <row r="693" spans="1:12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</row>
    <row r="694" spans="1:12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</row>
    <row r="695" spans="1:12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</row>
    <row r="696" spans="1:12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</row>
    <row r="697" spans="1:12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</row>
    <row r="698" spans="1:12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</row>
    <row r="699" spans="1:12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</row>
    <row r="700" spans="1:12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</row>
    <row r="701" spans="1:12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</row>
    <row r="702" spans="1:12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</row>
    <row r="703" spans="1:12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</row>
    <row r="704" spans="1:12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</row>
    <row r="705" spans="1:12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</row>
    <row r="706" spans="1:12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</row>
    <row r="707" spans="1:12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</row>
    <row r="708" spans="1:12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</row>
    <row r="709" spans="1:12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</row>
    <row r="710" spans="1:12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</row>
    <row r="711" spans="1:12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</row>
    <row r="712" spans="1:12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</row>
    <row r="713" spans="1:12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</row>
    <row r="714" spans="1:12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</row>
    <row r="715" spans="1:12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</row>
    <row r="716" spans="1:12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</row>
    <row r="717" spans="1:12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</row>
    <row r="718" spans="1:12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</row>
    <row r="719" spans="1:12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</row>
    <row r="720" spans="1:12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</row>
    <row r="721" spans="1:12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</row>
    <row r="722" spans="1:12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</row>
    <row r="723" spans="1:12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</row>
    <row r="724" spans="1:12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</row>
    <row r="725" spans="1:12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</row>
    <row r="726" spans="1:12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</row>
    <row r="727" spans="1:12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</row>
    <row r="728" spans="1:12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</row>
    <row r="729" spans="1:12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</row>
    <row r="730" spans="1:12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</row>
    <row r="731" spans="1:12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</row>
    <row r="732" spans="1:12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</row>
    <row r="733" spans="1:12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</row>
    <row r="734" spans="1:12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</row>
    <row r="735" spans="1:12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</row>
    <row r="736" spans="1:12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</row>
    <row r="737" spans="1:12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</row>
    <row r="738" spans="1:12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</row>
    <row r="739" spans="1:12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</row>
    <row r="740" spans="1:12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</row>
    <row r="741" spans="1:12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</row>
    <row r="742" spans="1:12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</row>
    <row r="743" spans="1:12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</row>
    <row r="744" spans="1:12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</row>
    <row r="745" spans="1:12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</row>
    <row r="746" spans="1:12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</row>
    <row r="747" spans="1:12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</row>
    <row r="748" spans="1:12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</row>
    <row r="749" spans="1:12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</row>
    <row r="750" spans="1:12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</row>
    <row r="751" spans="1:12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</row>
    <row r="752" spans="1:12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</row>
    <row r="753" spans="1:12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</row>
    <row r="754" spans="1:12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</row>
    <row r="755" spans="1:12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</row>
    <row r="756" spans="1:12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</row>
    <row r="757" spans="1:12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</row>
    <row r="758" spans="1:12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</row>
    <row r="759" spans="1:12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</row>
    <row r="760" spans="1:12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</row>
    <row r="761" spans="1:12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</row>
    <row r="762" spans="1:12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</row>
    <row r="763" spans="1:12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</row>
    <row r="764" spans="1:12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</row>
    <row r="765" spans="1:12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</row>
    <row r="766" spans="1:12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</row>
    <row r="767" spans="1:12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</row>
    <row r="768" spans="1:12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</row>
    <row r="769" spans="1:12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</row>
    <row r="770" spans="1:12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</row>
    <row r="771" spans="1:12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</row>
    <row r="772" spans="1:12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</row>
    <row r="773" spans="1:12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</row>
    <row r="774" spans="1:12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</row>
    <row r="775" spans="1:12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</row>
    <row r="776" spans="1:12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</row>
    <row r="777" spans="1:12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</row>
    <row r="778" spans="1:12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</row>
    <row r="779" spans="1:12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</row>
    <row r="780" spans="1:12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</row>
    <row r="781" spans="1:12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</row>
    <row r="782" spans="1:12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</row>
    <row r="783" spans="1:12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</row>
    <row r="784" spans="1:12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</row>
    <row r="785" spans="1:12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</row>
    <row r="786" spans="1:12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</row>
    <row r="787" spans="1:12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</row>
    <row r="788" spans="1:12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</row>
    <row r="789" spans="1:12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</row>
    <row r="790" spans="1:12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</row>
    <row r="791" spans="1:12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</row>
    <row r="792" spans="1:12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</row>
    <row r="793" spans="1:12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</row>
    <row r="794" spans="1:12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</row>
    <row r="795" spans="1:12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</row>
    <row r="796" spans="1:12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</row>
    <row r="797" spans="1:12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</row>
    <row r="798" spans="1:12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</row>
    <row r="799" spans="1:12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</row>
    <row r="800" spans="1:12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</row>
    <row r="801" spans="1:12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</row>
    <row r="802" spans="1:12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</row>
    <row r="803" spans="1:12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</row>
    <row r="804" spans="1:12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</row>
    <row r="805" spans="1:12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</row>
    <row r="806" spans="1:12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</row>
    <row r="807" spans="1:12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</row>
    <row r="808" spans="1:12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</row>
    <row r="809" spans="1:12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</row>
    <row r="810" spans="1:12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</row>
    <row r="811" spans="1:12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</row>
    <row r="812" spans="1:12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</row>
    <row r="813" spans="1:12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</row>
    <row r="814" spans="1:12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</row>
    <row r="815" spans="1:12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</row>
    <row r="816" spans="1:12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</row>
    <row r="817" spans="1:12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</row>
    <row r="818" spans="1:12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</row>
    <row r="819" spans="1:12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</row>
    <row r="820" spans="1:12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</row>
    <row r="821" spans="1:12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</row>
    <row r="822" spans="1:12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</row>
    <row r="823" spans="1:12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</row>
    <row r="824" spans="1:12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</row>
    <row r="825" spans="1:12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</row>
    <row r="826" spans="1:12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</row>
    <row r="827" spans="1:12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</row>
    <row r="828" spans="1:12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</row>
    <row r="829" spans="1:12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</row>
    <row r="830" spans="1:12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</row>
    <row r="831" spans="1:12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</row>
    <row r="832" spans="1:12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</row>
    <row r="833" spans="1:12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</row>
    <row r="834" spans="1:12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</row>
    <row r="835" spans="1:12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</row>
    <row r="836" spans="1:12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</row>
    <row r="837" spans="1:12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</row>
    <row r="838" spans="1:12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</row>
    <row r="839" spans="1:12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</row>
    <row r="840" spans="1:12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</row>
    <row r="841" spans="1:12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</row>
    <row r="842" spans="1:12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</row>
    <row r="843" spans="1:12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</row>
    <row r="844" spans="1:12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</row>
    <row r="845" spans="1:12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</row>
    <row r="846" spans="1:12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</row>
    <row r="847" spans="1:12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</row>
    <row r="848" spans="1:12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</row>
    <row r="849" spans="1:12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</row>
    <row r="850" spans="1:12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</row>
    <row r="851" spans="1:12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</row>
    <row r="852" spans="1:12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</row>
    <row r="853" spans="1:12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</row>
    <row r="854" spans="1:12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</row>
    <row r="855" spans="1:12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</row>
    <row r="856" spans="1:12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</row>
    <row r="857" spans="1:12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</row>
    <row r="858" spans="1:12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</row>
    <row r="859" spans="1:12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</row>
    <row r="860" spans="1:12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</row>
    <row r="861" spans="1:12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</row>
    <row r="862" spans="1:12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</row>
    <row r="863" spans="1:12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</row>
    <row r="864" spans="1:12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</row>
    <row r="865" spans="1:12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</row>
    <row r="866" spans="1:12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</row>
    <row r="867" spans="1:12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</row>
    <row r="868" spans="1:12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</row>
    <row r="869" spans="1:12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</row>
    <row r="870" spans="1:12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</row>
    <row r="871" spans="1:12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</row>
    <row r="872" spans="1:12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</row>
    <row r="873" spans="1:12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</row>
    <row r="874" spans="1:12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</row>
    <row r="875" spans="1:12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</row>
    <row r="876" spans="1:12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</row>
    <row r="877" spans="1:12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</row>
    <row r="878" spans="1:12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</row>
    <row r="879" spans="1:12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</row>
    <row r="880" spans="1:12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</row>
    <row r="881" spans="1:12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</row>
    <row r="882" spans="1:12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</row>
    <row r="883" spans="1:12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</row>
    <row r="884" spans="1:12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</row>
    <row r="885" spans="1:12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</row>
    <row r="886" spans="1:12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</row>
    <row r="887" spans="1:12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</row>
    <row r="888" spans="1:12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</row>
    <row r="889" spans="1:12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</row>
    <row r="890" spans="1:12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</row>
    <row r="891" spans="1:12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</row>
    <row r="892" spans="1:12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</row>
    <row r="893" spans="1:12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</row>
    <row r="894" spans="1:12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</row>
    <row r="895" spans="1:12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</row>
    <row r="896" spans="1:12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</row>
    <row r="897" spans="1:12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</row>
    <row r="898" spans="1:12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</row>
    <row r="899" spans="1:12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</row>
    <row r="900" spans="1:12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</row>
    <row r="901" spans="1:12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</row>
    <row r="902" spans="1:12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</row>
    <row r="903" spans="1:12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</row>
    <row r="904" spans="1:12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</row>
    <row r="905" spans="1:12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</row>
    <row r="906" spans="1:12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</row>
    <row r="907" spans="1:12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</row>
    <row r="908" spans="1:12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</row>
    <row r="909" spans="1:12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</row>
    <row r="910" spans="1:12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</row>
    <row r="911" spans="1:12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</row>
    <row r="912" spans="1:12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</row>
    <row r="913" spans="1:12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</row>
    <row r="914" spans="1:12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</row>
    <row r="915" spans="1:12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</row>
    <row r="916" spans="1:12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</row>
    <row r="917" spans="1:12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</row>
    <row r="918" spans="1:12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</row>
    <row r="919" spans="1:12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</row>
    <row r="920" spans="1:12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</row>
    <row r="921" spans="1:12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</row>
    <row r="922" spans="1:12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</row>
    <row r="923" spans="1:12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</row>
    <row r="924" spans="1:12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</row>
    <row r="925" spans="1:12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</row>
    <row r="926" spans="1:12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</row>
    <row r="927" spans="1:12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</row>
    <row r="928" spans="1:12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</row>
    <row r="929" spans="1:12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</row>
    <row r="930" spans="1:12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</row>
    <row r="931" spans="1:12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</row>
    <row r="932" spans="1:12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</row>
    <row r="933" spans="1:12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</row>
    <row r="934" spans="1:12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</row>
    <row r="935" spans="1:12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</row>
    <row r="936" spans="1:12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</row>
    <row r="937" spans="1:12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</row>
    <row r="938" spans="1:12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</row>
    <row r="939" spans="1:12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</row>
    <row r="940" spans="1:12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</row>
    <row r="941" spans="1:12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</row>
    <row r="942" spans="1:12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</row>
    <row r="943" spans="1:12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</row>
    <row r="944" spans="1:12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</row>
    <row r="945" spans="1:12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</row>
    <row r="946" spans="1:12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</row>
    <row r="947" spans="1:12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</row>
    <row r="948" spans="1:12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</row>
    <row r="949" spans="1:12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</row>
    <row r="950" spans="1:12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</row>
    <row r="951" spans="1:12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</row>
    <row r="952" spans="1:12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</row>
    <row r="953" spans="1:12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</row>
    <row r="954" spans="1:12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</row>
    <row r="955" spans="1:12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</row>
    <row r="956" spans="1:12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</row>
    <row r="957" spans="1:12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</row>
    <row r="958" spans="1:12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</row>
    <row r="959" spans="1:12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</row>
    <row r="960" spans="1:12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</row>
    <row r="961" spans="1:12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</row>
    <row r="962" spans="1:12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</row>
    <row r="963" spans="1:12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</row>
    <row r="964" spans="1:12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</row>
    <row r="965" spans="1:12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</row>
    <row r="966" spans="1:12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</row>
    <row r="967" spans="1:12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</row>
    <row r="968" spans="1:12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</row>
    <row r="969" spans="1:12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</row>
    <row r="970" spans="1:12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</row>
    <row r="971" spans="1:12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</row>
    <row r="972" spans="1:12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</row>
    <row r="973" spans="1:12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</row>
    <row r="974" spans="1:12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</row>
    <row r="975" spans="1:12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</row>
    <row r="976" spans="1:12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</row>
    <row r="977" spans="1:12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</row>
    <row r="978" spans="1:12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</row>
    <row r="979" spans="1:12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</row>
    <row r="980" spans="1:12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</row>
    <row r="981" spans="1:12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</row>
    <row r="982" spans="1:12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</row>
    <row r="983" spans="1:12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</row>
    <row r="984" spans="1:12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</row>
    <row r="985" spans="1:12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</row>
    <row r="986" spans="1:12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</row>
    <row r="987" spans="1:12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</row>
    <row r="988" spans="1:12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</row>
    <row r="989" spans="1:12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</row>
    <row r="990" spans="1:12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</row>
    <row r="991" spans="1:12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</row>
    <row r="992" spans="1:12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</row>
    <row r="993" spans="1:12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</row>
    <row r="994" spans="1:12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</row>
    <row r="995" spans="1:12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</row>
    <row r="996" spans="1:12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</row>
    <row r="997" spans="1:12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</row>
    <row r="998" spans="1:12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</row>
    <row r="999" spans="1:12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</row>
    <row r="1000" spans="1:12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</row>
    <row r="1001" spans="1:12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</row>
    <row r="1002" spans="1:12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</row>
    <row r="1003" spans="1:12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</row>
    <row r="1004" spans="1:12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</row>
    <row r="1005" spans="1:12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</row>
    <row r="1006" spans="1:12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</row>
    <row r="1007" spans="1:12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</row>
    <row r="1008" spans="1:12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</row>
    <row r="1009" spans="1:12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</row>
    <row r="1010" spans="1:12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</row>
    <row r="1011" spans="1:12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</row>
    <row r="1012" spans="1:12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</row>
    <row r="1013" spans="1:12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</row>
    <row r="1014" spans="1:12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</row>
    <row r="1015" spans="1:12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</row>
    <row r="1016" spans="1:12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</row>
    <row r="1017" spans="1:12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</row>
    <row r="1018" spans="1:12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</row>
    <row r="1019" spans="1:12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</row>
    <row r="1020" spans="1:12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</row>
    <row r="1021" spans="1:12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</row>
    <row r="1022" spans="1:12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</row>
    <row r="1023" spans="1:12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</row>
    <row r="1024" spans="1:12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</row>
    <row r="1025" spans="1:12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</row>
    <row r="1026" spans="1:12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</row>
    <row r="1027" spans="1:12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</row>
    <row r="1028" spans="1:12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</row>
    <row r="1029" spans="1:12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</row>
    <row r="1030" spans="1:12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</row>
    <row r="1031" spans="1:12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</row>
    <row r="1032" spans="1:12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</row>
    <row r="1033" spans="1:12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</row>
    <row r="1034" spans="1:12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</row>
    <row r="1035" spans="1:12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</row>
    <row r="1036" spans="1:12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</row>
    <row r="1037" spans="1:12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</row>
    <row r="1038" spans="1:12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</row>
    <row r="1039" spans="1:12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</row>
    <row r="1040" spans="1:12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</row>
    <row r="1041" spans="1:12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</row>
    <row r="1042" spans="1:12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</row>
    <row r="1043" spans="1:12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</row>
    <row r="1044" spans="1:12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</row>
    <row r="1045" spans="1:12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</row>
    <row r="1046" spans="1:12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</row>
    <row r="1047" spans="1:12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</row>
    <row r="1048" spans="1:12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</row>
    <row r="1049" spans="1:12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</row>
    <row r="1050" spans="1:12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</row>
    <row r="1051" spans="1:12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</row>
    <row r="1052" spans="1:12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</row>
    <row r="1053" spans="1:12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</row>
    <row r="1054" spans="1:12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</row>
    <row r="1055" spans="1:12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</row>
    <row r="1056" spans="1:12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</row>
    <row r="1057" spans="1:12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</row>
    <row r="1058" spans="1:12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</row>
    <row r="1059" spans="1:12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</row>
    <row r="1060" spans="1:12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</row>
    <row r="1061" spans="1:12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</row>
    <row r="1062" spans="1:12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</row>
    <row r="1063" spans="1:12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</row>
    <row r="1064" spans="1:12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</row>
    <row r="1065" spans="1:12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</row>
    <row r="1066" spans="1:12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</row>
    <row r="1067" spans="1:12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</row>
    <row r="1068" spans="1:12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</row>
    <row r="1069" spans="1:12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</row>
    <row r="1070" spans="1:12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</row>
    <row r="1071" spans="1:12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</row>
    <row r="1072" spans="1:12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</row>
    <row r="1073" spans="1:12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</row>
    <row r="1074" spans="1:12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</row>
    <row r="1075" spans="1:12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</row>
    <row r="1076" spans="1:12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</row>
    <row r="1077" spans="1:12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</row>
    <row r="1078" spans="1:12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</row>
    <row r="1079" spans="1:12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</row>
    <row r="1080" spans="1:12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</row>
    <row r="1081" spans="1:12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</row>
    <row r="1082" spans="1:12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</row>
    <row r="1083" spans="1:12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</row>
    <row r="1084" spans="1:12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</row>
    <row r="1085" spans="1:12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</row>
    <row r="1086" spans="1:12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</row>
    <row r="1087" spans="1:12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</row>
    <row r="1088" spans="1:12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</row>
    <row r="1089" spans="1:12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</row>
    <row r="1090" spans="1:12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</row>
    <row r="1091" spans="1:12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</row>
    <row r="1092" spans="1:12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</row>
    <row r="1093" spans="1:12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</row>
    <row r="1094" spans="1:12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</row>
    <row r="1095" spans="1:12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</row>
    <row r="1096" spans="1:12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</row>
    <row r="1097" spans="1:12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</row>
    <row r="1098" spans="1:12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</row>
    <row r="1099" spans="1:12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</row>
    <row r="1100" spans="1:12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</row>
    <row r="1101" spans="1:12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</row>
    <row r="1102" spans="1:12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</row>
    <row r="1103" spans="1:12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</row>
    <row r="1104" spans="1:12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</row>
    <row r="1105" spans="1:12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</row>
    <row r="1106" spans="1:12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</row>
    <row r="1107" spans="1:12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</row>
    <row r="1108" spans="1:12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</row>
    <row r="1109" spans="1:12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</row>
    <row r="1110" spans="1:12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</row>
    <row r="1111" spans="1:12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</row>
    <row r="1112" spans="1:12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</row>
    <row r="1113" spans="1:12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</row>
    <row r="1114" spans="1:12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</row>
    <row r="1115" spans="1:12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</row>
    <row r="1116" spans="1:12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</row>
    <row r="1117" spans="1:12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</row>
    <row r="1118" spans="1:12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</row>
    <row r="1119" spans="1:12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</row>
    <row r="1120" spans="1:12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</row>
    <row r="1121" spans="1:12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</row>
    <row r="1122" spans="1:12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</row>
    <row r="1123" spans="1:12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</row>
    <row r="1124" spans="1:12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</row>
    <row r="1125" spans="1:12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</row>
    <row r="1126" spans="1:12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</row>
    <row r="1127" spans="1:12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</row>
    <row r="1128" spans="1:12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</row>
    <row r="1129" spans="1:12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</row>
    <row r="1130" spans="1:12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</row>
    <row r="1131" spans="1:12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</row>
    <row r="1132" spans="1:12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</row>
    <row r="1133" spans="1:12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</row>
    <row r="1134" spans="1:12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</row>
    <row r="1135" spans="1:12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</row>
    <row r="1136" spans="1:12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</row>
    <row r="1137" spans="1:12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</row>
    <row r="1138" spans="1:12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</row>
    <row r="1139" spans="1:12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</row>
    <row r="1140" spans="1:12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</row>
    <row r="1141" spans="1:12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</row>
    <row r="1142" spans="1:12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</row>
    <row r="1143" spans="1:12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</row>
    <row r="1144" spans="1:12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</row>
    <row r="1145" spans="1:12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</row>
    <row r="1146" spans="1:12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</row>
    <row r="1147" spans="1:12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</row>
    <row r="1148" spans="1:12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</row>
    <row r="1149" spans="1:12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</row>
    <row r="1150" spans="1:12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</row>
    <row r="1151" spans="1:12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</row>
    <row r="1152" spans="1:12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</row>
    <row r="1153" spans="3:12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</row>
    <row r="1154" spans="3:12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</row>
  </sheetData>
  <mergeCells count="1">
    <mergeCell ref="A1:A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1"/>
  <dimension ref="A1:CM1154"/>
  <sheetViews>
    <sheetView showGridLines="0" zoomScale="85" zoomScaleNormal="85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5" width="13" style="1" customWidth="1"/>
    <col min="56" max="57" width="11.5703125" style="56" customWidth="1"/>
    <col min="58" max="58" width="12.42578125" style="56" customWidth="1"/>
    <col min="59" max="59" width="12.5703125" style="56" customWidth="1"/>
    <col min="60" max="60" width="12.140625" style="56" customWidth="1"/>
    <col min="61" max="75" width="13" style="56" customWidth="1"/>
    <col min="76" max="80" width="11.5703125" style="56" customWidth="1"/>
    <col min="81" max="91" width="13" style="56" customWidth="1"/>
    <col min="92" max="16384" width="9.140625" style="56"/>
  </cols>
  <sheetData>
    <row r="1" spans="1:91" s="1" customFormat="1" ht="23.25" x14ac:dyDescent="0.35">
      <c r="A1" s="96"/>
      <c r="C1" s="70" t="s">
        <v>1387</v>
      </c>
      <c r="D1" s="2"/>
      <c r="J1" s="75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83" t="s">
        <v>1629</v>
      </c>
      <c r="AU1" s="84"/>
      <c r="AV1" s="84"/>
      <c r="AW1" s="85"/>
      <c r="AX1" s="74" t="s">
        <v>447</v>
      </c>
      <c r="AY1" s="75"/>
      <c r="AZ1" s="75"/>
      <c r="BA1" s="75"/>
      <c r="BB1" s="75"/>
      <c r="BC1" s="75"/>
      <c r="BD1" s="74" t="s">
        <v>446</v>
      </c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</row>
    <row r="2" spans="1:91" s="2" customFormat="1" x14ac:dyDescent="0.25">
      <c r="A2" s="96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</row>
    <row r="3" spans="1:91" s="4" customFormat="1" ht="14.45" x14ac:dyDescent="0.3">
      <c r="A3" s="3"/>
      <c r="C3" s="71"/>
      <c r="D3" s="2"/>
      <c r="E3" s="5"/>
      <c r="F3" s="5"/>
      <c r="G3" s="5"/>
      <c r="H3" s="6"/>
      <c r="I3" s="6"/>
      <c r="J3" s="42" t="s">
        <v>564</v>
      </c>
      <c r="K3" s="44"/>
      <c r="L3" s="44"/>
      <c r="M3" s="43"/>
      <c r="N3" s="42" t="s">
        <v>563</v>
      </c>
      <c r="O3" s="44"/>
      <c r="P3" s="44"/>
      <c r="Q3" s="44"/>
      <c r="R3" s="44" t="s">
        <v>507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2" t="s">
        <v>508</v>
      </c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3"/>
      <c r="AT3" s="86" t="s">
        <v>1630</v>
      </c>
      <c r="AU3" s="86"/>
      <c r="AV3" s="86"/>
      <c r="AW3" s="86"/>
      <c r="AX3" s="48" t="s">
        <v>106</v>
      </c>
      <c r="AY3" s="50"/>
      <c r="AZ3" s="50"/>
      <c r="BA3" s="50"/>
      <c r="BB3" s="50"/>
      <c r="BC3" s="51"/>
      <c r="BD3" s="64" t="s">
        <v>505</v>
      </c>
      <c r="BE3" s="65"/>
      <c r="BF3" s="65"/>
      <c r="BG3" s="66"/>
      <c r="BH3" s="64" t="s">
        <v>506</v>
      </c>
      <c r="BI3" s="65"/>
      <c r="BJ3" s="65"/>
      <c r="BK3" s="66"/>
      <c r="BL3" s="64" t="s">
        <v>507</v>
      </c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  <c r="BY3" s="66"/>
      <c r="BZ3" s="64" t="s">
        <v>508</v>
      </c>
      <c r="CA3" s="65"/>
      <c r="CB3" s="65"/>
      <c r="CC3" s="65"/>
      <c r="CD3" s="65"/>
      <c r="CE3" s="65"/>
      <c r="CF3" s="65"/>
      <c r="CG3" s="65"/>
      <c r="CH3" s="65"/>
      <c r="CI3" s="65"/>
      <c r="CJ3" s="65"/>
      <c r="CK3" s="65"/>
      <c r="CL3" s="65"/>
      <c r="CM3" s="66"/>
    </row>
    <row r="4" spans="1:9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80</v>
      </c>
      <c r="K4" s="13" t="s">
        <v>85</v>
      </c>
      <c r="L4" s="13" t="s">
        <v>81</v>
      </c>
      <c r="M4" s="9" t="s">
        <v>82</v>
      </c>
      <c r="N4" s="8" t="s">
        <v>509</v>
      </c>
      <c r="O4" s="13" t="s">
        <v>510</v>
      </c>
      <c r="P4" s="13" t="s">
        <v>511</v>
      </c>
      <c r="Q4" s="9" t="s">
        <v>512</v>
      </c>
      <c r="R4" s="13" t="s">
        <v>83</v>
      </c>
      <c r="S4" s="13" t="s">
        <v>84</v>
      </c>
      <c r="T4" s="13" t="s">
        <v>86</v>
      </c>
      <c r="U4" s="13" t="s">
        <v>87</v>
      </c>
      <c r="V4" s="13" t="s">
        <v>88</v>
      </c>
      <c r="W4" s="13" t="s">
        <v>89</v>
      </c>
      <c r="X4" s="13" t="s">
        <v>90</v>
      </c>
      <c r="Y4" s="13" t="s">
        <v>91</v>
      </c>
      <c r="Z4" s="13" t="s">
        <v>92</v>
      </c>
      <c r="AA4" s="13" t="s">
        <v>93</v>
      </c>
      <c r="AB4" s="13" t="s">
        <v>94</v>
      </c>
      <c r="AC4" s="13" t="s">
        <v>95</v>
      </c>
      <c r="AD4" s="13" t="s">
        <v>96</v>
      </c>
      <c r="AE4" s="13" t="s">
        <v>97</v>
      </c>
      <c r="AF4" s="8" t="s">
        <v>513</v>
      </c>
      <c r="AG4" s="13" t="s">
        <v>514</v>
      </c>
      <c r="AH4" s="13" t="s">
        <v>515</v>
      </c>
      <c r="AI4" s="13" t="s">
        <v>516</v>
      </c>
      <c r="AJ4" s="13" t="s">
        <v>517</v>
      </c>
      <c r="AK4" s="13" t="s">
        <v>518</v>
      </c>
      <c r="AL4" s="13" t="s">
        <v>519</v>
      </c>
      <c r="AM4" s="13" t="s">
        <v>520</v>
      </c>
      <c r="AN4" s="13" t="s">
        <v>521</v>
      </c>
      <c r="AO4" s="13" t="s">
        <v>522</v>
      </c>
      <c r="AP4" s="13" t="s">
        <v>523</v>
      </c>
      <c r="AQ4" s="13" t="s">
        <v>524</v>
      </c>
      <c r="AR4" s="13" t="s">
        <v>525</v>
      </c>
      <c r="AS4" s="9" t="s">
        <v>526</v>
      </c>
      <c r="AT4" s="87" t="s">
        <v>564</v>
      </c>
      <c r="AU4" s="87" t="s">
        <v>563</v>
      </c>
      <c r="AV4" s="87" t="s">
        <v>507</v>
      </c>
      <c r="AW4" s="87" t="s">
        <v>508</v>
      </c>
      <c r="AX4" s="10" t="s">
        <v>497</v>
      </c>
      <c r="AY4" s="11" t="s">
        <v>499</v>
      </c>
      <c r="AZ4" s="11" t="s">
        <v>501</v>
      </c>
      <c r="BA4" s="11" t="s">
        <v>498</v>
      </c>
      <c r="BB4" s="11" t="s">
        <v>500</v>
      </c>
      <c r="BC4" s="12" t="s">
        <v>502</v>
      </c>
      <c r="BD4" s="67" t="s">
        <v>80</v>
      </c>
      <c r="BE4" s="68" t="s">
        <v>85</v>
      </c>
      <c r="BF4" s="68" t="s">
        <v>81</v>
      </c>
      <c r="BG4" s="69" t="s">
        <v>82</v>
      </c>
      <c r="BH4" s="67" t="s">
        <v>509</v>
      </c>
      <c r="BI4" s="68" t="s">
        <v>510</v>
      </c>
      <c r="BJ4" s="68" t="s">
        <v>511</v>
      </c>
      <c r="BK4" s="69" t="s">
        <v>512</v>
      </c>
      <c r="BL4" s="67" t="s">
        <v>83</v>
      </c>
      <c r="BM4" s="68" t="s">
        <v>84</v>
      </c>
      <c r="BN4" s="68" t="s">
        <v>86</v>
      </c>
      <c r="BO4" s="68" t="s">
        <v>87</v>
      </c>
      <c r="BP4" s="68" t="s">
        <v>88</v>
      </c>
      <c r="BQ4" s="68" t="s">
        <v>89</v>
      </c>
      <c r="BR4" s="68" t="s">
        <v>90</v>
      </c>
      <c r="BS4" s="68" t="s">
        <v>91</v>
      </c>
      <c r="BT4" s="68" t="s">
        <v>92</v>
      </c>
      <c r="BU4" s="68" t="s">
        <v>93</v>
      </c>
      <c r="BV4" s="68" t="s">
        <v>94</v>
      </c>
      <c r="BW4" s="68" t="s">
        <v>95</v>
      </c>
      <c r="BX4" s="68" t="s">
        <v>96</v>
      </c>
      <c r="BY4" s="69" t="s">
        <v>97</v>
      </c>
      <c r="BZ4" s="67" t="s">
        <v>513</v>
      </c>
      <c r="CA4" s="68" t="s">
        <v>514</v>
      </c>
      <c r="CB4" s="68" t="s">
        <v>515</v>
      </c>
      <c r="CC4" s="68" t="s">
        <v>516</v>
      </c>
      <c r="CD4" s="68" t="s">
        <v>517</v>
      </c>
      <c r="CE4" s="68" t="s">
        <v>518</v>
      </c>
      <c r="CF4" s="68" t="s">
        <v>519</v>
      </c>
      <c r="CG4" s="68" t="s">
        <v>520</v>
      </c>
      <c r="CH4" s="68" t="s">
        <v>521</v>
      </c>
      <c r="CI4" s="68" t="s">
        <v>522</v>
      </c>
      <c r="CJ4" s="68" t="s">
        <v>523</v>
      </c>
      <c r="CK4" s="68" t="s">
        <v>524</v>
      </c>
      <c r="CL4" s="68" t="s">
        <v>525</v>
      </c>
      <c r="CM4" s="69" t="s">
        <v>526</v>
      </c>
    </row>
    <row r="5" spans="1:9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BD5" s="47">
        <f>SUBTOTAL(109,otherpitc_T[hts_tst_otherpitc_u1_unk_pos])</f>
        <v>0</v>
      </c>
      <c r="BE5" s="47">
        <f>SUBTOTAL(109,otherpitc_T[hts_tst_otherpitc_0109_unk_pos])</f>
        <v>0</v>
      </c>
      <c r="BF5" s="47">
        <f>SUBTOTAL(109,otherpitc_T[hts_tst_otherpitc_1014_f_pos])</f>
        <v>0</v>
      </c>
      <c r="BG5" s="47">
        <f>SUBTOTAL(109,otherpitc_T[hts_tst_otherpitc_1014_m_pos])</f>
        <v>0</v>
      </c>
      <c r="BH5" s="47">
        <f>SUBTOTAL(109,otherpitc_T[hts_tst_otherpitc_u1_unk_neg])</f>
        <v>0</v>
      </c>
      <c r="BI5" s="47">
        <f>SUBTOTAL(109,otherpitc_T[hts_tst_otherpitc_0109_unk_neg])</f>
        <v>0</v>
      </c>
      <c r="BJ5" s="47">
        <f>SUBTOTAL(109,otherpitc_T[hts_tst_otherpitc_1014_f_neg])</f>
        <v>0</v>
      </c>
      <c r="BK5" s="47">
        <f>SUBTOTAL(109,otherpitc_T[hts_tst_otherpitc_1014_m_neg])</f>
        <v>0</v>
      </c>
      <c r="BL5" s="47">
        <f>SUBTOTAL(109,otherpitc_T[hts_tst_otherpitc_1519_f_pos])</f>
        <v>0</v>
      </c>
      <c r="BM5" s="47">
        <f>SUBTOTAL(109,otherpitc_T[hts_tst_otherpitc_1519_m_pos])</f>
        <v>0</v>
      </c>
      <c r="BN5" s="47">
        <f>SUBTOTAL(109,otherpitc_T[hts_tst_otherpitc_2024_f_pos])</f>
        <v>0</v>
      </c>
      <c r="BO5" s="47">
        <f>SUBTOTAL(109,otherpitc_T[hts_tst_otherpitc_2024_m_pos])</f>
        <v>0</v>
      </c>
      <c r="BP5" s="47">
        <f>SUBTOTAL(109,otherpitc_T[hts_tst_otherpitc_2529_f_pos])</f>
        <v>0</v>
      </c>
      <c r="BQ5" s="47">
        <f>SUBTOTAL(109,otherpitc_T[hts_tst_otherpitc_2529_m_pos])</f>
        <v>0</v>
      </c>
      <c r="BR5" s="47">
        <f>SUBTOTAL(109,otherpitc_T[hts_tst_otherpitc_3034_f_pos])</f>
        <v>0</v>
      </c>
      <c r="BS5" s="47">
        <f>SUBTOTAL(109,otherpitc_T[hts_tst_otherpitc_3034_m_pos])</f>
        <v>0</v>
      </c>
      <c r="BT5" s="47">
        <f>SUBTOTAL(109,otherpitc_T[hts_tst_otherpitc_3539_f_pos])</f>
        <v>0</v>
      </c>
      <c r="BU5" s="47">
        <f>SUBTOTAL(109,otherpitc_T[hts_tst_otherpitc_3539_m_pos])</f>
        <v>0</v>
      </c>
      <c r="BV5" s="47">
        <f>SUBTOTAL(109,otherpitc_T[hts_tst_otherpitc_4049_f_pos])</f>
        <v>0</v>
      </c>
      <c r="BW5" s="47">
        <f>SUBTOTAL(109,otherpitc_T[hts_tst_otherpitc_4049_m_pos])</f>
        <v>0</v>
      </c>
      <c r="BX5" s="47">
        <f>SUBTOTAL(109,otherpitc_T[hts_tst_otherpitc_o50_f_pos])</f>
        <v>0</v>
      </c>
      <c r="BY5" s="47">
        <f>SUBTOTAL(109,otherpitc_T[hts_tst_otherpitc_o50_m_pos])</f>
        <v>0</v>
      </c>
      <c r="BZ5" s="47">
        <f>SUBTOTAL(109,otherpitc_T[hts_tst_otherpitc_1519_f_neg])</f>
        <v>0</v>
      </c>
      <c r="CA5" s="47">
        <f>SUBTOTAL(109,otherpitc_T[hts_tst_otherpitc_1519_m_neg])</f>
        <v>0</v>
      </c>
      <c r="CB5" s="47">
        <f>SUBTOTAL(109,otherpitc_T[hts_tst_otherpitc_2024_f_neg])</f>
        <v>0</v>
      </c>
      <c r="CC5" s="47">
        <f>SUBTOTAL(109,otherpitc_T[hts_tst_otherpitc_2024_m_neg])</f>
        <v>0</v>
      </c>
      <c r="CD5" s="47">
        <f>SUBTOTAL(109,otherpitc_T[hts_tst_otherpitc_2529_f_neg])</f>
        <v>0</v>
      </c>
      <c r="CE5" s="47">
        <f>SUBTOTAL(109,otherpitc_T[hts_tst_otherpitc_2529_m_neg])</f>
        <v>0</v>
      </c>
      <c r="CF5" s="47">
        <f>SUBTOTAL(109,otherpitc_T[hts_tst_otherpitc_3034_f_neg])</f>
        <v>0</v>
      </c>
      <c r="CG5" s="47">
        <f>SUBTOTAL(109,otherpitc_T[hts_tst_otherpitc_3034_m_neg])</f>
        <v>0</v>
      </c>
      <c r="CH5" s="47">
        <f>SUBTOTAL(109,otherpitc_T[hts_tst_otherpitc_3539_f_neg])</f>
        <v>0</v>
      </c>
      <c r="CI5" s="47">
        <f>SUBTOTAL(109,otherpitc_T[hts_tst_otherpitc_3539_m_neg])</f>
        <v>0</v>
      </c>
      <c r="CJ5" s="47">
        <f>SUBTOTAL(109,otherpitc_T[hts_tst_otherpitc_4049_f_neg])</f>
        <v>0</v>
      </c>
      <c r="CK5" s="47">
        <f>SUBTOTAL(109,otherpitc_T[hts_tst_otherpitc_4049_m_neg])</f>
        <v>0</v>
      </c>
      <c r="CL5" s="47">
        <f>SUBTOTAL(109,otherpitc_T[hts_tst_otherpitc_o50_f_neg])</f>
        <v>0</v>
      </c>
      <c r="CM5" s="47">
        <f>SUBTOTAL(109,otherpitc_T[hts_tst_otherpitc_o50_m_neg])</f>
        <v>0</v>
      </c>
    </row>
    <row r="6" spans="1:9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1388</v>
      </c>
      <c r="K6" s="25" t="s">
        <v>1389</v>
      </c>
      <c r="L6" s="25" t="s">
        <v>1390</v>
      </c>
      <c r="M6" s="25" t="s">
        <v>1391</v>
      </c>
      <c r="N6" s="25" t="s">
        <v>1392</v>
      </c>
      <c r="O6" s="25" t="s">
        <v>1393</v>
      </c>
      <c r="P6" s="25" t="s">
        <v>1394</v>
      </c>
      <c r="Q6" s="25" t="s">
        <v>1395</v>
      </c>
      <c r="R6" s="25" t="s">
        <v>1396</v>
      </c>
      <c r="S6" s="25" t="s">
        <v>1397</v>
      </c>
      <c r="T6" s="25" t="s">
        <v>1398</v>
      </c>
      <c r="U6" s="25" t="s">
        <v>1399</v>
      </c>
      <c r="V6" s="25" t="s">
        <v>1400</v>
      </c>
      <c r="W6" s="25" t="s">
        <v>1401</v>
      </c>
      <c r="X6" s="25" t="s">
        <v>1402</v>
      </c>
      <c r="Y6" s="25" t="s">
        <v>1403</v>
      </c>
      <c r="Z6" s="25" t="s">
        <v>1404</v>
      </c>
      <c r="AA6" s="25" t="s">
        <v>1405</v>
      </c>
      <c r="AB6" s="25" t="s">
        <v>1406</v>
      </c>
      <c r="AC6" s="25" t="s">
        <v>1407</v>
      </c>
      <c r="AD6" s="25" t="s">
        <v>1408</v>
      </c>
      <c r="AE6" s="25" t="s">
        <v>1409</v>
      </c>
      <c r="AF6" s="25" t="s">
        <v>1410</v>
      </c>
      <c r="AG6" s="25" t="s">
        <v>1411</v>
      </c>
      <c r="AH6" s="25" t="s">
        <v>1412</v>
      </c>
      <c r="AI6" s="25" t="s">
        <v>1413</v>
      </c>
      <c r="AJ6" s="25" t="s">
        <v>1414</v>
      </c>
      <c r="AK6" s="25" t="s">
        <v>1415</v>
      </c>
      <c r="AL6" s="25" t="s">
        <v>1416</v>
      </c>
      <c r="AM6" s="25" t="s">
        <v>1417</v>
      </c>
      <c r="AN6" s="25" t="s">
        <v>1418</v>
      </c>
      <c r="AO6" s="25" t="s">
        <v>1419</v>
      </c>
      <c r="AP6" s="25" t="s">
        <v>1420</v>
      </c>
      <c r="AQ6" s="25" t="s">
        <v>1421</v>
      </c>
      <c r="AR6" s="25" t="s">
        <v>1422</v>
      </c>
      <c r="AS6" s="25" t="s">
        <v>1423</v>
      </c>
      <c r="AT6" s="25" t="s">
        <v>1631</v>
      </c>
      <c r="AU6" s="25" t="s">
        <v>1632</v>
      </c>
      <c r="AV6" s="25" t="s">
        <v>1633</v>
      </c>
      <c r="AW6" s="25" t="s">
        <v>1634</v>
      </c>
      <c r="AX6" s="25" t="s">
        <v>249</v>
      </c>
      <c r="AY6" s="25" t="s">
        <v>261</v>
      </c>
      <c r="AZ6" s="25" t="s">
        <v>1424</v>
      </c>
      <c r="BA6" s="25" t="s">
        <v>227</v>
      </c>
      <c r="BB6" s="25" t="s">
        <v>237</v>
      </c>
      <c r="BC6" s="25" t="s">
        <v>1425</v>
      </c>
      <c r="BD6" s="25" t="s">
        <v>1426</v>
      </c>
      <c r="BE6" s="25" t="s">
        <v>1427</v>
      </c>
      <c r="BF6" s="25" t="s">
        <v>1428</v>
      </c>
      <c r="BG6" s="25" t="s">
        <v>1429</v>
      </c>
      <c r="BH6" s="25" t="s">
        <v>1430</v>
      </c>
      <c r="BI6" s="25" t="s">
        <v>1431</v>
      </c>
      <c r="BJ6" s="25" t="s">
        <v>1432</v>
      </c>
      <c r="BK6" s="25" t="s">
        <v>1433</v>
      </c>
      <c r="BL6" s="25" t="s">
        <v>1434</v>
      </c>
      <c r="BM6" s="25" t="s">
        <v>1435</v>
      </c>
      <c r="BN6" s="25" t="s">
        <v>1436</v>
      </c>
      <c r="BO6" s="25" t="s">
        <v>1437</v>
      </c>
      <c r="BP6" s="25" t="s">
        <v>1438</v>
      </c>
      <c r="BQ6" s="25" t="s">
        <v>1439</v>
      </c>
      <c r="BR6" s="25" t="s">
        <v>1440</v>
      </c>
      <c r="BS6" s="25" t="s">
        <v>1441</v>
      </c>
      <c r="BT6" s="25" t="s">
        <v>1442</v>
      </c>
      <c r="BU6" s="25" t="s">
        <v>1443</v>
      </c>
      <c r="BV6" s="25" t="s">
        <v>1444</v>
      </c>
      <c r="BW6" s="25" t="s">
        <v>1445</v>
      </c>
      <c r="BX6" s="25" t="s">
        <v>1446</v>
      </c>
      <c r="BY6" s="25" t="s">
        <v>1447</v>
      </c>
      <c r="BZ6" s="25" t="s">
        <v>1448</v>
      </c>
      <c r="CA6" s="25" t="s">
        <v>1449</v>
      </c>
      <c r="CB6" s="25" t="s">
        <v>1450</v>
      </c>
      <c r="CC6" s="25" t="s">
        <v>1451</v>
      </c>
      <c r="CD6" s="25" t="s">
        <v>1452</v>
      </c>
      <c r="CE6" s="25" t="s">
        <v>1453</v>
      </c>
      <c r="CF6" s="25" t="s">
        <v>1454</v>
      </c>
      <c r="CG6" s="25" t="s">
        <v>1455</v>
      </c>
      <c r="CH6" s="25" t="s">
        <v>1456</v>
      </c>
      <c r="CI6" s="25" t="s">
        <v>1457</v>
      </c>
      <c r="CJ6" s="25" t="s">
        <v>1458</v>
      </c>
      <c r="CK6" s="25" t="s">
        <v>1459</v>
      </c>
      <c r="CL6" s="25" t="s">
        <v>1460</v>
      </c>
      <c r="CM6" s="25" t="s">
        <v>1461</v>
      </c>
    </row>
    <row r="7" spans="1:9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94">
        <f>SUM(otherpitc_T[[#This Row],[A_hts_tst_otherpitc_u1_unk_pos]:[A_hts_tst_otherpitc_1014_m_pos]])</f>
        <v>0</v>
      </c>
      <c r="AU7" s="94">
        <f>SUM(otherpitc_T[[#This Row],[A_hts_tst_otherpitc_u1_unk_neg]:[A_hts_tst_otherpitc_1014_m_neg]])</f>
        <v>0</v>
      </c>
      <c r="AV7" s="94">
        <f>SUM(otherpitc_T[[#This Row],[A_hts_tst_otherpitc_1519_f_pos]:[A_hts_tst_otherpitc_o50_m_pos]])</f>
        <v>0</v>
      </c>
      <c r="AW7" s="94">
        <f>SUM(otherpitc_T[[#This Row],[A_hts_tst_otherpitc_1519_f_neg]:[A_hts_tst_otherpitc_o50_m_neg]])</f>
        <v>0</v>
      </c>
      <c r="AX7" s="41"/>
      <c r="AY7" s="41"/>
      <c r="AZ7" s="41"/>
      <c r="BA7" s="41"/>
      <c r="BB7" s="41"/>
      <c r="BC7" s="41"/>
      <c r="BD7" s="41">
        <f>otherpitc_T[[D_hts_tst_pos_otherpitc_u15_fy19]:[D_hts_tst_pos_otherpitc_u15_fy19]]*otherpitc_T[A_hts_tst_otherpitc_u1_unk_pos]</f>
        <v>0</v>
      </c>
      <c r="BE7" s="41">
        <f>otherpitc_T[[D_hts_tst_pos_otherpitc_u15_fy19]:[D_hts_tst_pos_otherpitc_u15_fy19]]*otherpitc_T[A_hts_tst_otherpitc_0109_unk_pos]</f>
        <v>0</v>
      </c>
      <c r="BF7" s="41">
        <f>otherpitc_T[[D_hts_tst_pos_otherpitc_u15_fy19]:[D_hts_tst_pos_otherpitc_u15_fy19]]*otherpitc_T[A_hts_tst_otherpitc_1014_f_pos]</f>
        <v>0</v>
      </c>
      <c r="BG7" s="41">
        <f>otherpitc_T[[D_hts_tst_pos_otherpitc_u15_fy19]:[D_hts_tst_pos_otherpitc_u15_fy19]]*otherpitc_T[A_hts_tst_otherpitc_1014_m_pos]</f>
        <v>0</v>
      </c>
      <c r="BH7" s="41">
        <f>otherpitc_T[[D_hts_tst_neg_otherpitc_u15_fy19]:[D_hts_tst_neg_otherpitc_u15_fy19]]*otherpitc_T[A_hts_tst_otherpitc_u1_unk_neg]</f>
        <v>0</v>
      </c>
      <c r="BI7" s="41">
        <f>otherpitc_T[[D_hts_tst_neg_otherpitc_u15_fy19]:[D_hts_tst_neg_otherpitc_u15_fy19]]*otherpitc_T[A_hts_tst_otherpitc_0109_unk_neg]</f>
        <v>0</v>
      </c>
      <c r="BJ7" s="41">
        <f>otherpitc_T[[D_hts_tst_neg_otherpitc_u15_fy19]:[D_hts_tst_neg_otherpitc_u15_fy19]]*otherpitc_T[A_hts_tst_otherpitc_1014_f_neg]</f>
        <v>0</v>
      </c>
      <c r="BK7" s="41">
        <f>otherpitc_T[[D_hts_tst_neg_otherpitc_u15_fy19]:[D_hts_tst_neg_otherpitc_u15_fy19]]*otherpitc_T[A_hts_tst_otherpitc_1014_m_neg]</f>
        <v>0</v>
      </c>
      <c r="BL7" s="41">
        <f>otherpitc_T[[D_hts_tst_pos_otherpitc_o15_fy19]:[D_hts_tst_pos_otherpitc_o15_fy19]]*otherpitc_T[A_hts_tst_otherpitc_1519_f_pos]</f>
        <v>0</v>
      </c>
      <c r="BM7" s="41">
        <f>otherpitc_T[[D_hts_tst_pos_otherpitc_o15_fy19]:[D_hts_tst_pos_otherpitc_o15_fy19]]*otherpitc_T[A_hts_tst_otherpitc_1519_m_pos]</f>
        <v>0</v>
      </c>
      <c r="BN7" s="41">
        <f>otherpitc_T[[D_hts_tst_pos_otherpitc_o15_fy19]:[D_hts_tst_pos_otherpitc_o15_fy19]]*otherpitc_T[A_hts_tst_otherpitc_2024_f_pos]</f>
        <v>0</v>
      </c>
      <c r="BO7" s="41">
        <f>otherpitc_T[[D_hts_tst_pos_otherpitc_o15_fy19]:[D_hts_tst_pos_otherpitc_o15_fy19]]*otherpitc_T[A_hts_tst_otherpitc_2024_m_pos]</f>
        <v>0</v>
      </c>
      <c r="BP7" s="41">
        <f>otherpitc_T[[D_hts_tst_pos_otherpitc_o15_fy19]:[D_hts_tst_pos_otherpitc_o15_fy19]]*otherpitc_T[A_hts_tst_otherpitc_2529_f_pos]</f>
        <v>0</v>
      </c>
      <c r="BQ7" s="41">
        <f>otherpitc_T[[D_hts_tst_pos_otherpitc_o15_fy19]:[D_hts_tst_pos_otherpitc_o15_fy19]]*otherpitc_T[A_hts_tst_otherpitc_2529_m_pos]</f>
        <v>0</v>
      </c>
      <c r="BR7" s="41">
        <f>otherpitc_T[[D_hts_tst_pos_otherpitc_o15_fy19]:[D_hts_tst_pos_otherpitc_o15_fy19]]*otherpitc_T[A_hts_tst_otherpitc_3034_f_pos]</f>
        <v>0</v>
      </c>
      <c r="BS7" s="41">
        <f>otherpitc_T[[D_hts_tst_pos_otherpitc_o15_fy19]:[D_hts_tst_pos_otherpitc_o15_fy19]]*otherpitc_T[A_hts_tst_otherpitc_3034_m__pos]</f>
        <v>0</v>
      </c>
      <c r="BT7" s="41">
        <f>otherpitc_T[[D_hts_tst_pos_otherpitc_o15_fy19]:[D_hts_tst_pos_otherpitc_o15_fy19]]*otherpitc_T[A_hts_tst_otherpitc_3539_f_pos]</f>
        <v>0</v>
      </c>
      <c r="BU7" s="41">
        <f>otherpitc_T[[D_hts_tst_pos_otherpitc_o15_fy19]:[D_hts_tst_pos_otherpitc_o15_fy19]]*otherpitc_T[A_hts_tst_otherpitc_3539_m__pos]</f>
        <v>0</v>
      </c>
      <c r="BV7" s="41">
        <f>otherpitc_T[[D_hts_tst_pos_otherpitc_o15_fy19]:[D_hts_tst_pos_otherpitc_o15_fy19]]*otherpitc_T[A_hts_tst_otherpitc_4049_f_pos]</f>
        <v>0</v>
      </c>
      <c r="BW7" s="41">
        <f>otherpitc_T[[D_hts_tst_pos_otherpitc_o15_fy19]:[D_hts_tst_pos_otherpitc_o15_fy19]]*otherpitc_T[A_hts_tst_otherpitc_4049_m_pos]</f>
        <v>0</v>
      </c>
      <c r="BX7" s="41">
        <f>otherpitc_T[[D_hts_tst_pos_otherpitc_o15_fy19]:[D_hts_tst_pos_otherpitc_o15_fy19]]*otherpitc_T[A_hts_tst_otherpitc_o50_f_pos]</f>
        <v>0</v>
      </c>
      <c r="BY7" s="41">
        <f>otherpitc_T[[D_hts_tst_pos_otherpitc_o15_fy19]:[D_hts_tst_pos_otherpitc_o15_fy19]]*otherpitc_T[A_hts_tst_otherpitc_o50_m_pos]</f>
        <v>0</v>
      </c>
      <c r="BZ7" s="41">
        <f>otherpitc_T[[D_hts_tst_neg_otherpitc_o15_fy19]:[D_hts_tst_neg_otherpitc_o15_fy19]]*otherpitc_T[A_hts_tst_otherpitc_1519_f_neg]</f>
        <v>0</v>
      </c>
      <c r="CA7" s="41">
        <f>otherpitc_T[[D_hts_tst_neg_otherpitc_o15_fy19]:[D_hts_tst_neg_otherpitc_o15_fy19]]*otherpitc_T[A_hts_tst_otherpitc_1519_m_neg]</f>
        <v>0</v>
      </c>
      <c r="CB7" s="41">
        <f>otherpitc_T[[D_hts_tst_neg_otherpitc_o15_fy19]:[D_hts_tst_neg_otherpitc_o15_fy19]]*otherpitc_T[A_hts_tst_otherpitc_2024_f_neg]</f>
        <v>0</v>
      </c>
      <c r="CC7" s="41">
        <f>otherpitc_T[[D_hts_tst_neg_otherpitc_o15_fy19]:[D_hts_tst_neg_otherpitc_o15_fy19]]*otherpitc_T[A_hts_tst_otherpitc_2024_m_neg]</f>
        <v>0</v>
      </c>
      <c r="CD7" s="41">
        <f>otherpitc_T[[D_hts_tst_neg_otherpitc_o15_fy19]:[D_hts_tst_neg_otherpitc_o15_fy19]]*otherpitc_T[A_hts_tst_otherpitc_2529_f_neg]</f>
        <v>0</v>
      </c>
      <c r="CE7" s="41">
        <f>otherpitc_T[[D_hts_tst_neg_otherpitc_o15_fy19]:[D_hts_tst_neg_otherpitc_o15_fy19]]*otherpitc_T[A_hts_tst_otherpitc_2529_m_neg]</f>
        <v>0</v>
      </c>
      <c r="CF7" s="41">
        <f>otherpitc_T[[D_hts_tst_neg_otherpitc_o15_fy19]:[D_hts_tst_neg_otherpitc_o15_fy19]]*otherpitc_T[A_hts_tst_otherpitc_3034_f_neg]</f>
        <v>0</v>
      </c>
      <c r="CG7" s="41">
        <f>otherpitc_T[[D_hts_tst_neg_otherpitc_o15_fy19]:[D_hts_tst_neg_otherpitc_o15_fy19]]*otherpitc_T[A_hts_tst_otherpitc_3034_m_neg]</f>
        <v>0</v>
      </c>
      <c r="CH7" s="41">
        <f>otherpitc_T[[D_hts_tst_neg_otherpitc_o15_fy19]:[D_hts_tst_neg_otherpitc_o15_fy19]]*otherpitc_T[A_hts_tst_otherpitc_3539_f_neg]</f>
        <v>0</v>
      </c>
      <c r="CI7" s="41">
        <f>otherpitc_T[[D_hts_tst_neg_otherpitc_o15_fy19]:[D_hts_tst_neg_otherpitc_o15_fy19]]*otherpitc_T[A_hts_tst_otherpitc_3539_m_neg]</f>
        <v>0</v>
      </c>
      <c r="CJ7" s="41">
        <f>otherpitc_T[[D_hts_tst_neg_otherpitc_o15_fy19]:[D_hts_tst_neg_otherpitc_o15_fy19]]*otherpitc_T[A_hts_tst_otherpitc_4049_f_neg]</f>
        <v>0</v>
      </c>
      <c r="CK7" s="41">
        <f>otherpitc_T[[D_hts_tst_neg_otherpitc_o15_fy19]:[D_hts_tst_neg_otherpitc_o15_fy19]]*otherpitc_T[A_hts_tst_otherpitc_4049_m_neg]</f>
        <v>0</v>
      </c>
      <c r="CL7" s="41">
        <f>otherpitc_T[[D_hts_tst_neg_otherpitc_o15_fy19]:[D_hts_tst_neg_otherpitc_o15_fy19]]*otherpitc_T[A_hts_tst_otherpitc_o50_f_neg]</f>
        <v>0</v>
      </c>
      <c r="CM7" s="41">
        <f>otherpitc_T[[D_hts_tst_neg_otherpitc_o15_fy19]:[D_hts_tst_neg_otherpitc_o15_fy19]]*otherpitc_T[A_hts_tst_otherpitc_o50_m_neg]</f>
        <v>0</v>
      </c>
    </row>
    <row r="8" spans="1:9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</row>
    <row r="9" spans="1:9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</row>
    <row r="10" spans="1:9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</row>
    <row r="11" spans="1:9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</row>
    <row r="12" spans="1:9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</row>
    <row r="13" spans="1:9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</row>
    <row r="14" spans="1:9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</row>
    <row r="15" spans="1:9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</row>
    <row r="16" spans="1:9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</row>
    <row r="17" spans="1:55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</row>
    <row r="18" spans="1:55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55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</row>
    <row r="20" spans="1:55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</row>
    <row r="21" spans="1:55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</row>
    <row r="22" spans="1:55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</row>
    <row r="23" spans="1:55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</row>
    <row r="24" spans="1:55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</row>
    <row r="25" spans="1:55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</row>
    <row r="26" spans="1:55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</row>
    <row r="27" spans="1:55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</row>
    <row r="28" spans="1:55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</row>
    <row r="29" spans="1:55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</row>
    <row r="30" spans="1:55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</row>
    <row r="31" spans="1:55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</row>
    <row r="32" spans="1:55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</row>
    <row r="33" spans="1:55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</row>
    <row r="34" spans="1:55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</row>
    <row r="35" spans="1:55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</row>
    <row r="36" spans="1:55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</row>
    <row r="37" spans="1:55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</row>
    <row r="38" spans="1:55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</row>
    <row r="39" spans="1:55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</row>
    <row r="40" spans="1:55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</row>
    <row r="41" spans="1:55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</row>
    <row r="42" spans="1:55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</row>
    <row r="43" spans="1:55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</row>
    <row r="44" spans="1:55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</row>
    <row r="45" spans="1:55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</row>
    <row r="46" spans="1:55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</row>
    <row r="47" spans="1:55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</row>
    <row r="48" spans="1:55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</row>
    <row r="49" spans="1:55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</row>
    <row r="50" spans="1:55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</row>
    <row r="51" spans="1:55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</row>
    <row r="52" spans="1:55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</row>
    <row r="53" spans="1:55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</row>
    <row r="54" spans="1:55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</row>
    <row r="55" spans="1:55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</row>
    <row r="56" spans="1:55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</row>
    <row r="57" spans="1:55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</row>
    <row r="58" spans="1:55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</row>
    <row r="59" spans="1:55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</row>
    <row r="60" spans="1:55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</row>
    <row r="61" spans="1:55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</row>
    <row r="62" spans="1:55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</row>
    <row r="63" spans="1:55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</row>
    <row r="64" spans="1:55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</row>
    <row r="65" spans="1:55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</row>
    <row r="66" spans="1:55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</row>
    <row r="67" spans="1:55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</row>
    <row r="68" spans="1:55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</row>
    <row r="69" spans="1:55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</row>
    <row r="70" spans="1:55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</row>
    <row r="71" spans="1:55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</row>
    <row r="72" spans="1:55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</row>
    <row r="73" spans="1:55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</row>
    <row r="74" spans="1:55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</row>
    <row r="75" spans="1:55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</row>
    <row r="76" spans="1:55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</row>
    <row r="77" spans="1:55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</row>
    <row r="78" spans="1:55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</row>
    <row r="79" spans="1:55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</row>
    <row r="80" spans="1:55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</row>
    <row r="81" spans="1:55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</row>
    <row r="82" spans="1:55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</row>
    <row r="83" spans="1:55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</row>
    <row r="84" spans="1:55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</row>
    <row r="85" spans="1:55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</row>
    <row r="86" spans="1:55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</row>
    <row r="87" spans="1:55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</row>
    <row r="88" spans="1:55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</row>
    <row r="89" spans="1:55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</row>
    <row r="90" spans="1:55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</row>
    <row r="91" spans="1:55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</row>
    <row r="92" spans="1:55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</row>
    <row r="93" spans="1:55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</row>
    <row r="94" spans="1:55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</row>
    <row r="95" spans="1:55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</row>
    <row r="96" spans="1:55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</row>
    <row r="97" spans="1:55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</row>
    <row r="98" spans="1:55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</row>
    <row r="99" spans="1:55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</row>
    <row r="100" spans="1:55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</row>
    <row r="101" spans="1:55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</row>
    <row r="102" spans="1:55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</row>
    <row r="103" spans="1:55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</row>
    <row r="104" spans="1:55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</row>
    <row r="105" spans="1:55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</row>
    <row r="106" spans="1:55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</row>
    <row r="107" spans="1:55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</row>
    <row r="108" spans="1:55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</row>
    <row r="109" spans="1:55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</row>
    <row r="110" spans="1:55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</row>
    <row r="111" spans="1:55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</row>
    <row r="112" spans="1:55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</row>
    <row r="113" spans="1:55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</row>
    <row r="114" spans="1:55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</row>
    <row r="115" spans="1:55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</row>
    <row r="116" spans="1:55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</row>
    <row r="117" spans="1:55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</row>
    <row r="118" spans="1:55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</row>
    <row r="119" spans="1:55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</row>
    <row r="120" spans="1:55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</row>
    <row r="121" spans="1:55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</row>
    <row r="122" spans="1:55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</row>
    <row r="123" spans="1:55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</row>
    <row r="124" spans="1:55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</row>
    <row r="125" spans="1:55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</row>
    <row r="126" spans="1:55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</row>
    <row r="127" spans="1:55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</row>
    <row r="128" spans="1:55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</row>
    <row r="129" spans="1:55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</row>
    <row r="130" spans="1:55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</row>
    <row r="131" spans="1:55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</row>
    <row r="132" spans="1:55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</row>
    <row r="133" spans="1:55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</row>
    <row r="134" spans="1:55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</row>
    <row r="135" spans="1:55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</row>
    <row r="136" spans="1:55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</row>
    <row r="137" spans="1:55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</row>
    <row r="138" spans="1:55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</row>
    <row r="139" spans="1:55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</row>
    <row r="140" spans="1:55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</row>
    <row r="141" spans="1:55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</row>
    <row r="142" spans="1:55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</row>
    <row r="143" spans="1:55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</row>
    <row r="144" spans="1:55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</row>
    <row r="145" spans="1:55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</row>
    <row r="146" spans="1:55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</row>
    <row r="147" spans="1:55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</row>
    <row r="148" spans="1:55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</row>
    <row r="149" spans="1:55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</row>
    <row r="150" spans="1:55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</row>
    <row r="151" spans="1:55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</row>
    <row r="152" spans="1:55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</row>
    <row r="153" spans="1:55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</row>
    <row r="154" spans="1:55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</row>
    <row r="155" spans="1:55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</row>
    <row r="156" spans="1:55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</row>
    <row r="157" spans="1:55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</row>
    <row r="158" spans="1:55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</row>
    <row r="159" spans="1:55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</row>
    <row r="160" spans="1:55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</row>
    <row r="161" spans="1:55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</row>
    <row r="162" spans="1:55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</row>
    <row r="163" spans="1:55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</row>
    <row r="164" spans="1:55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</row>
    <row r="165" spans="1:55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</row>
    <row r="166" spans="1:55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</row>
    <row r="167" spans="1:55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</row>
    <row r="168" spans="1:55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</row>
    <row r="169" spans="1:55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</row>
    <row r="170" spans="1:55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</row>
    <row r="171" spans="1:55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</row>
    <row r="172" spans="1:55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</row>
    <row r="173" spans="1:55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</row>
    <row r="174" spans="1:55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</row>
    <row r="175" spans="1:55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</row>
    <row r="176" spans="1:55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</row>
    <row r="177" spans="1:55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</row>
    <row r="178" spans="1:55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</row>
    <row r="179" spans="1:55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</row>
    <row r="180" spans="1:55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</row>
    <row r="181" spans="1:55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</row>
    <row r="182" spans="1:55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</row>
    <row r="183" spans="1:55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</row>
    <row r="184" spans="1:55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</row>
    <row r="185" spans="1:55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</row>
    <row r="186" spans="1:55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</row>
    <row r="187" spans="1:55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</row>
    <row r="188" spans="1:55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</row>
    <row r="189" spans="1:55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</row>
    <row r="190" spans="1:55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</row>
    <row r="191" spans="1:55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</row>
    <row r="192" spans="1:55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</row>
    <row r="193" spans="1:55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</row>
    <row r="194" spans="1:55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</row>
    <row r="195" spans="1:55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</row>
    <row r="196" spans="1:55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</row>
    <row r="197" spans="1:55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</row>
    <row r="198" spans="1:55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</row>
    <row r="199" spans="1:55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</row>
    <row r="200" spans="1:55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</row>
    <row r="201" spans="1:55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</row>
    <row r="202" spans="1:55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</row>
    <row r="203" spans="1:55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</row>
    <row r="204" spans="1:55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</row>
    <row r="205" spans="1:55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</row>
    <row r="206" spans="1:55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</row>
    <row r="207" spans="1:55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</row>
    <row r="208" spans="1:55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</row>
    <row r="209" spans="1:55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</row>
    <row r="210" spans="1:55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</row>
    <row r="211" spans="1:55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</row>
    <row r="212" spans="1:55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</row>
    <row r="213" spans="1:55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</row>
    <row r="214" spans="1:55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</row>
    <row r="215" spans="1:55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</row>
    <row r="216" spans="1:55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</row>
    <row r="217" spans="1:55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</row>
    <row r="218" spans="1:55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</row>
    <row r="219" spans="1:55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</row>
    <row r="220" spans="1:55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</row>
    <row r="221" spans="1:55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</row>
    <row r="222" spans="1:55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</row>
    <row r="223" spans="1:55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</row>
    <row r="224" spans="1:55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</row>
    <row r="225" spans="1:55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</row>
    <row r="226" spans="1:55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</row>
    <row r="227" spans="1:55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</row>
    <row r="228" spans="1:55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</row>
    <row r="229" spans="1:55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</row>
    <row r="230" spans="1:55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</row>
    <row r="231" spans="1:55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</row>
    <row r="232" spans="1:55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</row>
    <row r="233" spans="1:55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</row>
    <row r="234" spans="1:55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</row>
    <row r="235" spans="1:55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</row>
    <row r="236" spans="1:55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</row>
    <row r="237" spans="1:55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</row>
    <row r="238" spans="1:55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</row>
    <row r="239" spans="1:55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</row>
    <row r="240" spans="1:55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</row>
    <row r="241" spans="1:55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</row>
    <row r="242" spans="1:55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</row>
    <row r="243" spans="1:55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</row>
    <row r="244" spans="1:55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</row>
    <row r="245" spans="1:55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</row>
    <row r="246" spans="1:55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</row>
    <row r="247" spans="1:55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</row>
    <row r="248" spans="1:55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</row>
    <row r="249" spans="1:55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</row>
    <row r="250" spans="1:55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</row>
    <row r="251" spans="1:55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</row>
    <row r="252" spans="1:55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</row>
    <row r="253" spans="1:55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</row>
    <row r="254" spans="1:55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</row>
    <row r="255" spans="1:55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</row>
    <row r="256" spans="1:55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</row>
    <row r="257" spans="1:55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</row>
    <row r="258" spans="1:55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</row>
    <row r="259" spans="1:55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</row>
    <row r="260" spans="1:55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</row>
    <row r="261" spans="1:55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</row>
    <row r="262" spans="1:55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</row>
    <row r="263" spans="1:55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</row>
    <row r="264" spans="1:55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</row>
    <row r="265" spans="1:55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</row>
    <row r="266" spans="1:55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</row>
    <row r="267" spans="1:55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</row>
    <row r="268" spans="1:55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</row>
    <row r="269" spans="1:55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</row>
    <row r="270" spans="1:55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</row>
    <row r="271" spans="1:55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</row>
    <row r="272" spans="1:55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</row>
    <row r="273" spans="1:55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</row>
    <row r="274" spans="1:55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</row>
    <row r="275" spans="1:55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</row>
    <row r="276" spans="1:55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</row>
    <row r="277" spans="1:55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</row>
    <row r="278" spans="1:55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</row>
    <row r="279" spans="1:55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</row>
    <row r="280" spans="1:55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</row>
    <row r="281" spans="1:55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</row>
    <row r="282" spans="1:55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</row>
    <row r="283" spans="1:55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</row>
    <row r="284" spans="1:55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</row>
    <row r="285" spans="1:55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</row>
    <row r="286" spans="1:55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</row>
    <row r="287" spans="1:55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</row>
    <row r="288" spans="1:55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</row>
    <row r="289" spans="1:55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</row>
    <row r="290" spans="1:55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</row>
    <row r="291" spans="1:55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</row>
    <row r="292" spans="1:55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</row>
    <row r="293" spans="1:55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</row>
    <row r="294" spans="1:55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</row>
    <row r="295" spans="1:55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</row>
    <row r="296" spans="1:55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</row>
    <row r="297" spans="1:55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</row>
    <row r="298" spans="1:55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</row>
    <row r="299" spans="1:55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</row>
    <row r="300" spans="1:55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</row>
    <row r="301" spans="1:55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</row>
    <row r="302" spans="1:55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</row>
    <row r="303" spans="1:55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</row>
    <row r="304" spans="1:55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</row>
    <row r="305" spans="1:55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</row>
    <row r="306" spans="1:55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</row>
    <row r="307" spans="1:55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</row>
    <row r="308" spans="1:55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</row>
    <row r="309" spans="1:55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</row>
    <row r="310" spans="1:55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</row>
    <row r="311" spans="1:55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</row>
    <row r="312" spans="1:55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</row>
    <row r="313" spans="1:55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</row>
    <row r="314" spans="1:55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</row>
    <row r="315" spans="1:55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</row>
    <row r="316" spans="1:55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</row>
    <row r="317" spans="1:55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</row>
    <row r="318" spans="1:55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</row>
    <row r="319" spans="1:55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</row>
    <row r="320" spans="1:55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</row>
    <row r="321" spans="1:55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</row>
    <row r="322" spans="1:55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</row>
    <row r="323" spans="1:55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</row>
    <row r="324" spans="1:55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</row>
    <row r="325" spans="1:55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</row>
    <row r="326" spans="1:55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</row>
    <row r="327" spans="1:55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</row>
    <row r="328" spans="1:55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</row>
    <row r="329" spans="1:55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</row>
    <row r="330" spans="1:55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</row>
    <row r="331" spans="1:55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</row>
    <row r="332" spans="1:55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</row>
    <row r="333" spans="1:55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</row>
    <row r="334" spans="1:55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</row>
    <row r="335" spans="1:55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</row>
    <row r="336" spans="1:55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</row>
    <row r="337" spans="1:55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</row>
    <row r="338" spans="1:55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</row>
    <row r="339" spans="1:55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</row>
    <row r="340" spans="1:55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</row>
    <row r="341" spans="1:55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</row>
    <row r="342" spans="1:55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</row>
    <row r="343" spans="1:55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</row>
    <row r="344" spans="1:55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</row>
    <row r="345" spans="1:55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</row>
    <row r="346" spans="1:55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</row>
    <row r="347" spans="1:55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</row>
    <row r="348" spans="1:55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</row>
    <row r="349" spans="1:55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</row>
    <row r="350" spans="1:55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</row>
    <row r="351" spans="1:55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</row>
    <row r="352" spans="1:55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</row>
    <row r="353" spans="1:55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</row>
    <row r="354" spans="1:55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</row>
    <row r="355" spans="1:55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</row>
    <row r="356" spans="1:55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</row>
    <row r="357" spans="1:55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</row>
    <row r="358" spans="1:55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</row>
    <row r="359" spans="1:55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</row>
    <row r="360" spans="1:55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</row>
    <row r="361" spans="1:55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</row>
    <row r="362" spans="1:55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</row>
    <row r="363" spans="1:55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</row>
    <row r="364" spans="1:55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</row>
    <row r="365" spans="1:55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</row>
    <row r="366" spans="1:55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</row>
    <row r="367" spans="1:55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</row>
    <row r="368" spans="1:55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</row>
    <row r="369" spans="1:55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</row>
    <row r="370" spans="1:55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</row>
    <row r="371" spans="1:55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</row>
    <row r="372" spans="1:55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</row>
    <row r="373" spans="1:55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</row>
    <row r="374" spans="1:55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</row>
    <row r="375" spans="1:55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</row>
    <row r="376" spans="1:55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</row>
    <row r="377" spans="1:55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</row>
    <row r="378" spans="1:55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</row>
    <row r="379" spans="1:55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</row>
    <row r="380" spans="1:55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</row>
    <row r="381" spans="1:55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</row>
    <row r="382" spans="1:55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</row>
    <row r="383" spans="1:55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</row>
    <row r="384" spans="1:55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</row>
    <row r="385" spans="1:55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</row>
    <row r="386" spans="1:55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</row>
    <row r="387" spans="1:55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</row>
    <row r="388" spans="1:55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</row>
    <row r="389" spans="1:55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</row>
    <row r="390" spans="1:55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</row>
    <row r="391" spans="1:55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</row>
    <row r="392" spans="1:55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</row>
    <row r="393" spans="1:55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</row>
    <row r="394" spans="1:55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</row>
    <row r="395" spans="1:55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</row>
    <row r="396" spans="1:55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</row>
    <row r="397" spans="1:55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</row>
    <row r="398" spans="1:55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</row>
    <row r="399" spans="1:55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</row>
    <row r="400" spans="1:55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</row>
    <row r="401" spans="1:55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</row>
    <row r="402" spans="1:55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</row>
    <row r="403" spans="1:55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</row>
    <row r="404" spans="1:55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</row>
    <row r="405" spans="1:55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</row>
    <row r="406" spans="1:55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</row>
    <row r="407" spans="1:55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</row>
    <row r="408" spans="1:55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</row>
    <row r="409" spans="1:55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</row>
    <row r="410" spans="1:55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</row>
    <row r="411" spans="1:55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</row>
    <row r="412" spans="1:55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</row>
    <row r="413" spans="1:55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</row>
    <row r="414" spans="1:55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</row>
    <row r="415" spans="1:55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</row>
    <row r="416" spans="1:55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</row>
    <row r="417" spans="1:55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</row>
    <row r="418" spans="1:55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</row>
    <row r="419" spans="1:55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</row>
    <row r="420" spans="1:55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</row>
    <row r="421" spans="1:55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</row>
    <row r="422" spans="1:55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</row>
    <row r="423" spans="1:55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</row>
    <row r="424" spans="1:55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</row>
    <row r="425" spans="1:55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</row>
    <row r="426" spans="1:55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</row>
    <row r="427" spans="1:55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</row>
    <row r="428" spans="1:55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</row>
    <row r="429" spans="1:55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</row>
    <row r="430" spans="1:55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</row>
    <row r="431" spans="1:55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</row>
    <row r="432" spans="1:55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</row>
    <row r="433" spans="1:55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</row>
    <row r="434" spans="1:55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</row>
    <row r="435" spans="1:55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</row>
    <row r="436" spans="1:55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</row>
    <row r="437" spans="1:55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</row>
    <row r="438" spans="1:55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</row>
    <row r="439" spans="1:55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</row>
    <row r="440" spans="1:55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</row>
    <row r="441" spans="1:55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</row>
    <row r="442" spans="1:55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</row>
    <row r="443" spans="1:55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</row>
    <row r="444" spans="1:55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</row>
    <row r="445" spans="1:55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</row>
    <row r="446" spans="1:55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</row>
    <row r="447" spans="1:55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</row>
    <row r="448" spans="1:55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</row>
    <row r="449" spans="1:55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</row>
    <row r="450" spans="1:55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</row>
    <row r="451" spans="1:55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</row>
    <row r="452" spans="1:55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</row>
    <row r="453" spans="1:55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</row>
    <row r="454" spans="1:55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</row>
    <row r="455" spans="1:55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</row>
    <row r="456" spans="1:55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</row>
    <row r="457" spans="1:55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</row>
    <row r="458" spans="1:55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</row>
    <row r="459" spans="1:55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</row>
    <row r="460" spans="1:55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</row>
    <row r="461" spans="1:55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</row>
    <row r="462" spans="1:55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</row>
    <row r="463" spans="1:55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</row>
    <row r="464" spans="1:55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</row>
    <row r="465" spans="1:55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</row>
    <row r="466" spans="1:55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</row>
    <row r="467" spans="1:55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</row>
    <row r="468" spans="1:55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</row>
    <row r="469" spans="1:55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</row>
    <row r="470" spans="1:55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</row>
    <row r="471" spans="1:55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</row>
    <row r="472" spans="1:55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</row>
    <row r="473" spans="1:55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</row>
    <row r="474" spans="1:55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</row>
    <row r="475" spans="1:55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</row>
    <row r="476" spans="1:55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</row>
    <row r="477" spans="1:55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</row>
    <row r="478" spans="1:55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</row>
    <row r="479" spans="1:55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</row>
    <row r="480" spans="1:55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</row>
    <row r="481" spans="1:55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</row>
    <row r="482" spans="1:55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</row>
    <row r="483" spans="1:55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</row>
    <row r="484" spans="1:55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</row>
    <row r="485" spans="1:55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</row>
    <row r="486" spans="1:55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</row>
    <row r="487" spans="1:55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</row>
    <row r="488" spans="1:55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</row>
    <row r="489" spans="1:55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</row>
    <row r="490" spans="1:55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</row>
    <row r="491" spans="1:55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</row>
    <row r="492" spans="1:55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</row>
    <row r="493" spans="1:55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</row>
    <row r="494" spans="1:55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</row>
    <row r="495" spans="1:55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</row>
    <row r="496" spans="1:55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</row>
    <row r="497" spans="1:55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</row>
    <row r="498" spans="1:55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</row>
    <row r="499" spans="1:55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</row>
    <row r="500" spans="1:55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</row>
    <row r="501" spans="1:55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</row>
    <row r="502" spans="1:55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</row>
    <row r="503" spans="1:55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</row>
    <row r="504" spans="1:55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</row>
    <row r="505" spans="1:55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</row>
    <row r="506" spans="1:55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</row>
    <row r="507" spans="1:55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</row>
    <row r="508" spans="1:55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</row>
    <row r="509" spans="1:55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</row>
    <row r="510" spans="1:55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</row>
    <row r="511" spans="1:55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</row>
    <row r="512" spans="1:55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</row>
    <row r="513" spans="1:55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</row>
    <row r="514" spans="1:55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</row>
    <row r="515" spans="1:55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</row>
    <row r="516" spans="1:55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</row>
    <row r="517" spans="1:55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</row>
    <row r="518" spans="1:55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</row>
    <row r="519" spans="1:55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</row>
    <row r="520" spans="1:55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</row>
    <row r="521" spans="1:55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</row>
    <row r="522" spans="1:55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</row>
    <row r="523" spans="1:55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</row>
    <row r="524" spans="1:55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</row>
    <row r="525" spans="1:55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</row>
    <row r="526" spans="1:55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</row>
    <row r="527" spans="1:55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</row>
    <row r="528" spans="1:55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</row>
    <row r="529" spans="1:55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</row>
    <row r="530" spans="1:55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</row>
    <row r="531" spans="1:55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</row>
    <row r="532" spans="1:55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</row>
    <row r="533" spans="1:55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</row>
    <row r="534" spans="1:55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</row>
    <row r="535" spans="1:55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</row>
    <row r="536" spans="1:55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</row>
    <row r="537" spans="1:55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</row>
    <row r="538" spans="1:55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</row>
    <row r="539" spans="1:55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</row>
    <row r="540" spans="1:55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</row>
    <row r="541" spans="1:55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</row>
    <row r="542" spans="1:55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</row>
    <row r="543" spans="1:55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</row>
    <row r="544" spans="1:55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</row>
    <row r="545" spans="1:55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</row>
    <row r="546" spans="1:55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</row>
    <row r="547" spans="1:55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</row>
    <row r="548" spans="1:55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</row>
    <row r="549" spans="1:55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</row>
    <row r="550" spans="1:55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</row>
    <row r="551" spans="1:55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</row>
    <row r="552" spans="1:55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</row>
    <row r="553" spans="1:55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</row>
    <row r="554" spans="1:55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</row>
    <row r="555" spans="1:55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</row>
    <row r="556" spans="1:55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</row>
    <row r="557" spans="1:55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</row>
    <row r="558" spans="1:55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</row>
    <row r="559" spans="1:55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</row>
    <row r="560" spans="1:55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</row>
    <row r="561" spans="1:55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</row>
    <row r="562" spans="1:55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</row>
    <row r="563" spans="1:55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</row>
    <row r="564" spans="1:55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</row>
    <row r="565" spans="1:55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</row>
    <row r="566" spans="1:55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</row>
    <row r="567" spans="1:55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</row>
    <row r="568" spans="1:55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</row>
    <row r="569" spans="1:55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</row>
    <row r="570" spans="1:55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</row>
    <row r="571" spans="1:55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</row>
    <row r="572" spans="1:55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</row>
    <row r="573" spans="1:55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</row>
    <row r="574" spans="1:55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</row>
    <row r="575" spans="1:55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</row>
    <row r="576" spans="1:55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</row>
    <row r="577" spans="1:55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</row>
    <row r="578" spans="1:55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</row>
    <row r="579" spans="1:55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</row>
    <row r="580" spans="1:55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</row>
    <row r="581" spans="1:55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</row>
    <row r="582" spans="1:55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</row>
    <row r="583" spans="1:55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</row>
    <row r="584" spans="1:55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</row>
    <row r="585" spans="1:55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</row>
    <row r="586" spans="1:55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</row>
    <row r="587" spans="1:55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</row>
    <row r="588" spans="1:55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</row>
    <row r="589" spans="1:55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</row>
    <row r="590" spans="1:55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</row>
    <row r="591" spans="1:55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</row>
    <row r="592" spans="1:55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</row>
    <row r="593" spans="1:55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</row>
    <row r="594" spans="1:55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</row>
    <row r="595" spans="1:55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</row>
    <row r="596" spans="1:55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</row>
    <row r="597" spans="1:55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</row>
    <row r="598" spans="1:55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</row>
    <row r="599" spans="1:55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</row>
    <row r="600" spans="1:55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</row>
    <row r="601" spans="1:55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</row>
    <row r="602" spans="1:55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</row>
    <row r="603" spans="1:55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</row>
    <row r="604" spans="1:55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</row>
    <row r="605" spans="1:55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</row>
    <row r="606" spans="1:55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</row>
    <row r="607" spans="1:55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</row>
    <row r="608" spans="1:55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</row>
    <row r="609" spans="1:55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</row>
    <row r="610" spans="1:55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</row>
    <row r="611" spans="1:55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</row>
    <row r="612" spans="1:55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</row>
    <row r="613" spans="1:55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</row>
    <row r="614" spans="1:55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</row>
    <row r="615" spans="1:55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</row>
    <row r="616" spans="1:55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</row>
    <row r="617" spans="1:55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</row>
    <row r="618" spans="1:55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</row>
    <row r="619" spans="1:55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</row>
    <row r="620" spans="1:55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</row>
    <row r="621" spans="1:55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</row>
    <row r="622" spans="1:55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</row>
    <row r="623" spans="1:55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</row>
    <row r="624" spans="1:55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</row>
    <row r="625" spans="1:55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</row>
    <row r="626" spans="1:55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</row>
    <row r="627" spans="1:55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</row>
    <row r="628" spans="1:55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</row>
    <row r="629" spans="1:55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</row>
    <row r="630" spans="1:55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</row>
    <row r="631" spans="1:55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</row>
    <row r="632" spans="1:55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</row>
    <row r="633" spans="1:55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</row>
    <row r="634" spans="1:55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</row>
    <row r="635" spans="1:55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</row>
    <row r="636" spans="1:55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</row>
    <row r="637" spans="1:55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</row>
    <row r="638" spans="1:55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</row>
    <row r="639" spans="1:55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</row>
    <row r="640" spans="1:55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</row>
    <row r="641" spans="1:55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</row>
    <row r="642" spans="1:55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</row>
    <row r="643" spans="1:55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</row>
    <row r="644" spans="1:55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</row>
    <row r="645" spans="1:55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</row>
    <row r="646" spans="1:55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</row>
    <row r="647" spans="1:55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</row>
    <row r="648" spans="1:55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</row>
    <row r="649" spans="1:55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</row>
    <row r="650" spans="1:55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</row>
    <row r="651" spans="1:55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</row>
    <row r="652" spans="1:55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</row>
    <row r="653" spans="1:55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</row>
    <row r="654" spans="1:55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</row>
    <row r="655" spans="1:55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</row>
    <row r="656" spans="1:55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</row>
    <row r="657" spans="1:55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</row>
    <row r="658" spans="1:55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</row>
    <row r="659" spans="1:55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</row>
    <row r="660" spans="1:55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</row>
    <row r="661" spans="1:55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</row>
    <row r="662" spans="1:55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</row>
    <row r="663" spans="1:55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</row>
    <row r="664" spans="1:55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</row>
    <row r="665" spans="1:55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</row>
    <row r="666" spans="1:55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</row>
    <row r="667" spans="1:55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</row>
    <row r="668" spans="1:55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</row>
    <row r="669" spans="1:55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</row>
    <row r="670" spans="1:55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</row>
    <row r="671" spans="1:55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</row>
    <row r="672" spans="1:55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</row>
    <row r="673" spans="1:55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</row>
    <row r="674" spans="1:55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</row>
    <row r="675" spans="1:55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</row>
    <row r="676" spans="1:55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</row>
    <row r="677" spans="1:55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</row>
    <row r="678" spans="1:55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</row>
    <row r="679" spans="1:55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</row>
    <row r="680" spans="1:55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</row>
    <row r="681" spans="1:55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</row>
    <row r="682" spans="1:55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</row>
    <row r="683" spans="1:55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</row>
    <row r="684" spans="1:55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</row>
    <row r="685" spans="1:55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</row>
    <row r="686" spans="1:55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</row>
    <row r="687" spans="1:55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</row>
    <row r="688" spans="1:55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</row>
    <row r="689" spans="1:55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</row>
    <row r="690" spans="1:55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</row>
    <row r="691" spans="1:55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</row>
    <row r="692" spans="1:55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</row>
    <row r="693" spans="1:55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</row>
    <row r="694" spans="1:55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</row>
    <row r="695" spans="1:55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</row>
    <row r="696" spans="1:55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</row>
    <row r="697" spans="1:55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</row>
    <row r="698" spans="1:55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</row>
    <row r="699" spans="1:55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</row>
    <row r="700" spans="1:55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</row>
    <row r="701" spans="1:55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</row>
    <row r="702" spans="1:55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</row>
    <row r="703" spans="1:55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</row>
    <row r="704" spans="1:55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</row>
    <row r="705" spans="1:55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</row>
    <row r="706" spans="1:55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</row>
    <row r="707" spans="1:55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</row>
    <row r="708" spans="1:55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</row>
    <row r="709" spans="1:55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</row>
    <row r="710" spans="1:55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</row>
    <row r="711" spans="1:55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</row>
    <row r="712" spans="1:55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</row>
    <row r="713" spans="1:55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</row>
    <row r="714" spans="1:55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</row>
    <row r="715" spans="1:55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</row>
    <row r="716" spans="1:55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</row>
    <row r="717" spans="1:55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</row>
    <row r="718" spans="1:55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</row>
    <row r="719" spans="1:55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</row>
    <row r="720" spans="1:55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</row>
    <row r="721" spans="1:55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</row>
    <row r="722" spans="1:55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</row>
    <row r="723" spans="1:55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</row>
    <row r="724" spans="1:55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</row>
    <row r="725" spans="1:55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</row>
    <row r="726" spans="1:55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</row>
    <row r="727" spans="1:55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</row>
    <row r="728" spans="1:55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</row>
    <row r="729" spans="1:55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</row>
    <row r="730" spans="1:55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</row>
    <row r="731" spans="1:55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</row>
    <row r="732" spans="1:55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</row>
    <row r="733" spans="1:55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</row>
    <row r="734" spans="1:55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</row>
    <row r="735" spans="1:55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</row>
    <row r="736" spans="1:55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</row>
    <row r="737" spans="1:55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</row>
    <row r="738" spans="1:55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</row>
    <row r="739" spans="1:55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</row>
    <row r="740" spans="1:55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</row>
    <row r="741" spans="1:55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</row>
    <row r="742" spans="1:55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</row>
    <row r="743" spans="1:55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</row>
    <row r="744" spans="1:55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</row>
    <row r="745" spans="1:55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</row>
    <row r="746" spans="1:55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</row>
    <row r="747" spans="1:55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</row>
    <row r="748" spans="1:55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</row>
    <row r="749" spans="1:55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</row>
    <row r="750" spans="1:55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</row>
    <row r="751" spans="1:55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</row>
    <row r="752" spans="1:55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</row>
    <row r="753" spans="1:55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</row>
    <row r="754" spans="1:55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</row>
    <row r="755" spans="1:55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</row>
    <row r="756" spans="1:55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</row>
    <row r="757" spans="1:55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</row>
    <row r="758" spans="1:55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</row>
    <row r="759" spans="1:55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</row>
    <row r="760" spans="1:55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</row>
    <row r="761" spans="1:55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</row>
    <row r="762" spans="1:55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</row>
    <row r="763" spans="1:55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</row>
    <row r="764" spans="1:55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</row>
    <row r="765" spans="1:55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</row>
    <row r="766" spans="1:55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</row>
    <row r="767" spans="1:55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</row>
    <row r="768" spans="1:55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</row>
    <row r="769" spans="1:55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</row>
    <row r="770" spans="1:55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</row>
    <row r="771" spans="1:55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</row>
    <row r="772" spans="1:55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</row>
    <row r="773" spans="1:55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</row>
    <row r="774" spans="1:55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</row>
    <row r="775" spans="1:55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</row>
    <row r="776" spans="1:55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</row>
    <row r="777" spans="1:55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</row>
    <row r="778" spans="1:55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</row>
    <row r="779" spans="1:55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</row>
    <row r="780" spans="1:55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</row>
    <row r="781" spans="1:55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</row>
    <row r="782" spans="1:55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</row>
    <row r="783" spans="1:55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</row>
    <row r="784" spans="1:55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</row>
    <row r="785" spans="1:55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</row>
    <row r="786" spans="1:55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</row>
    <row r="787" spans="1:55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</row>
    <row r="788" spans="1:55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</row>
    <row r="789" spans="1:55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</row>
    <row r="790" spans="1:55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</row>
    <row r="791" spans="1:55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</row>
    <row r="792" spans="1:55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</row>
    <row r="793" spans="1:55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</row>
    <row r="794" spans="1:55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</row>
    <row r="795" spans="1:55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</row>
    <row r="796" spans="1:55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</row>
    <row r="797" spans="1:55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</row>
    <row r="798" spans="1:55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</row>
    <row r="799" spans="1:55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</row>
    <row r="800" spans="1:55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</row>
    <row r="801" spans="1:55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</row>
    <row r="802" spans="1:55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</row>
    <row r="803" spans="1:55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</row>
    <row r="804" spans="1:55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</row>
    <row r="805" spans="1:55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</row>
    <row r="806" spans="1:55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</row>
    <row r="807" spans="1:55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</row>
    <row r="808" spans="1:55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</row>
    <row r="809" spans="1:55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</row>
    <row r="810" spans="1:55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</row>
    <row r="811" spans="1:55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</row>
    <row r="812" spans="1:55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</row>
    <row r="813" spans="1:55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</row>
    <row r="814" spans="1:55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</row>
    <row r="815" spans="1:55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</row>
    <row r="816" spans="1:55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</row>
    <row r="817" spans="1:55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</row>
    <row r="818" spans="1:55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</row>
    <row r="819" spans="1:55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</row>
    <row r="820" spans="1:55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</row>
    <row r="821" spans="1:55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</row>
    <row r="822" spans="1:55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</row>
    <row r="823" spans="1:55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</row>
    <row r="824" spans="1:55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</row>
    <row r="825" spans="1:55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</row>
    <row r="826" spans="1:55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</row>
    <row r="827" spans="1:55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</row>
    <row r="828" spans="1:55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</row>
    <row r="829" spans="1:55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</row>
    <row r="830" spans="1:55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</row>
    <row r="831" spans="1:55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</row>
    <row r="832" spans="1:55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</row>
    <row r="833" spans="1:55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</row>
    <row r="834" spans="1:55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</row>
    <row r="835" spans="1:55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</row>
    <row r="836" spans="1:55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</row>
    <row r="837" spans="1:55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</row>
    <row r="838" spans="1:55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</row>
    <row r="839" spans="1:55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</row>
    <row r="840" spans="1:55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</row>
    <row r="841" spans="1:55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</row>
    <row r="842" spans="1:55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</row>
    <row r="843" spans="1:55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</row>
    <row r="844" spans="1:55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</row>
    <row r="845" spans="1:55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</row>
    <row r="846" spans="1:55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</row>
    <row r="847" spans="1:55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</row>
    <row r="848" spans="1:55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</row>
    <row r="849" spans="1:55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</row>
    <row r="850" spans="1:55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</row>
    <row r="851" spans="1:55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</row>
    <row r="852" spans="1:55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</row>
    <row r="853" spans="1:55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</row>
    <row r="854" spans="1:55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</row>
    <row r="855" spans="1:55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</row>
    <row r="856" spans="1:55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</row>
    <row r="857" spans="1:55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</row>
    <row r="858" spans="1:55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</row>
    <row r="859" spans="1:55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</row>
    <row r="860" spans="1:55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</row>
    <row r="861" spans="1:55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</row>
    <row r="862" spans="1:55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</row>
    <row r="863" spans="1:55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</row>
    <row r="864" spans="1:55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</row>
    <row r="865" spans="1:55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</row>
    <row r="866" spans="1:55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</row>
    <row r="867" spans="1:55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</row>
    <row r="868" spans="1:55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</row>
    <row r="869" spans="1:55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</row>
    <row r="870" spans="1:55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</row>
    <row r="871" spans="1:55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</row>
    <row r="872" spans="1:55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</row>
    <row r="873" spans="1:55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</row>
    <row r="874" spans="1:55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</row>
    <row r="875" spans="1:55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</row>
    <row r="876" spans="1:55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</row>
    <row r="877" spans="1:55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</row>
    <row r="878" spans="1:55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</row>
    <row r="879" spans="1:55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</row>
    <row r="880" spans="1:55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</row>
    <row r="881" spans="1:55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</row>
    <row r="882" spans="1:55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</row>
    <row r="883" spans="1:55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</row>
    <row r="884" spans="1:55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</row>
    <row r="885" spans="1:55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</row>
    <row r="886" spans="1:55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</row>
    <row r="887" spans="1:55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</row>
    <row r="888" spans="1:55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</row>
    <row r="889" spans="1:55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</row>
    <row r="890" spans="1:55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</row>
    <row r="891" spans="1:55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</row>
    <row r="892" spans="1:55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</row>
    <row r="893" spans="1:55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</row>
    <row r="894" spans="1:55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</row>
    <row r="895" spans="1:55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</row>
    <row r="896" spans="1:55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</row>
    <row r="897" spans="1:55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</row>
    <row r="898" spans="1:55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</row>
    <row r="899" spans="1:55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</row>
    <row r="900" spans="1:55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</row>
    <row r="901" spans="1:55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</row>
    <row r="902" spans="1:55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</row>
    <row r="903" spans="1:55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</row>
    <row r="904" spans="1:55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</row>
    <row r="905" spans="1:55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</row>
    <row r="906" spans="1:55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</row>
    <row r="907" spans="1:55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</row>
    <row r="908" spans="1:55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</row>
    <row r="909" spans="1:55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</row>
    <row r="910" spans="1:55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</row>
    <row r="911" spans="1:55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</row>
    <row r="912" spans="1:55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</row>
    <row r="913" spans="1:55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</row>
    <row r="914" spans="1:55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</row>
    <row r="915" spans="1:55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</row>
    <row r="916" spans="1:55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</row>
    <row r="917" spans="1:55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</row>
    <row r="918" spans="1:55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</row>
    <row r="919" spans="1:55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</row>
    <row r="920" spans="1:55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</row>
    <row r="921" spans="1:55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</row>
    <row r="922" spans="1:55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</row>
    <row r="923" spans="1:55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</row>
    <row r="924" spans="1:55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</row>
    <row r="925" spans="1:55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</row>
    <row r="926" spans="1:55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</row>
    <row r="927" spans="1:55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</row>
    <row r="928" spans="1:55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</row>
    <row r="929" spans="1:55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</row>
    <row r="930" spans="1:55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</row>
    <row r="931" spans="1:55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</row>
    <row r="932" spans="1:55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</row>
    <row r="933" spans="1:55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</row>
    <row r="934" spans="1:55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</row>
    <row r="935" spans="1:55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</row>
    <row r="936" spans="1:55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</row>
    <row r="937" spans="1:55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</row>
    <row r="938" spans="1:55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</row>
    <row r="939" spans="1:55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</row>
    <row r="940" spans="1:55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</row>
    <row r="941" spans="1:55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</row>
    <row r="942" spans="1:55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</row>
    <row r="943" spans="1:55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</row>
    <row r="944" spans="1:55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</row>
    <row r="945" spans="1:55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</row>
    <row r="946" spans="1:55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</row>
    <row r="947" spans="1:55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</row>
    <row r="948" spans="1:55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</row>
    <row r="949" spans="1:55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</row>
    <row r="950" spans="1:55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</row>
    <row r="951" spans="1:55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</row>
    <row r="952" spans="1:55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</row>
    <row r="953" spans="1:55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</row>
    <row r="954" spans="1:55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</row>
    <row r="955" spans="1:55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</row>
    <row r="956" spans="1:55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</row>
    <row r="957" spans="1:55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</row>
    <row r="958" spans="1:55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</row>
    <row r="959" spans="1:55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</row>
    <row r="960" spans="1:55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</row>
    <row r="961" spans="1:55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</row>
    <row r="962" spans="1:55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</row>
    <row r="963" spans="1:55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</row>
    <row r="964" spans="1:55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</row>
    <row r="965" spans="1:55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</row>
    <row r="966" spans="1:55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</row>
    <row r="967" spans="1:55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</row>
    <row r="968" spans="1:55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</row>
    <row r="969" spans="1:55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</row>
    <row r="970" spans="1:55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</row>
    <row r="971" spans="1:55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</row>
    <row r="972" spans="1:55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</row>
    <row r="973" spans="1:55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</row>
    <row r="974" spans="1:55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</row>
    <row r="975" spans="1:55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</row>
    <row r="976" spans="1:55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</row>
    <row r="977" spans="1:55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</row>
    <row r="978" spans="1:55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</row>
    <row r="979" spans="1:55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</row>
    <row r="980" spans="1:55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</row>
    <row r="981" spans="1:55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</row>
    <row r="982" spans="1:55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  <c r="AY982" s="56"/>
      <c r="AZ982" s="56"/>
      <c r="BA982" s="56"/>
      <c r="BB982" s="56"/>
      <c r="BC982" s="56"/>
    </row>
    <row r="983" spans="1:55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</row>
    <row r="984" spans="1:55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  <c r="AY984" s="56"/>
      <c r="AZ984" s="56"/>
      <c r="BA984" s="56"/>
      <c r="BB984" s="56"/>
      <c r="BC984" s="56"/>
    </row>
    <row r="985" spans="1:55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  <c r="AY985" s="56"/>
      <c r="AZ985" s="56"/>
      <c r="BA985" s="56"/>
      <c r="BB985" s="56"/>
      <c r="BC985" s="56"/>
    </row>
    <row r="986" spans="1:55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  <c r="AY986" s="56"/>
      <c r="AZ986" s="56"/>
      <c r="BA986" s="56"/>
      <c r="BB986" s="56"/>
      <c r="BC986" s="56"/>
    </row>
    <row r="987" spans="1:55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  <c r="AY987" s="56"/>
      <c r="AZ987" s="56"/>
      <c r="BA987" s="56"/>
      <c r="BB987" s="56"/>
      <c r="BC987" s="56"/>
    </row>
    <row r="988" spans="1:55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  <c r="AY988" s="56"/>
      <c r="AZ988" s="56"/>
      <c r="BA988" s="56"/>
      <c r="BB988" s="56"/>
      <c r="BC988" s="56"/>
    </row>
    <row r="989" spans="1:55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  <c r="AY989" s="56"/>
      <c r="AZ989" s="56"/>
      <c r="BA989" s="56"/>
      <c r="BB989" s="56"/>
      <c r="BC989" s="56"/>
    </row>
    <row r="990" spans="1:55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  <c r="AY990" s="56"/>
      <c r="AZ990" s="56"/>
      <c r="BA990" s="56"/>
      <c r="BB990" s="56"/>
      <c r="BC990" s="56"/>
    </row>
    <row r="991" spans="1:55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  <c r="U991" s="56"/>
      <c r="V991" s="56"/>
      <c r="W991" s="56"/>
      <c r="X991" s="56"/>
      <c r="Y991" s="56"/>
      <c r="Z991" s="56"/>
      <c r="AA991" s="56"/>
      <c r="AB991" s="56"/>
      <c r="AC991" s="56"/>
      <c r="AD991" s="56"/>
      <c r="AE991" s="56"/>
      <c r="AF991" s="56"/>
      <c r="AG991" s="56"/>
      <c r="AH991" s="56"/>
      <c r="AI991" s="56"/>
      <c r="AJ991" s="56"/>
      <c r="AK991" s="56"/>
      <c r="AL991" s="56"/>
      <c r="AM991" s="56"/>
      <c r="AN991" s="56"/>
      <c r="AO991" s="56"/>
      <c r="AP991" s="56"/>
      <c r="AQ991" s="56"/>
      <c r="AR991" s="56"/>
      <c r="AS991" s="56"/>
      <c r="AT991" s="56"/>
      <c r="AU991" s="56"/>
      <c r="AV991" s="56"/>
      <c r="AW991" s="56"/>
      <c r="AX991" s="56"/>
      <c r="AY991" s="56"/>
      <c r="AZ991" s="56"/>
      <c r="BA991" s="56"/>
      <c r="BB991" s="56"/>
      <c r="BC991" s="56"/>
    </row>
    <row r="992" spans="1:55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  <c r="U992" s="56"/>
      <c r="V992" s="56"/>
      <c r="W992" s="56"/>
      <c r="X992" s="56"/>
      <c r="Y992" s="56"/>
      <c r="Z992" s="56"/>
      <c r="AA992" s="56"/>
      <c r="AB992" s="56"/>
      <c r="AC992" s="56"/>
      <c r="AD992" s="56"/>
      <c r="AE992" s="56"/>
      <c r="AF992" s="56"/>
      <c r="AG992" s="56"/>
      <c r="AH992" s="56"/>
      <c r="AI992" s="56"/>
      <c r="AJ992" s="56"/>
      <c r="AK992" s="56"/>
      <c r="AL992" s="56"/>
      <c r="AM992" s="56"/>
      <c r="AN992" s="56"/>
      <c r="AO992" s="56"/>
      <c r="AP992" s="56"/>
      <c r="AQ992" s="56"/>
      <c r="AR992" s="56"/>
      <c r="AS992" s="56"/>
      <c r="AT992" s="56"/>
      <c r="AU992" s="56"/>
      <c r="AV992" s="56"/>
      <c r="AW992" s="56"/>
      <c r="AX992" s="56"/>
      <c r="AY992" s="56"/>
      <c r="AZ992" s="56"/>
      <c r="BA992" s="56"/>
      <c r="BB992" s="56"/>
      <c r="BC992" s="56"/>
    </row>
    <row r="993" spans="1:55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  <c r="AG993" s="56"/>
      <c r="AH993" s="56"/>
      <c r="AI993" s="56"/>
      <c r="AJ993" s="56"/>
      <c r="AK993" s="56"/>
      <c r="AL993" s="56"/>
      <c r="AM993" s="56"/>
      <c r="AN993" s="56"/>
      <c r="AO993" s="56"/>
      <c r="AP993" s="56"/>
      <c r="AQ993" s="56"/>
      <c r="AR993" s="56"/>
      <c r="AS993" s="56"/>
      <c r="AT993" s="56"/>
      <c r="AU993" s="56"/>
      <c r="AV993" s="56"/>
      <c r="AW993" s="56"/>
      <c r="AX993" s="56"/>
      <c r="AY993" s="56"/>
      <c r="AZ993" s="56"/>
      <c r="BA993" s="56"/>
      <c r="BB993" s="56"/>
      <c r="BC993" s="56"/>
    </row>
    <row r="994" spans="1:55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  <c r="AG994" s="56"/>
      <c r="AH994" s="56"/>
      <c r="AI994" s="56"/>
      <c r="AJ994" s="56"/>
      <c r="AK994" s="56"/>
      <c r="AL994" s="56"/>
      <c r="AM994" s="56"/>
      <c r="AN994" s="56"/>
      <c r="AO994" s="56"/>
      <c r="AP994" s="56"/>
      <c r="AQ994" s="56"/>
      <c r="AR994" s="56"/>
      <c r="AS994" s="56"/>
      <c r="AT994" s="56"/>
      <c r="AU994" s="56"/>
      <c r="AV994" s="56"/>
      <c r="AW994" s="56"/>
      <c r="AX994" s="56"/>
      <c r="AY994" s="56"/>
      <c r="AZ994" s="56"/>
      <c r="BA994" s="56"/>
      <c r="BB994" s="56"/>
      <c r="BC994" s="56"/>
    </row>
    <row r="995" spans="1:55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  <c r="AG995" s="56"/>
      <c r="AH995" s="56"/>
      <c r="AI995" s="56"/>
      <c r="AJ995" s="56"/>
      <c r="AK995" s="56"/>
      <c r="AL995" s="56"/>
      <c r="AM995" s="56"/>
      <c r="AN995" s="56"/>
      <c r="AO995" s="56"/>
      <c r="AP995" s="56"/>
      <c r="AQ995" s="56"/>
      <c r="AR995" s="56"/>
      <c r="AS995" s="56"/>
      <c r="AT995" s="56"/>
      <c r="AU995" s="56"/>
      <c r="AV995" s="56"/>
      <c r="AW995" s="56"/>
      <c r="AX995" s="56"/>
      <c r="AY995" s="56"/>
      <c r="AZ995" s="56"/>
      <c r="BA995" s="56"/>
      <c r="BB995" s="56"/>
      <c r="BC995" s="56"/>
    </row>
    <row r="996" spans="1:55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  <c r="AG996" s="56"/>
      <c r="AH996" s="56"/>
      <c r="AI996" s="56"/>
      <c r="AJ996" s="56"/>
      <c r="AK996" s="56"/>
      <c r="AL996" s="56"/>
      <c r="AM996" s="56"/>
      <c r="AN996" s="56"/>
      <c r="AO996" s="56"/>
      <c r="AP996" s="56"/>
      <c r="AQ996" s="56"/>
      <c r="AR996" s="56"/>
      <c r="AS996" s="56"/>
      <c r="AT996" s="56"/>
      <c r="AU996" s="56"/>
      <c r="AV996" s="56"/>
      <c r="AW996" s="56"/>
      <c r="AX996" s="56"/>
      <c r="AY996" s="56"/>
      <c r="AZ996" s="56"/>
      <c r="BA996" s="56"/>
      <c r="BB996" s="56"/>
      <c r="BC996" s="56"/>
    </row>
    <row r="997" spans="1:55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  <c r="AG997" s="56"/>
      <c r="AH997" s="56"/>
      <c r="AI997" s="56"/>
      <c r="AJ997" s="56"/>
      <c r="AK997" s="56"/>
      <c r="AL997" s="56"/>
      <c r="AM997" s="56"/>
      <c r="AN997" s="56"/>
      <c r="AO997" s="56"/>
      <c r="AP997" s="56"/>
      <c r="AQ997" s="56"/>
      <c r="AR997" s="56"/>
      <c r="AS997" s="56"/>
      <c r="AT997" s="56"/>
      <c r="AU997" s="56"/>
      <c r="AV997" s="56"/>
      <c r="AW997" s="56"/>
      <c r="AX997" s="56"/>
      <c r="AY997" s="56"/>
      <c r="AZ997" s="56"/>
      <c r="BA997" s="56"/>
      <c r="BB997" s="56"/>
      <c r="BC997" s="56"/>
    </row>
    <row r="998" spans="1:55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  <c r="AG998" s="56"/>
      <c r="AH998" s="56"/>
      <c r="AI998" s="56"/>
      <c r="AJ998" s="56"/>
      <c r="AK998" s="56"/>
      <c r="AL998" s="56"/>
      <c r="AM998" s="56"/>
      <c r="AN998" s="56"/>
      <c r="AO998" s="56"/>
      <c r="AP998" s="56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</row>
    <row r="999" spans="1:55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  <c r="AG999" s="56"/>
      <c r="AH999" s="56"/>
      <c r="AI999" s="56"/>
      <c r="AJ999" s="56"/>
      <c r="AK999" s="56"/>
      <c r="AL999" s="56"/>
      <c r="AM999" s="56"/>
      <c r="AN999" s="56"/>
      <c r="AO999" s="56"/>
      <c r="AP999" s="56"/>
      <c r="AQ999" s="56"/>
      <c r="AR999" s="56"/>
      <c r="AS999" s="56"/>
      <c r="AT999" s="56"/>
      <c r="AU999" s="56"/>
      <c r="AV999" s="56"/>
      <c r="AW999" s="56"/>
      <c r="AX999" s="56"/>
      <c r="AY999" s="56"/>
      <c r="AZ999" s="56"/>
      <c r="BA999" s="56"/>
      <c r="BB999" s="56"/>
      <c r="BC999" s="56"/>
    </row>
    <row r="1000" spans="1:55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  <c r="U1000" s="56"/>
      <c r="V1000" s="56"/>
      <c r="W1000" s="56"/>
      <c r="X1000" s="56"/>
      <c r="Y1000" s="56"/>
      <c r="Z1000" s="56"/>
      <c r="AA1000" s="56"/>
      <c r="AB1000" s="56"/>
      <c r="AC1000" s="56"/>
      <c r="AD1000" s="56"/>
      <c r="AE1000" s="56"/>
      <c r="AF1000" s="56"/>
      <c r="AG1000" s="56"/>
      <c r="AH1000" s="56"/>
      <c r="AI1000" s="56"/>
      <c r="AJ1000" s="56"/>
      <c r="AK1000" s="56"/>
      <c r="AL1000" s="56"/>
      <c r="AM1000" s="56"/>
      <c r="AN1000" s="56"/>
      <c r="AO1000" s="56"/>
      <c r="AP1000" s="56"/>
      <c r="AQ1000" s="56"/>
      <c r="AR1000" s="56"/>
      <c r="AS1000" s="56"/>
      <c r="AT1000" s="56"/>
      <c r="AU1000" s="56"/>
      <c r="AV1000" s="56"/>
      <c r="AW1000" s="56"/>
      <c r="AX1000" s="56"/>
      <c r="AY1000" s="56"/>
      <c r="AZ1000" s="56"/>
      <c r="BA1000" s="56"/>
      <c r="BB1000" s="56"/>
      <c r="BC1000" s="56"/>
    </row>
    <row r="1001" spans="1:55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  <c r="U1001" s="56"/>
      <c r="V1001" s="56"/>
      <c r="W1001" s="56"/>
      <c r="X1001" s="56"/>
      <c r="Y1001" s="56"/>
      <c r="Z1001" s="56"/>
      <c r="AA1001" s="56"/>
      <c r="AB1001" s="56"/>
      <c r="AC1001" s="56"/>
      <c r="AD1001" s="56"/>
      <c r="AE1001" s="56"/>
      <c r="AF1001" s="56"/>
      <c r="AG1001" s="56"/>
      <c r="AH1001" s="56"/>
      <c r="AI1001" s="56"/>
      <c r="AJ1001" s="56"/>
      <c r="AK1001" s="56"/>
      <c r="AL1001" s="56"/>
      <c r="AM1001" s="56"/>
      <c r="AN1001" s="56"/>
      <c r="AO1001" s="56"/>
      <c r="AP1001" s="56"/>
      <c r="AQ1001" s="56"/>
      <c r="AR1001" s="56"/>
      <c r="AS1001" s="56"/>
      <c r="AT1001" s="56"/>
      <c r="AU1001" s="56"/>
      <c r="AV1001" s="56"/>
      <c r="AW1001" s="56"/>
      <c r="AX1001" s="56"/>
      <c r="AY1001" s="56"/>
      <c r="AZ1001" s="56"/>
      <c r="BA1001" s="56"/>
      <c r="BB1001" s="56"/>
      <c r="BC1001" s="56"/>
    </row>
    <row r="1002" spans="1:55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  <c r="U1002" s="56"/>
      <c r="V1002" s="56"/>
      <c r="W1002" s="56"/>
      <c r="X1002" s="56"/>
      <c r="Y1002" s="56"/>
      <c r="Z1002" s="56"/>
      <c r="AA1002" s="56"/>
      <c r="AB1002" s="56"/>
      <c r="AC1002" s="56"/>
      <c r="AD1002" s="56"/>
      <c r="AE1002" s="56"/>
      <c r="AF1002" s="56"/>
      <c r="AG1002" s="56"/>
      <c r="AH1002" s="56"/>
      <c r="AI1002" s="56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</row>
    <row r="1003" spans="1:55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  <c r="U1003" s="56"/>
      <c r="V1003" s="56"/>
      <c r="W1003" s="56"/>
      <c r="X1003" s="56"/>
      <c r="Y1003" s="56"/>
      <c r="Z1003" s="56"/>
      <c r="AA1003" s="56"/>
      <c r="AB1003" s="56"/>
      <c r="AC1003" s="56"/>
      <c r="AD1003" s="56"/>
      <c r="AE1003" s="56"/>
      <c r="AF1003" s="56"/>
      <c r="AG1003" s="56"/>
      <c r="AH1003" s="56"/>
      <c r="AI1003" s="56"/>
      <c r="AJ1003" s="56"/>
      <c r="AK1003" s="56"/>
      <c r="AL1003" s="56"/>
      <c r="AM1003" s="56"/>
      <c r="AN1003" s="56"/>
      <c r="AO1003" s="56"/>
      <c r="AP1003" s="56"/>
      <c r="AQ1003" s="56"/>
      <c r="AR1003" s="56"/>
      <c r="AS1003" s="56"/>
      <c r="AT1003" s="56"/>
      <c r="AU1003" s="56"/>
      <c r="AV1003" s="56"/>
      <c r="AW1003" s="56"/>
      <c r="AX1003" s="56"/>
      <c r="AY1003" s="56"/>
      <c r="AZ1003" s="56"/>
      <c r="BA1003" s="56"/>
      <c r="BB1003" s="56"/>
      <c r="BC1003" s="56"/>
    </row>
    <row r="1004" spans="1:55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  <c r="U1004" s="56"/>
      <c r="V1004" s="56"/>
      <c r="W1004" s="56"/>
      <c r="X1004" s="56"/>
      <c r="Y1004" s="56"/>
      <c r="Z1004" s="56"/>
      <c r="AA1004" s="56"/>
      <c r="AB1004" s="56"/>
      <c r="AC1004" s="56"/>
      <c r="AD1004" s="56"/>
      <c r="AE1004" s="56"/>
      <c r="AF1004" s="56"/>
      <c r="AG1004" s="56"/>
      <c r="AH1004" s="56"/>
      <c r="AI1004" s="56"/>
      <c r="AJ1004" s="56"/>
      <c r="AK1004" s="56"/>
      <c r="AL1004" s="56"/>
      <c r="AM1004" s="56"/>
      <c r="AN1004" s="56"/>
      <c r="AO1004" s="56"/>
      <c r="AP1004" s="56"/>
      <c r="AQ1004" s="56"/>
      <c r="AR1004" s="56"/>
      <c r="AS1004" s="56"/>
      <c r="AT1004" s="56"/>
      <c r="AU1004" s="56"/>
      <c r="AV1004" s="56"/>
      <c r="AW1004" s="56"/>
      <c r="AX1004" s="56"/>
      <c r="AY1004" s="56"/>
      <c r="AZ1004" s="56"/>
      <c r="BA1004" s="56"/>
      <c r="BB1004" s="56"/>
      <c r="BC1004" s="56"/>
    </row>
    <row r="1005" spans="1:55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  <c r="U1005" s="56"/>
      <c r="V1005" s="56"/>
      <c r="W1005" s="56"/>
      <c r="X1005" s="56"/>
      <c r="Y1005" s="56"/>
      <c r="Z1005" s="56"/>
      <c r="AA1005" s="56"/>
      <c r="AB1005" s="56"/>
      <c r="AC1005" s="56"/>
      <c r="AD1005" s="56"/>
      <c r="AE1005" s="56"/>
      <c r="AF1005" s="56"/>
      <c r="AG1005" s="56"/>
      <c r="AH1005" s="56"/>
      <c r="AI1005" s="56"/>
      <c r="AJ1005" s="56"/>
      <c r="AK1005" s="56"/>
      <c r="AL1005" s="56"/>
      <c r="AM1005" s="56"/>
      <c r="AN1005" s="56"/>
      <c r="AO1005" s="56"/>
      <c r="AP1005" s="56"/>
      <c r="AQ1005" s="56"/>
      <c r="AR1005" s="56"/>
      <c r="AS1005" s="56"/>
      <c r="AT1005" s="56"/>
      <c r="AU1005" s="56"/>
      <c r="AV1005" s="56"/>
      <c r="AW1005" s="56"/>
      <c r="AX1005" s="56"/>
      <c r="AY1005" s="56"/>
      <c r="AZ1005" s="56"/>
      <c r="BA1005" s="56"/>
      <c r="BB1005" s="56"/>
      <c r="BC1005" s="56"/>
    </row>
    <row r="1006" spans="1:55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  <c r="U1006" s="56"/>
      <c r="V1006" s="56"/>
      <c r="W1006" s="56"/>
      <c r="X1006" s="56"/>
      <c r="Y1006" s="56"/>
      <c r="Z1006" s="56"/>
      <c r="AA1006" s="56"/>
      <c r="AB1006" s="56"/>
      <c r="AC1006" s="56"/>
      <c r="AD1006" s="56"/>
      <c r="AE1006" s="56"/>
      <c r="AF1006" s="56"/>
      <c r="AG1006" s="56"/>
      <c r="AH1006" s="56"/>
      <c r="AI1006" s="56"/>
      <c r="AJ1006" s="56"/>
      <c r="AK1006" s="56"/>
      <c r="AL1006" s="56"/>
      <c r="AM1006" s="56"/>
      <c r="AN1006" s="56"/>
      <c r="AO1006" s="56"/>
      <c r="AP1006" s="56"/>
      <c r="AQ1006" s="56"/>
      <c r="AR1006" s="56"/>
      <c r="AS1006" s="56"/>
      <c r="AT1006" s="56"/>
      <c r="AU1006" s="56"/>
      <c r="AV1006" s="56"/>
      <c r="AW1006" s="56"/>
      <c r="AX1006" s="56"/>
      <c r="AY1006" s="56"/>
      <c r="AZ1006" s="56"/>
      <c r="BA1006" s="56"/>
      <c r="BB1006" s="56"/>
      <c r="BC1006" s="56"/>
    </row>
    <row r="1007" spans="1:55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  <c r="U1007" s="56"/>
      <c r="V1007" s="56"/>
      <c r="W1007" s="56"/>
      <c r="X1007" s="56"/>
      <c r="Y1007" s="56"/>
      <c r="Z1007" s="56"/>
      <c r="AA1007" s="56"/>
      <c r="AB1007" s="56"/>
      <c r="AC1007" s="56"/>
      <c r="AD1007" s="56"/>
      <c r="AE1007" s="56"/>
      <c r="AF1007" s="56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</row>
    <row r="1008" spans="1:55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  <c r="U1008" s="56"/>
      <c r="V1008" s="56"/>
      <c r="W1008" s="56"/>
      <c r="X1008" s="56"/>
      <c r="Y1008" s="56"/>
      <c r="Z1008" s="56"/>
      <c r="AA1008" s="56"/>
      <c r="AB1008" s="56"/>
      <c r="AC1008" s="56"/>
      <c r="AD1008" s="56"/>
      <c r="AE1008" s="56"/>
      <c r="AF1008" s="56"/>
      <c r="AG1008" s="56"/>
      <c r="AH1008" s="56"/>
      <c r="AI1008" s="56"/>
      <c r="AJ1008" s="56"/>
      <c r="AK1008" s="56"/>
      <c r="AL1008" s="56"/>
      <c r="AM1008" s="56"/>
      <c r="AN1008" s="56"/>
      <c r="AO1008" s="56"/>
      <c r="AP1008" s="56"/>
      <c r="AQ1008" s="56"/>
      <c r="AR1008" s="56"/>
      <c r="AS1008" s="56"/>
      <c r="AT1008" s="56"/>
      <c r="AU1008" s="56"/>
      <c r="AV1008" s="56"/>
      <c r="AW1008" s="56"/>
      <c r="AX1008" s="56"/>
      <c r="AY1008" s="56"/>
      <c r="AZ1008" s="56"/>
      <c r="BA1008" s="56"/>
      <c r="BB1008" s="56"/>
      <c r="BC1008" s="56"/>
    </row>
    <row r="1009" spans="1:55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  <c r="U1009" s="56"/>
      <c r="V1009" s="56"/>
      <c r="W1009" s="56"/>
      <c r="X1009" s="56"/>
      <c r="Y1009" s="56"/>
      <c r="Z1009" s="56"/>
      <c r="AA1009" s="56"/>
      <c r="AB1009" s="56"/>
      <c r="AC1009" s="56"/>
      <c r="AD1009" s="56"/>
      <c r="AE1009" s="56"/>
      <c r="AF1009" s="56"/>
      <c r="AG1009" s="56"/>
      <c r="AH1009" s="56"/>
      <c r="AI1009" s="56"/>
      <c r="AJ1009" s="56"/>
      <c r="AK1009" s="56"/>
      <c r="AL1009" s="56"/>
      <c r="AM1009" s="56"/>
      <c r="AN1009" s="56"/>
      <c r="AO1009" s="56"/>
      <c r="AP1009" s="56"/>
      <c r="AQ1009" s="56"/>
      <c r="AR1009" s="56"/>
      <c r="AS1009" s="56"/>
      <c r="AT1009" s="56"/>
      <c r="AU1009" s="56"/>
      <c r="AV1009" s="56"/>
      <c r="AW1009" s="56"/>
      <c r="AX1009" s="56"/>
      <c r="AY1009" s="56"/>
      <c r="AZ1009" s="56"/>
      <c r="BA1009" s="56"/>
      <c r="BB1009" s="56"/>
      <c r="BC1009" s="56"/>
    </row>
    <row r="1010" spans="1:55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  <c r="U1010" s="56"/>
      <c r="V1010" s="56"/>
      <c r="W1010" s="56"/>
      <c r="X1010" s="56"/>
      <c r="Y1010" s="56"/>
      <c r="Z1010" s="56"/>
      <c r="AA1010" s="56"/>
      <c r="AB1010" s="56"/>
      <c r="AC1010" s="56"/>
      <c r="AD1010" s="56"/>
      <c r="AE1010" s="56"/>
      <c r="AF1010" s="56"/>
      <c r="AG1010" s="56"/>
      <c r="AH1010" s="56"/>
      <c r="AI1010" s="56"/>
      <c r="AJ1010" s="56"/>
      <c r="AK1010" s="56"/>
      <c r="AL1010" s="56"/>
      <c r="AM1010" s="56"/>
      <c r="AN1010" s="56"/>
      <c r="AO1010" s="56"/>
      <c r="AP1010" s="56"/>
      <c r="AQ1010" s="56"/>
      <c r="AR1010" s="56"/>
      <c r="AS1010" s="56"/>
      <c r="AT1010" s="56"/>
      <c r="AU1010" s="56"/>
      <c r="AV1010" s="56"/>
      <c r="AW1010" s="56"/>
      <c r="AX1010" s="56"/>
      <c r="AY1010" s="56"/>
      <c r="AZ1010" s="56"/>
      <c r="BA1010" s="56"/>
      <c r="BB1010" s="56"/>
      <c r="BC1010" s="56"/>
    </row>
    <row r="1011" spans="1:55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  <c r="AH1011" s="56"/>
      <c r="AI1011" s="56"/>
      <c r="AJ1011" s="56"/>
      <c r="AK1011" s="56"/>
      <c r="AL1011" s="56"/>
      <c r="AM1011" s="56"/>
      <c r="AN1011" s="56"/>
      <c r="AO1011" s="56"/>
      <c r="AP1011" s="56"/>
      <c r="AQ1011" s="56"/>
      <c r="AR1011" s="56"/>
      <c r="AS1011" s="56"/>
      <c r="AT1011" s="56"/>
      <c r="AU1011" s="56"/>
      <c r="AV1011" s="56"/>
      <c r="AW1011" s="56"/>
      <c r="AX1011" s="56"/>
      <c r="AY1011" s="56"/>
      <c r="AZ1011" s="56"/>
      <c r="BA1011" s="56"/>
      <c r="BB1011" s="56"/>
      <c r="BC1011" s="56"/>
    </row>
    <row r="1012" spans="1:55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  <c r="U1012" s="56"/>
      <c r="V1012" s="56"/>
      <c r="W1012" s="56"/>
      <c r="X1012" s="56"/>
      <c r="Y1012" s="56"/>
      <c r="Z1012" s="56"/>
      <c r="AA1012" s="56"/>
      <c r="AB1012" s="56"/>
      <c r="AC1012" s="56"/>
      <c r="AD1012" s="56"/>
      <c r="AE1012" s="56"/>
      <c r="AF1012" s="56"/>
      <c r="AG1012" s="56"/>
      <c r="AH1012" s="56"/>
      <c r="AI1012" s="56"/>
      <c r="AJ1012" s="56"/>
      <c r="AK1012" s="56"/>
      <c r="AL1012" s="56"/>
      <c r="AM1012" s="56"/>
      <c r="AN1012" s="56"/>
      <c r="AO1012" s="56"/>
      <c r="AP1012" s="56"/>
      <c r="AQ1012" s="56"/>
      <c r="AR1012" s="56"/>
      <c r="AS1012" s="56"/>
      <c r="AT1012" s="56"/>
      <c r="AU1012" s="56"/>
      <c r="AV1012" s="56"/>
      <c r="AW1012" s="56"/>
      <c r="AX1012" s="56"/>
      <c r="AY1012" s="56"/>
      <c r="AZ1012" s="56"/>
      <c r="BA1012" s="56"/>
      <c r="BB1012" s="56"/>
      <c r="BC1012" s="56"/>
    </row>
    <row r="1013" spans="1:55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  <c r="U1013" s="56"/>
      <c r="V1013" s="56"/>
      <c r="W1013" s="56"/>
      <c r="X1013" s="56"/>
      <c r="Y1013" s="56"/>
      <c r="Z1013" s="56"/>
      <c r="AA1013" s="56"/>
      <c r="AB1013" s="56"/>
      <c r="AC1013" s="56"/>
      <c r="AD1013" s="56"/>
      <c r="AE1013" s="56"/>
      <c r="AF1013" s="56"/>
      <c r="AG1013" s="56"/>
      <c r="AH1013" s="56"/>
      <c r="AI1013" s="56"/>
      <c r="AJ1013" s="56"/>
      <c r="AK1013" s="56"/>
      <c r="AL1013" s="56"/>
      <c r="AM1013" s="56"/>
      <c r="AN1013" s="56"/>
      <c r="AO1013" s="56"/>
      <c r="AP1013" s="56"/>
      <c r="AQ1013" s="56"/>
      <c r="AR1013" s="56"/>
      <c r="AS1013" s="56"/>
      <c r="AT1013" s="56"/>
      <c r="AU1013" s="56"/>
      <c r="AV1013" s="56"/>
      <c r="AW1013" s="56"/>
      <c r="AX1013" s="56"/>
      <c r="AY1013" s="56"/>
      <c r="AZ1013" s="56"/>
      <c r="BA1013" s="56"/>
      <c r="BB1013" s="56"/>
      <c r="BC1013" s="56"/>
    </row>
    <row r="1014" spans="1:55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  <c r="U1014" s="56"/>
      <c r="V1014" s="56"/>
      <c r="W1014" s="56"/>
      <c r="X1014" s="56"/>
      <c r="Y1014" s="56"/>
      <c r="Z1014" s="56"/>
      <c r="AA1014" s="56"/>
      <c r="AB1014" s="56"/>
      <c r="AC1014" s="56"/>
      <c r="AD1014" s="56"/>
      <c r="AE1014" s="56"/>
      <c r="AF1014" s="56"/>
      <c r="AG1014" s="56"/>
      <c r="AH1014" s="56"/>
      <c r="AI1014" s="56"/>
      <c r="AJ1014" s="56"/>
      <c r="AK1014" s="56"/>
      <c r="AL1014" s="56"/>
      <c r="AM1014" s="56"/>
      <c r="AN1014" s="56"/>
      <c r="AO1014" s="56"/>
      <c r="AP1014" s="56"/>
      <c r="AQ1014" s="56"/>
      <c r="AR1014" s="56"/>
      <c r="AS1014" s="56"/>
      <c r="AT1014" s="56"/>
      <c r="AU1014" s="56"/>
      <c r="AV1014" s="56"/>
      <c r="AW1014" s="56"/>
      <c r="AX1014" s="56"/>
      <c r="AY1014" s="56"/>
      <c r="AZ1014" s="56"/>
      <c r="BA1014" s="56"/>
      <c r="BB1014" s="56"/>
      <c r="BC1014" s="56"/>
    </row>
    <row r="1015" spans="1:55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  <c r="U1015" s="56"/>
      <c r="V1015" s="56"/>
      <c r="W1015" s="56"/>
      <c r="X1015" s="56"/>
      <c r="Y1015" s="56"/>
      <c r="Z1015" s="56"/>
      <c r="AA1015" s="56"/>
      <c r="AB1015" s="56"/>
      <c r="AC1015" s="56"/>
      <c r="AD1015" s="56"/>
      <c r="AE1015" s="56"/>
      <c r="AF1015" s="56"/>
      <c r="AG1015" s="56"/>
      <c r="AH1015" s="56"/>
      <c r="AI1015" s="56"/>
      <c r="AJ1015" s="56"/>
      <c r="AK1015" s="56"/>
      <c r="AL1015" s="56"/>
      <c r="AM1015" s="56"/>
      <c r="AN1015" s="56"/>
      <c r="AO1015" s="56"/>
      <c r="AP1015" s="56"/>
      <c r="AQ1015" s="56"/>
      <c r="AR1015" s="56"/>
      <c r="AS1015" s="56"/>
      <c r="AT1015" s="56"/>
      <c r="AU1015" s="56"/>
      <c r="AV1015" s="56"/>
      <c r="AW1015" s="56"/>
      <c r="AX1015" s="56"/>
      <c r="AY1015" s="56"/>
      <c r="AZ1015" s="56"/>
      <c r="BA1015" s="56"/>
      <c r="BB1015" s="56"/>
      <c r="BC1015" s="56"/>
    </row>
    <row r="1016" spans="1:55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  <c r="U1016" s="56"/>
      <c r="V1016" s="56"/>
      <c r="W1016" s="56"/>
      <c r="X1016" s="56"/>
      <c r="Y1016" s="56"/>
      <c r="Z1016" s="56"/>
      <c r="AA1016" s="56"/>
      <c r="AB1016" s="56"/>
      <c r="AC1016" s="56"/>
      <c r="AD1016" s="56"/>
      <c r="AE1016" s="56"/>
      <c r="AF1016" s="56"/>
      <c r="AG1016" s="56"/>
      <c r="AH1016" s="56"/>
      <c r="AI1016" s="56"/>
      <c r="AJ1016" s="56"/>
      <c r="AK1016" s="56"/>
      <c r="AL1016" s="56"/>
      <c r="AM1016" s="56"/>
      <c r="AN1016" s="56"/>
      <c r="AO1016" s="56"/>
      <c r="AP1016" s="56"/>
      <c r="AQ1016" s="56"/>
      <c r="AR1016" s="56"/>
      <c r="AS1016" s="56"/>
      <c r="AT1016" s="56"/>
      <c r="AU1016" s="56"/>
      <c r="AV1016" s="56"/>
      <c r="AW1016" s="56"/>
      <c r="AX1016" s="56"/>
      <c r="AY1016" s="56"/>
      <c r="AZ1016" s="56"/>
      <c r="BA1016" s="56"/>
      <c r="BB1016" s="56"/>
      <c r="BC1016" s="56"/>
    </row>
    <row r="1017" spans="1:55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  <c r="U1017" s="56"/>
      <c r="V1017" s="56"/>
      <c r="W1017" s="56"/>
      <c r="X1017" s="56"/>
      <c r="Y1017" s="56"/>
      <c r="Z1017" s="56"/>
      <c r="AA1017" s="56"/>
      <c r="AB1017" s="56"/>
      <c r="AC1017" s="56"/>
      <c r="AD1017" s="56"/>
      <c r="AE1017" s="56"/>
      <c r="AF1017" s="56"/>
      <c r="AG1017" s="56"/>
      <c r="AH1017" s="56"/>
      <c r="AI1017" s="56"/>
      <c r="AJ1017" s="56"/>
      <c r="AK1017" s="56"/>
      <c r="AL1017" s="56"/>
      <c r="AM1017" s="56"/>
      <c r="AN1017" s="56"/>
      <c r="AO1017" s="56"/>
      <c r="AP1017" s="56"/>
      <c r="AQ1017" s="56"/>
      <c r="AR1017" s="56"/>
      <c r="AS1017" s="56"/>
      <c r="AT1017" s="56"/>
      <c r="AU1017" s="56"/>
      <c r="AV1017" s="56"/>
      <c r="AW1017" s="56"/>
      <c r="AX1017" s="56"/>
      <c r="AY1017" s="56"/>
      <c r="AZ1017" s="56"/>
      <c r="BA1017" s="56"/>
      <c r="BB1017" s="56"/>
      <c r="BC1017" s="56"/>
    </row>
    <row r="1018" spans="1:55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  <c r="U1018" s="56"/>
      <c r="V1018" s="56"/>
      <c r="W1018" s="56"/>
      <c r="X1018" s="56"/>
      <c r="Y1018" s="56"/>
      <c r="Z1018" s="56"/>
      <c r="AA1018" s="56"/>
      <c r="AB1018" s="56"/>
      <c r="AC1018" s="56"/>
      <c r="AD1018" s="56"/>
      <c r="AE1018" s="56"/>
      <c r="AF1018" s="56"/>
      <c r="AG1018" s="56"/>
      <c r="AH1018" s="56"/>
      <c r="AI1018" s="56"/>
      <c r="AJ1018" s="56"/>
      <c r="AK1018" s="56"/>
      <c r="AL1018" s="56"/>
      <c r="AM1018" s="56"/>
      <c r="AN1018" s="56"/>
      <c r="AO1018" s="56"/>
      <c r="AP1018" s="56"/>
      <c r="AQ1018" s="56"/>
      <c r="AR1018" s="56"/>
      <c r="AS1018" s="56"/>
      <c r="AT1018" s="56"/>
      <c r="AU1018" s="56"/>
      <c r="AV1018" s="56"/>
      <c r="AW1018" s="56"/>
      <c r="AX1018" s="56"/>
      <c r="AY1018" s="56"/>
      <c r="AZ1018" s="56"/>
      <c r="BA1018" s="56"/>
      <c r="BB1018" s="56"/>
      <c r="BC1018" s="56"/>
    </row>
    <row r="1019" spans="1:55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  <c r="U1019" s="56"/>
      <c r="V1019" s="56"/>
      <c r="W1019" s="56"/>
      <c r="X1019" s="56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56"/>
      <c r="AV1019" s="56"/>
      <c r="AW1019" s="56"/>
      <c r="AX1019" s="56"/>
      <c r="AY1019" s="56"/>
      <c r="AZ1019" s="56"/>
      <c r="BA1019" s="56"/>
      <c r="BB1019" s="56"/>
      <c r="BC1019" s="56"/>
    </row>
    <row r="1020" spans="1:55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  <c r="U1020" s="56"/>
      <c r="V1020" s="56"/>
      <c r="W1020" s="56"/>
      <c r="X1020" s="56"/>
      <c r="Y1020" s="56"/>
      <c r="Z1020" s="56"/>
      <c r="AA1020" s="56"/>
      <c r="AB1020" s="56"/>
      <c r="AC1020" s="56"/>
      <c r="AD1020" s="56"/>
      <c r="AE1020" s="56"/>
      <c r="AF1020" s="56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</row>
    <row r="1021" spans="1:55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  <c r="U1021" s="56"/>
      <c r="V1021" s="56"/>
      <c r="W1021" s="56"/>
      <c r="X1021" s="56"/>
      <c r="Y1021" s="56"/>
      <c r="Z1021" s="56"/>
      <c r="AA1021" s="56"/>
      <c r="AB1021" s="56"/>
      <c r="AC1021" s="56"/>
      <c r="AD1021" s="56"/>
      <c r="AE1021" s="56"/>
      <c r="AF1021" s="56"/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</row>
    <row r="1022" spans="1:55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  <c r="U1022" s="56"/>
      <c r="V1022" s="56"/>
      <c r="W1022" s="56"/>
      <c r="X1022" s="56"/>
      <c r="Y1022" s="56"/>
      <c r="Z1022" s="56"/>
      <c r="AA1022" s="56"/>
      <c r="AB1022" s="56"/>
      <c r="AC1022" s="56"/>
      <c r="AD1022" s="56"/>
      <c r="AE1022" s="56"/>
      <c r="AF1022" s="56"/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</row>
    <row r="1023" spans="1:55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  <c r="U1023" s="56"/>
      <c r="V1023" s="56"/>
      <c r="W1023" s="56"/>
      <c r="X1023" s="56"/>
      <c r="Y1023" s="56"/>
      <c r="Z1023" s="56"/>
      <c r="AA1023" s="56"/>
      <c r="AB1023" s="56"/>
      <c r="AC1023" s="56"/>
      <c r="AD1023" s="56"/>
      <c r="AE1023" s="56"/>
      <c r="AF1023" s="56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</row>
    <row r="1024" spans="1:55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  <c r="U1024" s="56"/>
      <c r="V1024" s="56"/>
      <c r="W1024" s="56"/>
      <c r="X1024" s="56"/>
      <c r="Y1024" s="56"/>
      <c r="Z1024" s="56"/>
      <c r="AA1024" s="56"/>
      <c r="AB1024" s="56"/>
      <c r="AC1024" s="56"/>
      <c r="AD1024" s="56"/>
      <c r="AE1024" s="56"/>
      <c r="AF1024" s="56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</row>
    <row r="1025" spans="1:55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  <c r="U1025" s="56"/>
      <c r="V1025" s="56"/>
      <c r="W1025" s="56"/>
      <c r="X1025" s="56"/>
      <c r="Y1025" s="56"/>
      <c r="Z1025" s="56"/>
      <c r="AA1025" s="56"/>
      <c r="AB1025" s="56"/>
      <c r="AC1025" s="56"/>
      <c r="AD1025" s="56"/>
      <c r="AE1025" s="56"/>
      <c r="AF1025" s="56"/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</row>
    <row r="1026" spans="1:55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  <c r="U1026" s="56"/>
      <c r="V1026" s="56"/>
      <c r="W1026" s="56"/>
      <c r="X1026" s="56"/>
      <c r="Y1026" s="56"/>
      <c r="Z1026" s="56"/>
      <c r="AA1026" s="56"/>
      <c r="AB1026" s="56"/>
      <c r="AC1026" s="56"/>
      <c r="AD1026" s="56"/>
      <c r="AE1026" s="56"/>
      <c r="AF1026" s="56"/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</row>
    <row r="1027" spans="1:55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  <c r="U1027" s="56"/>
      <c r="V1027" s="56"/>
      <c r="W1027" s="56"/>
      <c r="X1027" s="56"/>
      <c r="Y1027" s="56"/>
      <c r="Z1027" s="56"/>
      <c r="AA1027" s="56"/>
      <c r="AB1027" s="56"/>
      <c r="AC1027" s="56"/>
      <c r="AD1027" s="56"/>
      <c r="AE1027" s="56"/>
      <c r="AF1027" s="56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</row>
    <row r="1028" spans="1:55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  <c r="U1028" s="56"/>
      <c r="V1028" s="56"/>
      <c r="W1028" s="56"/>
      <c r="X1028" s="56"/>
      <c r="Y1028" s="56"/>
      <c r="Z1028" s="56"/>
      <c r="AA1028" s="56"/>
      <c r="AB1028" s="56"/>
      <c r="AC1028" s="56"/>
      <c r="AD1028" s="56"/>
      <c r="AE1028" s="56"/>
      <c r="AF1028" s="56"/>
      <c r="AG1028" s="56"/>
      <c r="AH1028" s="56"/>
      <c r="AI1028" s="56"/>
      <c r="AJ1028" s="56"/>
      <c r="AK1028" s="56"/>
      <c r="AL1028" s="56"/>
      <c r="AM1028" s="56"/>
      <c r="AN1028" s="56"/>
      <c r="AO1028" s="56"/>
      <c r="AP1028" s="56"/>
      <c r="AQ1028" s="56"/>
      <c r="AR1028" s="56"/>
      <c r="AS1028" s="56"/>
      <c r="AT1028" s="56"/>
      <c r="AU1028" s="56"/>
      <c r="AV1028" s="56"/>
      <c r="AW1028" s="56"/>
      <c r="AX1028" s="56"/>
      <c r="AY1028" s="56"/>
      <c r="AZ1028" s="56"/>
      <c r="BA1028" s="56"/>
      <c r="BB1028" s="56"/>
      <c r="BC1028" s="56"/>
    </row>
    <row r="1029" spans="1:55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  <c r="U1029" s="56"/>
      <c r="V1029" s="56"/>
      <c r="W1029" s="56"/>
      <c r="X1029" s="56"/>
      <c r="Y1029" s="56"/>
      <c r="Z1029" s="56"/>
      <c r="AA1029" s="56"/>
      <c r="AB1029" s="56"/>
      <c r="AC1029" s="56"/>
      <c r="AD1029" s="56"/>
      <c r="AE1029" s="56"/>
      <c r="AF1029" s="56"/>
      <c r="AG1029" s="56"/>
      <c r="AH1029" s="56"/>
      <c r="AI1029" s="56"/>
      <c r="AJ1029" s="56"/>
      <c r="AK1029" s="56"/>
      <c r="AL1029" s="56"/>
      <c r="AM1029" s="56"/>
      <c r="AN1029" s="56"/>
      <c r="AO1029" s="56"/>
      <c r="AP1029" s="56"/>
      <c r="AQ1029" s="56"/>
      <c r="AR1029" s="56"/>
      <c r="AS1029" s="56"/>
      <c r="AT1029" s="56"/>
      <c r="AU1029" s="56"/>
      <c r="AV1029" s="56"/>
      <c r="AW1029" s="56"/>
      <c r="AX1029" s="56"/>
      <c r="AY1029" s="56"/>
      <c r="AZ1029" s="56"/>
      <c r="BA1029" s="56"/>
      <c r="BB1029" s="56"/>
      <c r="BC1029" s="56"/>
    </row>
    <row r="1030" spans="1:55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  <c r="U1030" s="56"/>
      <c r="V1030" s="56"/>
      <c r="W1030" s="56"/>
      <c r="X1030" s="56"/>
      <c r="Y1030" s="56"/>
      <c r="Z1030" s="56"/>
      <c r="AA1030" s="56"/>
      <c r="AB1030" s="56"/>
      <c r="AC1030" s="56"/>
      <c r="AD1030" s="56"/>
      <c r="AE1030" s="56"/>
      <c r="AF1030" s="56"/>
      <c r="AG1030" s="56"/>
      <c r="AH1030" s="56"/>
      <c r="AI1030" s="56"/>
      <c r="AJ1030" s="56"/>
      <c r="AK1030" s="56"/>
      <c r="AL1030" s="56"/>
      <c r="AM1030" s="56"/>
      <c r="AN1030" s="56"/>
      <c r="AO1030" s="56"/>
      <c r="AP1030" s="56"/>
      <c r="AQ1030" s="56"/>
      <c r="AR1030" s="56"/>
      <c r="AS1030" s="56"/>
      <c r="AT1030" s="56"/>
      <c r="AU1030" s="56"/>
      <c r="AV1030" s="56"/>
      <c r="AW1030" s="56"/>
      <c r="AX1030" s="56"/>
      <c r="AY1030" s="56"/>
      <c r="AZ1030" s="56"/>
      <c r="BA1030" s="56"/>
      <c r="BB1030" s="56"/>
      <c r="BC1030" s="56"/>
    </row>
    <row r="1031" spans="1:55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  <c r="U1031" s="56"/>
      <c r="V1031" s="56"/>
      <c r="W1031" s="56"/>
      <c r="X1031" s="56"/>
      <c r="Y1031" s="56"/>
      <c r="Z1031" s="56"/>
      <c r="AA1031" s="56"/>
      <c r="AB1031" s="56"/>
      <c r="AC1031" s="56"/>
      <c r="AD1031" s="56"/>
      <c r="AE1031" s="56"/>
      <c r="AF1031" s="56"/>
      <c r="AG1031" s="56"/>
      <c r="AH1031" s="56"/>
      <c r="AI1031" s="56"/>
      <c r="AJ1031" s="56"/>
      <c r="AK1031" s="56"/>
      <c r="AL1031" s="56"/>
      <c r="AM1031" s="56"/>
      <c r="AN1031" s="56"/>
      <c r="AO1031" s="56"/>
      <c r="AP1031" s="56"/>
      <c r="AQ1031" s="56"/>
      <c r="AR1031" s="56"/>
      <c r="AS1031" s="56"/>
      <c r="AT1031" s="56"/>
      <c r="AU1031" s="56"/>
      <c r="AV1031" s="56"/>
      <c r="AW1031" s="56"/>
      <c r="AX1031" s="56"/>
      <c r="AY1031" s="56"/>
      <c r="AZ1031" s="56"/>
      <c r="BA1031" s="56"/>
      <c r="BB1031" s="56"/>
      <c r="BC1031" s="56"/>
    </row>
    <row r="1032" spans="1:55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  <c r="U1032" s="56"/>
      <c r="V1032" s="56"/>
      <c r="W1032" s="56"/>
      <c r="X1032" s="56"/>
      <c r="Y1032" s="56"/>
      <c r="Z1032" s="56"/>
      <c r="AA1032" s="56"/>
      <c r="AB1032" s="56"/>
      <c r="AC1032" s="56"/>
      <c r="AD1032" s="56"/>
      <c r="AE1032" s="56"/>
      <c r="AF1032" s="56"/>
      <c r="AG1032" s="56"/>
      <c r="AH1032" s="56"/>
      <c r="AI1032" s="56"/>
      <c r="AJ1032" s="56"/>
      <c r="AK1032" s="56"/>
      <c r="AL1032" s="56"/>
      <c r="AM1032" s="56"/>
      <c r="AN1032" s="56"/>
      <c r="AO1032" s="56"/>
      <c r="AP1032" s="56"/>
      <c r="AQ1032" s="56"/>
      <c r="AR1032" s="56"/>
      <c r="AS1032" s="56"/>
      <c r="AT1032" s="56"/>
      <c r="AU1032" s="56"/>
      <c r="AV1032" s="56"/>
      <c r="AW1032" s="56"/>
      <c r="AX1032" s="56"/>
      <c r="AY1032" s="56"/>
      <c r="AZ1032" s="56"/>
      <c r="BA1032" s="56"/>
      <c r="BB1032" s="56"/>
      <c r="BC1032" s="56"/>
    </row>
    <row r="1033" spans="1:55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  <c r="U1033" s="56"/>
      <c r="V1033" s="56"/>
      <c r="W1033" s="56"/>
      <c r="X1033" s="56"/>
      <c r="Y1033" s="56"/>
      <c r="Z1033" s="56"/>
      <c r="AA1033" s="56"/>
      <c r="AB1033" s="56"/>
      <c r="AC1033" s="56"/>
      <c r="AD1033" s="56"/>
      <c r="AE1033" s="56"/>
      <c r="AF1033" s="56"/>
      <c r="AG1033" s="56"/>
      <c r="AH1033" s="56"/>
      <c r="AI1033" s="56"/>
      <c r="AJ1033" s="56"/>
      <c r="AK1033" s="56"/>
      <c r="AL1033" s="56"/>
      <c r="AM1033" s="56"/>
      <c r="AN1033" s="56"/>
      <c r="AO1033" s="56"/>
      <c r="AP1033" s="56"/>
      <c r="AQ1033" s="56"/>
      <c r="AR1033" s="56"/>
      <c r="AS1033" s="56"/>
      <c r="AT1033" s="56"/>
      <c r="AU1033" s="56"/>
      <c r="AV1033" s="56"/>
      <c r="AW1033" s="56"/>
      <c r="AX1033" s="56"/>
      <c r="AY1033" s="56"/>
      <c r="AZ1033" s="56"/>
      <c r="BA1033" s="56"/>
      <c r="BB1033" s="56"/>
      <c r="BC1033" s="56"/>
    </row>
    <row r="1034" spans="1:55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  <c r="AG1034" s="56"/>
      <c r="AH1034" s="56"/>
      <c r="AI1034" s="56"/>
      <c r="AJ1034" s="56"/>
      <c r="AK1034" s="56"/>
      <c r="AL1034" s="56"/>
      <c r="AM1034" s="56"/>
      <c r="AN1034" s="56"/>
      <c r="AO1034" s="56"/>
      <c r="AP1034" s="56"/>
      <c r="AQ1034" s="56"/>
      <c r="AR1034" s="56"/>
      <c r="AS1034" s="56"/>
      <c r="AT1034" s="56"/>
      <c r="AU1034" s="56"/>
      <c r="AV1034" s="56"/>
      <c r="AW1034" s="56"/>
      <c r="AX1034" s="56"/>
      <c r="AY1034" s="56"/>
      <c r="AZ1034" s="56"/>
      <c r="BA1034" s="56"/>
      <c r="BB1034" s="56"/>
      <c r="BC1034" s="56"/>
    </row>
    <row r="1035" spans="1:55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  <c r="AG1035" s="56"/>
      <c r="AH1035" s="56"/>
      <c r="AI1035" s="56"/>
      <c r="AJ1035" s="56"/>
      <c r="AK1035" s="56"/>
      <c r="AL1035" s="56"/>
      <c r="AM1035" s="56"/>
      <c r="AN1035" s="56"/>
      <c r="AO1035" s="56"/>
      <c r="AP1035" s="56"/>
      <c r="AQ1035" s="56"/>
      <c r="AR1035" s="56"/>
      <c r="AS1035" s="56"/>
      <c r="AT1035" s="56"/>
      <c r="AU1035" s="56"/>
      <c r="AV1035" s="56"/>
      <c r="AW1035" s="56"/>
      <c r="AX1035" s="56"/>
      <c r="AY1035" s="56"/>
      <c r="AZ1035" s="56"/>
      <c r="BA1035" s="56"/>
      <c r="BB1035" s="56"/>
      <c r="BC1035" s="56"/>
    </row>
    <row r="1036" spans="1:55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6"/>
      <c r="AB1036" s="56"/>
      <c r="AC1036" s="56"/>
      <c r="AD1036" s="56"/>
      <c r="AE1036" s="56"/>
      <c r="AF1036" s="56"/>
      <c r="AG1036" s="56"/>
      <c r="AH1036" s="56"/>
      <c r="AI1036" s="56"/>
      <c r="AJ1036" s="56"/>
      <c r="AK1036" s="56"/>
      <c r="AL1036" s="56"/>
      <c r="AM1036" s="56"/>
      <c r="AN1036" s="56"/>
      <c r="AO1036" s="56"/>
      <c r="AP1036" s="56"/>
      <c r="AQ1036" s="56"/>
      <c r="AR1036" s="56"/>
      <c r="AS1036" s="56"/>
      <c r="AT1036" s="56"/>
      <c r="AU1036" s="56"/>
      <c r="AV1036" s="56"/>
      <c r="AW1036" s="56"/>
      <c r="AX1036" s="56"/>
      <c r="AY1036" s="56"/>
      <c r="AZ1036" s="56"/>
      <c r="BA1036" s="56"/>
      <c r="BB1036" s="56"/>
      <c r="BC1036" s="56"/>
    </row>
    <row r="1037" spans="1:55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56"/>
      <c r="AV1037" s="56"/>
      <c r="AW1037" s="56"/>
      <c r="AX1037" s="56"/>
      <c r="AY1037" s="56"/>
      <c r="AZ1037" s="56"/>
      <c r="BA1037" s="56"/>
      <c r="BB1037" s="56"/>
      <c r="BC1037" s="56"/>
    </row>
    <row r="1038" spans="1:55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56"/>
      <c r="AV1038" s="56"/>
      <c r="AW1038" s="56"/>
      <c r="AX1038" s="56"/>
      <c r="AY1038" s="56"/>
      <c r="AZ1038" s="56"/>
      <c r="BA1038" s="56"/>
      <c r="BB1038" s="56"/>
      <c r="BC1038" s="56"/>
    </row>
    <row r="1039" spans="1:55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56"/>
      <c r="AV1039" s="56"/>
      <c r="AW1039" s="56"/>
      <c r="AX1039" s="56"/>
      <c r="AY1039" s="56"/>
      <c r="AZ1039" s="56"/>
      <c r="BA1039" s="56"/>
      <c r="BB1039" s="56"/>
      <c r="BC1039" s="56"/>
    </row>
    <row r="1040" spans="1:55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56"/>
      <c r="AV1040" s="56"/>
      <c r="AW1040" s="56"/>
      <c r="AX1040" s="56"/>
      <c r="AY1040" s="56"/>
      <c r="AZ1040" s="56"/>
      <c r="BA1040" s="56"/>
      <c r="BB1040" s="56"/>
      <c r="BC1040" s="56"/>
    </row>
    <row r="1041" spans="1:55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  <c r="AG1041" s="56"/>
      <c r="AH1041" s="56"/>
      <c r="AI1041" s="56"/>
      <c r="AJ1041" s="56"/>
      <c r="AK1041" s="56"/>
      <c r="AL1041" s="56"/>
      <c r="AM1041" s="56"/>
      <c r="AN1041" s="56"/>
      <c r="AO1041" s="56"/>
      <c r="AP1041" s="56"/>
      <c r="AQ1041" s="56"/>
      <c r="AR1041" s="56"/>
      <c r="AS1041" s="56"/>
      <c r="AT1041" s="56"/>
      <c r="AU1041" s="56"/>
      <c r="AV1041" s="56"/>
      <c r="AW1041" s="56"/>
      <c r="AX1041" s="56"/>
      <c r="AY1041" s="56"/>
      <c r="AZ1041" s="56"/>
      <c r="BA1041" s="56"/>
      <c r="BB1041" s="56"/>
      <c r="BC1041" s="56"/>
    </row>
    <row r="1042" spans="1:55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  <c r="AG1042" s="56"/>
      <c r="AH1042" s="56"/>
      <c r="AI1042" s="56"/>
      <c r="AJ1042" s="56"/>
      <c r="AK1042" s="56"/>
      <c r="AL1042" s="56"/>
      <c r="AM1042" s="56"/>
      <c r="AN1042" s="56"/>
      <c r="AO1042" s="56"/>
      <c r="AP1042" s="56"/>
      <c r="AQ1042" s="56"/>
      <c r="AR1042" s="56"/>
      <c r="AS1042" s="56"/>
      <c r="AT1042" s="56"/>
      <c r="AU1042" s="56"/>
      <c r="AV1042" s="56"/>
      <c r="AW1042" s="56"/>
      <c r="AX1042" s="56"/>
      <c r="AY1042" s="56"/>
      <c r="AZ1042" s="56"/>
      <c r="BA1042" s="56"/>
      <c r="BB1042" s="56"/>
      <c r="BC1042" s="56"/>
    </row>
    <row r="1043" spans="1:55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  <c r="AG1043" s="56"/>
      <c r="AH1043" s="56"/>
      <c r="AI1043" s="56"/>
      <c r="AJ1043" s="56"/>
      <c r="AK1043" s="56"/>
      <c r="AL1043" s="56"/>
      <c r="AM1043" s="56"/>
      <c r="AN1043" s="56"/>
      <c r="AO1043" s="56"/>
      <c r="AP1043" s="56"/>
      <c r="AQ1043" s="56"/>
      <c r="AR1043" s="56"/>
      <c r="AS1043" s="56"/>
      <c r="AT1043" s="56"/>
      <c r="AU1043" s="56"/>
      <c r="AV1043" s="56"/>
      <c r="AW1043" s="56"/>
      <c r="AX1043" s="56"/>
      <c r="AY1043" s="56"/>
      <c r="AZ1043" s="56"/>
      <c r="BA1043" s="56"/>
      <c r="BB1043" s="56"/>
      <c r="BC1043" s="56"/>
    </row>
    <row r="1044" spans="1:55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  <c r="AG1044" s="56"/>
      <c r="AH1044" s="56"/>
      <c r="AI1044" s="56"/>
      <c r="AJ1044" s="56"/>
      <c r="AK1044" s="56"/>
      <c r="AL1044" s="56"/>
      <c r="AM1044" s="56"/>
      <c r="AN1044" s="56"/>
      <c r="AO1044" s="56"/>
      <c r="AP1044" s="56"/>
      <c r="AQ1044" s="56"/>
      <c r="AR1044" s="56"/>
      <c r="AS1044" s="56"/>
      <c r="AT1044" s="56"/>
      <c r="AU1044" s="56"/>
      <c r="AV1044" s="56"/>
      <c r="AW1044" s="56"/>
      <c r="AX1044" s="56"/>
      <c r="AY1044" s="56"/>
      <c r="AZ1044" s="56"/>
      <c r="BA1044" s="56"/>
      <c r="BB1044" s="56"/>
      <c r="BC1044" s="56"/>
    </row>
    <row r="1045" spans="1:55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  <c r="AG1045" s="56"/>
      <c r="AH1045" s="56"/>
      <c r="AI1045" s="56"/>
      <c r="AJ1045" s="56"/>
      <c r="AK1045" s="56"/>
      <c r="AL1045" s="56"/>
      <c r="AM1045" s="56"/>
      <c r="AN1045" s="56"/>
      <c r="AO1045" s="56"/>
      <c r="AP1045" s="56"/>
      <c r="AQ1045" s="56"/>
      <c r="AR1045" s="56"/>
      <c r="AS1045" s="56"/>
      <c r="AT1045" s="56"/>
      <c r="AU1045" s="56"/>
      <c r="AV1045" s="56"/>
      <c r="AW1045" s="56"/>
      <c r="AX1045" s="56"/>
      <c r="AY1045" s="56"/>
      <c r="AZ1045" s="56"/>
      <c r="BA1045" s="56"/>
      <c r="BB1045" s="56"/>
      <c r="BC1045" s="56"/>
    </row>
    <row r="1046" spans="1:55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6"/>
      <c r="AB1046" s="56"/>
      <c r="AC1046" s="56"/>
      <c r="AD1046" s="56"/>
      <c r="AE1046" s="56"/>
      <c r="AF1046" s="56"/>
      <c r="AG1046" s="56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</row>
    <row r="1047" spans="1:55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6"/>
      <c r="AB1047" s="56"/>
      <c r="AC1047" s="56"/>
      <c r="AD1047" s="56"/>
      <c r="AE1047" s="56"/>
      <c r="AF1047" s="56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</row>
    <row r="1048" spans="1:55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  <c r="AG1048" s="56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</row>
    <row r="1049" spans="1:55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6"/>
      <c r="AB1049" s="56"/>
      <c r="AC1049" s="56"/>
      <c r="AD1049" s="56"/>
      <c r="AE1049" s="56"/>
      <c r="AF1049" s="56"/>
      <c r="AG1049" s="56"/>
      <c r="AH1049" s="56"/>
      <c r="AI1049" s="56"/>
      <c r="AJ1049" s="56"/>
      <c r="AK1049" s="56"/>
      <c r="AL1049" s="56"/>
      <c r="AM1049" s="56"/>
      <c r="AN1049" s="56"/>
      <c r="AO1049" s="56"/>
      <c r="AP1049" s="56"/>
      <c r="AQ1049" s="56"/>
      <c r="AR1049" s="56"/>
      <c r="AS1049" s="56"/>
      <c r="AT1049" s="56"/>
      <c r="AU1049" s="56"/>
      <c r="AV1049" s="56"/>
      <c r="AW1049" s="56"/>
      <c r="AX1049" s="56"/>
      <c r="AY1049" s="56"/>
      <c r="AZ1049" s="56"/>
      <c r="BA1049" s="56"/>
      <c r="BB1049" s="56"/>
      <c r="BC1049" s="56"/>
    </row>
    <row r="1050" spans="1:55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6"/>
      <c r="AB1050" s="56"/>
      <c r="AC1050" s="56"/>
      <c r="AD1050" s="56"/>
      <c r="AE1050" s="56"/>
      <c r="AF1050" s="56"/>
      <c r="AG1050" s="56"/>
      <c r="AH1050" s="56"/>
      <c r="AI1050" s="56"/>
      <c r="AJ1050" s="56"/>
      <c r="AK1050" s="56"/>
      <c r="AL1050" s="56"/>
      <c r="AM1050" s="56"/>
      <c r="AN1050" s="56"/>
      <c r="AO1050" s="56"/>
      <c r="AP1050" s="56"/>
      <c r="AQ1050" s="56"/>
      <c r="AR1050" s="56"/>
      <c r="AS1050" s="56"/>
      <c r="AT1050" s="56"/>
      <c r="AU1050" s="56"/>
      <c r="AV1050" s="56"/>
      <c r="AW1050" s="56"/>
      <c r="AX1050" s="56"/>
      <c r="AY1050" s="56"/>
      <c r="AZ1050" s="56"/>
      <c r="BA1050" s="56"/>
      <c r="BB1050" s="56"/>
      <c r="BC1050" s="56"/>
    </row>
    <row r="1051" spans="1:55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6"/>
      <c r="AB1051" s="56"/>
      <c r="AC1051" s="56"/>
      <c r="AD1051" s="56"/>
      <c r="AE1051" s="56"/>
      <c r="AF1051" s="56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</row>
    <row r="1052" spans="1:55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</row>
    <row r="1053" spans="1:55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6"/>
      <c r="AB1053" s="56"/>
      <c r="AC1053" s="56"/>
      <c r="AD1053" s="56"/>
      <c r="AE1053" s="56"/>
      <c r="AF1053" s="56"/>
      <c r="AG1053" s="56"/>
      <c r="AH1053" s="56"/>
      <c r="AI1053" s="56"/>
      <c r="AJ1053" s="56"/>
      <c r="AK1053" s="56"/>
      <c r="AL1053" s="56"/>
      <c r="AM1053" s="56"/>
      <c r="AN1053" s="56"/>
      <c r="AO1053" s="56"/>
      <c r="AP1053" s="56"/>
      <c r="AQ1053" s="56"/>
      <c r="AR1053" s="56"/>
      <c r="AS1053" s="56"/>
      <c r="AT1053" s="56"/>
      <c r="AU1053" s="56"/>
      <c r="AV1053" s="56"/>
      <c r="AW1053" s="56"/>
      <c r="AX1053" s="56"/>
      <c r="AY1053" s="56"/>
      <c r="AZ1053" s="56"/>
      <c r="BA1053" s="56"/>
      <c r="BB1053" s="56"/>
      <c r="BC1053" s="56"/>
    </row>
    <row r="1054" spans="1:55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6"/>
      <c r="AB1054" s="56"/>
      <c r="AC1054" s="56"/>
      <c r="AD1054" s="56"/>
      <c r="AE1054" s="56"/>
      <c r="AF1054" s="56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</row>
    <row r="1055" spans="1:55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6"/>
      <c r="AB1055" s="56"/>
      <c r="AC1055" s="56"/>
      <c r="AD1055" s="56"/>
      <c r="AE1055" s="56"/>
      <c r="AF1055" s="56"/>
      <c r="AG1055" s="56"/>
      <c r="AH1055" s="56"/>
      <c r="AI1055" s="56"/>
      <c r="AJ1055" s="56"/>
      <c r="AK1055" s="56"/>
      <c r="AL1055" s="56"/>
      <c r="AM1055" s="56"/>
      <c r="AN1055" s="56"/>
      <c r="AO1055" s="56"/>
      <c r="AP1055" s="56"/>
      <c r="AQ1055" s="56"/>
      <c r="AR1055" s="56"/>
      <c r="AS1055" s="56"/>
      <c r="AT1055" s="56"/>
      <c r="AU1055" s="56"/>
      <c r="AV1055" s="56"/>
      <c r="AW1055" s="56"/>
      <c r="AX1055" s="56"/>
      <c r="AY1055" s="56"/>
      <c r="AZ1055" s="56"/>
      <c r="BA1055" s="56"/>
      <c r="BB1055" s="56"/>
      <c r="BC1055" s="56"/>
    </row>
    <row r="1056" spans="1:55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6"/>
      <c r="AB1056" s="56"/>
      <c r="AC1056" s="56"/>
      <c r="AD1056" s="56"/>
      <c r="AE1056" s="56"/>
      <c r="AF1056" s="56"/>
      <c r="AG1056" s="56"/>
      <c r="AH1056" s="56"/>
      <c r="AI1056" s="56"/>
      <c r="AJ1056" s="56"/>
      <c r="AK1056" s="56"/>
      <c r="AL1056" s="56"/>
      <c r="AM1056" s="56"/>
      <c r="AN1056" s="56"/>
      <c r="AO1056" s="56"/>
      <c r="AP1056" s="56"/>
      <c r="AQ1056" s="56"/>
      <c r="AR1056" s="56"/>
      <c r="AS1056" s="56"/>
      <c r="AT1056" s="56"/>
      <c r="AU1056" s="56"/>
      <c r="AV1056" s="56"/>
      <c r="AW1056" s="56"/>
      <c r="AX1056" s="56"/>
      <c r="AY1056" s="56"/>
      <c r="AZ1056" s="56"/>
      <c r="BA1056" s="56"/>
      <c r="BB1056" s="56"/>
      <c r="BC1056" s="56"/>
    </row>
    <row r="1057" spans="1:55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6"/>
      <c r="AB1057" s="56"/>
      <c r="AC1057" s="56"/>
      <c r="AD1057" s="56"/>
      <c r="AE1057" s="56"/>
      <c r="AF1057" s="56"/>
      <c r="AG1057" s="56"/>
      <c r="AH1057" s="56"/>
      <c r="AI1057" s="56"/>
      <c r="AJ1057" s="56"/>
      <c r="AK1057" s="56"/>
      <c r="AL1057" s="56"/>
      <c r="AM1057" s="56"/>
      <c r="AN1057" s="56"/>
      <c r="AO1057" s="56"/>
      <c r="AP1057" s="56"/>
      <c r="AQ1057" s="56"/>
      <c r="AR1057" s="56"/>
      <c r="AS1057" s="56"/>
      <c r="AT1057" s="56"/>
      <c r="AU1057" s="56"/>
      <c r="AV1057" s="56"/>
      <c r="AW1057" s="56"/>
      <c r="AX1057" s="56"/>
      <c r="AY1057" s="56"/>
      <c r="AZ1057" s="56"/>
      <c r="BA1057" s="56"/>
      <c r="BB1057" s="56"/>
      <c r="BC1057" s="56"/>
    </row>
    <row r="1058" spans="1:55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6"/>
      <c r="AB1058" s="56"/>
      <c r="AC1058" s="56"/>
      <c r="AD1058" s="56"/>
      <c r="AE1058" s="56"/>
      <c r="AF1058" s="56"/>
      <c r="AG1058" s="56"/>
      <c r="AH1058" s="56"/>
      <c r="AI1058" s="56"/>
      <c r="AJ1058" s="56"/>
      <c r="AK1058" s="56"/>
      <c r="AL1058" s="56"/>
      <c r="AM1058" s="56"/>
      <c r="AN1058" s="56"/>
      <c r="AO1058" s="56"/>
      <c r="AP1058" s="56"/>
      <c r="AQ1058" s="56"/>
      <c r="AR1058" s="56"/>
      <c r="AS1058" s="56"/>
      <c r="AT1058" s="56"/>
      <c r="AU1058" s="56"/>
      <c r="AV1058" s="56"/>
      <c r="AW1058" s="56"/>
      <c r="AX1058" s="56"/>
      <c r="AY1058" s="56"/>
      <c r="AZ1058" s="56"/>
      <c r="BA1058" s="56"/>
      <c r="BB1058" s="56"/>
      <c r="BC1058" s="56"/>
    </row>
    <row r="1059" spans="1:55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6"/>
      <c r="AB1059" s="56"/>
      <c r="AC1059" s="56"/>
      <c r="AD1059" s="56"/>
      <c r="AE1059" s="56"/>
      <c r="AF1059" s="56"/>
      <c r="AG1059" s="56"/>
      <c r="AH1059" s="56"/>
      <c r="AI1059" s="56"/>
      <c r="AJ1059" s="56"/>
      <c r="AK1059" s="56"/>
      <c r="AL1059" s="56"/>
      <c r="AM1059" s="56"/>
      <c r="AN1059" s="56"/>
      <c r="AO1059" s="56"/>
      <c r="AP1059" s="56"/>
      <c r="AQ1059" s="56"/>
      <c r="AR1059" s="56"/>
      <c r="AS1059" s="56"/>
      <c r="AT1059" s="56"/>
      <c r="AU1059" s="56"/>
      <c r="AV1059" s="56"/>
      <c r="AW1059" s="56"/>
      <c r="AX1059" s="56"/>
      <c r="AY1059" s="56"/>
      <c r="AZ1059" s="56"/>
      <c r="BA1059" s="56"/>
      <c r="BB1059" s="56"/>
      <c r="BC1059" s="56"/>
    </row>
    <row r="1060" spans="1:55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6"/>
      <c r="AB1060" s="56"/>
      <c r="AC1060" s="56"/>
      <c r="AD1060" s="56"/>
      <c r="AE1060" s="56"/>
      <c r="AF1060" s="56"/>
      <c r="AG1060" s="56"/>
      <c r="AH1060" s="56"/>
      <c r="AI1060" s="56"/>
      <c r="AJ1060" s="56"/>
      <c r="AK1060" s="56"/>
      <c r="AL1060" s="56"/>
      <c r="AM1060" s="56"/>
      <c r="AN1060" s="56"/>
      <c r="AO1060" s="56"/>
      <c r="AP1060" s="56"/>
      <c r="AQ1060" s="56"/>
      <c r="AR1060" s="56"/>
      <c r="AS1060" s="56"/>
      <c r="AT1060" s="56"/>
      <c r="AU1060" s="56"/>
      <c r="AV1060" s="56"/>
      <c r="AW1060" s="56"/>
      <c r="AX1060" s="56"/>
      <c r="AY1060" s="56"/>
      <c r="AZ1060" s="56"/>
      <c r="BA1060" s="56"/>
      <c r="BB1060" s="56"/>
      <c r="BC1060" s="56"/>
    </row>
    <row r="1061" spans="1:55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6"/>
      <c r="AB1061" s="56"/>
      <c r="AC1061" s="56"/>
      <c r="AD1061" s="56"/>
      <c r="AE1061" s="56"/>
      <c r="AF1061" s="56"/>
      <c r="AG1061" s="56"/>
      <c r="AH1061" s="56"/>
      <c r="AI1061" s="56"/>
      <c r="AJ1061" s="56"/>
      <c r="AK1061" s="56"/>
      <c r="AL1061" s="56"/>
      <c r="AM1061" s="56"/>
      <c r="AN1061" s="56"/>
      <c r="AO1061" s="56"/>
      <c r="AP1061" s="56"/>
      <c r="AQ1061" s="56"/>
      <c r="AR1061" s="56"/>
      <c r="AS1061" s="56"/>
      <c r="AT1061" s="56"/>
      <c r="AU1061" s="56"/>
      <c r="AV1061" s="56"/>
      <c r="AW1061" s="56"/>
      <c r="AX1061" s="56"/>
      <c r="AY1061" s="56"/>
      <c r="AZ1061" s="56"/>
      <c r="BA1061" s="56"/>
      <c r="BB1061" s="56"/>
      <c r="BC1061" s="56"/>
    </row>
    <row r="1062" spans="1:55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6"/>
      <c r="AB1062" s="56"/>
      <c r="AC1062" s="56"/>
      <c r="AD1062" s="56"/>
      <c r="AE1062" s="56"/>
      <c r="AF1062" s="56"/>
      <c r="AG1062" s="56"/>
      <c r="AH1062" s="56"/>
      <c r="AI1062" s="56"/>
      <c r="AJ1062" s="56"/>
      <c r="AK1062" s="56"/>
      <c r="AL1062" s="56"/>
      <c r="AM1062" s="56"/>
      <c r="AN1062" s="56"/>
      <c r="AO1062" s="56"/>
      <c r="AP1062" s="56"/>
      <c r="AQ1062" s="56"/>
      <c r="AR1062" s="56"/>
      <c r="AS1062" s="56"/>
      <c r="AT1062" s="56"/>
      <c r="AU1062" s="56"/>
      <c r="AV1062" s="56"/>
      <c r="AW1062" s="56"/>
      <c r="AX1062" s="56"/>
      <c r="AY1062" s="56"/>
      <c r="AZ1062" s="56"/>
      <c r="BA1062" s="56"/>
      <c r="BB1062" s="56"/>
      <c r="BC1062" s="56"/>
    </row>
    <row r="1063" spans="1:55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6"/>
      <c r="AB1063" s="56"/>
      <c r="AC1063" s="56"/>
      <c r="AD1063" s="56"/>
      <c r="AE1063" s="56"/>
      <c r="AF1063" s="56"/>
      <c r="AG1063" s="56"/>
      <c r="AH1063" s="56"/>
      <c r="AI1063" s="56"/>
      <c r="AJ1063" s="56"/>
      <c r="AK1063" s="56"/>
      <c r="AL1063" s="56"/>
      <c r="AM1063" s="56"/>
      <c r="AN1063" s="56"/>
      <c r="AO1063" s="56"/>
      <c r="AP1063" s="56"/>
      <c r="AQ1063" s="56"/>
      <c r="AR1063" s="56"/>
      <c r="AS1063" s="56"/>
      <c r="AT1063" s="56"/>
      <c r="AU1063" s="56"/>
      <c r="AV1063" s="56"/>
      <c r="AW1063" s="56"/>
      <c r="AX1063" s="56"/>
      <c r="AY1063" s="56"/>
      <c r="AZ1063" s="56"/>
      <c r="BA1063" s="56"/>
      <c r="BB1063" s="56"/>
      <c r="BC1063" s="56"/>
    </row>
    <row r="1064" spans="1:55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6"/>
      <c r="AB1064" s="56"/>
      <c r="AC1064" s="56"/>
      <c r="AD1064" s="56"/>
      <c r="AE1064" s="56"/>
      <c r="AF1064" s="56"/>
      <c r="AG1064" s="56"/>
      <c r="AH1064" s="56"/>
      <c r="AI1064" s="56"/>
      <c r="AJ1064" s="56"/>
      <c r="AK1064" s="56"/>
      <c r="AL1064" s="56"/>
      <c r="AM1064" s="56"/>
      <c r="AN1064" s="56"/>
      <c r="AO1064" s="56"/>
      <c r="AP1064" s="56"/>
      <c r="AQ1064" s="56"/>
      <c r="AR1064" s="56"/>
      <c r="AS1064" s="56"/>
      <c r="AT1064" s="56"/>
      <c r="AU1064" s="56"/>
      <c r="AV1064" s="56"/>
      <c r="AW1064" s="56"/>
      <c r="AX1064" s="56"/>
      <c r="AY1064" s="56"/>
      <c r="AZ1064" s="56"/>
      <c r="BA1064" s="56"/>
      <c r="BB1064" s="56"/>
      <c r="BC1064" s="56"/>
    </row>
    <row r="1065" spans="1:55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6"/>
      <c r="AB1065" s="56"/>
      <c r="AC1065" s="56"/>
      <c r="AD1065" s="56"/>
      <c r="AE1065" s="56"/>
      <c r="AF1065" s="56"/>
      <c r="AG1065" s="56"/>
      <c r="AH1065" s="56"/>
      <c r="AI1065" s="56"/>
      <c r="AJ1065" s="56"/>
      <c r="AK1065" s="56"/>
      <c r="AL1065" s="56"/>
      <c r="AM1065" s="56"/>
      <c r="AN1065" s="56"/>
      <c r="AO1065" s="56"/>
      <c r="AP1065" s="56"/>
      <c r="AQ1065" s="56"/>
      <c r="AR1065" s="56"/>
      <c r="AS1065" s="56"/>
      <c r="AT1065" s="56"/>
      <c r="AU1065" s="56"/>
      <c r="AV1065" s="56"/>
      <c r="AW1065" s="56"/>
      <c r="AX1065" s="56"/>
      <c r="AY1065" s="56"/>
      <c r="AZ1065" s="56"/>
      <c r="BA1065" s="56"/>
      <c r="BB1065" s="56"/>
      <c r="BC1065" s="56"/>
    </row>
    <row r="1066" spans="1:55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6"/>
      <c r="AB1066" s="56"/>
      <c r="AC1066" s="56"/>
      <c r="AD1066" s="56"/>
      <c r="AE1066" s="56"/>
      <c r="AF1066" s="56"/>
      <c r="AG1066" s="56"/>
      <c r="AH1066" s="56"/>
      <c r="AI1066" s="56"/>
      <c r="AJ1066" s="56"/>
      <c r="AK1066" s="56"/>
      <c r="AL1066" s="56"/>
      <c r="AM1066" s="56"/>
      <c r="AN1066" s="56"/>
      <c r="AO1066" s="56"/>
      <c r="AP1066" s="56"/>
      <c r="AQ1066" s="56"/>
      <c r="AR1066" s="56"/>
      <c r="AS1066" s="56"/>
      <c r="AT1066" s="56"/>
      <c r="AU1066" s="56"/>
      <c r="AV1066" s="56"/>
      <c r="AW1066" s="56"/>
      <c r="AX1066" s="56"/>
      <c r="AY1066" s="56"/>
      <c r="AZ1066" s="56"/>
      <c r="BA1066" s="56"/>
      <c r="BB1066" s="56"/>
      <c r="BC1066" s="56"/>
    </row>
    <row r="1067" spans="1:55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6"/>
      <c r="AB1067" s="56"/>
      <c r="AC1067" s="56"/>
      <c r="AD1067" s="56"/>
      <c r="AE1067" s="56"/>
      <c r="AF1067" s="56"/>
      <c r="AG1067" s="56"/>
      <c r="AH1067" s="56"/>
      <c r="AI1067" s="56"/>
      <c r="AJ1067" s="56"/>
      <c r="AK1067" s="56"/>
      <c r="AL1067" s="56"/>
      <c r="AM1067" s="56"/>
      <c r="AN1067" s="56"/>
      <c r="AO1067" s="56"/>
      <c r="AP1067" s="56"/>
      <c r="AQ1067" s="56"/>
      <c r="AR1067" s="56"/>
      <c r="AS1067" s="56"/>
      <c r="AT1067" s="56"/>
      <c r="AU1067" s="56"/>
      <c r="AV1067" s="56"/>
      <c r="AW1067" s="56"/>
      <c r="AX1067" s="56"/>
      <c r="AY1067" s="56"/>
      <c r="AZ1067" s="56"/>
      <c r="BA1067" s="56"/>
      <c r="BB1067" s="56"/>
      <c r="BC1067" s="56"/>
    </row>
    <row r="1068" spans="1:55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6"/>
      <c r="AB1068" s="56"/>
      <c r="AC1068" s="56"/>
      <c r="AD1068" s="56"/>
      <c r="AE1068" s="56"/>
      <c r="AF1068" s="56"/>
      <c r="AG1068" s="56"/>
      <c r="AH1068" s="56"/>
      <c r="AI1068" s="56"/>
      <c r="AJ1068" s="56"/>
      <c r="AK1068" s="56"/>
      <c r="AL1068" s="56"/>
      <c r="AM1068" s="56"/>
      <c r="AN1068" s="56"/>
      <c r="AO1068" s="56"/>
      <c r="AP1068" s="56"/>
      <c r="AQ1068" s="56"/>
      <c r="AR1068" s="56"/>
      <c r="AS1068" s="56"/>
      <c r="AT1068" s="56"/>
      <c r="AU1068" s="56"/>
      <c r="AV1068" s="56"/>
      <c r="AW1068" s="56"/>
      <c r="AX1068" s="56"/>
      <c r="AY1068" s="56"/>
      <c r="AZ1068" s="56"/>
      <c r="BA1068" s="56"/>
      <c r="BB1068" s="56"/>
      <c r="BC1068" s="56"/>
    </row>
    <row r="1069" spans="1:55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6"/>
      <c r="AB1069" s="56"/>
      <c r="AC1069" s="56"/>
      <c r="AD1069" s="56"/>
      <c r="AE1069" s="56"/>
      <c r="AF1069" s="56"/>
      <c r="AG1069" s="56"/>
      <c r="AH1069" s="56"/>
      <c r="AI1069" s="56"/>
      <c r="AJ1069" s="56"/>
      <c r="AK1069" s="56"/>
      <c r="AL1069" s="56"/>
      <c r="AM1069" s="56"/>
      <c r="AN1069" s="56"/>
      <c r="AO1069" s="56"/>
      <c r="AP1069" s="56"/>
      <c r="AQ1069" s="56"/>
      <c r="AR1069" s="56"/>
      <c r="AS1069" s="56"/>
      <c r="AT1069" s="56"/>
      <c r="AU1069" s="56"/>
      <c r="AV1069" s="56"/>
      <c r="AW1069" s="56"/>
      <c r="AX1069" s="56"/>
      <c r="AY1069" s="56"/>
      <c r="AZ1069" s="56"/>
      <c r="BA1069" s="56"/>
      <c r="BB1069" s="56"/>
      <c r="BC1069" s="56"/>
    </row>
    <row r="1070" spans="1:55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6"/>
      <c r="AB1070" s="56"/>
      <c r="AC1070" s="56"/>
      <c r="AD1070" s="56"/>
      <c r="AE1070" s="56"/>
      <c r="AF1070" s="56"/>
      <c r="AG1070" s="56"/>
      <c r="AH1070" s="56"/>
      <c r="AI1070" s="56"/>
      <c r="AJ1070" s="56"/>
      <c r="AK1070" s="56"/>
      <c r="AL1070" s="56"/>
      <c r="AM1070" s="56"/>
      <c r="AN1070" s="56"/>
      <c r="AO1070" s="56"/>
      <c r="AP1070" s="56"/>
      <c r="AQ1070" s="56"/>
      <c r="AR1070" s="56"/>
      <c r="AS1070" s="56"/>
      <c r="AT1070" s="56"/>
      <c r="AU1070" s="56"/>
      <c r="AV1070" s="56"/>
      <c r="AW1070" s="56"/>
      <c r="AX1070" s="56"/>
      <c r="AY1070" s="56"/>
      <c r="AZ1070" s="56"/>
      <c r="BA1070" s="56"/>
      <c r="BB1070" s="56"/>
      <c r="BC1070" s="56"/>
    </row>
    <row r="1071" spans="1:55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6"/>
      <c r="AB1071" s="56"/>
      <c r="AC1071" s="56"/>
      <c r="AD1071" s="56"/>
      <c r="AE1071" s="56"/>
      <c r="AF1071" s="56"/>
      <c r="AG1071" s="56"/>
      <c r="AH1071" s="56"/>
      <c r="AI1071" s="56"/>
      <c r="AJ1071" s="56"/>
      <c r="AK1071" s="56"/>
      <c r="AL1071" s="56"/>
      <c r="AM1071" s="56"/>
      <c r="AN1071" s="56"/>
      <c r="AO1071" s="56"/>
      <c r="AP1071" s="56"/>
      <c r="AQ1071" s="56"/>
      <c r="AR1071" s="56"/>
      <c r="AS1071" s="56"/>
      <c r="AT1071" s="56"/>
      <c r="AU1071" s="56"/>
      <c r="AV1071" s="56"/>
      <c r="AW1071" s="56"/>
      <c r="AX1071" s="56"/>
      <c r="AY1071" s="56"/>
      <c r="AZ1071" s="56"/>
      <c r="BA1071" s="56"/>
      <c r="BB1071" s="56"/>
      <c r="BC1071" s="56"/>
    </row>
    <row r="1072" spans="1:55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6"/>
      <c r="AB1072" s="56"/>
      <c r="AC1072" s="56"/>
      <c r="AD1072" s="56"/>
      <c r="AE1072" s="56"/>
      <c r="AF1072" s="56"/>
      <c r="AG1072" s="56"/>
      <c r="AH1072" s="56"/>
      <c r="AI1072" s="56"/>
      <c r="AJ1072" s="56"/>
      <c r="AK1072" s="56"/>
      <c r="AL1072" s="56"/>
      <c r="AM1072" s="56"/>
      <c r="AN1072" s="56"/>
      <c r="AO1072" s="56"/>
      <c r="AP1072" s="56"/>
      <c r="AQ1072" s="56"/>
      <c r="AR1072" s="56"/>
      <c r="AS1072" s="56"/>
      <c r="AT1072" s="56"/>
      <c r="AU1072" s="56"/>
      <c r="AV1072" s="56"/>
      <c r="AW1072" s="56"/>
      <c r="AX1072" s="56"/>
      <c r="AY1072" s="56"/>
      <c r="AZ1072" s="56"/>
      <c r="BA1072" s="56"/>
      <c r="BB1072" s="56"/>
      <c r="BC1072" s="56"/>
    </row>
    <row r="1073" spans="1:55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6"/>
      <c r="AB1073" s="56"/>
      <c r="AC1073" s="56"/>
      <c r="AD1073" s="56"/>
      <c r="AE1073" s="56"/>
      <c r="AF1073" s="56"/>
      <c r="AG1073" s="56"/>
      <c r="AH1073" s="56"/>
      <c r="AI1073" s="56"/>
      <c r="AJ1073" s="56"/>
      <c r="AK1073" s="56"/>
      <c r="AL1073" s="56"/>
      <c r="AM1073" s="56"/>
      <c r="AN1073" s="56"/>
      <c r="AO1073" s="56"/>
      <c r="AP1073" s="56"/>
      <c r="AQ1073" s="56"/>
      <c r="AR1073" s="56"/>
      <c r="AS1073" s="56"/>
      <c r="AT1073" s="56"/>
      <c r="AU1073" s="56"/>
      <c r="AV1073" s="56"/>
      <c r="AW1073" s="56"/>
      <c r="AX1073" s="56"/>
      <c r="AY1073" s="56"/>
      <c r="AZ1073" s="56"/>
      <c r="BA1073" s="56"/>
      <c r="BB1073" s="56"/>
      <c r="BC1073" s="56"/>
    </row>
    <row r="1074" spans="1:55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6"/>
      <c r="AB1074" s="56"/>
      <c r="AC1074" s="56"/>
      <c r="AD1074" s="56"/>
      <c r="AE1074" s="56"/>
      <c r="AF1074" s="56"/>
      <c r="AG1074" s="56"/>
      <c r="AH1074" s="56"/>
      <c r="AI1074" s="56"/>
      <c r="AJ1074" s="56"/>
      <c r="AK1074" s="56"/>
      <c r="AL1074" s="56"/>
      <c r="AM1074" s="56"/>
      <c r="AN1074" s="56"/>
      <c r="AO1074" s="56"/>
      <c r="AP1074" s="56"/>
      <c r="AQ1074" s="56"/>
      <c r="AR1074" s="56"/>
      <c r="AS1074" s="56"/>
      <c r="AT1074" s="56"/>
      <c r="AU1074" s="56"/>
      <c r="AV1074" s="56"/>
      <c r="AW1074" s="56"/>
      <c r="AX1074" s="56"/>
      <c r="AY1074" s="56"/>
      <c r="AZ1074" s="56"/>
      <c r="BA1074" s="56"/>
      <c r="BB1074" s="56"/>
      <c r="BC1074" s="56"/>
    </row>
    <row r="1075" spans="1:55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</row>
    <row r="1076" spans="1:55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6"/>
      <c r="AB1076" s="56"/>
      <c r="AC1076" s="56"/>
      <c r="AD1076" s="56"/>
      <c r="AE1076" s="56"/>
      <c r="AF1076" s="56"/>
      <c r="AG1076" s="56"/>
      <c r="AH1076" s="56"/>
      <c r="AI1076" s="56"/>
      <c r="AJ1076" s="56"/>
      <c r="AK1076" s="56"/>
      <c r="AL1076" s="56"/>
      <c r="AM1076" s="56"/>
      <c r="AN1076" s="56"/>
      <c r="AO1076" s="56"/>
      <c r="AP1076" s="56"/>
      <c r="AQ1076" s="56"/>
      <c r="AR1076" s="56"/>
      <c r="AS1076" s="56"/>
      <c r="AT1076" s="56"/>
      <c r="AU1076" s="56"/>
      <c r="AV1076" s="56"/>
      <c r="AW1076" s="56"/>
      <c r="AX1076" s="56"/>
      <c r="AY1076" s="56"/>
      <c r="AZ1076" s="56"/>
      <c r="BA1076" s="56"/>
      <c r="BB1076" s="56"/>
      <c r="BC1076" s="56"/>
    </row>
    <row r="1077" spans="1:55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6"/>
      <c r="AB1077" s="56"/>
      <c r="AC1077" s="56"/>
      <c r="AD1077" s="56"/>
      <c r="AE1077" s="56"/>
      <c r="AF1077" s="56"/>
      <c r="AG1077" s="56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</row>
    <row r="1078" spans="1:55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6"/>
      <c r="AB1078" s="56"/>
      <c r="AC1078" s="56"/>
      <c r="AD1078" s="56"/>
      <c r="AE1078" s="56"/>
      <c r="AF1078" s="56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</row>
    <row r="1079" spans="1:55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  <c r="AH1079" s="56"/>
      <c r="AI1079" s="56"/>
      <c r="AJ1079" s="56"/>
      <c r="AK1079" s="56"/>
      <c r="AL1079" s="56"/>
      <c r="AM1079" s="56"/>
      <c r="AN1079" s="56"/>
      <c r="AO1079" s="56"/>
      <c r="AP1079" s="56"/>
      <c r="AQ1079" s="56"/>
      <c r="AR1079" s="56"/>
      <c r="AS1079" s="56"/>
      <c r="AT1079" s="56"/>
      <c r="AU1079" s="56"/>
      <c r="AV1079" s="56"/>
      <c r="AW1079" s="56"/>
      <c r="AX1079" s="56"/>
      <c r="AY1079" s="56"/>
      <c r="AZ1079" s="56"/>
      <c r="BA1079" s="56"/>
      <c r="BB1079" s="56"/>
      <c r="BC1079" s="56"/>
    </row>
    <row r="1080" spans="1:55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6"/>
      <c r="AB1080" s="56"/>
      <c r="AC1080" s="56"/>
      <c r="AD1080" s="56"/>
      <c r="AE1080" s="56"/>
      <c r="AF1080" s="56"/>
      <c r="AG1080" s="56"/>
      <c r="AH1080" s="56"/>
      <c r="AI1080" s="56"/>
      <c r="AJ1080" s="56"/>
      <c r="AK1080" s="56"/>
      <c r="AL1080" s="56"/>
      <c r="AM1080" s="56"/>
      <c r="AN1080" s="56"/>
      <c r="AO1080" s="56"/>
      <c r="AP1080" s="56"/>
      <c r="AQ1080" s="56"/>
      <c r="AR1080" s="56"/>
      <c r="AS1080" s="56"/>
      <c r="AT1080" s="56"/>
      <c r="AU1080" s="56"/>
      <c r="AV1080" s="56"/>
      <c r="AW1080" s="56"/>
      <c r="AX1080" s="56"/>
      <c r="AY1080" s="56"/>
      <c r="AZ1080" s="56"/>
      <c r="BA1080" s="56"/>
      <c r="BB1080" s="56"/>
      <c r="BC1080" s="56"/>
    </row>
    <row r="1081" spans="1:55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  <c r="AG1081" s="56"/>
      <c r="AH1081" s="56"/>
      <c r="AI1081" s="56"/>
      <c r="AJ1081" s="56"/>
      <c r="AK1081" s="56"/>
      <c r="AL1081" s="56"/>
      <c r="AM1081" s="56"/>
      <c r="AN1081" s="56"/>
      <c r="AO1081" s="56"/>
      <c r="AP1081" s="56"/>
      <c r="AQ1081" s="56"/>
      <c r="AR1081" s="56"/>
      <c r="AS1081" s="56"/>
      <c r="AT1081" s="56"/>
      <c r="AU1081" s="56"/>
      <c r="AV1081" s="56"/>
      <c r="AW1081" s="56"/>
      <c r="AX1081" s="56"/>
      <c r="AY1081" s="56"/>
      <c r="AZ1081" s="56"/>
      <c r="BA1081" s="56"/>
      <c r="BB1081" s="56"/>
      <c r="BC1081" s="56"/>
    </row>
    <row r="1082" spans="1:55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6"/>
      <c r="AB1082" s="56"/>
      <c r="AC1082" s="56"/>
      <c r="AD1082" s="56"/>
      <c r="AE1082" s="56"/>
      <c r="AF1082" s="56"/>
      <c r="AG1082" s="56"/>
      <c r="AH1082" s="56"/>
      <c r="AI1082" s="56"/>
      <c r="AJ1082" s="56"/>
      <c r="AK1082" s="56"/>
      <c r="AL1082" s="56"/>
      <c r="AM1082" s="56"/>
      <c r="AN1082" s="56"/>
      <c r="AO1082" s="56"/>
      <c r="AP1082" s="56"/>
      <c r="AQ1082" s="56"/>
      <c r="AR1082" s="56"/>
      <c r="AS1082" s="56"/>
      <c r="AT1082" s="56"/>
      <c r="AU1082" s="56"/>
      <c r="AV1082" s="56"/>
      <c r="AW1082" s="56"/>
      <c r="AX1082" s="56"/>
      <c r="AY1082" s="56"/>
      <c r="AZ1082" s="56"/>
      <c r="BA1082" s="56"/>
      <c r="BB1082" s="56"/>
      <c r="BC1082" s="56"/>
    </row>
    <row r="1083" spans="1:55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  <c r="AH1083" s="56"/>
      <c r="AI1083" s="56"/>
      <c r="AJ1083" s="56"/>
      <c r="AK1083" s="56"/>
      <c r="AL1083" s="56"/>
      <c r="AM1083" s="56"/>
      <c r="AN1083" s="56"/>
      <c r="AO1083" s="56"/>
      <c r="AP1083" s="56"/>
      <c r="AQ1083" s="56"/>
      <c r="AR1083" s="56"/>
      <c r="AS1083" s="56"/>
      <c r="AT1083" s="56"/>
      <c r="AU1083" s="56"/>
      <c r="AV1083" s="56"/>
      <c r="AW1083" s="56"/>
      <c r="AX1083" s="56"/>
      <c r="AY1083" s="56"/>
      <c r="AZ1083" s="56"/>
      <c r="BA1083" s="56"/>
      <c r="BB1083" s="56"/>
      <c r="BC1083" s="56"/>
    </row>
    <row r="1084" spans="1:55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6"/>
      <c r="AB1084" s="56"/>
      <c r="AC1084" s="56"/>
      <c r="AD1084" s="56"/>
      <c r="AE1084" s="56"/>
      <c r="AF1084" s="56"/>
      <c r="AG1084" s="56"/>
      <c r="AH1084" s="56"/>
      <c r="AI1084" s="56"/>
      <c r="AJ1084" s="56"/>
      <c r="AK1084" s="56"/>
      <c r="AL1084" s="56"/>
      <c r="AM1084" s="56"/>
      <c r="AN1084" s="56"/>
      <c r="AO1084" s="56"/>
      <c r="AP1084" s="56"/>
      <c r="AQ1084" s="56"/>
      <c r="AR1084" s="56"/>
      <c r="AS1084" s="56"/>
      <c r="AT1084" s="56"/>
      <c r="AU1084" s="56"/>
      <c r="AV1084" s="56"/>
      <c r="AW1084" s="56"/>
      <c r="AX1084" s="56"/>
      <c r="AY1084" s="56"/>
      <c r="AZ1084" s="56"/>
      <c r="BA1084" s="56"/>
      <c r="BB1084" s="56"/>
      <c r="BC1084" s="56"/>
    </row>
    <row r="1085" spans="1:55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6"/>
      <c r="AB1085" s="56"/>
      <c r="AC1085" s="56"/>
      <c r="AD1085" s="56"/>
      <c r="AE1085" s="56"/>
      <c r="AF1085" s="56"/>
      <c r="AG1085" s="56"/>
      <c r="AH1085" s="56"/>
      <c r="AI1085" s="56"/>
      <c r="AJ1085" s="56"/>
      <c r="AK1085" s="56"/>
      <c r="AL1085" s="56"/>
      <c r="AM1085" s="56"/>
      <c r="AN1085" s="56"/>
      <c r="AO1085" s="56"/>
      <c r="AP1085" s="56"/>
      <c r="AQ1085" s="56"/>
      <c r="AR1085" s="56"/>
      <c r="AS1085" s="56"/>
      <c r="AT1085" s="56"/>
      <c r="AU1085" s="56"/>
      <c r="AV1085" s="56"/>
      <c r="AW1085" s="56"/>
      <c r="AX1085" s="56"/>
      <c r="AY1085" s="56"/>
      <c r="AZ1085" s="56"/>
      <c r="BA1085" s="56"/>
      <c r="BB1085" s="56"/>
      <c r="BC1085" s="56"/>
    </row>
    <row r="1086" spans="1:55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6"/>
      <c r="AB1086" s="56"/>
      <c r="AC1086" s="56"/>
      <c r="AD1086" s="56"/>
      <c r="AE1086" s="56"/>
      <c r="AF1086" s="56"/>
      <c r="AG1086" s="56"/>
      <c r="AH1086" s="56"/>
      <c r="AI1086" s="56"/>
      <c r="AJ1086" s="56"/>
      <c r="AK1086" s="56"/>
      <c r="AL1086" s="56"/>
      <c r="AM1086" s="56"/>
      <c r="AN1086" s="56"/>
      <c r="AO1086" s="56"/>
      <c r="AP1086" s="56"/>
      <c r="AQ1086" s="56"/>
      <c r="AR1086" s="56"/>
      <c r="AS1086" s="56"/>
      <c r="AT1086" s="56"/>
      <c r="AU1086" s="56"/>
      <c r="AV1086" s="56"/>
      <c r="AW1086" s="56"/>
      <c r="AX1086" s="56"/>
      <c r="AY1086" s="56"/>
      <c r="AZ1086" s="56"/>
      <c r="BA1086" s="56"/>
      <c r="BB1086" s="56"/>
      <c r="BC1086" s="56"/>
    </row>
    <row r="1087" spans="1:55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6"/>
      <c r="AB1087" s="56"/>
      <c r="AC1087" s="56"/>
      <c r="AD1087" s="56"/>
      <c r="AE1087" s="56"/>
      <c r="AF1087" s="56"/>
      <c r="AG1087" s="56"/>
      <c r="AH1087" s="56"/>
      <c r="AI1087" s="56"/>
      <c r="AJ1087" s="56"/>
      <c r="AK1087" s="56"/>
      <c r="AL1087" s="56"/>
      <c r="AM1087" s="56"/>
      <c r="AN1087" s="56"/>
      <c r="AO1087" s="56"/>
      <c r="AP1087" s="56"/>
      <c r="AQ1087" s="56"/>
      <c r="AR1087" s="56"/>
      <c r="AS1087" s="56"/>
      <c r="AT1087" s="56"/>
      <c r="AU1087" s="56"/>
      <c r="AV1087" s="56"/>
      <c r="AW1087" s="56"/>
      <c r="AX1087" s="56"/>
      <c r="AY1087" s="56"/>
      <c r="AZ1087" s="56"/>
      <c r="BA1087" s="56"/>
      <c r="BB1087" s="56"/>
      <c r="BC1087" s="56"/>
    </row>
    <row r="1088" spans="1:55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6"/>
      <c r="AB1088" s="56"/>
      <c r="AC1088" s="56"/>
      <c r="AD1088" s="56"/>
      <c r="AE1088" s="56"/>
      <c r="AF1088" s="56"/>
      <c r="AG1088" s="56"/>
      <c r="AH1088" s="56"/>
      <c r="AI1088" s="56"/>
      <c r="AJ1088" s="56"/>
      <c r="AK1088" s="56"/>
      <c r="AL1088" s="56"/>
      <c r="AM1088" s="56"/>
      <c r="AN1088" s="56"/>
      <c r="AO1088" s="56"/>
      <c r="AP1088" s="56"/>
      <c r="AQ1088" s="56"/>
      <c r="AR1088" s="56"/>
      <c r="AS1088" s="56"/>
      <c r="AT1088" s="56"/>
      <c r="AU1088" s="56"/>
      <c r="AV1088" s="56"/>
      <c r="AW1088" s="56"/>
      <c r="AX1088" s="56"/>
      <c r="AY1088" s="56"/>
      <c r="AZ1088" s="56"/>
      <c r="BA1088" s="56"/>
      <c r="BB1088" s="56"/>
      <c r="BC1088" s="56"/>
    </row>
    <row r="1089" spans="1:55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6"/>
      <c r="AB1089" s="56"/>
      <c r="AC1089" s="56"/>
      <c r="AD1089" s="56"/>
      <c r="AE1089" s="56"/>
      <c r="AF1089" s="56"/>
      <c r="AG1089" s="56"/>
      <c r="AH1089" s="56"/>
      <c r="AI1089" s="56"/>
      <c r="AJ1089" s="56"/>
      <c r="AK1089" s="56"/>
      <c r="AL1089" s="56"/>
      <c r="AM1089" s="56"/>
      <c r="AN1089" s="56"/>
      <c r="AO1089" s="56"/>
      <c r="AP1089" s="56"/>
      <c r="AQ1089" s="56"/>
      <c r="AR1089" s="56"/>
      <c r="AS1089" s="56"/>
      <c r="AT1089" s="56"/>
      <c r="AU1089" s="56"/>
      <c r="AV1089" s="56"/>
      <c r="AW1089" s="56"/>
      <c r="AX1089" s="56"/>
      <c r="AY1089" s="56"/>
      <c r="AZ1089" s="56"/>
      <c r="BA1089" s="56"/>
      <c r="BB1089" s="56"/>
      <c r="BC1089" s="56"/>
    </row>
    <row r="1090" spans="1:55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6"/>
      <c r="AB1090" s="56"/>
      <c r="AC1090" s="56"/>
      <c r="AD1090" s="56"/>
      <c r="AE1090" s="56"/>
      <c r="AF1090" s="56"/>
      <c r="AG1090" s="56"/>
      <c r="AH1090" s="56"/>
      <c r="AI1090" s="56"/>
      <c r="AJ1090" s="56"/>
      <c r="AK1090" s="56"/>
      <c r="AL1090" s="56"/>
      <c r="AM1090" s="56"/>
      <c r="AN1090" s="56"/>
      <c r="AO1090" s="56"/>
      <c r="AP1090" s="56"/>
      <c r="AQ1090" s="56"/>
      <c r="AR1090" s="56"/>
      <c r="AS1090" s="56"/>
      <c r="AT1090" s="56"/>
      <c r="AU1090" s="56"/>
      <c r="AV1090" s="56"/>
      <c r="AW1090" s="56"/>
      <c r="AX1090" s="56"/>
      <c r="AY1090" s="56"/>
      <c r="AZ1090" s="56"/>
      <c r="BA1090" s="56"/>
      <c r="BB1090" s="56"/>
      <c r="BC1090" s="56"/>
    </row>
    <row r="1091" spans="1:55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6"/>
      <c r="AB1091" s="56"/>
      <c r="AC1091" s="56"/>
      <c r="AD1091" s="56"/>
      <c r="AE1091" s="56"/>
      <c r="AF1091" s="56"/>
      <c r="AG1091" s="56"/>
      <c r="AH1091" s="56"/>
      <c r="AI1091" s="56"/>
      <c r="AJ1091" s="56"/>
      <c r="AK1091" s="56"/>
      <c r="AL1091" s="56"/>
      <c r="AM1091" s="56"/>
      <c r="AN1091" s="56"/>
      <c r="AO1091" s="56"/>
      <c r="AP1091" s="56"/>
      <c r="AQ1091" s="56"/>
      <c r="AR1091" s="56"/>
      <c r="AS1091" s="56"/>
      <c r="AT1091" s="56"/>
      <c r="AU1091" s="56"/>
      <c r="AV1091" s="56"/>
      <c r="AW1091" s="56"/>
      <c r="AX1091" s="56"/>
      <c r="AY1091" s="56"/>
      <c r="AZ1091" s="56"/>
      <c r="BA1091" s="56"/>
      <c r="BB1091" s="56"/>
      <c r="BC1091" s="56"/>
    </row>
    <row r="1092" spans="1:55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6"/>
      <c r="AB1092" s="56"/>
      <c r="AC1092" s="56"/>
      <c r="AD1092" s="56"/>
      <c r="AE1092" s="56"/>
      <c r="AF1092" s="56"/>
      <c r="AG1092" s="56"/>
      <c r="AH1092" s="56"/>
      <c r="AI1092" s="56"/>
      <c r="AJ1092" s="56"/>
      <c r="AK1092" s="56"/>
      <c r="AL1092" s="56"/>
      <c r="AM1092" s="56"/>
      <c r="AN1092" s="56"/>
      <c r="AO1092" s="56"/>
      <c r="AP1092" s="56"/>
      <c r="AQ1092" s="56"/>
      <c r="AR1092" s="56"/>
      <c r="AS1092" s="56"/>
      <c r="AT1092" s="56"/>
      <c r="AU1092" s="56"/>
      <c r="AV1092" s="56"/>
      <c r="AW1092" s="56"/>
      <c r="AX1092" s="56"/>
      <c r="AY1092" s="56"/>
      <c r="AZ1092" s="56"/>
      <c r="BA1092" s="56"/>
      <c r="BB1092" s="56"/>
      <c r="BC1092" s="56"/>
    </row>
    <row r="1093" spans="1:55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6"/>
      <c r="AB1093" s="56"/>
      <c r="AC1093" s="56"/>
      <c r="AD1093" s="56"/>
      <c r="AE1093" s="56"/>
      <c r="AF1093" s="56"/>
      <c r="AG1093" s="56"/>
      <c r="AH1093" s="56"/>
      <c r="AI1093" s="56"/>
      <c r="AJ1093" s="56"/>
      <c r="AK1093" s="56"/>
      <c r="AL1093" s="56"/>
      <c r="AM1093" s="56"/>
      <c r="AN1093" s="56"/>
      <c r="AO1093" s="56"/>
      <c r="AP1093" s="56"/>
      <c r="AQ1093" s="56"/>
      <c r="AR1093" s="56"/>
      <c r="AS1093" s="56"/>
      <c r="AT1093" s="56"/>
      <c r="AU1093" s="56"/>
      <c r="AV1093" s="56"/>
      <c r="AW1093" s="56"/>
      <c r="AX1093" s="56"/>
      <c r="AY1093" s="56"/>
      <c r="AZ1093" s="56"/>
      <c r="BA1093" s="56"/>
      <c r="BB1093" s="56"/>
      <c r="BC1093" s="56"/>
    </row>
    <row r="1094" spans="1:55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6"/>
      <c r="AB1094" s="56"/>
      <c r="AC1094" s="56"/>
      <c r="AD1094" s="56"/>
      <c r="AE1094" s="56"/>
      <c r="AF1094" s="56"/>
      <c r="AG1094" s="56"/>
      <c r="AH1094" s="56"/>
      <c r="AI1094" s="56"/>
      <c r="AJ1094" s="56"/>
      <c r="AK1094" s="56"/>
      <c r="AL1094" s="56"/>
      <c r="AM1094" s="56"/>
      <c r="AN1094" s="56"/>
      <c r="AO1094" s="56"/>
      <c r="AP1094" s="56"/>
      <c r="AQ1094" s="56"/>
      <c r="AR1094" s="56"/>
      <c r="AS1094" s="56"/>
      <c r="AT1094" s="56"/>
      <c r="AU1094" s="56"/>
      <c r="AV1094" s="56"/>
      <c r="AW1094" s="56"/>
      <c r="AX1094" s="56"/>
      <c r="AY1094" s="56"/>
      <c r="AZ1094" s="56"/>
      <c r="BA1094" s="56"/>
      <c r="BB1094" s="56"/>
      <c r="BC1094" s="56"/>
    </row>
    <row r="1095" spans="1:55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  <c r="AH1095" s="56"/>
      <c r="AI1095" s="56"/>
      <c r="AJ1095" s="56"/>
      <c r="AK1095" s="56"/>
      <c r="AL1095" s="56"/>
      <c r="AM1095" s="56"/>
      <c r="AN1095" s="56"/>
      <c r="AO1095" s="56"/>
      <c r="AP1095" s="56"/>
      <c r="AQ1095" s="56"/>
      <c r="AR1095" s="56"/>
      <c r="AS1095" s="56"/>
      <c r="AT1095" s="56"/>
      <c r="AU1095" s="56"/>
      <c r="AV1095" s="56"/>
      <c r="AW1095" s="56"/>
      <c r="AX1095" s="56"/>
      <c r="AY1095" s="56"/>
      <c r="AZ1095" s="56"/>
      <c r="BA1095" s="56"/>
      <c r="BB1095" s="56"/>
      <c r="BC1095" s="56"/>
    </row>
    <row r="1096" spans="1:55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6"/>
      <c r="AB1096" s="56"/>
      <c r="AC1096" s="56"/>
      <c r="AD1096" s="56"/>
      <c r="AE1096" s="56"/>
      <c r="AF1096" s="56"/>
      <c r="AG1096" s="56"/>
      <c r="AH1096" s="56"/>
      <c r="AI1096" s="56"/>
      <c r="AJ1096" s="56"/>
      <c r="AK1096" s="56"/>
      <c r="AL1096" s="56"/>
      <c r="AM1096" s="56"/>
      <c r="AN1096" s="56"/>
      <c r="AO1096" s="56"/>
      <c r="AP1096" s="56"/>
      <c r="AQ1096" s="56"/>
      <c r="AR1096" s="56"/>
      <c r="AS1096" s="56"/>
      <c r="AT1096" s="56"/>
      <c r="AU1096" s="56"/>
      <c r="AV1096" s="56"/>
      <c r="AW1096" s="56"/>
      <c r="AX1096" s="56"/>
      <c r="AY1096" s="56"/>
      <c r="AZ1096" s="56"/>
      <c r="BA1096" s="56"/>
      <c r="BB1096" s="56"/>
      <c r="BC1096" s="56"/>
    </row>
    <row r="1097" spans="1:55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6"/>
      <c r="AB1097" s="56"/>
      <c r="AC1097" s="56"/>
      <c r="AD1097" s="56"/>
      <c r="AE1097" s="56"/>
      <c r="AF1097" s="56"/>
      <c r="AG1097" s="56"/>
      <c r="AH1097" s="56"/>
      <c r="AI1097" s="56"/>
      <c r="AJ1097" s="56"/>
      <c r="AK1097" s="56"/>
      <c r="AL1097" s="56"/>
      <c r="AM1097" s="56"/>
      <c r="AN1097" s="56"/>
      <c r="AO1097" s="56"/>
      <c r="AP1097" s="56"/>
      <c r="AQ1097" s="56"/>
      <c r="AR1097" s="56"/>
      <c r="AS1097" s="56"/>
      <c r="AT1097" s="56"/>
      <c r="AU1097" s="56"/>
      <c r="AV1097" s="56"/>
      <c r="AW1097" s="56"/>
      <c r="AX1097" s="56"/>
      <c r="AY1097" s="56"/>
      <c r="AZ1097" s="56"/>
      <c r="BA1097" s="56"/>
      <c r="BB1097" s="56"/>
      <c r="BC1097" s="56"/>
    </row>
    <row r="1098" spans="1:55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6"/>
      <c r="AB1098" s="56"/>
      <c r="AC1098" s="56"/>
      <c r="AD1098" s="56"/>
      <c r="AE1098" s="56"/>
      <c r="AF1098" s="56"/>
      <c r="AG1098" s="56"/>
      <c r="AH1098" s="56"/>
      <c r="AI1098" s="56"/>
      <c r="AJ1098" s="56"/>
      <c r="AK1098" s="56"/>
      <c r="AL1098" s="56"/>
      <c r="AM1098" s="56"/>
      <c r="AN1098" s="56"/>
      <c r="AO1098" s="56"/>
      <c r="AP1098" s="56"/>
      <c r="AQ1098" s="56"/>
      <c r="AR1098" s="56"/>
      <c r="AS1098" s="56"/>
      <c r="AT1098" s="56"/>
      <c r="AU1098" s="56"/>
      <c r="AV1098" s="56"/>
      <c r="AW1098" s="56"/>
      <c r="AX1098" s="56"/>
      <c r="AY1098" s="56"/>
      <c r="AZ1098" s="56"/>
      <c r="BA1098" s="56"/>
      <c r="BB1098" s="56"/>
      <c r="BC1098" s="56"/>
    </row>
    <row r="1099" spans="1:55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6"/>
      <c r="AB1099" s="56"/>
      <c r="AC1099" s="56"/>
      <c r="AD1099" s="56"/>
      <c r="AE1099" s="56"/>
      <c r="AF1099" s="56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</row>
    <row r="1100" spans="1:55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  <c r="AG1100" s="56"/>
      <c r="AH1100" s="56"/>
      <c r="AI1100" s="56"/>
      <c r="AJ1100" s="56"/>
      <c r="AK1100" s="56"/>
      <c r="AL1100" s="56"/>
      <c r="AM1100" s="56"/>
      <c r="AN1100" s="56"/>
      <c r="AO1100" s="56"/>
      <c r="AP1100" s="56"/>
      <c r="AQ1100" s="56"/>
      <c r="AR1100" s="56"/>
      <c r="AS1100" s="56"/>
      <c r="AT1100" s="56"/>
      <c r="AU1100" s="56"/>
      <c r="AV1100" s="56"/>
      <c r="AW1100" s="56"/>
      <c r="AX1100" s="56"/>
      <c r="AY1100" s="56"/>
      <c r="AZ1100" s="56"/>
      <c r="BA1100" s="56"/>
      <c r="BB1100" s="56"/>
      <c r="BC1100" s="56"/>
    </row>
    <row r="1101" spans="1:55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6"/>
      <c r="AB1101" s="56"/>
      <c r="AC1101" s="56"/>
      <c r="AD1101" s="56"/>
      <c r="AE1101" s="56"/>
      <c r="AF1101" s="56"/>
      <c r="AG1101" s="56"/>
      <c r="AH1101" s="56"/>
      <c r="AI1101" s="56"/>
      <c r="AJ1101" s="56"/>
      <c r="AK1101" s="56"/>
      <c r="AL1101" s="56"/>
      <c r="AM1101" s="56"/>
      <c r="AN1101" s="56"/>
      <c r="AO1101" s="56"/>
      <c r="AP1101" s="56"/>
      <c r="AQ1101" s="56"/>
      <c r="AR1101" s="56"/>
      <c r="AS1101" s="56"/>
      <c r="AT1101" s="56"/>
      <c r="AU1101" s="56"/>
      <c r="AV1101" s="56"/>
      <c r="AW1101" s="56"/>
      <c r="AX1101" s="56"/>
      <c r="AY1101" s="56"/>
      <c r="AZ1101" s="56"/>
      <c r="BA1101" s="56"/>
      <c r="BB1101" s="56"/>
      <c r="BC1101" s="56"/>
    </row>
    <row r="1102" spans="1:55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  <c r="AG1102" s="56"/>
      <c r="AH1102" s="56"/>
      <c r="AI1102" s="56"/>
      <c r="AJ1102" s="56"/>
      <c r="AK1102" s="56"/>
      <c r="AL1102" s="56"/>
      <c r="AM1102" s="56"/>
      <c r="AN1102" s="56"/>
      <c r="AO1102" s="56"/>
      <c r="AP1102" s="56"/>
      <c r="AQ1102" s="56"/>
      <c r="AR1102" s="56"/>
      <c r="AS1102" s="56"/>
      <c r="AT1102" s="56"/>
      <c r="AU1102" s="56"/>
      <c r="AV1102" s="56"/>
      <c r="AW1102" s="56"/>
      <c r="AX1102" s="56"/>
      <c r="AY1102" s="56"/>
      <c r="AZ1102" s="56"/>
      <c r="BA1102" s="56"/>
      <c r="BB1102" s="56"/>
      <c r="BC1102" s="56"/>
    </row>
    <row r="1103" spans="1:55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6"/>
      <c r="AB1103" s="56"/>
      <c r="AC1103" s="56"/>
      <c r="AD1103" s="56"/>
      <c r="AE1103" s="56"/>
      <c r="AF1103" s="56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</row>
    <row r="1104" spans="1:55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6"/>
      <c r="AB1104" s="56"/>
      <c r="AC1104" s="56"/>
      <c r="AD1104" s="56"/>
      <c r="AE1104" s="56"/>
      <c r="AF1104" s="56"/>
      <c r="AG1104" s="56"/>
      <c r="AH1104" s="56"/>
      <c r="AI1104" s="56"/>
      <c r="AJ1104" s="56"/>
      <c r="AK1104" s="56"/>
      <c r="AL1104" s="56"/>
      <c r="AM1104" s="56"/>
      <c r="AN1104" s="56"/>
      <c r="AO1104" s="56"/>
      <c r="AP1104" s="56"/>
      <c r="AQ1104" s="56"/>
      <c r="AR1104" s="56"/>
      <c r="AS1104" s="56"/>
      <c r="AT1104" s="56"/>
      <c r="AU1104" s="56"/>
      <c r="AV1104" s="56"/>
      <c r="AW1104" s="56"/>
      <c r="AX1104" s="56"/>
      <c r="AY1104" s="56"/>
      <c r="AZ1104" s="56"/>
      <c r="BA1104" s="56"/>
      <c r="BB1104" s="56"/>
      <c r="BC1104" s="56"/>
    </row>
    <row r="1105" spans="1:55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  <c r="AG1105" s="56"/>
      <c r="AH1105" s="56"/>
      <c r="AI1105" s="56"/>
      <c r="AJ1105" s="56"/>
      <c r="AK1105" s="56"/>
      <c r="AL1105" s="56"/>
      <c r="AM1105" s="56"/>
      <c r="AN1105" s="56"/>
      <c r="AO1105" s="56"/>
      <c r="AP1105" s="56"/>
      <c r="AQ1105" s="56"/>
      <c r="AR1105" s="56"/>
      <c r="AS1105" s="56"/>
      <c r="AT1105" s="56"/>
      <c r="AU1105" s="56"/>
      <c r="AV1105" s="56"/>
      <c r="AW1105" s="56"/>
      <c r="AX1105" s="56"/>
      <c r="AY1105" s="56"/>
      <c r="AZ1105" s="56"/>
      <c r="BA1105" s="56"/>
      <c r="BB1105" s="56"/>
      <c r="BC1105" s="56"/>
    </row>
    <row r="1106" spans="1:55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6"/>
      <c r="AB1106" s="56"/>
      <c r="AC1106" s="56"/>
      <c r="AD1106" s="56"/>
      <c r="AE1106" s="56"/>
      <c r="AF1106" s="56"/>
      <c r="AG1106" s="56"/>
      <c r="AH1106" s="56"/>
      <c r="AI1106" s="56"/>
      <c r="AJ1106" s="56"/>
      <c r="AK1106" s="56"/>
      <c r="AL1106" s="56"/>
      <c r="AM1106" s="56"/>
      <c r="AN1106" s="56"/>
      <c r="AO1106" s="56"/>
      <c r="AP1106" s="56"/>
      <c r="AQ1106" s="56"/>
      <c r="AR1106" s="56"/>
      <c r="AS1106" s="56"/>
      <c r="AT1106" s="56"/>
      <c r="AU1106" s="56"/>
      <c r="AV1106" s="56"/>
      <c r="AW1106" s="56"/>
      <c r="AX1106" s="56"/>
      <c r="AY1106" s="56"/>
      <c r="AZ1106" s="56"/>
      <c r="BA1106" s="56"/>
      <c r="BB1106" s="56"/>
      <c r="BC1106" s="56"/>
    </row>
    <row r="1107" spans="1:55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6"/>
      <c r="AB1107" s="56"/>
      <c r="AC1107" s="56"/>
      <c r="AD1107" s="56"/>
      <c r="AE1107" s="56"/>
      <c r="AF1107" s="56"/>
      <c r="AG1107" s="56"/>
      <c r="AH1107" s="56"/>
      <c r="AI1107" s="56"/>
      <c r="AJ1107" s="56"/>
      <c r="AK1107" s="56"/>
      <c r="AL1107" s="56"/>
      <c r="AM1107" s="56"/>
      <c r="AN1107" s="56"/>
      <c r="AO1107" s="56"/>
      <c r="AP1107" s="56"/>
      <c r="AQ1107" s="56"/>
      <c r="AR1107" s="56"/>
      <c r="AS1107" s="56"/>
      <c r="AT1107" s="56"/>
      <c r="AU1107" s="56"/>
      <c r="AV1107" s="56"/>
      <c r="AW1107" s="56"/>
      <c r="AX1107" s="56"/>
      <c r="AY1107" s="56"/>
      <c r="AZ1107" s="56"/>
      <c r="BA1107" s="56"/>
      <c r="BB1107" s="56"/>
      <c r="BC1107" s="56"/>
    </row>
    <row r="1108" spans="1:55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6"/>
      <c r="AB1108" s="56"/>
      <c r="AC1108" s="56"/>
      <c r="AD1108" s="56"/>
      <c r="AE1108" s="56"/>
      <c r="AF1108" s="56"/>
      <c r="AG1108" s="56"/>
      <c r="AH1108" s="56"/>
      <c r="AI1108" s="56"/>
      <c r="AJ1108" s="56"/>
      <c r="AK1108" s="56"/>
      <c r="AL1108" s="56"/>
      <c r="AM1108" s="56"/>
      <c r="AN1108" s="56"/>
      <c r="AO1108" s="56"/>
      <c r="AP1108" s="56"/>
      <c r="AQ1108" s="56"/>
      <c r="AR1108" s="56"/>
      <c r="AS1108" s="56"/>
      <c r="AT1108" s="56"/>
      <c r="AU1108" s="56"/>
      <c r="AV1108" s="56"/>
      <c r="AW1108" s="56"/>
      <c r="AX1108" s="56"/>
      <c r="AY1108" s="56"/>
      <c r="AZ1108" s="56"/>
      <c r="BA1108" s="56"/>
      <c r="BB1108" s="56"/>
      <c r="BC1108" s="56"/>
    </row>
    <row r="1109" spans="1:55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6"/>
      <c r="AB1109" s="56"/>
      <c r="AC1109" s="56"/>
      <c r="AD1109" s="56"/>
      <c r="AE1109" s="56"/>
      <c r="AF1109" s="56"/>
      <c r="AG1109" s="56"/>
      <c r="AH1109" s="56"/>
      <c r="AI1109" s="56"/>
      <c r="AJ1109" s="56"/>
      <c r="AK1109" s="56"/>
      <c r="AL1109" s="56"/>
      <c r="AM1109" s="56"/>
      <c r="AN1109" s="56"/>
      <c r="AO1109" s="56"/>
      <c r="AP1109" s="56"/>
      <c r="AQ1109" s="56"/>
      <c r="AR1109" s="56"/>
      <c r="AS1109" s="56"/>
      <c r="AT1109" s="56"/>
      <c r="AU1109" s="56"/>
      <c r="AV1109" s="56"/>
      <c r="AW1109" s="56"/>
      <c r="AX1109" s="56"/>
      <c r="AY1109" s="56"/>
      <c r="AZ1109" s="56"/>
      <c r="BA1109" s="56"/>
      <c r="BB1109" s="56"/>
      <c r="BC1109" s="56"/>
    </row>
    <row r="1110" spans="1:55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6"/>
      <c r="AB1110" s="56"/>
      <c r="AC1110" s="56"/>
      <c r="AD1110" s="56"/>
      <c r="AE1110" s="56"/>
      <c r="AF1110" s="56"/>
      <c r="AG1110" s="56"/>
      <c r="AH1110" s="56"/>
      <c r="AI1110" s="56"/>
      <c r="AJ1110" s="56"/>
      <c r="AK1110" s="56"/>
      <c r="AL1110" s="56"/>
      <c r="AM1110" s="56"/>
      <c r="AN1110" s="56"/>
      <c r="AO1110" s="56"/>
      <c r="AP1110" s="56"/>
      <c r="AQ1110" s="56"/>
      <c r="AR1110" s="56"/>
      <c r="AS1110" s="56"/>
      <c r="AT1110" s="56"/>
      <c r="AU1110" s="56"/>
      <c r="AV1110" s="56"/>
      <c r="AW1110" s="56"/>
      <c r="AX1110" s="56"/>
      <c r="AY1110" s="56"/>
      <c r="AZ1110" s="56"/>
      <c r="BA1110" s="56"/>
      <c r="BB1110" s="56"/>
      <c r="BC1110" s="56"/>
    </row>
    <row r="1111" spans="1:55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6"/>
      <c r="AB1111" s="56"/>
      <c r="AC1111" s="56"/>
      <c r="AD1111" s="56"/>
      <c r="AE1111" s="56"/>
      <c r="AF1111" s="56"/>
      <c r="AG1111" s="56"/>
      <c r="AH1111" s="56"/>
      <c r="AI1111" s="56"/>
      <c r="AJ1111" s="56"/>
      <c r="AK1111" s="56"/>
      <c r="AL1111" s="56"/>
      <c r="AM1111" s="56"/>
      <c r="AN1111" s="56"/>
      <c r="AO1111" s="56"/>
      <c r="AP1111" s="56"/>
      <c r="AQ1111" s="56"/>
      <c r="AR1111" s="56"/>
      <c r="AS1111" s="56"/>
      <c r="AT1111" s="56"/>
      <c r="AU1111" s="56"/>
      <c r="AV1111" s="56"/>
      <c r="AW1111" s="56"/>
      <c r="AX1111" s="56"/>
      <c r="AY1111" s="56"/>
      <c r="AZ1111" s="56"/>
      <c r="BA1111" s="56"/>
      <c r="BB1111" s="56"/>
      <c r="BC1111" s="56"/>
    </row>
    <row r="1112" spans="1:55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6"/>
      <c r="AB1112" s="56"/>
      <c r="AC1112" s="56"/>
      <c r="AD1112" s="56"/>
      <c r="AE1112" s="56"/>
      <c r="AF1112" s="56"/>
      <c r="AG1112" s="56"/>
      <c r="AH1112" s="56"/>
      <c r="AI1112" s="56"/>
      <c r="AJ1112" s="56"/>
      <c r="AK1112" s="56"/>
      <c r="AL1112" s="56"/>
      <c r="AM1112" s="56"/>
      <c r="AN1112" s="56"/>
      <c r="AO1112" s="56"/>
      <c r="AP1112" s="56"/>
      <c r="AQ1112" s="56"/>
      <c r="AR1112" s="56"/>
      <c r="AS1112" s="56"/>
      <c r="AT1112" s="56"/>
      <c r="AU1112" s="56"/>
      <c r="AV1112" s="56"/>
      <c r="AW1112" s="56"/>
      <c r="AX1112" s="56"/>
      <c r="AY1112" s="56"/>
      <c r="AZ1112" s="56"/>
      <c r="BA1112" s="56"/>
      <c r="BB1112" s="56"/>
      <c r="BC1112" s="56"/>
    </row>
    <row r="1113" spans="1:55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6"/>
      <c r="AB1113" s="56"/>
      <c r="AC1113" s="56"/>
      <c r="AD1113" s="56"/>
      <c r="AE1113" s="56"/>
      <c r="AF1113" s="56"/>
      <c r="AG1113" s="56"/>
      <c r="AH1113" s="56"/>
      <c r="AI1113" s="56"/>
      <c r="AJ1113" s="56"/>
      <c r="AK1113" s="56"/>
      <c r="AL1113" s="56"/>
      <c r="AM1113" s="56"/>
      <c r="AN1113" s="56"/>
      <c r="AO1113" s="56"/>
      <c r="AP1113" s="56"/>
      <c r="AQ1113" s="56"/>
      <c r="AR1113" s="56"/>
      <c r="AS1113" s="56"/>
      <c r="AT1113" s="56"/>
      <c r="AU1113" s="56"/>
      <c r="AV1113" s="56"/>
      <c r="AW1113" s="56"/>
      <c r="AX1113" s="56"/>
      <c r="AY1113" s="56"/>
      <c r="AZ1113" s="56"/>
      <c r="BA1113" s="56"/>
      <c r="BB1113" s="56"/>
      <c r="BC1113" s="56"/>
    </row>
    <row r="1114" spans="1:55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6"/>
      <c r="AB1114" s="56"/>
      <c r="AC1114" s="56"/>
      <c r="AD1114" s="56"/>
      <c r="AE1114" s="56"/>
      <c r="AF1114" s="56"/>
      <c r="AG1114" s="56"/>
      <c r="AH1114" s="56"/>
      <c r="AI1114" s="56"/>
      <c r="AJ1114" s="56"/>
      <c r="AK1114" s="56"/>
      <c r="AL1114" s="56"/>
      <c r="AM1114" s="56"/>
      <c r="AN1114" s="56"/>
      <c r="AO1114" s="56"/>
      <c r="AP1114" s="56"/>
      <c r="AQ1114" s="56"/>
      <c r="AR1114" s="56"/>
      <c r="AS1114" s="56"/>
      <c r="AT1114" s="56"/>
      <c r="AU1114" s="56"/>
      <c r="AV1114" s="56"/>
      <c r="AW1114" s="56"/>
      <c r="AX1114" s="56"/>
      <c r="AY1114" s="56"/>
      <c r="AZ1114" s="56"/>
      <c r="BA1114" s="56"/>
      <c r="BB1114" s="56"/>
      <c r="BC1114" s="56"/>
    </row>
    <row r="1115" spans="1:55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  <c r="AG1115" s="56"/>
      <c r="AH1115" s="56"/>
      <c r="AI1115" s="56"/>
      <c r="AJ1115" s="56"/>
      <c r="AK1115" s="56"/>
      <c r="AL1115" s="56"/>
      <c r="AM1115" s="56"/>
      <c r="AN1115" s="56"/>
      <c r="AO1115" s="56"/>
      <c r="AP1115" s="56"/>
      <c r="AQ1115" s="56"/>
      <c r="AR1115" s="56"/>
      <c r="AS1115" s="56"/>
      <c r="AT1115" s="56"/>
      <c r="AU1115" s="56"/>
      <c r="AV1115" s="56"/>
      <c r="AW1115" s="56"/>
      <c r="AX1115" s="56"/>
      <c r="AY1115" s="56"/>
      <c r="AZ1115" s="56"/>
      <c r="BA1115" s="56"/>
      <c r="BB1115" s="56"/>
      <c r="BC1115" s="56"/>
    </row>
    <row r="1116" spans="1:55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6"/>
      <c r="AB1116" s="56"/>
      <c r="AC1116" s="56"/>
      <c r="AD1116" s="56"/>
      <c r="AE1116" s="56"/>
      <c r="AF1116" s="56"/>
      <c r="AG1116" s="56"/>
      <c r="AH1116" s="56"/>
      <c r="AI1116" s="56"/>
      <c r="AJ1116" s="56"/>
      <c r="AK1116" s="56"/>
      <c r="AL1116" s="56"/>
      <c r="AM1116" s="56"/>
      <c r="AN1116" s="56"/>
      <c r="AO1116" s="56"/>
      <c r="AP1116" s="56"/>
      <c r="AQ1116" s="56"/>
      <c r="AR1116" s="56"/>
      <c r="AS1116" s="56"/>
      <c r="AT1116" s="56"/>
      <c r="AU1116" s="56"/>
      <c r="AV1116" s="56"/>
      <c r="AW1116" s="56"/>
      <c r="AX1116" s="56"/>
      <c r="AY1116" s="56"/>
      <c r="AZ1116" s="56"/>
      <c r="BA1116" s="56"/>
      <c r="BB1116" s="56"/>
      <c r="BC1116" s="56"/>
    </row>
    <row r="1117" spans="1:55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6"/>
      <c r="AB1117" s="56"/>
      <c r="AC1117" s="56"/>
      <c r="AD1117" s="56"/>
      <c r="AE1117" s="56"/>
      <c r="AF1117" s="56"/>
      <c r="AG1117" s="56"/>
      <c r="AH1117" s="56"/>
      <c r="AI1117" s="56"/>
      <c r="AJ1117" s="56"/>
      <c r="AK1117" s="56"/>
      <c r="AL1117" s="56"/>
      <c r="AM1117" s="56"/>
      <c r="AN1117" s="56"/>
      <c r="AO1117" s="56"/>
      <c r="AP1117" s="56"/>
      <c r="AQ1117" s="56"/>
      <c r="AR1117" s="56"/>
      <c r="AS1117" s="56"/>
      <c r="AT1117" s="56"/>
      <c r="AU1117" s="56"/>
      <c r="AV1117" s="56"/>
      <c r="AW1117" s="56"/>
      <c r="AX1117" s="56"/>
      <c r="AY1117" s="56"/>
      <c r="AZ1117" s="56"/>
      <c r="BA1117" s="56"/>
      <c r="BB1117" s="56"/>
      <c r="BC1117" s="56"/>
    </row>
    <row r="1118" spans="1:55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6"/>
      <c r="AB1118" s="56"/>
      <c r="AC1118" s="56"/>
      <c r="AD1118" s="56"/>
      <c r="AE1118" s="56"/>
      <c r="AF1118" s="56"/>
      <c r="AG1118" s="56"/>
      <c r="AH1118" s="56"/>
      <c r="AI1118" s="56"/>
      <c r="AJ1118" s="56"/>
      <c r="AK1118" s="56"/>
      <c r="AL1118" s="56"/>
      <c r="AM1118" s="56"/>
      <c r="AN1118" s="56"/>
      <c r="AO1118" s="56"/>
      <c r="AP1118" s="56"/>
      <c r="AQ1118" s="56"/>
      <c r="AR1118" s="56"/>
      <c r="AS1118" s="56"/>
      <c r="AT1118" s="56"/>
      <c r="AU1118" s="56"/>
      <c r="AV1118" s="56"/>
      <c r="AW1118" s="56"/>
      <c r="AX1118" s="56"/>
      <c r="AY1118" s="56"/>
      <c r="AZ1118" s="56"/>
      <c r="BA1118" s="56"/>
      <c r="BB1118" s="56"/>
      <c r="BC1118" s="56"/>
    </row>
    <row r="1119" spans="1:55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  <c r="AG1119" s="56"/>
      <c r="AH1119" s="56"/>
      <c r="AI1119" s="56"/>
      <c r="AJ1119" s="56"/>
      <c r="AK1119" s="56"/>
      <c r="AL1119" s="56"/>
      <c r="AM1119" s="56"/>
      <c r="AN1119" s="56"/>
      <c r="AO1119" s="56"/>
      <c r="AP1119" s="56"/>
      <c r="AQ1119" s="56"/>
      <c r="AR1119" s="56"/>
      <c r="AS1119" s="56"/>
      <c r="AT1119" s="56"/>
      <c r="AU1119" s="56"/>
      <c r="AV1119" s="56"/>
      <c r="AW1119" s="56"/>
      <c r="AX1119" s="56"/>
      <c r="AY1119" s="56"/>
      <c r="AZ1119" s="56"/>
      <c r="BA1119" s="56"/>
      <c r="BB1119" s="56"/>
      <c r="BC1119" s="56"/>
    </row>
    <row r="1120" spans="1:55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6"/>
      <c r="AB1120" s="56"/>
      <c r="AC1120" s="56"/>
      <c r="AD1120" s="56"/>
      <c r="AE1120" s="56"/>
      <c r="AF1120" s="56"/>
      <c r="AG1120" s="56"/>
      <c r="AH1120" s="56"/>
      <c r="AI1120" s="56"/>
      <c r="AJ1120" s="56"/>
      <c r="AK1120" s="56"/>
      <c r="AL1120" s="56"/>
      <c r="AM1120" s="56"/>
      <c r="AN1120" s="56"/>
      <c r="AO1120" s="56"/>
      <c r="AP1120" s="56"/>
      <c r="AQ1120" s="56"/>
      <c r="AR1120" s="56"/>
      <c r="AS1120" s="56"/>
      <c r="AT1120" s="56"/>
      <c r="AU1120" s="56"/>
      <c r="AV1120" s="56"/>
      <c r="AW1120" s="56"/>
      <c r="AX1120" s="56"/>
      <c r="AY1120" s="56"/>
      <c r="AZ1120" s="56"/>
      <c r="BA1120" s="56"/>
      <c r="BB1120" s="56"/>
      <c r="BC1120" s="56"/>
    </row>
    <row r="1121" spans="1:55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  <c r="AH1121" s="56"/>
      <c r="AI1121" s="56"/>
      <c r="AJ1121" s="56"/>
      <c r="AK1121" s="56"/>
      <c r="AL1121" s="56"/>
      <c r="AM1121" s="56"/>
      <c r="AN1121" s="56"/>
      <c r="AO1121" s="56"/>
      <c r="AP1121" s="56"/>
      <c r="AQ1121" s="56"/>
      <c r="AR1121" s="56"/>
      <c r="AS1121" s="56"/>
      <c r="AT1121" s="56"/>
      <c r="AU1121" s="56"/>
      <c r="AV1121" s="56"/>
      <c r="AW1121" s="56"/>
      <c r="AX1121" s="56"/>
      <c r="AY1121" s="56"/>
      <c r="AZ1121" s="56"/>
      <c r="BA1121" s="56"/>
      <c r="BB1121" s="56"/>
      <c r="BC1121" s="56"/>
    </row>
    <row r="1122" spans="1:55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6"/>
      <c r="AB1122" s="56"/>
      <c r="AC1122" s="56"/>
      <c r="AD1122" s="56"/>
      <c r="AE1122" s="56"/>
      <c r="AF1122" s="56"/>
      <c r="AG1122" s="56"/>
      <c r="AH1122" s="56"/>
      <c r="AI1122" s="56"/>
      <c r="AJ1122" s="56"/>
      <c r="AK1122" s="56"/>
      <c r="AL1122" s="56"/>
      <c r="AM1122" s="56"/>
      <c r="AN1122" s="56"/>
      <c r="AO1122" s="56"/>
      <c r="AP1122" s="56"/>
      <c r="AQ1122" s="56"/>
      <c r="AR1122" s="56"/>
      <c r="AS1122" s="56"/>
      <c r="AT1122" s="56"/>
      <c r="AU1122" s="56"/>
      <c r="AV1122" s="56"/>
      <c r="AW1122" s="56"/>
      <c r="AX1122" s="56"/>
      <c r="AY1122" s="56"/>
      <c r="AZ1122" s="56"/>
      <c r="BA1122" s="56"/>
      <c r="BB1122" s="56"/>
      <c r="BC1122" s="56"/>
    </row>
    <row r="1123" spans="1:55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6"/>
      <c r="AB1123" s="56"/>
      <c r="AC1123" s="56"/>
      <c r="AD1123" s="56"/>
      <c r="AE1123" s="56"/>
      <c r="AF1123" s="56"/>
      <c r="AG1123" s="56"/>
      <c r="AH1123" s="56"/>
      <c r="AI1123" s="56"/>
      <c r="AJ1123" s="56"/>
      <c r="AK1123" s="56"/>
      <c r="AL1123" s="56"/>
      <c r="AM1123" s="56"/>
      <c r="AN1123" s="56"/>
      <c r="AO1123" s="56"/>
      <c r="AP1123" s="56"/>
      <c r="AQ1123" s="56"/>
      <c r="AR1123" s="56"/>
      <c r="AS1123" s="56"/>
      <c r="AT1123" s="56"/>
      <c r="AU1123" s="56"/>
      <c r="AV1123" s="56"/>
      <c r="AW1123" s="56"/>
      <c r="AX1123" s="56"/>
      <c r="AY1123" s="56"/>
      <c r="AZ1123" s="56"/>
      <c r="BA1123" s="56"/>
      <c r="BB1123" s="56"/>
      <c r="BC1123" s="56"/>
    </row>
    <row r="1124" spans="1:55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6"/>
      <c r="AB1124" s="56"/>
      <c r="AC1124" s="56"/>
      <c r="AD1124" s="56"/>
      <c r="AE1124" s="56"/>
      <c r="AF1124" s="56"/>
      <c r="AG1124" s="56"/>
      <c r="AH1124" s="56"/>
      <c r="AI1124" s="56"/>
      <c r="AJ1124" s="56"/>
      <c r="AK1124" s="56"/>
      <c r="AL1124" s="56"/>
      <c r="AM1124" s="56"/>
      <c r="AN1124" s="56"/>
      <c r="AO1124" s="56"/>
      <c r="AP1124" s="56"/>
      <c r="AQ1124" s="56"/>
      <c r="AR1124" s="56"/>
      <c r="AS1124" s="56"/>
      <c r="AT1124" s="56"/>
      <c r="AU1124" s="56"/>
      <c r="AV1124" s="56"/>
      <c r="AW1124" s="56"/>
      <c r="AX1124" s="56"/>
      <c r="AY1124" s="56"/>
      <c r="AZ1124" s="56"/>
      <c r="BA1124" s="56"/>
      <c r="BB1124" s="56"/>
      <c r="BC1124" s="56"/>
    </row>
    <row r="1125" spans="1:55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6"/>
      <c r="AB1125" s="56"/>
      <c r="AC1125" s="56"/>
      <c r="AD1125" s="56"/>
      <c r="AE1125" s="56"/>
      <c r="AF1125" s="56"/>
      <c r="AG1125" s="56"/>
      <c r="AH1125" s="56"/>
      <c r="AI1125" s="56"/>
      <c r="AJ1125" s="56"/>
      <c r="AK1125" s="56"/>
      <c r="AL1125" s="56"/>
      <c r="AM1125" s="56"/>
      <c r="AN1125" s="56"/>
      <c r="AO1125" s="56"/>
      <c r="AP1125" s="56"/>
      <c r="AQ1125" s="56"/>
      <c r="AR1125" s="56"/>
      <c r="AS1125" s="56"/>
      <c r="AT1125" s="56"/>
      <c r="AU1125" s="56"/>
      <c r="AV1125" s="56"/>
      <c r="AW1125" s="56"/>
      <c r="AX1125" s="56"/>
      <c r="AY1125" s="56"/>
      <c r="AZ1125" s="56"/>
      <c r="BA1125" s="56"/>
      <c r="BB1125" s="56"/>
      <c r="BC1125" s="56"/>
    </row>
    <row r="1126" spans="1:55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6"/>
      <c r="AB1126" s="56"/>
      <c r="AC1126" s="56"/>
      <c r="AD1126" s="56"/>
      <c r="AE1126" s="56"/>
      <c r="AF1126" s="56"/>
      <c r="AG1126" s="56"/>
      <c r="AH1126" s="56"/>
      <c r="AI1126" s="56"/>
      <c r="AJ1126" s="56"/>
      <c r="AK1126" s="56"/>
      <c r="AL1126" s="56"/>
      <c r="AM1126" s="56"/>
      <c r="AN1126" s="56"/>
      <c r="AO1126" s="56"/>
      <c r="AP1126" s="56"/>
      <c r="AQ1126" s="56"/>
      <c r="AR1126" s="56"/>
      <c r="AS1126" s="56"/>
      <c r="AT1126" s="56"/>
      <c r="AU1126" s="56"/>
      <c r="AV1126" s="56"/>
      <c r="AW1126" s="56"/>
      <c r="AX1126" s="56"/>
      <c r="AY1126" s="56"/>
      <c r="AZ1126" s="56"/>
      <c r="BA1126" s="56"/>
      <c r="BB1126" s="56"/>
      <c r="BC1126" s="56"/>
    </row>
    <row r="1127" spans="1:55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  <c r="AG1127" s="56"/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</row>
    <row r="1128" spans="1:55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  <c r="AG1128" s="56"/>
      <c r="AH1128" s="56"/>
      <c r="AI1128" s="56"/>
      <c r="AJ1128" s="56"/>
      <c r="AK1128" s="56"/>
      <c r="AL1128" s="56"/>
      <c r="AM1128" s="56"/>
      <c r="AN1128" s="56"/>
      <c r="AO1128" s="56"/>
      <c r="AP1128" s="56"/>
      <c r="AQ1128" s="56"/>
      <c r="AR1128" s="56"/>
      <c r="AS1128" s="56"/>
      <c r="AT1128" s="56"/>
      <c r="AU1128" s="56"/>
      <c r="AV1128" s="56"/>
      <c r="AW1128" s="56"/>
      <c r="AX1128" s="56"/>
      <c r="AY1128" s="56"/>
      <c r="AZ1128" s="56"/>
      <c r="BA1128" s="56"/>
      <c r="BB1128" s="56"/>
      <c r="BC1128" s="56"/>
    </row>
    <row r="1129" spans="1:55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6"/>
      <c r="AB1129" s="56"/>
      <c r="AC1129" s="56"/>
      <c r="AD1129" s="56"/>
      <c r="AE1129" s="56"/>
      <c r="AF1129" s="56"/>
      <c r="AG1129" s="56"/>
      <c r="AH1129" s="56"/>
      <c r="AI1129" s="56"/>
      <c r="AJ1129" s="56"/>
      <c r="AK1129" s="56"/>
      <c r="AL1129" s="56"/>
      <c r="AM1129" s="56"/>
      <c r="AN1129" s="56"/>
      <c r="AO1129" s="56"/>
      <c r="AP1129" s="56"/>
      <c r="AQ1129" s="56"/>
      <c r="AR1129" s="56"/>
      <c r="AS1129" s="56"/>
      <c r="AT1129" s="56"/>
      <c r="AU1129" s="56"/>
      <c r="AV1129" s="56"/>
      <c r="AW1129" s="56"/>
      <c r="AX1129" s="56"/>
      <c r="AY1129" s="56"/>
      <c r="AZ1129" s="56"/>
      <c r="BA1129" s="56"/>
      <c r="BB1129" s="56"/>
      <c r="BC1129" s="56"/>
    </row>
    <row r="1130" spans="1:55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6"/>
      <c r="AB1130" s="56"/>
      <c r="AC1130" s="56"/>
      <c r="AD1130" s="56"/>
      <c r="AE1130" s="56"/>
      <c r="AF1130" s="56"/>
      <c r="AG1130" s="56"/>
      <c r="AH1130" s="56"/>
      <c r="AI1130" s="56"/>
      <c r="AJ1130" s="56"/>
      <c r="AK1130" s="56"/>
      <c r="AL1130" s="56"/>
      <c r="AM1130" s="56"/>
      <c r="AN1130" s="56"/>
      <c r="AO1130" s="56"/>
      <c r="AP1130" s="56"/>
      <c r="AQ1130" s="56"/>
      <c r="AR1130" s="56"/>
      <c r="AS1130" s="56"/>
      <c r="AT1130" s="56"/>
      <c r="AU1130" s="56"/>
      <c r="AV1130" s="56"/>
      <c r="AW1130" s="56"/>
      <c r="AX1130" s="56"/>
      <c r="AY1130" s="56"/>
      <c r="AZ1130" s="56"/>
      <c r="BA1130" s="56"/>
      <c r="BB1130" s="56"/>
      <c r="BC1130" s="56"/>
    </row>
    <row r="1131" spans="1:55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6"/>
      <c r="AB1131" s="56"/>
      <c r="AC1131" s="56"/>
      <c r="AD1131" s="56"/>
      <c r="AE1131" s="56"/>
      <c r="AF1131" s="56"/>
      <c r="AG1131" s="56"/>
      <c r="AH1131" s="56"/>
      <c r="AI1131" s="56"/>
      <c r="AJ1131" s="56"/>
      <c r="AK1131" s="56"/>
      <c r="AL1131" s="56"/>
      <c r="AM1131" s="56"/>
      <c r="AN1131" s="56"/>
      <c r="AO1131" s="56"/>
      <c r="AP1131" s="56"/>
      <c r="AQ1131" s="56"/>
      <c r="AR1131" s="56"/>
      <c r="AS1131" s="56"/>
      <c r="AT1131" s="56"/>
      <c r="AU1131" s="56"/>
      <c r="AV1131" s="56"/>
      <c r="AW1131" s="56"/>
      <c r="AX1131" s="56"/>
      <c r="AY1131" s="56"/>
      <c r="AZ1131" s="56"/>
      <c r="BA1131" s="56"/>
      <c r="BB1131" s="56"/>
      <c r="BC1131" s="56"/>
    </row>
    <row r="1132" spans="1:55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6"/>
      <c r="AB1132" s="56"/>
      <c r="AC1132" s="56"/>
      <c r="AD1132" s="56"/>
      <c r="AE1132" s="56"/>
      <c r="AF1132" s="56"/>
      <c r="AG1132" s="56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</row>
    <row r="1133" spans="1:55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  <c r="AG1133" s="56"/>
      <c r="AH1133" s="56"/>
      <c r="AI1133" s="56"/>
      <c r="AJ1133" s="56"/>
      <c r="AK1133" s="56"/>
      <c r="AL1133" s="56"/>
      <c r="AM1133" s="56"/>
      <c r="AN1133" s="56"/>
      <c r="AO1133" s="56"/>
      <c r="AP1133" s="56"/>
      <c r="AQ1133" s="56"/>
      <c r="AR1133" s="56"/>
      <c r="AS1133" s="56"/>
      <c r="AT1133" s="56"/>
      <c r="AU1133" s="56"/>
      <c r="AV1133" s="56"/>
      <c r="AW1133" s="56"/>
      <c r="AX1133" s="56"/>
      <c r="AY1133" s="56"/>
      <c r="AZ1133" s="56"/>
      <c r="BA1133" s="56"/>
      <c r="BB1133" s="56"/>
      <c r="BC1133" s="56"/>
    </row>
    <row r="1134" spans="1:55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6"/>
      <c r="AB1134" s="56"/>
      <c r="AC1134" s="56"/>
      <c r="AD1134" s="56"/>
      <c r="AE1134" s="56"/>
      <c r="AF1134" s="56"/>
      <c r="AG1134" s="56"/>
      <c r="AH1134" s="56"/>
      <c r="AI1134" s="56"/>
      <c r="AJ1134" s="56"/>
      <c r="AK1134" s="56"/>
      <c r="AL1134" s="56"/>
      <c r="AM1134" s="56"/>
      <c r="AN1134" s="56"/>
      <c r="AO1134" s="56"/>
      <c r="AP1134" s="56"/>
      <c r="AQ1134" s="56"/>
      <c r="AR1134" s="56"/>
      <c r="AS1134" s="56"/>
      <c r="AT1134" s="56"/>
      <c r="AU1134" s="56"/>
      <c r="AV1134" s="56"/>
      <c r="AW1134" s="56"/>
      <c r="AX1134" s="56"/>
      <c r="AY1134" s="56"/>
      <c r="AZ1134" s="56"/>
      <c r="BA1134" s="56"/>
      <c r="BB1134" s="56"/>
      <c r="BC1134" s="56"/>
    </row>
    <row r="1135" spans="1:55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6"/>
      <c r="AB1135" s="56"/>
      <c r="AC1135" s="56"/>
      <c r="AD1135" s="56"/>
      <c r="AE1135" s="56"/>
      <c r="AF1135" s="56"/>
      <c r="AG1135" s="56"/>
      <c r="AH1135" s="56"/>
      <c r="AI1135" s="56"/>
      <c r="AJ1135" s="56"/>
      <c r="AK1135" s="56"/>
      <c r="AL1135" s="56"/>
      <c r="AM1135" s="56"/>
      <c r="AN1135" s="56"/>
      <c r="AO1135" s="56"/>
      <c r="AP1135" s="56"/>
      <c r="AQ1135" s="56"/>
      <c r="AR1135" s="56"/>
      <c r="AS1135" s="56"/>
      <c r="AT1135" s="56"/>
      <c r="AU1135" s="56"/>
      <c r="AV1135" s="56"/>
      <c r="AW1135" s="56"/>
      <c r="AX1135" s="56"/>
      <c r="AY1135" s="56"/>
      <c r="AZ1135" s="56"/>
      <c r="BA1135" s="56"/>
      <c r="BB1135" s="56"/>
      <c r="BC1135" s="56"/>
    </row>
    <row r="1136" spans="1:55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  <c r="U1136" s="56"/>
      <c r="V1136" s="56"/>
      <c r="W1136" s="56"/>
      <c r="X1136" s="56"/>
      <c r="Y1136" s="56"/>
      <c r="Z1136" s="56"/>
      <c r="AA1136" s="56"/>
      <c r="AB1136" s="56"/>
      <c r="AC1136" s="56"/>
      <c r="AD1136" s="56"/>
      <c r="AE1136" s="56"/>
      <c r="AF1136" s="56"/>
      <c r="AG1136" s="56"/>
      <c r="AH1136" s="56"/>
      <c r="AI1136" s="56"/>
      <c r="AJ1136" s="56"/>
      <c r="AK1136" s="56"/>
      <c r="AL1136" s="56"/>
      <c r="AM1136" s="56"/>
      <c r="AN1136" s="56"/>
      <c r="AO1136" s="56"/>
      <c r="AP1136" s="56"/>
      <c r="AQ1136" s="56"/>
      <c r="AR1136" s="56"/>
      <c r="AS1136" s="56"/>
      <c r="AT1136" s="56"/>
      <c r="AU1136" s="56"/>
      <c r="AV1136" s="56"/>
      <c r="AW1136" s="56"/>
      <c r="AX1136" s="56"/>
      <c r="AY1136" s="56"/>
      <c r="AZ1136" s="56"/>
      <c r="BA1136" s="56"/>
      <c r="BB1136" s="56"/>
      <c r="BC1136" s="56"/>
    </row>
    <row r="1137" spans="1:55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  <c r="U1137" s="56"/>
      <c r="V1137" s="56"/>
      <c r="W1137" s="56"/>
      <c r="X1137" s="56"/>
      <c r="Y1137" s="56"/>
      <c r="Z1137" s="56"/>
      <c r="AA1137" s="56"/>
      <c r="AB1137" s="56"/>
      <c r="AC1137" s="56"/>
      <c r="AD1137" s="56"/>
      <c r="AE1137" s="56"/>
      <c r="AF1137" s="56"/>
      <c r="AG1137" s="56"/>
      <c r="AH1137" s="56"/>
      <c r="AI1137" s="56"/>
      <c r="AJ1137" s="56"/>
      <c r="AK1137" s="56"/>
      <c r="AL1137" s="56"/>
      <c r="AM1137" s="56"/>
      <c r="AN1137" s="56"/>
      <c r="AO1137" s="56"/>
      <c r="AP1137" s="56"/>
      <c r="AQ1137" s="56"/>
      <c r="AR1137" s="56"/>
      <c r="AS1137" s="56"/>
      <c r="AT1137" s="56"/>
      <c r="AU1137" s="56"/>
      <c r="AV1137" s="56"/>
      <c r="AW1137" s="56"/>
      <c r="AX1137" s="56"/>
      <c r="AY1137" s="56"/>
      <c r="AZ1137" s="56"/>
      <c r="BA1137" s="56"/>
      <c r="BB1137" s="56"/>
      <c r="BC1137" s="56"/>
    </row>
    <row r="1138" spans="1:55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  <c r="U1138" s="56"/>
      <c r="V1138" s="56"/>
      <c r="W1138" s="56"/>
      <c r="X1138" s="56"/>
      <c r="Y1138" s="56"/>
      <c r="Z1138" s="56"/>
      <c r="AA1138" s="56"/>
      <c r="AB1138" s="56"/>
      <c r="AC1138" s="56"/>
      <c r="AD1138" s="56"/>
      <c r="AE1138" s="56"/>
      <c r="AF1138" s="56"/>
      <c r="AG1138" s="56"/>
      <c r="AH1138" s="56"/>
      <c r="AI1138" s="56"/>
      <c r="AJ1138" s="56"/>
      <c r="AK1138" s="56"/>
      <c r="AL1138" s="56"/>
      <c r="AM1138" s="56"/>
      <c r="AN1138" s="56"/>
      <c r="AO1138" s="56"/>
      <c r="AP1138" s="56"/>
      <c r="AQ1138" s="56"/>
      <c r="AR1138" s="56"/>
      <c r="AS1138" s="56"/>
      <c r="AT1138" s="56"/>
      <c r="AU1138" s="56"/>
      <c r="AV1138" s="56"/>
      <c r="AW1138" s="56"/>
      <c r="AX1138" s="56"/>
      <c r="AY1138" s="56"/>
      <c r="AZ1138" s="56"/>
      <c r="BA1138" s="56"/>
      <c r="BB1138" s="56"/>
      <c r="BC1138" s="56"/>
    </row>
    <row r="1139" spans="1:55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  <c r="AG1139" s="56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</row>
    <row r="1140" spans="1:55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  <c r="U1140" s="56"/>
      <c r="V1140" s="56"/>
      <c r="W1140" s="56"/>
      <c r="X1140" s="56"/>
      <c r="Y1140" s="56"/>
      <c r="Z1140" s="56"/>
      <c r="AA1140" s="56"/>
      <c r="AB1140" s="56"/>
      <c r="AC1140" s="56"/>
      <c r="AD1140" s="56"/>
      <c r="AE1140" s="56"/>
      <c r="AF1140" s="56"/>
      <c r="AG1140" s="56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</row>
    <row r="1141" spans="1:55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  <c r="U1141" s="56"/>
      <c r="V1141" s="56"/>
      <c r="W1141" s="56"/>
      <c r="X1141" s="56"/>
      <c r="Y1141" s="56"/>
      <c r="Z1141" s="56"/>
      <c r="AA1141" s="56"/>
      <c r="AB1141" s="56"/>
      <c r="AC1141" s="56"/>
      <c r="AD1141" s="56"/>
      <c r="AE1141" s="56"/>
      <c r="AF1141" s="56"/>
      <c r="AG1141" s="56"/>
      <c r="AH1141" s="56"/>
      <c r="AI1141" s="56"/>
      <c r="AJ1141" s="56"/>
      <c r="AK1141" s="56"/>
      <c r="AL1141" s="56"/>
      <c r="AM1141" s="56"/>
      <c r="AN1141" s="56"/>
      <c r="AO1141" s="56"/>
      <c r="AP1141" s="56"/>
      <c r="AQ1141" s="56"/>
      <c r="AR1141" s="56"/>
      <c r="AS1141" s="56"/>
      <c r="AT1141" s="56"/>
      <c r="AU1141" s="56"/>
      <c r="AV1141" s="56"/>
      <c r="AW1141" s="56"/>
      <c r="AX1141" s="56"/>
      <c r="AY1141" s="56"/>
      <c r="AZ1141" s="56"/>
      <c r="BA1141" s="56"/>
      <c r="BB1141" s="56"/>
      <c r="BC1141" s="56"/>
    </row>
    <row r="1142" spans="1:55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  <c r="AG1142" s="56"/>
      <c r="AH1142" s="56"/>
      <c r="AI1142" s="56"/>
      <c r="AJ1142" s="56"/>
      <c r="AK1142" s="56"/>
      <c r="AL1142" s="56"/>
      <c r="AM1142" s="56"/>
      <c r="AN1142" s="56"/>
      <c r="AO1142" s="56"/>
      <c r="AP1142" s="56"/>
      <c r="AQ1142" s="56"/>
      <c r="AR1142" s="56"/>
      <c r="AS1142" s="56"/>
      <c r="AT1142" s="56"/>
      <c r="AU1142" s="56"/>
      <c r="AV1142" s="56"/>
      <c r="AW1142" s="56"/>
      <c r="AX1142" s="56"/>
      <c r="AY1142" s="56"/>
      <c r="AZ1142" s="56"/>
      <c r="BA1142" s="56"/>
      <c r="BB1142" s="56"/>
      <c r="BC1142" s="56"/>
    </row>
    <row r="1143" spans="1:55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  <c r="U1143" s="56"/>
      <c r="V1143" s="56"/>
      <c r="W1143" s="56"/>
      <c r="X1143" s="56"/>
      <c r="Y1143" s="56"/>
      <c r="Z1143" s="56"/>
      <c r="AA1143" s="56"/>
      <c r="AB1143" s="56"/>
      <c r="AC1143" s="56"/>
      <c r="AD1143" s="56"/>
      <c r="AE1143" s="56"/>
      <c r="AF1143" s="56"/>
      <c r="AG1143" s="56"/>
      <c r="AH1143" s="56"/>
      <c r="AI1143" s="56"/>
      <c r="AJ1143" s="56"/>
      <c r="AK1143" s="56"/>
      <c r="AL1143" s="56"/>
      <c r="AM1143" s="56"/>
      <c r="AN1143" s="56"/>
      <c r="AO1143" s="56"/>
      <c r="AP1143" s="56"/>
      <c r="AQ1143" s="56"/>
      <c r="AR1143" s="56"/>
      <c r="AS1143" s="56"/>
      <c r="AT1143" s="56"/>
      <c r="AU1143" s="56"/>
      <c r="AV1143" s="56"/>
      <c r="AW1143" s="56"/>
      <c r="AX1143" s="56"/>
      <c r="AY1143" s="56"/>
      <c r="AZ1143" s="56"/>
      <c r="BA1143" s="56"/>
      <c r="BB1143" s="56"/>
      <c r="BC1143" s="56"/>
    </row>
    <row r="1144" spans="1:55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  <c r="AG1144" s="56"/>
      <c r="AH1144" s="56"/>
      <c r="AI1144" s="56"/>
      <c r="AJ1144" s="56"/>
      <c r="AK1144" s="56"/>
      <c r="AL1144" s="56"/>
      <c r="AM1144" s="56"/>
      <c r="AN1144" s="56"/>
      <c r="AO1144" s="56"/>
      <c r="AP1144" s="56"/>
      <c r="AQ1144" s="56"/>
      <c r="AR1144" s="56"/>
      <c r="AS1144" s="56"/>
      <c r="AT1144" s="56"/>
      <c r="AU1144" s="56"/>
      <c r="AV1144" s="56"/>
      <c r="AW1144" s="56"/>
      <c r="AX1144" s="56"/>
      <c r="AY1144" s="56"/>
      <c r="AZ1144" s="56"/>
      <c r="BA1144" s="56"/>
      <c r="BB1144" s="56"/>
      <c r="BC1144" s="56"/>
    </row>
    <row r="1145" spans="1:55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  <c r="U1145" s="56"/>
      <c r="V1145" s="56"/>
      <c r="W1145" s="56"/>
      <c r="X1145" s="56"/>
      <c r="Y1145" s="56"/>
      <c r="Z1145" s="56"/>
      <c r="AA1145" s="56"/>
      <c r="AB1145" s="56"/>
      <c r="AC1145" s="56"/>
      <c r="AD1145" s="56"/>
      <c r="AE1145" s="56"/>
      <c r="AF1145" s="56"/>
      <c r="AG1145" s="56"/>
      <c r="AH1145" s="56"/>
      <c r="AI1145" s="56"/>
      <c r="AJ1145" s="56"/>
      <c r="AK1145" s="56"/>
      <c r="AL1145" s="56"/>
      <c r="AM1145" s="56"/>
      <c r="AN1145" s="56"/>
      <c r="AO1145" s="56"/>
      <c r="AP1145" s="56"/>
      <c r="AQ1145" s="56"/>
      <c r="AR1145" s="56"/>
      <c r="AS1145" s="56"/>
      <c r="AT1145" s="56"/>
      <c r="AU1145" s="56"/>
      <c r="AV1145" s="56"/>
      <c r="AW1145" s="56"/>
      <c r="AX1145" s="56"/>
      <c r="AY1145" s="56"/>
      <c r="AZ1145" s="56"/>
      <c r="BA1145" s="56"/>
      <c r="BB1145" s="56"/>
      <c r="BC1145" s="56"/>
    </row>
    <row r="1146" spans="1:55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  <c r="U1146" s="56"/>
      <c r="V1146" s="56"/>
      <c r="W1146" s="56"/>
      <c r="X1146" s="56"/>
      <c r="Y1146" s="56"/>
      <c r="Z1146" s="56"/>
      <c r="AA1146" s="56"/>
      <c r="AB1146" s="56"/>
      <c r="AC1146" s="56"/>
      <c r="AD1146" s="56"/>
      <c r="AE1146" s="56"/>
      <c r="AF1146" s="56"/>
      <c r="AG1146" s="56"/>
      <c r="AH1146" s="56"/>
      <c r="AI1146" s="56"/>
      <c r="AJ1146" s="56"/>
      <c r="AK1146" s="56"/>
      <c r="AL1146" s="56"/>
      <c r="AM1146" s="56"/>
      <c r="AN1146" s="56"/>
      <c r="AO1146" s="56"/>
      <c r="AP1146" s="56"/>
      <c r="AQ1146" s="56"/>
      <c r="AR1146" s="56"/>
      <c r="AS1146" s="56"/>
      <c r="AT1146" s="56"/>
      <c r="AU1146" s="56"/>
      <c r="AV1146" s="56"/>
      <c r="AW1146" s="56"/>
      <c r="AX1146" s="56"/>
      <c r="AY1146" s="56"/>
      <c r="AZ1146" s="56"/>
      <c r="BA1146" s="56"/>
      <c r="BB1146" s="56"/>
      <c r="BC1146" s="56"/>
    </row>
    <row r="1147" spans="1:55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  <c r="U1147" s="56"/>
      <c r="V1147" s="56"/>
      <c r="W1147" s="56"/>
      <c r="X1147" s="56"/>
      <c r="Y1147" s="56"/>
      <c r="Z1147" s="56"/>
      <c r="AA1147" s="56"/>
      <c r="AB1147" s="56"/>
      <c r="AC1147" s="56"/>
      <c r="AD1147" s="56"/>
      <c r="AE1147" s="56"/>
      <c r="AF1147" s="56"/>
      <c r="AG1147" s="56"/>
      <c r="AH1147" s="56"/>
      <c r="AI1147" s="56"/>
      <c r="AJ1147" s="56"/>
      <c r="AK1147" s="56"/>
      <c r="AL1147" s="56"/>
      <c r="AM1147" s="56"/>
      <c r="AN1147" s="56"/>
      <c r="AO1147" s="56"/>
      <c r="AP1147" s="56"/>
      <c r="AQ1147" s="56"/>
      <c r="AR1147" s="56"/>
      <c r="AS1147" s="56"/>
      <c r="AT1147" s="56"/>
      <c r="AU1147" s="56"/>
      <c r="AV1147" s="56"/>
      <c r="AW1147" s="56"/>
      <c r="AX1147" s="56"/>
      <c r="AY1147" s="56"/>
      <c r="AZ1147" s="56"/>
      <c r="BA1147" s="56"/>
      <c r="BB1147" s="56"/>
      <c r="BC1147" s="56"/>
    </row>
    <row r="1148" spans="1:55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  <c r="U1148" s="56"/>
      <c r="V1148" s="56"/>
      <c r="W1148" s="56"/>
      <c r="X1148" s="56"/>
      <c r="Y1148" s="56"/>
      <c r="Z1148" s="56"/>
      <c r="AA1148" s="56"/>
      <c r="AB1148" s="56"/>
      <c r="AC1148" s="56"/>
      <c r="AD1148" s="56"/>
      <c r="AE1148" s="56"/>
      <c r="AF1148" s="56"/>
      <c r="AG1148" s="56"/>
      <c r="AH1148" s="56"/>
      <c r="AI1148" s="56"/>
      <c r="AJ1148" s="56"/>
      <c r="AK1148" s="56"/>
      <c r="AL1148" s="56"/>
      <c r="AM1148" s="56"/>
      <c r="AN1148" s="56"/>
      <c r="AO1148" s="56"/>
      <c r="AP1148" s="56"/>
      <c r="AQ1148" s="56"/>
      <c r="AR1148" s="56"/>
      <c r="AS1148" s="56"/>
      <c r="AT1148" s="56"/>
      <c r="AU1148" s="56"/>
      <c r="AV1148" s="56"/>
      <c r="AW1148" s="56"/>
      <c r="AX1148" s="56"/>
      <c r="AY1148" s="56"/>
      <c r="AZ1148" s="56"/>
      <c r="BA1148" s="56"/>
      <c r="BB1148" s="56"/>
      <c r="BC1148" s="56"/>
    </row>
    <row r="1149" spans="1:55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  <c r="U1149" s="56"/>
      <c r="V1149" s="56"/>
      <c r="W1149" s="56"/>
      <c r="X1149" s="56"/>
      <c r="Y1149" s="56"/>
      <c r="Z1149" s="56"/>
      <c r="AA1149" s="56"/>
      <c r="AB1149" s="56"/>
      <c r="AC1149" s="56"/>
      <c r="AD1149" s="56"/>
      <c r="AE1149" s="56"/>
      <c r="AF1149" s="56"/>
      <c r="AG1149" s="56"/>
      <c r="AH1149" s="56"/>
      <c r="AI1149" s="56"/>
      <c r="AJ1149" s="56"/>
      <c r="AK1149" s="56"/>
      <c r="AL1149" s="56"/>
      <c r="AM1149" s="56"/>
      <c r="AN1149" s="56"/>
      <c r="AO1149" s="56"/>
      <c r="AP1149" s="56"/>
      <c r="AQ1149" s="56"/>
      <c r="AR1149" s="56"/>
      <c r="AS1149" s="56"/>
      <c r="AT1149" s="56"/>
      <c r="AU1149" s="56"/>
      <c r="AV1149" s="56"/>
      <c r="AW1149" s="56"/>
      <c r="AX1149" s="56"/>
      <c r="AY1149" s="56"/>
      <c r="AZ1149" s="56"/>
      <c r="BA1149" s="56"/>
      <c r="BB1149" s="56"/>
      <c r="BC1149" s="56"/>
    </row>
    <row r="1150" spans="1:55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  <c r="U1150" s="56"/>
      <c r="V1150" s="56"/>
      <c r="W1150" s="56"/>
      <c r="X1150" s="56"/>
      <c r="Y1150" s="56"/>
      <c r="Z1150" s="56"/>
      <c r="AA1150" s="56"/>
      <c r="AB1150" s="56"/>
      <c r="AC1150" s="56"/>
      <c r="AD1150" s="56"/>
      <c r="AE1150" s="56"/>
      <c r="AF1150" s="56"/>
      <c r="AG1150" s="56"/>
      <c r="AH1150" s="56"/>
      <c r="AI1150" s="56"/>
      <c r="AJ1150" s="56"/>
      <c r="AK1150" s="56"/>
      <c r="AL1150" s="56"/>
      <c r="AM1150" s="56"/>
      <c r="AN1150" s="56"/>
      <c r="AO1150" s="56"/>
      <c r="AP1150" s="56"/>
      <c r="AQ1150" s="56"/>
      <c r="AR1150" s="56"/>
      <c r="AS1150" s="56"/>
      <c r="AT1150" s="56"/>
      <c r="AU1150" s="56"/>
      <c r="AV1150" s="56"/>
      <c r="AW1150" s="56"/>
      <c r="AX1150" s="56"/>
      <c r="AY1150" s="56"/>
      <c r="AZ1150" s="56"/>
      <c r="BA1150" s="56"/>
      <c r="BB1150" s="56"/>
      <c r="BC1150" s="56"/>
    </row>
    <row r="1151" spans="1:55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  <c r="U1151" s="56"/>
      <c r="V1151" s="56"/>
      <c r="W1151" s="56"/>
      <c r="X1151" s="56"/>
      <c r="Y1151" s="56"/>
      <c r="Z1151" s="56"/>
      <c r="AA1151" s="56"/>
      <c r="AB1151" s="56"/>
      <c r="AC1151" s="56"/>
      <c r="AD1151" s="56"/>
      <c r="AE1151" s="56"/>
      <c r="AF1151" s="56"/>
      <c r="AG1151" s="56"/>
      <c r="AH1151" s="56"/>
      <c r="AI1151" s="56"/>
      <c r="AJ1151" s="56"/>
      <c r="AK1151" s="56"/>
      <c r="AL1151" s="56"/>
      <c r="AM1151" s="56"/>
      <c r="AN1151" s="56"/>
      <c r="AO1151" s="56"/>
      <c r="AP1151" s="56"/>
      <c r="AQ1151" s="56"/>
      <c r="AR1151" s="56"/>
      <c r="AS1151" s="56"/>
      <c r="AT1151" s="56"/>
      <c r="AU1151" s="56"/>
      <c r="AV1151" s="56"/>
      <c r="AW1151" s="56"/>
      <c r="AX1151" s="56"/>
      <c r="AY1151" s="56"/>
      <c r="AZ1151" s="56"/>
      <c r="BA1151" s="56"/>
      <c r="BB1151" s="56"/>
      <c r="BC1151" s="56"/>
    </row>
    <row r="1152" spans="1:55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  <c r="U1152" s="56"/>
      <c r="V1152" s="56"/>
      <c r="W1152" s="56"/>
      <c r="X1152" s="56"/>
      <c r="Y1152" s="56"/>
      <c r="Z1152" s="56"/>
      <c r="AA1152" s="56"/>
      <c r="AB1152" s="56"/>
      <c r="AC1152" s="56"/>
      <c r="AD1152" s="56"/>
      <c r="AE1152" s="56"/>
      <c r="AF1152" s="56"/>
      <c r="AG1152" s="56"/>
      <c r="AH1152" s="56"/>
      <c r="AI1152" s="56"/>
      <c r="AJ1152" s="56"/>
      <c r="AK1152" s="56"/>
      <c r="AL1152" s="56"/>
      <c r="AM1152" s="56"/>
      <c r="AN1152" s="56"/>
      <c r="AO1152" s="56"/>
      <c r="AP1152" s="56"/>
      <c r="AQ1152" s="56"/>
      <c r="AR1152" s="56"/>
      <c r="AS1152" s="56"/>
      <c r="AT1152" s="56"/>
      <c r="AU1152" s="56"/>
      <c r="AV1152" s="56"/>
      <c r="AW1152" s="56"/>
      <c r="AX1152" s="56"/>
      <c r="AY1152" s="56"/>
      <c r="AZ1152" s="56"/>
      <c r="BA1152" s="56"/>
      <c r="BB1152" s="56"/>
      <c r="BC1152" s="56"/>
    </row>
    <row r="1153" spans="3:55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  <c r="U1153" s="56"/>
      <c r="V1153" s="56"/>
      <c r="W1153" s="56"/>
      <c r="X1153" s="56"/>
      <c r="Y1153" s="56"/>
      <c r="Z1153" s="56"/>
      <c r="AA1153" s="56"/>
      <c r="AB1153" s="56"/>
      <c r="AC1153" s="56"/>
      <c r="AD1153" s="56"/>
      <c r="AE1153" s="56"/>
      <c r="AF1153" s="56"/>
      <c r="AG1153" s="56"/>
      <c r="AH1153" s="56"/>
      <c r="AI1153" s="56"/>
      <c r="AJ1153" s="56"/>
      <c r="AK1153" s="56"/>
      <c r="AL1153" s="56"/>
      <c r="AM1153" s="56"/>
      <c r="AN1153" s="56"/>
      <c r="AO1153" s="56"/>
      <c r="AP1153" s="56"/>
      <c r="AQ1153" s="56"/>
      <c r="AR1153" s="56"/>
      <c r="AS1153" s="56"/>
      <c r="AT1153" s="56"/>
      <c r="AU1153" s="56"/>
      <c r="AV1153" s="56"/>
      <c r="AW1153" s="56"/>
      <c r="AX1153" s="56"/>
      <c r="AY1153" s="56"/>
      <c r="AZ1153" s="56"/>
      <c r="BA1153" s="56"/>
      <c r="BB1153" s="56"/>
      <c r="BC1153" s="56"/>
    </row>
    <row r="1154" spans="3:55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  <c r="U1154" s="56"/>
      <c r="V1154" s="56"/>
      <c r="W1154" s="56"/>
      <c r="X1154" s="56"/>
      <c r="Y1154" s="56"/>
      <c r="Z1154" s="56"/>
      <c r="AA1154" s="56"/>
      <c r="AB1154" s="56"/>
      <c r="AC1154" s="56"/>
      <c r="AD1154" s="56"/>
      <c r="AE1154" s="56"/>
      <c r="AF1154" s="56"/>
      <c r="AG1154" s="56"/>
      <c r="AH1154" s="56"/>
      <c r="AI1154" s="56"/>
      <c r="AJ1154" s="56"/>
      <c r="AK1154" s="56"/>
      <c r="AL1154" s="56"/>
      <c r="AM1154" s="56"/>
      <c r="AN1154" s="56"/>
      <c r="AO1154" s="56"/>
      <c r="AP1154" s="56"/>
      <c r="AQ1154" s="56"/>
      <c r="AR1154" s="56"/>
      <c r="AS1154" s="56"/>
      <c r="AT1154" s="56"/>
      <c r="AU1154" s="56"/>
      <c r="AV1154" s="56"/>
      <c r="AW1154" s="56"/>
      <c r="AX1154" s="56"/>
      <c r="AY1154" s="56"/>
      <c r="AZ1154" s="56"/>
      <c r="BA1154" s="56"/>
      <c r="BB1154" s="56"/>
      <c r="BC1154" s="56"/>
    </row>
  </sheetData>
  <mergeCells count="1">
    <mergeCell ref="A1:A2"/>
  </mergeCells>
  <conditionalFormatting sqref="J7:AW7">
    <cfRule type="expression" dxfId="123" priority="1">
      <formula>SUM($AX7,$BA7)=0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49"/>
  <dimension ref="A1:AE1154"/>
  <sheetViews>
    <sheetView showGridLines="0" workbookViewId="0">
      <pane ySplit="4" topLeftCell="A5" activePane="bottomLeft" state="frozen"/>
      <selection activeCell="D3" sqref="D3"/>
      <selection pane="bottomLeft" activeCell="A4" sqref="A4"/>
    </sheetView>
  </sheetViews>
  <sheetFormatPr defaultColWidth="9.140625" defaultRowHeight="15" x14ac:dyDescent="0.25"/>
  <cols>
    <col min="1" max="1" width="13.28515625" style="56" customWidth="1"/>
    <col min="2" max="2" width="2.85546875" style="56" customWidth="1"/>
    <col min="3" max="7" width="22" style="1" customWidth="1"/>
    <col min="8" max="8" width="7.140625" style="1" bestFit="1" customWidth="1"/>
    <col min="9" max="9" width="7.140625" style="1" customWidth="1"/>
    <col min="10" max="19" width="11.5703125" style="1" customWidth="1"/>
    <col min="20" max="20" width="15.140625" style="1" bestFit="1" customWidth="1"/>
    <col min="21" max="21" width="18.28515625" style="56" bestFit="1" customWidth="1"/>
    <col min="22" max="23" width="9.140625" style="56"/>
    <col min="24" max="24" width="11.5703125" style="56" customWidth="1"/>
    <col min="25" max="26" width="9.140625" style="56"/>
    <col min="27" max="30" width="11.5703125" style="56" customWidth="1"/>
    <col min="31" max="16384" width="9.140625" style="56"/>
  </cols>
  <sheetData>
    <row r="1" spans="1:31" s="1" customFormat="1" ht="23.25" x14ac:dyDescent="0.35">
      <c r="A1" s="96"/>
      <c r="C1" s="70" t="s">
        <v>1516</v>
      </c>
      <c r="D1" s="2"/>
      <c r="J1" s="74" t="s">
        <v>445</v>
      </c>
      <c r="K1" s="75"/>
      <c r="L1" s="75"/>
      <c r="M1" s="75"/>
      <c r="N1" s="75"/>
      <c r="O1" s="75"/>
      <c r="P1" s="75"/>
      <c r="Q1" s="75"/>
      <c r="R1" s="75"/>
      <c r="S1" s="75"/>
      <c r="T1" s="63" t="s">
        <v>1629</v>
      </c>
      <c r="U1" s="63" t="s">
        <v>447</v>
      </c>
      <c r="V1" s="75" t="s">
        <v>446</v>
      </c>
      <c r="W1" s="75"/>
      <c r="X1" s="75"/>
      <c r="Y1" s="75"/>
      <c r="Z1" s="75"/>
      <c r="AA1" s="75"/>
      <c r="AB1" s="75"/>
      <c r="AC1" s="75"/>
      <c r="AD1" s="75"/>
      <c r="AE1" s="75"/>
    </row>
    <row r="2" spans="1:31" s="2" customFormat="1" x14ac:dyDescent="0.25">
      <c r="A2" s="96"/>
      <c r="B2" s="2" t="s">
        <v>0</v>
      </c>
      <c r="C2" s="2" t="s">
        <v>0</v>
      </c>
      <c r="E2" s="2" t="s">
        <v>0</v>
      </c>
      <c r="H2" s="2" t="s">
        <v>0</v>
      </c>
    </row>
    <row r="3" spans="1:31" s="4" customFormat="1" ht="14.45" x14ac:dyDescent="0.3">
      <c r="A3" s="3"/>
      <c r="C3" s="2" t="s">
        <v>0</v>
      </c>
      <c r="D3" s="2"/>
      <c r="E3" s="5"/>
      <c r="F3" s="5"/>
      <c r="G3" s="5"/>
      <c r="H3" s="6"/>
      <c r="I3" s="6"/>
      <c r="J3" s="78" t="s">
        <v>1490</v>
      </c>
      <c r="K3" s="76"/>
      <c r="L3" s="76"/>
      <c r="M3" s="76"/>
      <c r="N3" s="76"/>
      <c r="O3" s="76"/>
      <c r="P3" s="76"/>
      <c r="Q3" s="76"/>
      <c r="R3" s="76"/>
      <c r="S3" s="77"/>
      <c r="T3" s="88" t="s">
        <v>1630</v>
      </c>
      <c r="U3" s="51" t="s">
        <v>64</v>
      </c>
      <c r="V3" s="64" t="s">
        <v>1490</v>
      </c>
      <c r="W3" s="65"/>
      <c r="X3" s="65"/>
      <c r="Y3" s="65"/>
      <c r="Z3" s="65"/>
      <c r="AA3" s="65"/>
      <c r="AB3" s="65"/>
      <c r="AC3" s="65"/>
      <c r="AD3" s="65"/>
      <c r="AE3" s="66"/>
    </row>
    <row r="4" spans="1:31" s="1" customFormat="1" ht="135.75" customHeight="1" x14ac:dyDescent="0.3">
      <c r="A4" s="3"/>
      <c r="C4" s="7" t="s">
        <v>20</v>
      </c>
      <c r="D4" s="7" t="s">
        <v>391</v>
      </c>
      <c r="E4" s="7" t="s">
        <v>66</v>
      </c>
      <c r="F4" s="7" t="s">
        <v>1</v>
      </c>
      <c r="G4" s="7" t="s">
        <v>107</v>
      </c>
      <c r="H4" s="7" t="s">
        <v>2</v>
      </c>
      <c r="I4" s="7" t="s">
        <v>442</v>
      </c>
      <c r="J4" s="8" t="s">
        <v>98</v>
      </c>
      <c r="K4" s="13" t="s">
        <v>99</v>
      </c>
      <c r="L4" s="13" t="s">
        <v>100</v>
      </c>
      <c r="M4" s="13" t="s">
        <v>101</v>
      </c>
      <c r="N4" s="13" t="s">
        <v>102</v>
      </c>
      <c r="O4" s="13" t="s">
        <v>1491</v>
      </c>
      <c r="P4" s="13" t="s">
        <v>1492</v>
      </c>
      <c r="Q4" s="13" t="s">
        <v>1493</v>
      </c>
      <c r="R4" s="13" t="s">
        <v>1494</v>
      </c>
      <c r="S4" s="9" t="s">
        <v>1495</v>
      </c>
      <c r="T4" s="89" t="s">
        <v>1490</v>
      </c>
      <c r="U4" s="12" t="s">
        <v>181</v>
      </c>
      <c r="V4" s="67" t="s">
        <v>98</v>
      </c>
      <c r="W4" s="68" t="s">
        <v>99</v>
      </c>
      <c r="X4" s="68" t="s">
        <v>100</v>
      </c>
      <c r="Y4" s="68" t="s">
        <v>101</v>
      </c>
      <c r="Z4" s="68" t="s">
        <v>102</v>
      </c>
      <c r="AA4" s="68" t="s">
        <v>1491</v>
      </c>
      <c r="AB4" s="68" t="s">
        <v>1492</v>
      </c>
      <c r="AC4" s="68" t="s">
        <v>1493</v>
      </c>
      <c r="AD4" s="68" t="s">
        <v>1494</v>
      </c>
      <c r="AE4" s="69" t="s">
        <v>1495</v>
      </c>
    </row>
    <row r="5" spans="1:31" x14ac:dyDescent="0.25">
      <c r="A5" s="14"/>
      <c r="C5" s="1" t="s">
        <v>390</v>
      </c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7">
        <f>SUBTOTAL(109,keypop_T[D_hts_tst_keypop_fy19])</f>
        <v>0</v>
      </c>
      <c r="V5" s="47">
        <f>SUBTOTAL(109,keypop_T[hts_tst_keypop_fsw_pos])</f>
        <v>0</v>
      </c>
      <c r="W5" s="47">
        <f>SUBTOTAL(109,keypop_T[hts_tst_keypop_msm_pos])</f>
        <v>0</v>
      </c>
      <c r="X5" s="47">
        <f>SUBTOTAL(109,keypop_T[hts_tst_keypop_prison_pos])</f>
        <v>0</v>
      </c>
      <c r="Y5" s="47">
        <f>SUBTOTAL(109,keypop_T[hts_tst_keypop_pwid_pos])</f>
        <v>0</v>
      </c>
      <c r="Z5" s="47">
        <f>SUBTOTAL(109,keypop_T[hts_tst_keypop_tg_pos])</f>
        <v>0</v>
      </c>
      <c r="AA5" s="47">
        <f>SUBTOTAL(109,keypop_T[hts_tst_keypop_fsw_neg])</f>
        <v>0</v>
      </c>
      <c r="AB5" s="47">
        <f>SUBTOTAL(109,keypop_T[hts_tst_keypop_msm_neg])</f>
        <v>0</v>
      </c>
      <c r="AC5" s="47">
        <f>SUBTOTAL(109,keypop_T[hts_tst_keypop_prison_neg])</f>
        <v>0</v>
      </c>
      <c r="AD5" s="47">
        <f>SUBTOTAL(109,keypop_T[hts_tst_keypop_pwid_neg])</f>
        <v>0</v>
      </c>
      <c r="AE5" s="47">
        <f>SUBTOTAL(109,keypop_T[hts_tst_keypop_tg_neg])</f>
        <v>0</v>
      </c>
    </row>
    <row r="6" spans="1:31" x14ac:dyDescent="0.25">
      <c r="A6" s="14"/>
      <c r="C6" s="25" t="s">
        <v>30</v>
      </c>
      <c r="D6" s="25" t="s">
        <v>3</v>
      </c>
      <c r="E6" s="25" t="s">
        <v>104</v>
      </c>
      <c r="F6" s="25" t="s">
        <v>108</v>
      </c>
      <c r="G6" s="25" t="s">
        <v>63</v>
      </c>
      <c r="H6" s="25" t="s">
        <v>105</v>
      </c>
      <c r="I6" s="25" t="s">
        <v>441</v>
      </c>
      <c r="J6" s="25" t="s">
        <v>1506</v>
      </c>
      <c r="K6" s="25" t="s">
        <v>1507</v>
      </c>
      <c r="L6" s="25" t="s">
        <v>1508</v>
      </c>
      <c r="M6" s="25" t="s">
        <v>1509</v>
      </c>
      <c r="N6" s="25" t="s">
        <v>1510</v>
      </c>
      <c r="O6" s="25" t="s">
        <v>1511</v>
      </c>
      <c r="P6" s="25" t="s">
        <v>1512</v>
      </c>
      <c r="Q6" s="25" t="s">
        <v>1513</v>
      </c>
      <c r="R6" s="25" t="s">
        <v>1514</v>
      </c>
      <c r="S6" s="25" t="s">
        <v>1515</v>
      </c>
      <c r="T6" s="25" t="s">
        <v>1631</v>
      </c>
      <c r="U6" s="25" t="s">
        <v>262</v>
      </c>
      <c r="V6" s="25" t="s">
        <v>1496</v>
      </c>
      <c r="W6" s="25" t="s">
        <v>1497</v>
      </c>
      <c r="X6" s="25" t="s">
        <v>1498</v>
      </c>
      <c r="Y6" s="25" t="s">
        <v>1499</v>
      </c>
      <c r="Z6" s="25" t="s">
        <v>1500</v>
      </c>
      <c r="AA6" s="25" t="s">
        <v>1501</v>
      </c>
      <c r="AB6" s="25" t="s">
        <v>1502</v>
      </c>
      <c r="AC6" s="25" t="s">
        <v>1503</v>
      </c>
      <c r="AD6" s="25" t="s">
        <v>1504</v>
      </c>
      <c r="AE6" s="25" t="s">
        <v>1505</v>
      </c>
    </row>
    <row r="7" spans="1:31" x14ac:dyDescent="0.25">
      <c r="A7" s="15"/>
      <c r="C7" s="39"/>
      <c r="D7" s="39"/>
      <c r="E7" s="39"/>
      <c r="F7" s="39"/>
      <c r="G7" s="39"/>
      <c r="H7" s="39"/>
      <c r="I7" s="39"/>
      <c r="J7" s="40"/>
      <c r="K7" s="40"/>
      <c r="L7" s="40"/>
      <c r="M7" s="40"/>
      <c r="N7" s="40"/>
      <c r="O7" s="40"/>
      <c r="P7" s="40"/>
      <c r="Q7" s="40"/>
      <c r="R7" s="40"/>
      <c r="S7" s="40"/>
      <c r="T7" s="94">
        <f>SUM(keypop_T[[#This Row],[A_hts_tst_keypop_fsw_pos]:[A_hts_tst_keypop_tg_neg]])</f>
        <v>0</v>
      </c>
      <c r="U7" s="41"/>
      <c r="V7" s="41">
        <f>keypop_T[[D_hts_tst_keypop_fy19]:[D_hts_tst_keypop_fy19]]*keypop_T[A_hts_tst_keypop_fsw_pos]</f>
        <v>0</v>
      </c>
      <c r="W7" s="41">
        <f>keypop_T[[D_hts_tst_keypop_fy19]:[D_hts_tst_keypop_fy19]]*keypop_T[A_hts_tst_keypop_msm_pos]</f>
        <v>0</v>
      </c>
      <c r="X7" s="41">
        <f>keypop_T[[D_hts_tst_keypop_fy19]:[D_hts_tst_keypop_fy19]]*keypop_T[A_hts_tst_keypop_prison_pos]</f>
        <v>0</v>
      </c>
      <c r="Y7" s="41">
        <f>keypop_T[[D_hts_tst_keypop_fy19]:[D_hts_tst_keypop_fy19]]*keypop_T[A_hts_tst_keypop_pwid_pos]</f>
        <v>0</v>
      </c>
      <c r="Z7" s="41">
        <f>keypop_T[[D_hts_tst_keypop_fy19]:[D_hts_tst_keypop_fy19]]*keypop_T[A_hts_tst_keypop_tg_pos]</f>
        <v>0</v>
      </c>
      <c r="AA7" s="41">
        <f>keypop_T[[D_hts_tst_keypop_fy19]:[D_hts_tst_keypop_fy19]]*keypop_T[A_hts_tst_keypop_fsw_neg]</f>
        <v>0</v>
      </c>
      <c r="AB7" s="41">
        <f>keypop_T[[D_hts_tst_keypop_fy19]:[D_hts_tst_keypop_fy19]]*keypop_T[A_hts_tst_keypop_msm_neg]</f>
        <v>0</v>
      </c>
      <c r="AC7" s="41">
        <f>keypop_T[[D_hts_tst_keypop_fy19]:[D_hts_tst_keypop_fy19]]*keypop_T[A_hts_tst_keypop_prison_neg]</f>
        <v>0</v>
      </c>
      <c r="AD7" s="41">
        <f>keypop_T[[D_hts_tst_keypop_fy19]:[D_hts_tst_keypop_fy19]]*keypop_T[A_hts_tst_keypop_pwid_neg]</f>
        <v>0</v>
      </c>
      <c r="AE7" s="41">
        <f>keypop_T[[D_hts_tst_keypop_fy19]:[D_hts_tst_keypop_fy19]]*keypop_T[A_hts_tst_keypop_tg_neg]</f>
        <v>0</v>
      </c>
    </row>
    <row r="8" spans="1:3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X8" s="19"/>
      <c r="AA8" s="19"/>
      <c r="AB8" s="19"/>
      <c r="AC8" s="19"/>
      <c r="AD8" s="19"/>
    </row>
    <row r="9" spans="1:3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X9" s="19"/>
      <c r="AA9" s="19"/>
      <c r="AB9" s="19"/>
      <c r="AC9" s="19"/>
      <c r="AD9" s="19"/>
    </row>
    <row r="10" spans="1:31" x14ac:dyDescent="0.25">
      <c r="A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X10" s="19"/>
      <c r="AA10" s="19"/>
      <c r="AB10" s="19"/>
      <c r="AC10" s="19"/>
      <c r="AD10" s="19"/>
    </row>
    <row r="11" spans="1:31" x14ac:dyDescent="0.25">
      <c r="A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</row>
    <row r="12" spans="1:31" x14ac:dyDescent="0.25">
      <c r="A12" s="19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</row>
    <row r="13" spans="1:31" x14ac:dyDescent="0.25">
      <c r="A13" s="19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</row>
    <row r="14" spans="1:31" x14ac:dyDescent="0.25">
      <c r="A14" s="19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</row>
    <row r="15" spans="1:31" x14ac:dyDescent="0.25">
      <c r="A15" s="19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</row>
    <row r="16" spans="1:31" x14ac:dyDescent="0.25">
      <c r="A16" s="19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</row>
    <row r="17" spans="1:20" x14ac:dyDescent="0.25">
      <c r="A17" s="19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</row>
    <row r="18" spans="1:20" x14ac:dyDescent="0.25">
      <c r="A18" s="19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</row>
    <row r="19" spans="1:20" x14ac:dyDescent="0.25">
      <c r="A19" s="19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</row>
    <row r="20" spans="1:20" x14ac:dyDescent="0.25">
      <c r="A20" s="19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</row>
    <row r="21" spans="1:20" x14ac:dyDescent="0.25">
      <c r="A21" s="19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</row>
    <row r="22" spans="1:20" x14ac:dyDescent="0.25">
      <c r="A22" s="19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</row>
    <row r="23" spans="1:20" x14ac:dyDescent="0.25">
      <c r="A23" s="19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</row>
    <row r="24" spans="1:20" x14ac:dyDescent="0.25">
      <c r="A24" s="19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</row>
    <row r="25" spans="1:20" x14ac:dyDescent="0.25">
      <c r="A25" s="19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</row>
    <row r="26" spans="1:20" x14ac:dyDescent="0.25">
      <c r="A26" s="19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</row>
    <row r="27" spans="1:20" x14ac:dyDescent="0.25">
      <c r="A27" s="19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</row>
    <row r="28" spans="1:20" x14ac:dyDescent="0.25">
      <c r="A28" s="19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</row>
    <row r="29" spans="1:20" x14ac:dyDescent="0.25">
      <c r="A29" s="19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</row>
    <row r="30" spans="1:20" x14ac:dyDescent="0.25">
      <c r="A30" s="19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</row>
    <row r="31" spans="1:20" x14ac:dyDescent="0.25">
      <c r="A31" s="19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</row>
    <row r="32" spans="1:20" x14ac:dyDescent="0.25">
      <c r="A32" s="19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</row>
    <row r="33" spans="1:20" x14ac:dyDescent="0.25">
      <c r="A33" s="19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</row>
    <row r="34" spans="1:20" x14ac:dyDescent="0.25">
      <c r="A34" s="19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</row>
    <row r="35" spans="1:20" x14ac:dyDescent="0.25">
      <c r="A35" s="19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</row>
    <row r="36" spans="1:20" x14ac:dyDescent="0.25">
      <c r="A36" s="19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 x14ac:dyDescent="0.25">
      <c r="A37" s="19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</row>
    <row r="38" spans="1:20" x14ac:dyDescent="0.25">
      <c r="A38" s="19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</row>
    <row r="39" spans="1:20" x14ac:dyDescent="0.25">
      <c r="A39" s="19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</row>
    <row r="40" spans="1:20" x14ac:dyDescent="0.25">
      <c r="A40" s="19"/>
      <c r="C40" s="56"/>
      <c r="D40" s="56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</row>
    <row r="41" spans="1:20" x14ac:dyDescent="0.25">
      <c r="A41" s="19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 x14ac:dyDescent="0.25">
      <c r="A42" s="19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</row>
    <row r="43" spans="1:20" x14ac:dyDescent="0.25">
      <c r="A43" s="19"/>
      <c r="C43" s="56"/>
      <c r="D43" s="56"/>
      <c r="E43" s="56"/>
      <c r="F43" s="56"/>
      <c r="G43" s="56"/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</row>
    <row r="44" spans="1:20" x14ac:dyDescent="0.25">
      <c r="A44" s="19"/>
      <c r="C44" s="56"/>
      <c r="D44" s="56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</row>
    <row r="45" spans="1:20" x14ac:dyDescent="0.25">
      <c r="A45" s="19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</row>
    <row r="46" spans="1:20" x14ac:dyDescent="0.25">
      <c r="A46" s="19"/>
      <c r="C46" s="56"/>
      <c r="D46" s="56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</row>
    <row r="47" spans="1:20" x14ac:dyDescent="0.25">
      <c r="A47" s="19"/>
      <c r="C47" s="56"/>
      <c r="D47" s="56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</row>
    <row r="48" spans="1:20" x14ac:dyDescent="0.25">
      <c r="A48" s="19"/>
      <c r="C48" s="56"/>
      <c r="D48" s="56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</row>
    <row r="49" spans="1:20" x14ac:dyDescent="0.25">
      <c r="A49" s="19"/>
      <c r="C49" s="56"/>
      <c r="D49" s="56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</row>
    <row r="50" spans="1:20" x14ac:dyDescent="0.25">
      <c r="A50" s="19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</row>
    <row r="51" spans="1:20" x14ac:dyDescent="0.25">
      <c r="A51" s="19"/>
      <c r="C51" s="56"/>
      <c r="D51" s="56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</row>
    <row r="52" spans="1:20" x14ac:dyDescent="0.25">
      <c r="A52" s="19"/>
      <c r="C52" s="56"/>
      <c r="D52" s="56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</row>
    <row r="53" spans="1:20" x14ac:dyDescent="0.25">
      <c r="A53" s="19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</row>
    <row r="54" spans="1:20" x14ac:dyDescent="0.25">
      <c r="A54" s="19"/>
      <c r="C54" s="56"/>
      <c r="D54" s="56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</row>
    <row r="55" spans="1:20" x14ac:dyDescent="0.25">
      <c r="A55" s="19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</row>
    <row r="56" spans="1:20" x14ac:dyDescent="0.25">
      <c r="A56" s="19"/>
      <c r="C56" s="56"/>
      <c r="D56" s="56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</row>
    <row r="57" spans="1:20" x14ac:dyDescent="0.25">
      <c r="A57" s="19"/>
      <c r="C57" s="56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</row>
    <row r="58" spans="1:20" x14ac:dyDescent="0.25">
      <c r="A58" s="19"/>
      <c r="C58" s="56"/>
      <c r="D58" s="56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</row>
    <row r="59" spans="1:20" x14ac:dyDescent="0.25">
      <c r="A59" s="19"/>
      <c r="C59" s="56"/>
      <c r="D59" s="56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</row>
    <row r="60" spans="1:20" x14ac:dyDescent="0.25">
      <c r="A60" s="19"/>
      <c r="C60" s="56"/>
      <c r="D60" s="56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</row>
    <row r="61" spans="1:20" x14ac:dyDescent="0.25">
      <c r="A61" s="19"/>
      <c r="C61" s="56"/>
      <c r="D61" s="56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</row>
    <row r="62" spans="1:20" x14ac:dyDescent="0.25">
      <c r="A62" s="19"/>
      <c r="C62" s="56"/>
      <c r="D62" s="56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</row>
    <row r="63" spans="1:20" x14ac:dyDescent="0.25">
      <c r="A63" s="19"/>
      <c r="C63" s="56"/>
      <c r="D63" s="56"/>
      <c r="E63" s="56"/>
      <c r="F63" s="56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</row>
    <row r="64" spans="1:20" x14ac:dyDescent="0.25">
      <c r="A64" s="19"/>
      <c r="C64" s="56"/>
      <c r="D64" s="56"/>
      <c r="E64" s="56"/>
      <c r="F64" s="56"/>
      <c r="G64" s="56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</row>
    <row r="65" spans="1:20" x14ac:dyDescent="0.25">
      <c r="A65" s="19"/>
      <c r="C65" s="56"/>
      <c r="D65" s="56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</row>
    <row r="66" spans="1:20" x14ac:dyDescent="0.25">
      <c r="A66" s="19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</row>
    <row r="67" spans="1:20" x14ac:dyDescent="0.25">
      <c r="A67" s="19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</row>
    <row r="68" spans="1:20" x14ac:dyDescent="0.25">
      <c r="A68" s="19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</row>
    <row r="69" spans="1:20" x14ac:dyDescent="0.25">
      <c r="A69" s="19"/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</row>
    <row r="70" spans="1:20" x14ac:dyDescent="0.25">
      <c r="A70" s="19"/>
      <c r="C70" s="56"/>
      <c r="D70" s="56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</row>
    <row r="71" spans="1:20" x14ac:dyDescent="0.25">
      <c r="A71" s="19"/>
      <c r="C71" s="56"/>
      <c r="D71" s="56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</row>
    <row r="72" spans="1:20" x14ac:dyDescent="0.25">
      <c r="A72" s="19"/>
      <c r="C72" s="56"/>
      <c r="D72" s="56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</row>
    <row r="73" spans="1:20" x14ac:dyDescent="0.25">
      <c r="A73" s="19"/>
      <c r="C73" s="56"/>
      <c r="D73" s="56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</row>
    <row r="74" spans="1:20" x14ac:dyDescent="0.25">
      <c r="A74" s="19"/>
      <c r="C74" s="56"/>
      <c r="D74" s="56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</row>
    <row r="75" spans="1:20" x14ac:dyDescent="0.25">
      <c r="A75" s="19"/>
      <c r="C75" s="56"/>
      <c r="D75" s="56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</row>
    <row r="76" spans="1:20" x14ac:dyDescent="0.25">
      <c r="A76" s="19"/>
      <c r="C76" s="56"/>
      <c r="D76" s="56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</row>
    <row r="77" spans="1:20" x14ac:dyDescent="0.25">
      <c r="A77" s="19"/>
      <c r="C77" s="56"/>
      <c r="D77" s="56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</row>
    <row r="78" spans="1:20" x14ac:dyDescent="0.25">
      <c r="A78" s="19"/>
      <c r="C78" s="56"/>
      <c r="D78" s="56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</row>
    <row r="79" spans="1:20" x14ac:dyDescent="0.25">
      <c r="A79" s="19"/>
      <c r="C79" s="56"/>
      <c r="D79" s="56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</row>
    <row r="80" spans="1:20" x14ac:dyDescent="0.25">
      <c r="A80" s="19"/>
      <c r="C80" s="56"/>
      <c r="D80" s="56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</row>
    <row r="81" spans="1:20" x14ac:dyDescent="0.25">
      <c r="A81" s="19"/>
      <c r="C81" s="56"/>
      <c r="D81" s="56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</row>
    <row r="82" spans="1:20" x14ac:dyDescent="0.25">
      <c r="A82" s="19"/>
      <c r="C82" s="56"/>
      <c r="D82" s="56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</row>
    <row r="83" spans="1:20" x14ac:dyDescent="0.25">
      <c r="A83" s="19"/>
      <c r="C83" s="56"/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</row>
    <row r="84" spans="1:20" x14ac:dyDescent="0.25">
      <c r="A84" s="19"/>
      <c r="C84" s="56"/>
      <c r="D84" s="56"/>
      <c r="E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</row>
    <row r="85" spans="1:20" x14ac:dyDescent="0.25">
      <c r="A85" s="19"/>
      <c r="C85" s="56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</row>
    <row r="86" spans="1:20" x14ac:dyDescent="0.25">
      <c r="A86" s="19"/>
      <c r="C86" s="56"/>
      <c r="D86" s="56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</row>
    <row r="87" spans="1:20" x14ac:dyDescent="0.25">
      <c r="A87" s="19"/>
      <c r="C87" s="56"/>
      <c r="D87" s="56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</row>
    <row r="88" spans="1:20" x14ac:dyDescent="0.25">
      <c r="A88" s="19"/>
      <c r="C88" s="56"/>
      <c r="D88" s="56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</row>
    <row r="89" spans="1:20" x14ac:dyDescent="0.25">
      <c r="A89" s="19"/>
      <c r="C89" s="56"/>
      <c r="D89" s="56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</row>
    <row r="90" spans="1:20" x14ac:dyDescent="0.25">
      <c r="A90" s="19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</row>
    <row r="91" spans="1:20" x14ac:dyDescent="0.25">
      <c r="A91" s="19"/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</row>
    <row r="92" spans="1:20" x14ac:dyDescent="0.25">
      <c r="A92" s="19"/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</row>
    <row r="93" spans="1:20" x14ac:dyDescent="0.25">
      <c r="A93" s="19"/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</row>
    <row r="94" spans="1:20" x14ac:dyDescent="0.25">
      <c r="A94" s="19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</row>
    <row r="95" spans="1:20" x14ac:dyDescent="0.25">
      <c r="A95" s="19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</row>
    <row r="96" spans="1:20" x14ac:dyDescent="0.25">
      <c r="A96" s="19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</row>
    <row r="97" spans="1:20" x14ac:dyDescent="0.25">
      <c r="A97" s="19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</row>
    <row r="98" spans="1:20" x14ac:dyDescent="0.25">
      <c r="A98" s="19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</row>
    <row r="99" spans="1:20" x14ac:dyDescent="0.25">
      <c r="A99" s="19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</row>
    <row r="100" spans="1:20" x14ac:dyDescent="0.25">
      <c r="A100" s="19"/>
      <c r="C100" s="56"/>
      <c r="D100" s="56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</row>
    <row r="101" spans="1:20" x14ac:dyDescent="0.25">
      <c r="A101" s="19"/>
      <c r="C101" s="56"/>
      <c r="D101" s="56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</row>
    <row r="102" spans="1:20" x14ac:dyDescent="0.25">
      <c r="A102" s="19"/>
      <c r="C102" s="56"/>
      <c r="D102" s="56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</row>
    <row r="103" spans="1:20" x14ac:dyDescent="0.25">
      <c r="A103" s="19"/>
      <c r="C103" s="56"/>
      <c r="D103" s="56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</row>
    <row r="104" spans="1:20" x14ac:dyDescent="0.25">
      <c r="A104" s="19"/>
      <c r="C104" s="56"/>
      <c r="D104" s="56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</row>
    <row r="105" spans="1:20" x14ac:dyDescent="0.25">
      <c r="A105" s="19"/>
      <c r="C105" s="56"/>
      <c r="D105" s="56"/>
      <c r="E105" s="56"/>
      <c r="F105" s="56"/>
      <c r="G105" s="56"/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</row>
    <row r="106" spans="1:20" x14ac:dyDescent="0.25">
      <c r="A106" s="19"/>
      <c r="C106" s="56"/>
      <c r="D106" s="56"/>
      <c r="E106" s="56"/>
      <c r="F106" s="56"/>
      <c r="G106" s="56"/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</row>
    <row r="107" spans="1:20" x14ac:dyDescent="0.25">
      <c r="A107" s="19"/>
      <c r="C107" s="56"/>
      <c r="D107" s="56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</row>
    <row r="108" spans="1:20" x14ac:dyDescent="0.25">
      <c r="A108" s="19"/>
      <c r="C108" s="56"/>
      <c r="D108" s="56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</row>
    <row r="109" spans="1:20" x14ac:dyDescent="0.25">
      <c r="A109" s="19"/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</row>
    <row r="110" spans="1:20" x14ac:dyDescent="0.25">
      <c r="A110" s="19"/>
      <c r="C110" s="56"/>
      <c r="D110" s="56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</row>
    <row r="111" spans="1:20" x14ac:dyDescent="0.25">
      <c r="A111" s="19"/>
      <c r="C111" s="56"/>
      <c r="D111" s="56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</row>
    <row r="112" spans="1:20" x14ac:dyDescent="0.25">
      <c r="A112" s="19"/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</row>
    <row r="113" spans="1:20" x14ac:dyDescent="0.25">
      <c r="A113" s="19"/>
      <c r="C113" s="56"/>
      <c r="D113" s="56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</row>
    <row r="114" spans="1:20" x14ac:dyDescent="0.25">
      <c r="A114" s="19"/>
      <c r="C114" s="56"/>
      <c r="D114" s="56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</row>
    <row r="115" spans="1:20" x14ac:dyDescent="0.25">
      <c r="A115" s="19"/>
      <c r="C115" s="56"/>
      <c r="D115" s="56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</row>
    <row r="116" spans="1:20" x14ac:dyDescent="0.25">
      <c r="A116" s="19"/>
      <c r="C116" s="56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</row>
    <row r="117" spans="1:20" x14ac:dyDescent="0.25">
      <c r="A117" s="19"/>
      <c r="C117" s="56"/>
      <c r="D117" s="56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</row>
    <row r="118" spans="1:20" x14ac:dyDescent="0.25">
      <c r="A118" s="19"/>
      <c r="C118" s="56"/>
      <c r="D118" s="56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</row>
    <row r="119" spans="1:20" x14ac:dyDescent="0.25">
      <c r="A119" s="19"/>
      <c r="C119" s="56"/>
      <c r="D119" s="56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</row>
    <row r="120" spans="1:20" x14ac:dyDescent="0.25">
      <c r="A120" s="19"/>
      <c r="C120" s="56"/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</row>
    <row r="121" spans="1:20" x14ac:dyDescent="0.25">
      <c r="A121" s="19"/>
      <c r="C121" s="56"/>
      <c r="D121" s="56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</row>
    <row r="122" spans="1:20" x14ac:dyDescent="0.25">
      <c r="A122" s="19"/>
      <c r="C122" s="56"/>
      <c r="D122" s="56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</row>
    <row r="123" spans="1:20" x14ac:dyDescent="0.25">
      <c r="A123" s="19"/>
      <c r="C123" s="56"/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</row>
    <row r="124" spans="1:20" x14ac:dyDescent="0.25">
      <c r="A124" s="19"/>
      <c r="C124" s="56"/>
      <c r="D124" s="56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</row>
    <row r="125" spans="1:20" x14ac:dyDescent="0.25">
      <c r="A125" s="19"/>
      <c r="C125" s="56"/>
      <c r="D125" s="56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</row>
    <row r="126" spans="1:20" x14ac:dyDescent="0.25">
      <c r="A126" s="19"/>
      <c r="C126" s="56"/>
      <c r="D126" s="56"/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</row>
    <row r="127" spans="1:20" x14ac:dyDescent="0.25">
      <c r="A127" s="19"/>
      <c r="C127" s="56"/>
      <c r="D127" s="56"/>
      <c r="E127" s="56"/>
      <c r="F127" s="56"/>
      <c r="G127" s="56"/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</row>
    <row r="128" spans="1:20" x14ac:dyDescent="0.25">
      <c r="A128" s="19"/>
      <c r="C128" s="56"/>
      <c r="D128" s="56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</row>
    <row r="129" spans="1:20" x14ac:dyDescent="0.25">
      <c r="A129" s="19"/>
      <c r="C129" s="56"/>
      <c r="D129" s="56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</row>
    <row r="130" spans="1:20" x14ac:dyDescent="0.25">
      <c r="A130" s="19"/>
      <c r="C130" s="56"/>
      <c r="D130" s="56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</row>
    <row r="131" spans="1:20" x14ac:dyDescent="0.25">
      <c r="A131" s="19"/>
      <c r="C131" s="56"/>
      <c r="D131" s="56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</row>
    <row r="132" spans="1:20" x14ac:dyDescent="0.25">
      <c r="A132" s="19"/>
      <c r="C132" s="56"/>
      <c r="D132" s="56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</row>
    <row r="133" spans="1:20" x14ac:dyDescent="0.25">
      <c r="A133" s="19"/>
      <c r="C133" s="56"/>
      <c r="D133" s="56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</row>
    <row r="134" spans="1:20" x14ac:dyDescent="0.25">
      <c r="A134" s="19"/>
      <c r="C134" s="56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</row>
    <row r="135" spans="1:20" x14ac:dyDescent="0.25">
      <c r="A135" s="19"/>
      <c r="C135" s="56"/>
      <c r="D135" s="56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</row>
    <row r="136" spans="1:20" x14ac:dyDescent="0.25">
      <c r="A136" s="19"/>
      <c r="C136" s="56"/>
      <c r="D136" s="56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</row>
    <row r="137" spans="1:20" x14ac:dyDescent="0.25">
      <c r="A137" s="19"/>
      <c r="C137" s="56"/>
      <c r="D137" s="56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</row>
    <row r="138" spans="1:20" x14ac:dyDescent="0.25">
      <c r="A138" s="19"/>
      <c r="C138" s="56"/>
      <c r="D138" s="56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</row>
    <row r="139" spans="1:20" x14ac:dyDescent="0.25">
      <c r="A139" s="19"/>
      <c r="C139" s="56"/>
      <c r="D139" s="56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</row>
    <row r="140" spans="1:20" x14ac:dyDescent="0.25">
      <c r="A140" s="19"/>
      <c r="C140" s="56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</row>
    <row r="141" spans="1:20" x14ac:dyDescent="0.25">
      <c r="A141" s="19"/>
      <c r="C141" s="56"/>
      <c r="D141" s="56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</row>
    <row r="142" spans="1:20" x14ac:dyDescent="0.25">
      <c r="A142" s="19"/>
      <c r="C142" s="56"/>
      <c r="D142" s="56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</row>
    <row r="143" spans="1:20" x14ac:dyDescent="0.25">
      <c r="A143" s="19"/>
      <c r="C143" s="56"/>
      <c r="D143" s="56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</row>
    <row r="144" spans="1:20" x14ac:dyDescent="0.25">
      <c r="A144" s="19"/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</row>
    <row r="145" spans="1:20" x14ac:dyDescent="0.25">
      <c r="A145" s="19"/>
      <c r="C145" s="56"/>
      <c r="D145" s="56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</row>
    <row r="146" spans="1:20" x14ac:dyDescent="0.25">
      <c r="A146" s="19"/>
      <c r="C146" s="56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</row>
    <row r="147" spans="1:20" x14ac:dyDescent="0.25">
      <c r="A147" s="19"/>
      <c r="C147" s="56"/>
      <c r="D147" s="56"/>
      <c r="E147" s="56"/>
      <c r="F147" s="56"/>
      <c r="G147" s="56"/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</row>
    <row r="148" spans="1:20" x14ac:dyDescent="0.25">
      <c r="A148" s="19"/>
      <c r="C148" s="56"/>
      <c r="D148" s="56"/>
      <c r="E148" s="56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</row>
    <row r="149" spans="1:20" x14ac:dyDescent="0.25">
      <c r="A149" s="19"/>
      <c r="C149" s="56"/>
      <c r="D149" s="56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</row>
    <row r="150" spans="1:20" x14ac:dyDescent="0.25">
      <c r="A150" s="19"/>
      <c r="C150" s="56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</row>
    <row r="151" spans="1:20" x14ac:dyDescent="0.25">
      <c r="A151" s="19"/>
      <c r="C151" s="56"/>
      <c r="D151" s="56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</row>
    <row r="152" spans="1:20" x14ac:dyDescent="0.25">
      <c r="A152" s="19"/>
      <c r="C152" s="56"/>
      <c r="D152" s="56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</row>
    <row r="153" spans="1:20" x14ac:dyDescent="0.25">
      <c r="A153" s="19"/>
      <c r="C153" s="56"/>
      <c r="D153" s="56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</row>
    <row r="154" spans="1:20" x14ac:dyDescent="0.25">
      <c r="A154" s="19"/>
      <c r="C154" s="56"/>
      <c r="D154" s="56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</row>
    <row r="155" spans="1:20" x14ac:dyDescent="0.25">
      <c r="A155" s="19"/>
      <c r="C155" s="56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</row>
    <row r="156" spans="1:20" x14ac:dyDescent="0.25">
      <c r="A156" s="19"/>
      <c r="C156" s="56"/>
      <c r="D156" s="56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</row>
    <row r="157" spans="1:20" x14ac:dyDescent="0.25">
      <c r="A157" s="19"/>
      <c r="C157" s="56"/>
      <c r="D157" s="56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</row>
    <row r="158" spans="1:20" x14ac:dyDescent="0.25">
      <c r="A158" s="19"/>
      <c r="C158" s="56"/>
      <c r="D158" s="56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</row>
    <row r="159" spans="1:20" x14ac:dyDescent="0.25">
      <c r="A159" s="19"/>
      <c r="C159" s="56"/>
      <c r="D159" s="56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</row>
    <row r="160" spans="1:20" x14ac:dyDescent="0.25">
      <c r="A160" s="19"/>
      <c r="C160" s="56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</row>
    <row r="161" spans="1:20" x14ac:dyDescent="0.25">
      <c r="A161" s="19"/>
      <c r="C161" s="56"/>
      <c r="D161" s="56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</row>
    <row r="162" spans="1:20" x14ac:dyDescent="0.25">
      <c r="A162" s="19"/>
      <c r="C162" s="56"/>
      <c r="D162" s="56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</row>
    <row r="163" spans="1:20" x14ac:dyDescent="0.25">
      <c r="A163" s="19"/>
      <c r="C163" s="56"/>
      <c r="D163" s="56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</row>
    <row r="164" spans="1:20" x14ac:dyDescent="0.25">
      <c r="A164" s="19"/>
      <c r="C164" s="56"/>
      <c r="D164" s="56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</row>
    <row r="165" spans="1:20" x14ac:dyDescent="0.25">
      <c r="A165" s="19"/>
      <c r="C165" s="56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</row>
    <row r="166" spans="1:20" x14ac:dyDescent="0.25">
      <c r="A166" s="19"/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</row>
    <row r="167" spans="1:20" x14ac:dyDescent="0.25">
      <c r="A167" s="19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</row>
    <row r="168" spans="1:20" x14ac:dyDescent="0.25">
      <c r="A168" s="19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</row>
    <row r="169" spans="1:20" x14ac:dyDescent="0.25">
      <c r="A169" s="19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</row>
    <row r="170" spans="1:20" x14ac:dyDescent="0.25">
      <c r="A170" s="19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</row>
    <row r="171" spans="1:20" x14ac:dyDescent="0.25">
      <c r="A171" s="19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</row>
    <row r="172" spans="1:20" x14ac:dyDescent="0.25">
      <c r="A172" s="19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</row>
    <row r="173" spans="1:20" x14ac:dyDescent="0.25">
      <c r="A173" s="19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</row>
    <row r="174" spans="1:20" x14ac:dyDescent="0.25">
      <c r="A174" s="19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</row>
    <row r="175" spans="1:20" x14ac:dyDescent="0.25">
      <c r="A175" s="19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</row>
    <row r="176" spans="1:20" x14ac:dyDescent="0.25">
      <c r="A176" s="19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</row>
    <row r="177" spans="1:20" x14ac:dyDescent="0.25">
      <c r="A177" s="19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</row>
    <row r="178" spans="1:20" x14ac:dyDescent="0.25">
      <c r="A178" s="19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</row>
    <row r="179" spans="1:20" x14ac:dyDescent="0.25">
      <c r="A179" s="19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</row>
    <row r="180" spans="1:20" x14ac:dyDescent="0.25">
      <c r="A180" s="19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</row>
    <row r="181" spans="1:20" x14ac:dyDescent="0.25">
      <c r="A181" s="19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</row>
    <row r="182" spans="1:20" x14ac:dyDescent="0.25">
      <c r="A182" s="19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</row>
    <row r="183" spans="1:20" x14ac:dyDescent="0.25">
      <c r="A183" s="19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</row>
    <row r="184" spans="1:20" x14ac:dyDescent="0.25">
      <c r="A184" s="19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</row>
    <row r="185" spans="1:20" x14ac:dyDescent="0.25">
      <c r="A185" s="19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</row>
    <row r="186" spans="1:20" x14ac:dyDescent="0.25">
      <c r="A186" s="19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</row>
    <row r="187" spans="1:20" x14ac:dyDescent="0.25">
      <c r="A187" s="19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</row>
    <row r="188" spans="1:20" x14ac:dyDescent="0.25">
      <c r="A188" s="19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</row>
    <row r="189" spans="1:20" x14ac:dyDescent="0.25">
      <c r="A189" s="19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</row>
    <row r="190" spans="1:20" x14ac:dyDescent="0.25">
      <c r="A190" s="19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</row>
    <row r="191" spans="1:20" x14ac:dyDescent="0.25">
      <c r="A191" s="19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</row>
    <row r="192" spans="1:20" x14ac:dyDescent="0.25">
      <c r="A192" s="19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</row>
    <row r="193" spans="1:20" x14ac:dyDescent="0.25">
      <c r="A193" s="19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</row>
    <row r="194" spans="1:20" x14ac:dyDescent="0.25">
      <c r="A194" s="19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</row>
    <row r="195" spans="1:20" x14ac:dyDescent="0.25">
      <c r="A195" s="19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</row>
    <row r="196" spans="1:20" x14ac:dyDescent="0.25">
      <c r="A196" s="19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</row>
    <row r="197" spans="1:20" x14ac:dyDescent="0.25">
      <c r="A197" s="19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</row>
    <row r="198" spans="1:20" x14ac:dyDescent="0.25">
      <c r="A198" s="19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</row>
    <row r="199" spans="1:20" x14ac:dyDescent="0.25">
      <c r="A199" s="19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</row>
    <row r="200" spans="1:20" x14ac:dyDescent="0.25">
      <c r="A200" s="19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</row>
    <row r="201" spans="1:20" x14ac:dyDescent="0.25">
      <c r="A201" s="19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</row>
    <row r="202" spans="1:20" x14ac:dyDescent="0.25">
      <c r="A202" s="19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</row>
    <row r="203" spans="1:20" x14ac:dyDescent="0.25">
      <c r="A203" s="19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</row>
    <row r="204" spans="1:20" x14ac:dyDescent="0.25">
      <c r="A204" s="19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</row>
    <row r="205" spans="1:20" x14ac:dyDescent="0.25">
      <c r="A205" s="19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</row>
    <row r="206" spans="1:20" x14ac:dyDescent="0.25">
      <c r="A206" s="19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</row>
    <row r="207" spans="1:20" x14ac:dyDescent="0.25">
      <c r="A207" s="19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</row>
    <row r="208" spans="1:20" x14ac:dyDescent="0.25">
      <c r="A208" s="19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</row>
    <row r="209" spans="1:20" x14ac:dyDescent="0.25">
      <c r="A209" s="19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</row>
    <row r="210" spans="1:20" x14ac:dyDescent="0.25">
      <c r="A210" s="19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</row>
    <row r="211" spans="1:20" x14ac:dyDescent="0.25">
      <c r="A211" s="19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</row>
    <row r="212" spans="1:20" x14ac:dyDescent="0.25">
      <c r="A212" s="19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</row>
    <row r="213" spans="1:20" x14ac:dyDescent="0.25">
      <c r="A213" s="19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</row>
    <row r="214" spans="1:20" x14ac:dyDescent="0.25">
      <c r="A214" s="19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</row>
    <row r="215" spans="1:20" x14ac:dyDescent="0.25">
      <c r="A215" s="19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</row>
    <row r="216" spans="1:20" x14ac:dyDescent="0.25">
      <c r="A216" s="19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</row>
    <row r="217" spans="1:20" x14ac:dyDescent="0.25">
      <c r="A217" s="19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</row>
    <row r="218" spans="1:20" x14ac:dyDescent="0.25">
      <c r="A218" s="19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</row>
    <row r="219" spans="1:20" x14ac:dyDescent="0.25">
      <c r="A219" s="19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</row>
    <row r="220" spans="1:20" x14ac:dyDescent="0.25">
      <c r="A220" s="19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</row>
    <row r="221" spans="1:20" x14ac:dyDescent="0.25">
      <c r="A221" s="19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</row>
    <row r="222" spans="1:20" x14ac:dyDescent="0.25">
      <c r="A222" s="19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</row>
    <row r="223" spans="1:20" x14ac:dyDescent="0.25">
      <c r="A223" s="19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</row>
    <row r="224" spans="1:20" x14ac:dyDescent="0.25">
      <c r="A224" s="19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</row>
    <row r="225" spans="1:20" x14ac:dyDescent="0.25">
      <c r="A225" s="19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</row>
    <row r="226" spans="1:20" x14ac:dyDescent="0.25">
      <c r="A226" s="19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</row>
    <row r="227" spans="1:20" x14ac:dyDescent="0.25">
      <c r="A227" s="19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</row>
    <row r="228" spans="1:20" x14ac:dyDescent="0.25">
      <c r="A228" s="19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</row>
    <row r="229" spans="1:20" x14ac:dyDescent="0.25">
      <c r="A229" s="19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</row>
    <row r="230" spans="1:20" x14ac:dyDescent="0.25">
      <c r="A230" s="19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</row>
    <row r="231" spans="1:20" x14ac:dyDescent="0.25">
      <c r="A231" s="19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</row>
    <row r="232" spans="1:20" x14ac:dyDescent="0.25">
      <c r="A232" s="19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</row>
    <row r="233" spans="1:20" x14ac:dyDescent="0.25">
      <c r="A233" s="19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</row>
    <row r="234" spans="1:20" x14ac:dyDescent="0.25">
      <c r="A234" s="19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</row>
    <row r="235" spans="1:20" x14ac:dyDescent="0.25">
      <c r="A235" s="19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</row>
    <row r="236" spans="1:20" x14ac:dyDescent="0.25">
      <c r="A236" s="19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</row>
    <row r="237" spans="1:20" x14ac:dyDescent="0.25">
      <c r="A237" s="19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</row>
    <row r="238" spans="1:20" x14ac:dyDescent="0.25">
      <c r="A238" s="19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</row>
    <row r="239" spans="1:20" x14ac:dyDescent="0.25">
      <c r="A239" s="19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</row>
    <row r="240" spans="1:20" x14ac:dyDescent="0.25">
      <c r="A240" s="19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</row>
    <row r="241" spans="1:20" x14ac:dyDescent="0.25">
      <c r="A241" s="19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</row>
    <row r="242" spans="1:20" x14ac:dyDescent="0.25">
      <c r="A242" s="19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</row>
    <row r="243" spans="1:20" x14ac:dyDescent="0.25">
      <c r="A243" s="19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</row>
    <row r="244" spans="1:20" x14ac:dyDescent="0.25">
      <c r="A244" s="19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</row>
    <row r="245" spans="1:20" x14ac:dyDescent="0.25">
      <c r="A245" s="19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</row>
    <row r="246" spans="1:20" x14ac:dyDescent="0.25">
      <c r="A246" s="19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</row>
    <row r="247" spans="1:20" x14ac:dyDescent="0.25">
      <c r="A247" s="19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</row>
    <row r="248" spans="1:20" x14ac:dyDescent="0.25">
      <c r="A248" s="19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</row>
    <row r="249" spans="1:20" x14ac:dyDescent="0.25">
      <c r="A249" s="19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</row>
    <row r="250" spans="1:20" x14ac:dyDescent="0.25">
      <c r="A250" s="19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</row>
    <row r="251" spans="1:20" x14ac:dyDescent="0.25">
      <c r="A251" s="19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</row>
    <row r="252" spans="1:20" x14ac:dyDescent="0.25">
      <c r="A252" s="19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</row>
    <row r="253" spans="1:20" x14ac:dyDescent="0.25">
      <c r="A253" s="19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</row>
    <row r="254" spans="1:20" x14ac:dyDescent="0.25">
      <c r="A254" s="19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</row>
    <row r="255" spans="1:20" x14ac:dyDescent="0.25">
      <c r="A255" s="19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</row>
    <row r="256" spans="1:20" x14ac:dyDescent="0.25">
      <c r="A256" s="19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</row>
    <row r="257" spans="1:20" x14ac:dyDescent="0.25">
      <c r="A257" s="19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</row>
    <row r="258" spans="1:20" x14ac:dyDescent="0.25">
      <c r="A258" s="19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</row>
    <row r="259" spans="1:20" x14ac:dyDescent="0.25">
      <c r="A259" s="19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</row>
    <row r="260" spans="1:20" x14ac:dyDescent="0.25">
      <c r="A260" s="19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</row>
    <row r="261" spans="1:20" x14ac:dyDescent="0.25">
      <c r="A261" s="19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</row>
    <row r="262" spans="1:20" x14ac:dyDescent="0.25">
      <c r="A262" s="19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</row>
    <row r="263" spans="1:20" x14ac:dyDescent="0.25">
      <c r="A263" s="19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</row>
    <row r="264" spans="1:20" x14ac:dyDescent="0.25">
      <c r="A264" s="19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</row>
    <row r="265" spans="1:20" x14ac:dyDescent="0.25">
      <c r="A265" s="19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</row>
    <row r="266" spans="1:20" x14ac:dyDescent="0.25">
      <c r="A266" s="19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</row>
    <row r="267" spans="1:20" x14ac:dyDescent="0.25">
      <c r="A267" s="19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</row>
    <row r="268" spans="1:20" x14ac:dyDescent="0.25">
      <c r="A268" s="19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</row>
    <row r="269" spans="1:20" x14ac:dyDescent="0.25">
      <c r="A269" s="19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</row>
    <row r="270" spans="1:20" x14ac:dyDescent="0.25">
      <c r="A270" s="19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</row>
    <row r="271" spans="1:20" x14ac:dyDescent="0.25">
      <c r="A271" s="19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</row>
    <row r="272" spans="1:20" x14ac:dyDescent="0.25">
      <c r="A272" s="19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</row>
    <row r="273" spans="1:20" x14ac:dyDescent="0.25">
      <c r="A273" s="19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</row>
    <row r="274" spans="1:20" x14ac:dyDescent="0.25">
      <c r="A274" s="19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</row>
    <row r="275" spans="1:20" x14ac:dyDescent="0.25">
      <c r="A275" s="19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</row>
    <row r="276" spans="1:20" x14ac:dyDescent="0.25">
      <c r="A276" s="19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</row>
    <row r="277" spans="1:20" x14ac:dyDescent="0.25">
      <c r="A277" s="19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</row>
    <row r="278" spans="1:20" x14ac:dyDescent="0.25">
      <c r="A278" s="19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</row>
    <row r="279" spans="1:20" x14ac:dyDescent="0.25">
      <c r="A279" s="19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</row>
    <row r="280" spans="1:20" x14ac:dyDescent="0.25">
      <c r="A280" s="19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</row>
    <row r="281" spans="1:20" x14ac:dyDescent="0.25">
      <c r="A281" s="19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</row>
    <row r="282" spans="1:20" x14ac:dyDescent="0.25">
      <c r="A282" s="19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</row>
    <row r="283" spans="1:20" x14ac:dyDescent="0.25">
      <c r="A283" s="19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</row>
    <row r="284" spans="1:20" x14ac:dyDescent="0.25">
      <c r="A284" s="19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</row>
    <row r="285" spans="1:20" x14ac:dyDescent="0.25">
      <c r="A285" s="19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</row>
    <row r="286" spans="1:20" x14ac:dyDescent="0.25">
      <c r="A286" s="19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</row>
    <row r="287" spans="1:20" x14ac:dyDescent="0.25">
      <c r="A287" s="19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</row>
    <row r="288" spans="1:20" x14ac:dyDescent="0.25">
      <c r="A288" s="19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</row>
    <row r="289" spans="1:20" x14ac:dyDescent="0.25">
      <c r="A289" s="19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</row>
    <row r="290" spans="1:20" x14ac:dyDescent="0.25">
      <c r="A290" s="19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</row>
    <row r="291" spans="1:20" x14ac:dyDescent="0.25">
      <c r="A291" s="19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</row>
    <row r="292" spans="1:20" x14ac:dyDescent="0.25">
      <c r="A292" s="19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</row>
    <row r="293" spans="1:20" x14ac:dyDescent="0.25">
      <c r="A293" s="19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</row>
    <row r="294" spans="1:20" x14ac:dyDescent="0.25">
      <c r="A294" s="19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</row>
    <row r="295" spans="1:20" x14ac:dyDescent="0.25">
      <c r="A295" s="19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</row>
    <row r="296" spans="1:20" x14ac:dyDescent="0.25">
      <c r="A296" s="19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</row>
    <row r="297" spans="1:20" x14ac:dyDescent="0.25">
      <c r="A297" s="19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</row>
    <row r="298" spans="1:20" x14ac:dyDescent="0.25">
      <c r="A298" s="19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</row>
    <row r="299" spans="1:20" x14ac:dyDescent="0.25">
      <c r="A299" s="19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</row>
    <row r="300" spans="1:20" x14ac:dyDescent="0.25">
      <c r="A300" s="19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</row>
    <row r="301" spans="1:20" x14ac:dyDescent="0.25">
      <c r="A301" s="19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</row>
    <row r="302" spans="1:20" x14ac:dyDescent="0.25">
      <c r="A302" s="19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</row>
    <row r="303" spans="1:20" x14ac:dyDescent="0.25">
      <c r="A303" s="19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</row>
    <row r="304" spans="1:20" x14ac:dyDescent="0.25">
      <c r="A304" s="19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</row>
    <row r="305" spans="1:20" x14ac:dyDescent="0.25">
      <c r="A305" s="19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</row>
    <row r="306" spans="1:20" x14ac:dyDescent="0.25">
      <c r="A306" s="19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</row>
    <row r="307" spans="1:20" x14ac:dyDescent="0.25">
      <c r="A307" s="19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</row>
    <row r="308" spans="1:20" x14ac:dyDescent="0.25">
      <c r="A308" s="19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</row>
    <row r="309" spans="1:20" x14ac:dyDescent="0.25">
      <c r="A309" s="19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</row>
    <row r="310" spans="1:20" x14ac:dyDescent="0.25">
      <c r="A310" s="19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</row>
    <row r="311" spans="1:20" x14ac:dyDescent="0.25">
      <c r="A311" s="19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</row>
    <row r="312" spans="1:20" x14ac:dyDescent="0.25">
      <c r="A312" s="19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</row>
    <row r="313" spans="1:20" x14ac:dyDescent="0.25">
      <c r="A313" s="19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</row>
    <row r="314" spans="1:20" x14ac:dyDescent="0.25">
      <c r="A314" s="19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</row>
    <row r="315" spans="1:20" x14ac:dyDescent="0.25">
      <c r="A315" s="19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</row>
    <row r="316" spans="1:20" x14ac:dyDescent="0.25">
      <c r="A316" s="19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</row>
    <row r="317" spans="1:20" x14ac:dyDescent="0.25">
      <c r="A317" s="19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</row>
    <row r="318" spans="1:20" x14ac:dyDescent="0.25">
      <c r="A318" s="19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</row>
    <row r="319" spans="1:20" x14ac:dyDescent="0.25">
      <c r="A319" s="19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</row>
    <row r="320" spans="1:20" x14ac:dyDescent="0.25">
      <c r="A320" s="19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</row>
    <row r="321" spans="1:20" x14ac:dyDescent="0.25">
      <c r="A321" s="19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</row>
    <row r="322" spans="1:20" x14ac:dyDescent="0.25">
      <c r="A322" s="19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</row>
    <row r="323" spans="1:20" x14ac:dyDescent="0.25">
      <c r="A323" s="19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</row>
    <row r="324" spans="1:20" x14ac:dyDescent="0.25">
      <c r="A324" s="19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</row>
    <row r="325" spans="1:20" x14ac:dyDescent="0.25">
      <c r="A325" s="19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</row>
    <row r="326" spans="1:20" x14ac:dyDescent="0.25">
      <c r="A326" s="19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</row>
    <row r="327" spans="1:20" x14ac:dyDescent="0.25">
      <c r="A327" s="19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</row>
    <row r="328" spans="1:20" x14ac:dyDescent="0.25">
      <c r="A328" s="19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</row>
    <row r="329" spans="1:20" x14ac:dyDescent="0.25">
      <c r="A329" s="19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</row>
    <row r="330" spans="1:20" x14ac:dyDescent="0.25">
      <c r="A330" s="19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</row>
    <row r="331" spans="1:20" x14ac:dyDescent="0.25">
      <c r="A331" s="19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</row>
    <row r="332" spans="1:20" x14ac:dyDescent="0.25">
      <c r="A332" s="19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</row>
    <row r="333" spans="1:20" x14ac:dyDescent="0.25">
      <c r="A333" s="19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</row>
    <row r="334" spans="1:20" x14ac:dyDescent="0.25">
      <c r="A334" s="19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</row>
    <row r="335" spans="1:20" x14ac:dyDescent="0.25">
      <c r="A335" s="19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</row>
    <row r="336" spans="1:20" x14ac:dyDescent="0.25">
      <c r="A336" s="19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</row>
    <row r="337" spans="1:20" x14ac:dyDescent="0.25">
      <c r="A337" s="19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</row>
    <row r="338" spans="1:20" x14ac:dyDescent="0.25">
      <c r="A338" s="19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</row>
    <row r="339" spans="1:20" x14ac:dyDescent="0.25">
      <c r="A339" s="19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</row>
    <row r="340" spans="1:20" x14ac:dyDescent="0.25">
      <c r="A340" s="19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</row>
    <row r="341" spans="1:20" x14ac:dyDescent="0.25">
      <c r="A341" s="19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</row>
    <row r="342" spans="1:20" x14ac:dyDescent="0.25">
      <c r="A342" s="19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</row>
    <row r="343" spans="1:20" x14ac:dyDescent="0.25">
      <c r="A343" s="19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</row>
    <row r="344" spans="1:20" x14ac:dyDescent="0.25">
      <c r="A344" s="19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</row>
    <row r="345" spans="1:20" x14ac:dyDescent="0.25">
      <c r="A345" s="19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</row>
    <row r="346" spans="1:20" x14ac:dyDescent="0.25">
      <c r="A346" s="19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</row>
    <row r="347" spans="1:20" x14ac:dyDescent="0.25">
      <c r="A347" s="19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</row>
    <row r="348" spans="1:20" x14ac:dyDescent="0.25">
      <c r="A348" s="19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</row>
    <row r="349" spans="1:20" x14ac:dyDescent="0.25">
      <c r="A349" s="19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</row>
    <row r="350" spans="1:20" x14ac:dyDescent="0.25">
      <c r="A350" s="19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</row>
    <row r="351" spans="1:20" x14ac:dyDescent="0.25">
      <c r="A351" s="19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</row>
    <row r="352" spans="1:20" x14ac:dyDescent="0.25">
      <c r="A352" s="19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</row>
    <row r="353" spans="1:20" x14ac:dyDescent="0.25">
      <c r="A353" s="19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</row>
    <row r="354" spans="1:20" x14ac:dyDescent="0.25">
      <c r="A354" s="19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</row>
    <row r="355" spans="1:20" x14ac:dyDescent="0.25">
      <c r="A355" s="19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</row>
    <row r="356" spans="1:20" x14ac:dyDescent="0.25">
      <c r="A356" s="19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</row>
    <row r="357" spans="1:20" x14ac:dyDescent="0.25">
      <c r="A357" s="19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</row>
    <row r="358" spans="1:20" x14ac:dyDescent="0.25">
      <c r="A358" s="19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</row>
    <row r="359" spans="1:20" x14ac:dyDescent="0.25">
      <c r="A359" s="19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</row>
    <row r="360" spans="1:20" x14ac:dyDescent="0.25">
      <c r="A360" s="19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</row>
    <row r="361" spans="1:20" x14ac:dyDescent="0.25">
      <c r="A361" s="19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</row>
    <row r="362" spans="1:20" x14ac:dyDescent="0.25">
      <c r="A362" s="19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</row>
    <row r="363" spans="1:20" x14ac:dyDescent="0.25">
      <c r="A363" s="19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</row>
    <row r="364" spans="1:20" x14ac:dyDescent="0.25">
      <c r="A364" s="19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</row>
    <row r="365" spans="1:20" x14ac:dyDescent="0.25">
      <c r="A365" s="19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</row>
    <row r="366" spans="1:20" x14ac:dyDescent="0.25">
      <c r="A366" s="19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</row>
    <row r="367" spans="1:20" x14ac:dyDescent="0.25">
      <c r="A367" s="19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</row>
    <row r="368" spans="1:20" x14ac:dyDescent="0.25">
      <c r="A368" s="19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</row>
    <row r="369" spans="1:20" x14ac:dyDescent="0.25">
      <c r="A369" s="19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</row>
    <row r="370" spans="1:20" x14ac:dyDescent="0.25">
      <c r="A370" s="19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</row>
    <row r="371" spans="1:20" x14ac:dyDescent="0.25">
      <c r="A371" s="19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</row>
    <row r="372" spans="1:20" x14ac:dyDescent="0.25">
      <c r="A372" s="19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</row>
    <row r="373" spans="1:20" x14ac:dyDescent="0.25">
      <c r="A373" s="19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</row>
    <row r="374" spans="1:20" x14ac:dyDescent="0.25">
      <c r="A374" s="19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</row>
    <row r="375" spans="1:20" x14ac:dyDescent="0.25">
      <c r="A375" s="19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</row>
    <row r="376" spans="1:20" x14ac:dyDescent="0.25">
      <c r="A376" s="19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</row>
    <row r="377" spans="1:20" x14ac:dyDescent="0.25">
      <c r="A377" s="19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</row>
    <row r="378" spans="1:20" x14ac:dyDescent="0.25">
      <c r="A378" s="19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</row>
    <row r="379" spans="1:20" x14ac:dyDescent="0.25">
      <c r="A379" s="19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</row>
    <row r="380" spans="1:20" x14ac:dyDescent="0.25">
      <c r="A380" s="19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</row>
    <row r="381" spans="1:20" x14ac:dyDescent="0.25">
      <c r="A381" s="19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</row>
    <row r="382" spans="1:20" x14ac:dyDescent="0.25">
      <c r="A382" s="19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</row>
    <row r="383" spans="1:20" x14ac:dyDescent="0.25">
      <c r="A383" s="19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</row>
    <row r="384" spans="1:20" x14ac:dyDescent="0.25">
      <c r="A384" s="19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</row>
    <row r="385" spans="1:20" x14ac:dyDescent="0.25">
      <c r="A385" s="19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</row>
    <row r="386" spans="1:20" x14ac:dyDescent="0.25">
      <c r="A386" s="19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</row>
    <row r="387" spans="1:20" x14ac:dyDescent="0.25">
      <c r="A387" s="19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</row>
    <row r="388" spans="1:20" x14ac:dyDescent="0.25">
      <c r="A388" s="19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</row>
    <row r="389" spans="1:20" x14ac:dyDescent="0.25">
      <c r="A389" s="19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</row>
    <row r="390" spans="1:20" x14ac:dyDescent="0.25">
      <c r="A390" s="19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</row>
    <row r="391" spans="1:20" x14ac:dyDescent="0.25">
      <c r="A391" s="19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</row>
    <row r="392" spans="1:20" x14ac:dyDescent="0.25">
      <c r="A392" s="19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</row>
    <row r="393" spans="1:20" x14ac:dyDescent="0.25">
      <c r="A393" s="19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</row>
    <row r="394" spans="1:20" x14ac:dyDescent="0.25">
      <c r="A394" s="19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</row>
    <row r="395" spans="1:20" x14ac:dyDescent="0.25">
      <c r="A395" s="19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</row>
    <row r="396" spans="1:20" x14ac:dyDescent="0.25">
      <c r="A396" s="19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</row>
    <row r="397" spans="1:20" x14ac:dyDescent="0.25">
      <c r="A397" s="19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</row>
    <row r="398" spans="1:20" x14ac:dyDescent="0.25">
      <c r="A398" s="19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</row>
    <row r="399" spans="1:20" x14ac:dyDescent="0.25">
      <c r="A399" s="19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</row>
    <row r="400" spans="1:20" x14ac:dyDescent="0.25">
      <c r="A400" s="19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</row>
    <row r="401" spans="1:20" x14ac:dyDescent="0.25">
      <c r="A401" s="19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</row>
    <row r="402" spans="1:20" x14ac:dyDescent="0.25">
      <c r="A402" s="19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</row>
    <row r="403" spans="1:20" x14ac:dyDescent="0.25">
      <c r="A403" s="19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</row>
    <row r="404" spans="1:20" x14ac:dyDescent="0.25">
      <c r="A404" s="19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</row>
    <row r="405" spans="1:20" x14ac:dyDescent="0.25">
      <c r="A405" s="19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</row>
    <row r="406" spans="1:20" x14ac:dyDescent="0.25">
      <c r="A406" s="19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</row>
    <row r="407" spans="1:20" x14ac:dyDescent="0.25">
      <c r="A407" s="19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</row>
    <row r="408" spans="1:20" x14ac:dyDescent="0.25">
      <c r="A408" s="19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</row>
    <row r="409" spans="1:20" x14ac:dyDescent="0.25">
      <c r="A409" s="19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</row>
    <row r="410" spans="1:20" x14ac:dyDescent="0.25">
      <c r="A410" s="19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</row>
    <row r="411" spans="1:20" x14ac:dyDescent="0.25">
      <c r="A411" s="19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</row>
    <row r="412" spans="1:20" x14ac:dyDescent="0.25">
      <c r="A412" s="19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</row>
    <row r="413" spans="1:20" x14ac:dyDescent="0.25">
      <c r="A413" s="19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</row>
    <row r="414" spans="1:20" x14ac:dyDescent="0.25">
      <c r="A414" s="19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</row>
    <row r="415" spans="1:20" x14ac:dyDescent="0.25">
      <c r="A415" s="19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</row>
    <row r="416" spans="1:20" x14ac:dyDescent="0.25">
      <c r="A416" s="19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</row>
    <row r="417" spans="1:20" x14ac:dyDescent="0.25">
      <c r="A417" s="19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</row>
    <row r="418" spans="1:20" x14ac:dyDescent="0.25">
      <c r="A418" s="19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</row>
    <row r="419" spans="1:20" x14ac:dyDescent="0.25">
      <c r="A419" s="19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</row>
    <row r="420" spans="1:20" x14ac:dyDescent="0.25">
      <c r="A420" s="19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</row>
    <row r="421" spans="1:20" x14ac:dyDescent="0.25">
      <c r="A421" s="19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</row>
    <row r="422" spans="1:20" x14ac:dyDescent="0.25">
      <c r="A422" s="19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</row>
    <row r="423" spans="1:20" x14ac:dyDescent="0.25">
      <c r="A423" s="19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</row>
    <row r="424" spans="1:20" x14ac:dyDescent="0.25">
      <c r="A424" s="19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</row>
    <row r="425" spans="1:20" x14ac:dyDescent="0.25">
      <c r="A425" s="19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</row>
    <row r="426" spans="1:20" x14ac:dyDescent="0.25">
      <c r="A426" s="19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</row>
    <row r="427" spans="1:20" x14ac:dyDescent="0.25">
      <c r="A427" s="19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</row>
    <row r="428" spans="1:20" x14ac:dyDescent="0.25">
      <c r="A428" s="19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</row>
    <row r="429" spans="1:20" x14ac:dyDescent="0.25">
      <c r="A429" s="19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</row>
    <row r="430" spans="1:20" x14ac:dyDescent="0.25">
      <c r="A430" s="19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</row>
    <row r="431" spans="1:20" x14ac:dyDescent="0.25">
      <c r="A431" s="19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</row>
    <row r="432" spans="1:20" x14ac:dyDescent="0.25">
      <c r="A432" s="19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</row>
    <row r="433" spans="1:20" x14ac:dyDescent="0.25">
      <c r="A433" s="19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</row>
    <row r="434" spans="1:20" x14ac:dyDescent="0.25">
      <c r="A434" s="19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</row>
    <row r="435" spans="1:20" x14ac:dyDescent="0.25">
      <c r="A435" s="19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</row>
    <row r="436" spans="1:20" x14ac:dyDescent="0.25">
      <c r="A436" s="19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</row>
    <row r="437" spans="1:20" x14ac:dyDescent="0.25">
      <c r="A437" s="19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</row>
    <row r="438" spans="1:20" x14ac:dyDescent="0.25">
      <c r="A438" s="19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</row>
    <row r="439" spans="1:20" x14ac:dyDescent="0.25">
      <c r="A439" s="19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</row>
    <row r="440" spans="1:20" x14ac:dyDescent="0.25">
      <c r="A440" s="19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</row>
    <row r="441" spans="1:20" x14ac:dyDescent="0.25">
      <c r="A441" s="19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</row>
    <row r="442" spans="1:20" x14ac:dyDescent="0.25">
      <c r="A442" s="19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</row>
    <row r="443" spans="1:20" x14ac:dyDescent="0.25">
      <c r="A443" s="19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</row>
    <row r="444" spans="1:20" x14ac:dyDescent="0.25">
      <c r="A444" s="19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</row>
    <row r="445" spans="1:20" x14ac:dyDescent="0.25">
      <c r="A445" s="19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</row>
    <row r="446" spans="1:20" x14ac:dyDescent="0.25">
      <c r="A446" s="19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</row>
    <row r="447" spans="1:20" x14ac:dyDescent="0.25">
      <c r="A447" s="19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</row>
    <row r="448" spans="1:20" x14ac:dyDescent="0.25">
      <c r="A448" s="19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</row>
    <row r="449" spans="1:20" x14ac:dyDescent="0.25">
      <c r="A449" s="19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</row>
    <row r="450" spans="1:20" x14ac:dyDescent="0.25">
      <c r="A450" s="19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</row>
    <row r="451" spans="1:20" x14ac:dyDescent="0.25">
      <c r="A451" s="19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</row>
    <row r="452" spans="1:20" x14ac:dyDescent="0.25">
      <c r="A452" s="19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</row>
    <row r="453" spans="1:20" x14ac:dyDescent="0.25">
      <c r="A453" s="19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</row>
    <row r="454" spans="1:20" x14ac:dyDescent="0.25">
      <c r="A454" s="19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</row>
    <row r="455" spans="1:20" x14ac:dyDescent="0.25">
      <c r="A455" s="19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</row>
    <row r="456" spans="1:20" x14ac:dyDescent="0.25">
      <c r="A456" s="19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</row>
    <row r="457" spans="1:20" x14ac:dyDescent="0.25">
      <c r="A457" s="19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</row>
    <row r="458" spans="1:20" x14ac:dyDescent="0.25">
      <c r="A458" s="19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</row>
    <row r="459" spans="1:20" x14ac:dyDescent="0.25">
      <c r="A459" s="19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</row>
    <row r="460" spans="1:20" x14ac:dyDescent="0.25">
      <c r="A460" s="19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</row>
    <row r="461" spans="1:20" x14ac:dyDescent="0.25">
      <c r="A461" s="19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</row>
    <row r="462" spans="1:20" x14ac:dyDescent="0.25">
      <c r="A462" s="19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</row>
    <row r="463" spans="1:20" x14ac:dyDescent="0.25">
      <c r="A463" s="19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</row>
    <row r="464" spans="1:20" x14ac:dyDescent="0.25">
      <c r="A464" s="19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</row>
    <row r="465" spans="1:20" x14ac:dyDescent="0.25">
      <c r="A465" s="19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</row>
    <row r="466" spans="1:20" x14ac:dyDescent="0.25">
      <c r="A466" s="19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</row>
    <row r="467" spans="1:20" x14ac:dyDescent="0.25">
      <c r="A467" s="19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</row>
    <row r="468" spans="1:20" x14ac:dyDescent="0.25">
      <c r="A468" s="19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</row>
    <row r="469" spans="1:20" x14ac:dyDescent="0.25">
      <c r="A469" s="19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</row>
    <row r="470" spans="1:20" x14ac:dyDescent="0.25">
      <c r="A470" s="19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</row>
    <row r="471" spans="1:20" x14ac:dyDescent="0.25">
      <c r="A471" s="19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</row>
    <row r="472" spans="1:20" x14ac:dyDescent="0.25">
      <c r="A472" s="19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</row>
    <row r="473" spans="1:20" x14ac:dyDescent="0.25">
      <c r="A473" s="19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</row>
    <row r="474" spans="1:20" x14ac:dyDescent="0.25">
      <c r="A474" s="19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</row>
    <row r="475" spans="1:20" x14ac:dyDescent="0.25">
      <c r="A475" s="19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</row>
    <row r="476" spans="1:20" x14ac:dyDescent="0.25">
      <c r="A476" s="19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</row>
    <row r="477" spans="1:20" x14ac:dyDescent="0.25">
      <c r="A477" s="19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</row>
    <row r="478" spans="1:20" x14ac:dyDescent="0.25">
      <c r="A478" s="19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</row>
    <row r="479" spans="1:20" x14ac:dyDescent="0.25">
      <c r="A479" s="19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</row>
    <row r="480" spans="1:20" x14ac:dyDescent="0.25">
      <c r="A480" s="19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</row>
    <row r="481" spans="1:20" x14ac:dyDescent="0.25">
      <c r="A481" s="19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</row>
    <row r="482" spans="1:20" x14ac:dyDescent="0.25">
      <c r="A482" s="19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</row>
    <row r="483" spans="1:20" x14ac:dyDescent="0.25">
      <c r="A483" s="19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</row>
    <row r="484" spans="1:20" x14ac:dyDescent="0.25">
      <c r="A484" s="19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</row>
    <row r="485" spans="1:20" x14ac:dyDescent="0.25">
      <c r="A485" s="19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</row>
    <row r="486" spans="1:20" x14ac:dyDescent="0.25">
      <c r="A486" s="19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</row>
    <row r="487" spans="1:20" x14ac:dyDescent="0.25">
      <c r="A487" s="19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</row>
    <row r="488" spans="1:20" x14ac:dyDescent="0.25">
      <c r="A488" s="19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</row>
    <row r="489" spans="1:20" x14ac:dyDescent="0.25">
      <c r="A489" s="19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</row>
    <row r="490" spans="1:20" x14ac:dyDescent="0.25">
      <c r="A490" s="19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</row>
    <row r="491" spans="1:20" x14ac:dyDescent="0.25">
      <c r="A491" s="19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</row>
    <row r="492" spans="1:20" x14ac:dyDescent="0.25">
      <c r="A492" s="19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</row>
    <row r="493" spans="1:20" x14ac:dyDescent="0.25">
      <c r="A493" s="19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</row>
    <row r="494" spans="1:20" x14ac:dyDescent="0.25">
      <c r="A494" s="19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</row>
    <row r="495" spans="1:20" x14ac:dyDescent="0.25">
      <c r="A495" s="19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</row>
    <row r="496" spans="1:20" x14ac:dyDescent="0.25">
      <c r="A496" s="19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</row>
    <row r="497" spans="1:20" x14ac:dyDescent="0.25">
      <c r="A497" s="19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</row>
    <row r="498" spans="1:20" x14ac:dyDescent="0.25">
      <c r="A498" s="19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</row>
    <row r="499" spans="1:20" x14ac:dyDescent="0.25">
      <c r="A499" s="19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</row>
    <row r="500" spans="1:20" x14ac:dyDescent="0.25">
      <c r="A500" s="19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</row>
    <row r="501" spans="1:20" x14ac:dyDescent="0.25">
      <c r="A501" s="19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</row>
    <row r="502" spans="1:20" x14ac:dyDescent="0.25">
      <c r="A502" s="19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</row>
    <row r="503" spans="1:20" x14ac:dyDescent="0.25">
      <c r="A503" s="19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</row>
    <row r="504" spans="1:20" x14ac:dyDescent="0.25">
      <c r="A504" s="19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</row>
    <row r="505" spans="1:20" x14ac:dyDescent="0.25">
      <c r="A505" s="19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</row>
    <row r="506" spans="1:20" x14ac:dyDescent="0.25">
      <c r="A506" s="19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</row>
    <row r="507" spans="1:20" x14ac:dyDescent="0.25">
      <c r="A507" s="19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</row>
    <row r="508" spans="1:20" x14ac:dyDescent="0.25">
      <c r="A508" s="19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</row>
    <row r="509" spans="1:20" x14ac:dyDescent="0.25">
      <c r="A509" s="19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</row>
    <row r="510" spans="1:20" x14ac:dyDescent="0.25">
      <c r="A510" s="19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</row>
    <row r="511" spans="1:20" x14ac:dyDescent="0.25">
      <c r="A511" s="19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</row>
    <row r="512" spans="1:20" x14ac:dyDescent="0.25">
      <c r="A512" s="19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</row>
    <row r="513" spans="1:20" x14ac:dyDescent="0.25">
      <c r="A513" s="19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</row>
    <row r="514" spans="1:20" x14ac:dyDescent="0.25">
      <c r="A514" s="19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</row>
    <row r="515" spans="1:20" x14ac:dyDescent="0.25">
      <c r="A515" s="19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</row>
    <row r="516" spans="1:20" x14ac:dyDescent="0.25">
      <c r="A516" s="19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</row>
    <row r="517" spans="1:20" x14ac:dyDescent="0.25">
      <c r="A517" s="19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</row>
    <row r="518" spans="1:20" x14ac:dyDescent="0.25">
      <c r="A518" s="19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</row>
    <row r="519" spans="1:20" x14ac:dyDescent="0.25">
      <c r="A519" s="19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</row>
    <row r="520" spans="1:20" x14ac:dyDescent="0.25">
      <c r="A520" s="19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</row>
    <row r="521" spans="1:20" x14ac:dyDescent="0.25">
      <c r="A521" s="19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</row>
    <row r="522" spans="1:20" x14ac:dyDescent="0.25">
      <c r="A522" s="19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</row>
    <row r="523" spans="1:20" x14ac:dyDescent="0.25">
      <c r="A523" s="19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</row>
    <row r="524" spans="1:20" x14ac:dyDescent="0.25">
      <c r="A524" s="19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</row>
    <row r="525" spans="1:20" x14ac:dyDescent="0.25">
      <c r="A525" s="19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</row>
    <row r="526" spans="1:20" x14ac:dyDescent="0.25">
      <c r="A526" s="19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</row>
    <row r="527" spans="1:20" x14ac:dyDescent="0.25">
      <c r="A527" s="19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</row>
    <row r="528" spans="1:20" x14ac:dyDescent="0.25">
      <c r="A528" s="19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</row>
    <row r="529" spans="1:20" x14ac:dyDescent="0.25">
      <c r="A529" s="19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</row>
    <row r="530" spans="1:20" x14ac:dyDescent="0.25">
      <c r="A530" s="19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</row>
    <row r="531" spans="1:20" x14ac:dyDescent="0.25">
      <c r="A531" s="19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</row>
    <row r="532" spans="1:20" x14ac:dyDescent="0.25">
      <c r="A532" s="19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</row>
    <row r="533" spans="1:20" x14ac:dyDescent="0.25">
      <c r="A533" s="19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</row>
    <row r="534" spans="1:20" x14ac:dyDescent="0.25">
      <c r="A534" s="19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</row>
    <row r="535" spans="1:20" x14ac:dyDescent="0.25">
      <c r="A535" s="19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</row>
    <row r="536" spans="1:20" x14ac:dyDescent="0.25">
      <c r="A536" s="19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</row>
    <row r="537" spans="1:20" x14ac:dyDescent="0.25">
      <c r="A537" s="19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</row>
    <row r="538" spans="1:20" x14ac:dyDescent="0.25">
      <c r="A538" s="19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</row>
    <row r="539" spans="1:20" x14ac:dyDescent="0.25">
      <c r="A539" s="19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</row>
    <row r="540" spans="1:20" x14ac:dyDescent="0.25">
      <c r="A540" s="19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</row>
    <row r="541" spans="1:20" x14ac:dyDescent="0.25">
      <c r="A541" s="19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</row>
    <row r="542" spans="1:20" x14ac:dyDescent="0.25">
      <c r="A542" s="19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</row>
    <row r="543" spans="1:20" x14ac:dyDescent="0.25">
      <c r="A543" s="19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</row>
    <row r="544" spans="1:20" x14ac:dyDescent="0.25">
      <c r="A544" s="19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</row>
    <row r="545" spans="1:20" x14ac:dyDescent="0.25">
      <c r="A545" s="19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</row>
    <row r="546" spans="1:20" x14ac:dyDescent="0.25">
      <c r="A546" s="19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</row>
    <row r="547" spans="1:20" x14ac:dyDescent="0.25">
      <c r="A547" s="19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</row>
    <row r="548" spans="1:20" x14ac:dyDescent="0.25">
      <c r="A548" s="19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</row>
    <row r="549" spans="1:20" x14ac:dyDescent="0.25">
      <c r="A549" s="19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</row>
    <row r="550" spans="1:20" x14ac:dyDescent="0.25">
      <c r="A550" s="19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</row>
    <row r="551" spans="1:20" x14ac:dyDescent="0.25">
      <c r="A551" s="19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</row>
    <row r="552" spans="1:20" x14ac:dyDescent="0.25">
      <c r="A552" s="19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</row>
    <row r="553" spans="1:20" x14ac:dyDescent="0.25">
      <c r="A553" s="19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</row>
    <row r="554" spans="1:20" x14ac:dyDescent="0.25">
      <c r="A554" s="19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</row>
    <row r="555" spans="1:20" x14ac:dyDescent="0.25">
      <c r="A555" s="19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</row>
    <row r="556" spans="1:20" x14ac:dyDescent="0.25">
      <c r="A556" s="19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</row>
    <row r="557" spans="1:20" x14ac:dyDescent="0.25">
      <c r="A557" s="19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</row>
    <row r="558" spans="1:20" x14ac:dyDescent="0.25">
      <c r="A558" s="19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</row>
    <row r="559" spans="1:20" x14ac:dyDescent="0.25">
      <c r="A559" s="19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</row>
    <row r="560" spans="1:20" x14ac:dyDescent="0.25">
      <c r="A560" s="19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</row>
    <row r="561" spans="1:20" x14ac:dyDescent="0.25">
      <c r="A561" s="19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</row>
    <row r="562" spans="1:20" x14ac:dyDescent="0.25">
      <c r="A562" s="19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</row>
    <row r="563" spans="1:20" x14ac:dyDescent="0.25">
      <c r="A563" s="19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</row>
    <row r="564" spans="1:20" x14ac:dyDescent="0.25">
      <c r="A564" s="19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</row>
    <row r="565" spans="1:20" x14ac:dyDescent="0.25">
      <c r="A565" s="19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</row>
    <row r="566" spans="1:20" x14ac:dyDescent="0.25">
      <c r="A566" s="19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</row>
    <row r="567" spans="1:20" x14ac:dyDescent="0.25">
      <c r="A567" s="19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</row>
    <row r="568" spans="1:20" x14ac:dyDescent="0.25">
      <c r="A568" s="19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</row>
    <row r="569" spans="1:20" x14ac:dyDescent="0.25">
      <c r="A569" s="19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</row>
    <row r="570" spans="1:20" x14ac:dyDescent="0.25">
      <c r="A570" s="19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</row>
    <row r="571" spans="1:20" x14ac:dyDescent="0.25">
      <c r="A571" s="19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</row>
    <row r="572" spans="1:20" x14ac:dyDescent="0.25">
      <c r="A572" s="19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</row>
    <row r="573" spans="1:20" x14ac:dyDescent="0.25">
      <c r="A573" s="19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</row>
    <row r="574" spans="1:20" x14ac:dyDescent="0.25">
      <c r="A574" s="19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</row>
    <row r="575" spans="1:20" x14ac:dyDescent="0.25">
      <c r="A575" s="19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</row>
    <row r="576" spans="1:20" x14ac:dyDescent="0.25">
      <c r="A576" s="19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</row>
    <row r="577" spans="1:20" x14ac:dyDescent="0.25">
      <c r="A577" s="19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</row>
    <row r="578" spans="1:20" x14ac:dyDescent="0.25">
      <c r="A578" s="19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</row>
    <row r="579" spans="1:20" x14ac:dyDescent="0.25">
      <c r="A579" s="19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</row>
    <row r="580" spans="1:20" x14ac:dyDescent="0.25">
      <c r="A580" s="19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</row>
    <row r="581" spans="1:20" x14ac:dyDescent="0.25">
      <c r="A581" s="19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</row>
    <row r="582" spans="1:20" x14ac:dyDescent="0.25">
      <c r="A582" s="19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</row>
    <row r="583" spans="1:20" x14ac:dyDescent="0.25">
      <c r="A583" s="19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</row>
    <row r="584" spans="1:20" x14ac:dyDescent="0.25">
      <c r="A584" s="19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</row>
    <row r="585" spans="1:20" x14ac:dyDescent="0.25">
      <c r="A585" s="19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</row>
    <row r="586" spans="1:20" x14ac:dyDescent="0.25">
      <c r="A586" s="19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</row>
    <row r="587" spans="1:20" x14ac:dyDescent="0.25">
      <c r="A587" s="19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</row>
    <row r="588" spans="1:20" x14ac:dyDescent="0.25">
      <c r="A588" s="19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</row>
    <row r="589" spans="1:20" x14ac:dyDescent="0.25">
      <c r="A589" s="19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</row>
    <row r="590" spans="1:20" x14ac:dyDescent="0.25">
      <c r="A590" s="19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</row>
    <row r="591" spans="1:20" x14ac:dyDescent="0.25">
      <c r="A591" s="19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</row>
    <row r="592" spans="1:20" x14ac:dyDescent="0.25">
      <c r="A592" s="19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</row>
    <row r="593" spans="1:20" x14ac:dyDescent="0.25">
      <c r="A593" s="19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</row>
    <row r="594" spans="1:20" x14ac:dyDescent="0.25">
      <c r="A594" s="19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</row>
    <row r="595" spans="1:20" x14ac:dyDescent="0.25">
      <c r="A595" s="19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</row>
    <row r="596" spans="1:20" x14ac:dyDescent="0.25">
      <c r="A596" s="19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</row>
    <row r="597" spans="1:20" x14ac:dyDescent="0.25">
      <c r="A597" s="19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</row>
    <row r="598" spans="1:20" x14ac:dyDescent="0.25">
      <c r="A598" s="19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</row>
    <row r="599" spans="1:20" x14ac:dyDescent="0.25">
      <c r="A599" s="19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</row>
    <row r="600" spans="1:20" x14ac:dyDescent="0.25">
      <c r="A600" s="19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</row>
    <row r="601" spans="1:20" x14ac:dyDescent="0.25">
      <c r="A601" s="19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</row>
    <row r="602" spans="1:20" x14ac:dyDescent="0.25">
      <c r="A602" s="19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</row>
    <row r="603" spans="1:20" x14ac:dyDescent="0.25">
      <c r="A603" s="19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</row>
    <row r="604" spans="1:20" x14ac:dyDescent="0.25">
      <c r="A604" s="19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</row>
    <row r="605" spans="1:20" x14ac:dyDescent="0.25">
      <c r="A605" s="19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</row>
    <row r="606" spans="1:20" x14ac:dyDescent="0.25">
      <c r="A606" s="19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</row>
    <row r="607" spans="1:20" x14ac:dyDescent="0.25">
      <c r="A607" s="19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</row>
    <row r="608" spans="1:20" x14ac:dyDescent="0.25">
      <c r="A608" s="19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</row>
    <row r="609" spans="1:20" x14ac:dyDescent="0.25">
      <c r="A609" s="19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</row>
    <row r="610" spans="1:20" x14ac:dyDescent="0.25">
      <c r="A610" s="19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</row>
    <row r="611" spans="1:20" x14ac:dyDescent="0.25">
      <c r="A611" s="19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</row>
    <row r="612" spans="1:20" x14ac:dyDescent="0.25">
      <c r="A612" s="19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</row>
    <row r="613" spans="1:20" x14ac:dyDescent="0.25">
      <c r="A613" s="19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</row>
    <row r="614" spans="1:20" x14ac:dyDescent="0.25">
      <c r="A614" s="19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</row>
    <row r="615" spans="1:20" x14ac:dyDescent="0.25">
      <c r="A615" s="19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</row>
    <row r="616" spans="1:20" x14ac:dyDescent="0.25">
      <c r="A616" s="19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</row>
    <row r="617" spans="1:20" x14ac:dyDescent="0.25">
      <c r="A617" s="19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</row>
    <row r="618" spans="1:20" x14ac:dyDescent="0.25">
      <c r="A618" s="19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</row>
    <row r="619" spans="1:20" x14ac:dyDescent="0.25">
      <c r="A619" s="19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</row>
    <row r="620" spans="1:20" x14ac:dyDescent="0.25">
      <c r="A620" s="19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</row>
    <row r="621" spans="1:20" x14ac:dyDescent="0.25">
      <c r="A621" s="19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</row>
    <row r="622" spans="1:20" x14ac:dyDescent="0.25">
      <c r="A622" s="19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</row>
    <row r="623" spans="1:20" x14ac:dyDescent="0.25">
      <c r="A623" s="19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</row>
    <row r="624" spans="1:20" x14ac:dyDescent="0.25">
      <c r="A624" s="19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</row>
    <row r="625" spans="1:20" x14ac:dyDescent="0.25">
      <c r="A625" s="19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</row>
    <row r="626" spans="1:20" x14ac:dyDescent="0.25">
      <c r="A626" s="19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</row>
    <row r="627" spans="1:20" x14ac:dyDescent="0.25">
      <c r="A627" s="19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</row>
    <row r="628" spans="1:20" x14ac:dyDescent="0.25">
      <c r="A628" s="19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</row>
    <row r="629" spans="1:20" x14ac:dyDescent="0.25">
      <c r="A629" s="19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</row>
    <row r="630" spans="1:20" x14ac:dyDescent="0.25">
      <c r="A630" s="19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</row>
    <row r="631" spans="1:20" x14ac:dyDescent="0.25">
      <c r="A631" s="19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</row>
    <row r="632" spans="1:20" x14ac:dyDescent="0.25">
      <c r="A632" s="19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</row>
    <row r="633" spans="1:20" x14ac:dyDescent="0.25">
      <c r="A633" s="19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</row>
    <row r="634" spans="1:20" x14ac:dyDescent="0.25">
      <c r="A634" s="19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</row>
    <row r="635" spans="1:20" x14ac:dyDescent="0.25">
      <c r="A635" s="19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</row>
    <row r="636" spans="1:20" x14ac:dyDescent="0.25">
      <c r="A636" s="19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</row>
    <row r="637" spans="1:20" x14ac:dyDescent="0.25">
      <c r="A637" s="19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</row>
    <row r="638" spans="1:20" x14ac:dyDescent="0.25">
      <c r="A638" s="19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</row>
    <row r="639" spans="1:20" x14ac:dyDescent="0.25">
      <c r="A639" s="19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</row>
    <row r="640" spans="1:20" x14ac:dyDescent="0.25">
      <c r="A640" s="19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</row>
    <row r="641" spans="1:20" x14ac:dyDescent="0.25">
      <c r="A641" s="19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</row>
    <row r="642" spans="1:20" x14ac:dyDescent="0.25">
      <c r="A642" s="19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</row>
    <row r="643" spans="1:20" x14ac:dyDescent="0.25">
      <c r="A643" s="19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</row>
    <row r="644" spans="1:20" x14ac:dyDescent="0.25">
      <c r="A644" s="19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</row>
    <row r="645" spans="1:20" x14ac:dyDescent="0.25">
      <c r="A645" s="19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</row>
    <row r="646" spans="1:20" x14ac:dyDescent="0.25">
      <c r="A646" s="19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</row>
    <row r="647" spans="1:20" x14ac:dyDescent="0.25">
      <c r="A647" s="19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</row>
    <row r="648" spans="1:20" x14ac:dyDescent="0.25">
      <c r="A648" s="19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</row>
    <row r="649" spans="1:20" x14ac:dyDescent="0.25">
      <c r="A649" s="19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</row>
    <row r="650" spans="1:20" x14ac:dyDescent="0.25">
      <c r="A650" s="19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</row>
    <row r="651" spans="1:20" x14ac:dyDescent="0.25">
      <c r="A651" s="19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</row>
    <row r="652" spans="1:20" x14ac:dyDescent="0.25">
      <c r="A652" s="19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</row>
    <row r="653" spans="1:20" x14ac:dyDescent="0.25">
      <c r="A653" s="19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</row>
    <row r="654" spans="1:20" x14ac:dyDescent="0.25">
      <c r="A654" s="19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</row>
    <row r="655" spans="1:20" x14ac:dyDescent="0.25">
      <c r="A655" s="19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</row>
    <row r="656" spans="1:20" x14ac:dyDescent="0.25">
      <c r="A656" s="19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</row>
    <row r="657" spans="1:20" x14ac:dyDescent="0.25">
      <c r="A657" s="19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</row>
    <row r="658" spans="1:20" x14ac:dyDescent="0.25">
      <c r="A658" s="19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</row>
    <row r="659" spans="1:20" x14ac:dyDescent="0.25">
      <c r="A659" s="19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</row>
    <row r="660" spans="1:20" x14ac:dyDescent="0.25">
      <c r="A660" s="19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</row>
    <row r="661" spans="1:20" x14ac:dyDescent="0.25">
      <c r="A661" s="19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</row>
    <row r="662" spans="1:20" x14ac:dyDescent="0.25">
      <c r="A662" s="19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</row>
    <row r="663" spans="1:20" x14ac:dyDescent="0.25">
      <c r="A663" s="19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</row>
    <row r="664" spans="1:20" x14ac:dyDescent="0.25">
      <c r="A664" s="19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</row>
    <row r="665" spans="1:20" x14ac:dyDescent="0.25">
      <c r="A665" s="19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</row>
    <row r="666" spans="1:20" x14ac:dyDescent="0.25">
      <c r="A666" s="19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</row>
    <row r="667" spans="1:20" x14ac:dyDescent="0.25">
      <c r="A667" s="19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</row>
    <row r="668" spans="1:20" x14ac:dyDescent="0.25">
      <c r="A668" s="19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</row>
    <row r="669" spans="1:20" x14ac:dyDescent="0.25">
      <c r="A669" s="19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</row>
    <row r="670" spans="1:20" x14ac:dyDescent="0.25">
      <c r="A670" s="19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</row>
    <row r="671" spans="1:20" x14ac:dyDescent="0.25">
      <c r="A671" s="19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</row>
    <row r="672" spans="1:20" x14ac:dyDescent="0.25">
      <c r="A672" s="19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</row>
    <row r="673" spans="1:20" x14ac:dyDescent="0.25">
      <c r="A673" s="19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</row>
    <row r="674" spans="1:20" x14ac:dyDescent="0.25">
      <c r="A674" s="19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</row>
    <row r="675" spans="1:20" x14ac:dyDescent="0.25">
      <c r="A675" s="19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</row>
    <row r="676" spans="1:20" x14ac:dyDescent="0.25">
      <c r="A676" s="19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</row>
    <row r="677" spans="1:20" x14ac:dyDescent="0.25">
      <c r="A677" s="19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</row>
    <row r="678" spans="1:20" x14ac:dyDescent="0.25">
      <c r="A678" s="19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</row>
    <row r="679" spans="1:20" x14ac:dyDescent="0.25">
      <c r="A679" s="19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</row>
    <row r="680" spans="1:20" x14ac:dyDescent="0.25">
      <c r="A680" s="19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</row>
    <row r="681" spans="1:20" x14ac:dyDescent="0.25">
      <c r="A681" s="19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</row>
    <row r="682" spans="1:20" x14ac:dyDescent="0.25">
      <c r="A682" s="19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</row>
    <row r="683" spans="1:20" x14ac:dyDescent="0.25">
      <c r="A683" s="19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</row>
    <row r="684" spans="1:20" x14ac:dyDescent="0.25">
      <c r="A684" s="19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</row>
    <row r="685" spans="1:20" x14ac:dyDescent="0.25">
      <c r="A685" s="19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</row>
    <row r="686" spans="1:20" x14ac:dyDescent="0.25">
      <c r="A686" s="19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</row>
    <row r="687" spans="1:20" x14ac:dyDescent="0.25">
      <c r="A687" s="19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</row>
    <row r="688" spans="1:20" x14ac:dyDescent="0.25">
      <c r="A688" s="19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</row>
    <row r="689" spans="1:20" x14ac:dyDescent="0.25">
      <c r="A689" s="19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</row>
    <row r="690" spans="1:20" x14ac:dyDescent="0.25">
      <c r="A690" s="19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</row>
    <row r="691" spans="1:20" x14ac:dyDescent="0.25">
      <c r="A691" s="19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</row>
    <row r="692" spans="1:20" x14ac:dyDescent="0.25">
      <c r="A692" s="19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</row>
    <row r="693" spans="1:20" x14ac:dyDescent="0.25">
      <c r="A693" s="19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</row>
    <row r="694" spans="1:20" x14ac:dyDescent="0.25">
      <c r="A694" s="19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</row>
    <row r="695" spans="1:20" x14ac:dyDescent="0.25">
      <c r="A695" s="19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</row>
    <row r="696" spans="1:20" x14ac:dyDescent="0.25">
      <c r="A696" s="19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</row>
    <row r="697" spans="1:20" x14ac:dyDescent="0.25">
      <c r="A697" s="19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</row>
    <row r="698" spans="1:20" x14ac:dyDescent="0.25">
      <c r="A698" s="19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</row>
    <row r="699" spans="1:20" x14ac:dyDescent="0.25">
      <c r="A699" s="19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</row>
    <row r="700" spans="1:20" x14ac:dyDescent="0.25">
      <c r="A700" s="19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</row>
    <row r="701" spans="1:20" x14ac:dyDescent="0.25">
      <c r="A701" s="19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</row>
    <row r="702" spans="1:20" x14ac:dyDescent="0.25">
      <c r="A702" s="19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</row>
    <row r="703" spans="1:20" x14ac:dyDescent="0.25">
      <c r="A703" s="19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</row>
    <row r="704" spans="1:20" x14ac:dyDescent="0.25">
      <c r="A704" s="19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</row>
    <row r="705" spans="1:20" x14ac:dyDescent="0.25">
      <c r="A705" s="19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</row>
    <row r="706" spans="1:20" x14ac:dyDescent="0.25">
      <c r="A706" s="19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</row>
    <row r="707" spans="1:20" x14ac:dyDescent="0.25">
      <c r="A707" s="19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</row>
    <row r="708" spans="1:20" x14ac:dyDescent="0.25">
      <c r="A708" s="19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</row>
    <row r="709" spans="1:20" x14ac:dyDescent="0.25">
      <c r="A709" s="19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</row>
    <row r="710" spans="1:20" x14ac:dyDescent="0.25">
      <c r="A710" s="19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</row>
    <row r="711" spans="1:20" x14ac:dyDescent="0.25">
      <c r="A711" s="19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</row>
    <row r="712" spans="1:20" x14ac:dyDescent="0.25">
      <c r="A712" s="19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</row>
    <row r="713" spans="1:20" x14ac:dyDescent="0.25">
      <c r="A713" s="19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</row>
    <row r="714" spans="1:20" x14ac:dyDescent="0.25">
      <c r="A714" s="19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</row>
    <row r="715" spans="1:20" x14ac:dyDescent="0.25">
      <c r="A715" s="19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</row>
    <row r="716" spans="1:20" x14ac:dyDescent="0.25">
      <c r="A716" s="19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</row>
    <row r="717" spans="1:20" x14ac:dyDescent="0.25">
      <c r="A717" s="19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</row>
    <row r="718" spans="1:20" x14ac:dyDescent="0.25">
      <c r="A718" s="19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</row>
    <row r="719" spans="1:20" x14ac:dyDescent="0.25">
      <c r="A719" s="19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</row>
    <row r="720" spans="1:20" x14ac:dyDescent="0.25">
      <c r="A720" s="19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</row>
    <row r="721" spans="1:20" x14ac:dyDescent="0.25">
      <c r="A721" s="19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</row>
    <row r="722" spans="1:20" x14ac:dyDescent="0.25">
      <c r="A722" s="19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</row>
    <row r="723" spans="1:20" x14ac:dyDescent="0.25">
      <c r="A723" s="19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</row>
    <row r="724" spans="1:20" x14ac:dyDescent="0.25">
      <c r="A724" s="19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</row>
    <row r="725" spans="1:20" x14ac:dyDescent="0.25">
      <c r="A725" s="19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</row>
    <row r="726" spans="1:20" x14ac:dyDescent="0.25">
      <c r="A726" s="19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</row>
    <row r="727" spans="1:20" x14ac:dyDescent="0.25">
      <c r="A727" s="19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</row>
    <row r="728" spans="1:20" x14ac:dyDescent="0.25">
      <c r="A728" s="19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</row>
    <row r="729" spans="1:20" x14ac:dyDescent="0.25">
      <c r="A729" s="19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</row>
    <row r="730" spans="1:20" x14ac:dyDescent="0.25">
      <c r="A730" s="19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</row>
    <row r="731" spans="1:20" x14ac:dyDescent="0.25">
      <c r="A731" s="19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</row>
    <row r="732" spans="1:20" x14ac:dyDescent="0.25">
      <c r="A732" s="19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</row>
    <row r="733" spans="1:20" x14ac:dyDescent="0.25">
      <c r="A733" s="19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</row>
    <row r="734" spans="1:20" x14ac:dyDescent="0.25">
      <c r="A734" s="19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</row>
    <row r="735" spans="1:20" x14ac:dyDescent="0.25">
      <c r="A735" s="19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</row>
    <row r="736" spans="1:20" x14ac:dyDescent="0.25">
      <c r="A736" s="19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</row>
    <row r="737" spans="1:20" x14ac:dyDescent="0.25">
      <c r="A737" s="19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</row>
    <row r="738" spans="1:20" x14ac:dyDescent="0.25">
      <c r="A738" s="19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</row>
    <row r="739" spans="1:20" x14ac:dyDescent="0.25">
      <c r="A739" s="19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</row>
    <row r="740" spans="1:20" x14ac:dyDescent="0.25">
      <c r="A740" s="19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</row>
    <row r="741" spans="1:20" x14ac:dyDescent="0.25">
      <c r="A741" s="19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</row>
    <row r="742" spans="1:20" x14ac:dyDescent="0.25">
      <c r="A742" s="19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</row>
    <row r="743" spans="1:20" x14ac:dyDescent="0.25">
      <c r="A743" s="19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</row>
    <row r="744" spans="1:20" x14ac:dyDescent="0.25">
      <c r="A744" s="19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</row>
    <row r="745" spans="1:20" x14ac:dyDescent="0.25">
      <c r="A745" s="19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</row>
    <row r="746" spans="1:20" x14ac:dyDescent="0.25">
      <c r="A746" s="19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</row>
    <row r="747" spans="1:20" x14ac:dyDescent="0.25">
      <c r="A747" s="19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</row>
    <row r="748" spans="1:20" x14ac:dyDescent="0.25">
      <c r="A748" s="19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</row>
    <row r="749" spans="1:20" x14ac:dyDescent="0.25">
      <c r="A749" s="19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</row>
    <row r="750" spans="1:20" x14ac:dyDescent="0.25">
      <c r="A750" s="19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</row>
    <row r="751" spans="1:20" x14ac:dyDescent="0.25">
      <c r="A751" s="19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</row>
    <row r="752" spans="1:20" x14ac:dyDescent="0.25">
      <c r="A752" s="19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</row>
    <row r="753" spans="1:20" x14ac:dyDescent="0.25">
      <c r="A753" s="19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</row>
    <row r="754" spans="1:20" x14ac:dyDescent="0.25">
      <c r="A754" s="19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</row>
    <row r="755" spans="1:20" x14ac:dyDescent="0.25">
      <c r="A755" s="19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</row>
    <row r="756" spans="1:20" x14ac:dyDescent="0.25">
      <c r="A756" s="19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</row>
    <row r="757" spans="1:20" x14ac:dyDescent="0.25">
      <c r="A757" s="19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</row>
    <row r="758" spans="1:20" x14ac:dyDescent="0.25">
      <c r="A758" s="19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</row>
    <row r="759" spans="1:20" x14ac:dyDescent="0.25">
      <c r="A759" s="19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</row>
    <row r="760" spans="1:20" x14ac:dyDescent="0.25">
      <c r="A760" s="19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</row>
    <row r="761" spans="1:20" x14ac:dyDescent="0.25">
      <c r="A761" s="19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</row>
    <row r="762" spans="1:20" x14ac:dyDescent="0.25">
      <c r="A762" s="19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</row>
    <row r="763" spans="1:20" x14ac:dyDescent="0.25">
      <c r="A763" s="19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</row>
    <row r="764" spans="1:20" x14ac:dyDescent="0.25">
      <c r="A764" s="19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</row>
    <row r="765" spans="1:20" x14ac:dyDescent="0.25">
      <c r="A765" s="19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</row>
    <row r="766" spans="1:20" x14ac:dyDescent="0.25">
      <c r="A766" s="19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</row>
    <row r="767" spans="1:20" x14ac:dyDescent="0.25">
      <c r="A767" s="19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</row>
    <row r="768" spans="1:20" x14ac:dyDescent="0.25">
      <c r="A768" s="19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</row>
    <row r="769" spans="1:20" x14ac:dyDescent="0.25">
      <c r="A769" s="19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</row>
    <row r="770" spans="1:20" x14ac:dyDescent="0.25">
      <c r="A770" s="19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</row>
    <row r="771" spans="1:20" x14ac:dyDescent="0.25">
      <c r="A771" s="19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</row>
    <row r="772" spans="1:20" x14ac:dyDescent="0.25">
      <c r="A772" s="19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</row>
    <row r="773" spans="1:20" x14ac:dyDescent="0.25">
      <c r="A773" s="19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</row>
    <row r="774" spans="1:20" x14ac:dyDescent="0.25">
      <c r="A774" s="19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</row>
    <row r="775" spans="1:20" x14ac:dyDescent="0.25">
      <c r="A775" s="19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</row>
    <row r="776" spans="1:20" x14ac:dyDescent="0.25">
      <c r="A776" s="19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</row>
    <row r="777" spans="1:20" x14ac:dyDescent="0.25">
      <c r="A777" s="19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</row>
    <row r="778" spans="1:20" x14ac:dyDescent="0.25">
      <c r="A778" s="19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</row>
    <row r="779" spans="1:20" x14ac:dyDescent="0.25">
      <c r="A779" s="19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</row>
    <row r="780" spans="1:20" x14ac:dyDescent="0.25">
      <c r="A780" s="19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</row>
    <row r="781" spans="1:20" x14ac:dyDescent="0.25">
      <c r="A781" s="19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</row>
    <row r="782" spans="1:20" x14ac:dyDescent="0.25">
      <c r="A782" s="19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</row>
    <row r="783" spans="1:20" x14ac:dyDescent="0.25">
      <c r="A783" s="19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</row>
    <row r="784" spans="1:20" x14ac:dyDescent="0.25">
      <c r="A784" s="19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</row>
    <row r="785" spans="1:20" x14ac:dyDescent="0.25">
      <c r="A785" s="19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</row>
    <row r="786" spans="1:20" x14ac:dyDescent="0.25">
      <c r="A786" s="19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</row>
    <row r="787" spans="1:20" x14ac:dyDescent="0.25">
      <c r="A787" s="19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</row>
    <row r="788" spans="1:20" x14ac:dyDescent="0.25">
      <c r="A788" s="19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</row>
    <row r="789" spans="1:20" x14ac:dyDescent="0.25">
      <c r="A789" s="19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</row>
    <row r="790" spans="1:20" x14ac:dyDescent="0.25">
      <c r="A790" s="19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</row>
    <row r="791" spans="1:20" x14ac:dyDescent="0.25">
      <c r="A791" s="19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</row>
    <row r="792" spans="1:20" x14ac:dyDescent="0.25">
      <c r="A792" s="19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</row>
    <row r="793" spans="1:20" x14ac:dyDescent="0.25">
      <c r="A793" s="19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</row>
    <row r="794" spans="1:20" x14ac:dyDescent="0.25">
      <c r="A794" s="19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</row>
    <row r="795" spans="1:20" x14ac:dyDescent="0.25">
      <c r="A795" s="19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</row>
    <row r="796" spans="1:20" x14ac:dyDescent="0.25">
      <c r="A796" s="19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</row>
    <row r="797" spans="1:20" x14ac:dyDescent="0.25">
      <c r="A797" s="19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</row>
    <row r="798" spans="1:20" x14ac:dyDescent="0.25">
      <c r="A798" s="19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</row>
    <row r="799" spans="1:20" x14ac:dyDescent="0.25">
      <c r="A799" s="19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</row>
    <row r="800" spans="1:20" x14ac:dyDescent="0.25">
      <c r="A800" s="19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</row>
    <row r="801" spans="1:20" x14ac:dyDescent="0.25">
      <c r="A801" s="19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</row>
    <row r="802" spans="1:20" x14ac:dyDescent="0.25">
      <c r="A802" s="19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</row>
    <row r="803" spans="1:20" x14ac:dyDescent="0.25">
      <c r="A803" s="19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</row>
    <row r="804" spans="1:20" x14ac:dyDescent="0.25">
      <c r="A804" s="19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</row>
    <row r="805" spans="1:20" x14ac:dyDescent="0.25">
      <c r="A805" s="19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</row>
    <row r="806" spans="1:20" x14ac:dyDescent="0.25">
      <c r="A806" s="19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</row>
    <row r="807" spans="1:20" x14ac:dyDescent="0.25">
      <c r="A807" s="19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</row>
    <row r="808" spans="1:20" x14ac:dyDescent="0.25">
      <c r="A808" s="19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</row>
    <row r="809" spans="1:20" x14ac:dyDescent="0.25">
      <c r="A809" s="19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</row>
    <row r="810" spans="1:20" x14ac:dyDescent="0.25">
      <c r="A810" s="19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</row>
    <row r="811" spans="1:20" x14ac:dyDescent="0.25">
      <c r="A811" s="19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</row>
    <row r="812" spans="1:20" x14ac:dyDescent="0.25">
      <c r="A812" s="19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</row>
    <row r="813" spans="1:20" x14ac:dyDescent="0.25">
      <c r="A813" s="19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</row>
    <row r="814" spans="1:20" x14ac:dyDescent="0.25">
      <c r="A814" s="19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</row>
    <row r="815" spans="1:20" x14ac:dyDescent="0.25">
      <c r="A815" s="19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</row>
    <row r="816" spans="1:20" x14ac:dyDescent="0.25">
      <c r="A816" s="19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</row>
    <row r="817" spans="1:20" x14ac:dyDescent="0.25">
      <c r="A817" s="19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</row>
    <row r="818" spans="1:20" x14ac:dyDescent="0.25">
      <c r="A818" s="19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</row>
    <row r="819" spans="1:20" x14ac:dyDescent="0.25">
      <c r="A819" s="19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</row>
    <row r="820" spans="1:20" x14ac:dyDescent="0.25">
      <c r="A820" s="19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</row>
    <row r="821" spans="1:20" x14ac:dyDescent="0.25">
      <c r="A821" s="19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</row>
    <row r="822" spans="1:20" x14ac:dyDescent="0.25">
      <c r="A822" s="19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</row>
    <row r="823" spans="1:20" x14ac:dyDescent="0.25">
      <c r="A823" s="19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</row>
    <row r="824" spans="1:20" x14ac:dyDescent="0.25">
      <c r="A824" s="19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</row>
    <row r="825" spans="1:20" x14ac:dyDescent="0.25">
      <c r="A825" s="19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</row>
    <row r="826" spans="1:20" x14ac:dyDescent="0.25">
      <c r="A826" s="19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</row>
    <row r="827" spans="1:20" x14ac:dyDescent="0.25">
      <c r="A827" s="19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</row>
    <row r="828" spans="1:20" x14ac:dyDescent="0.25">
      <c r="A828" s="19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</row>
    <row r="829" spans="1:20" x14ac:dyDescent="0.25">
      <c r="A829" s="19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</row>
    <row r="830" spans="1:20" x14ac:dyDescent="0.25">
      <c r="A830" s="19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</row>
    <row r="831" spans="1:20" x14ac:dyDescent="0.25">
      <c r="A831" s="19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</row>
    <row r="832" spans="1:20" x14ac:dyDescent="0.25">
      <c r="A832" s="19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</row>
    <row r="833" spans="1:20" x14ac:dyDescent="0.25">
      <c r="A833" s="19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</row>
    <row r="834" spans="1:20" x14ac:dyDescent="0.25">
      <c r="A834" s="19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</row>
    <row r="835" spans="1:20" x14ac:dyDescent="0.25">
      <c r="A835" s="19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</row>
    <row r="836" spans="1:20" x14ac:dyDescent="0.25">
      <c r="A836" s="19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</row>
    <row r="837" spans="1:20" x14ac:dyDescent="0.25">
      <c r="A837" s="19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</row>
    <row r="838" spans="1:20" x14ac:dyDescent="0.25">
      <c r="A838" s="19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</row>
    <row r="839" spans="1:20" x14ac:dyDescent="0.25">
      <c r="A839" s="19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</row>
    <row r="840" spans="1:20" x14ac:dyDescent="0.25">
      <c r="A840" s="19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</row>
    <row r="841" spans="1:20" x14ac:dyDescent="0.25">
      <c r="A841" s="19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</row>
    <row r="842" spans="1:20" x14ac:dyDescent="0.25">
      <c r="A842" s="19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</row>
    <row r="843" spans="1:20" x14ac:dyDescent="0.25">
      <c r="A843" s="19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</row>
    <row r="844" spans="1:20" x14ac:dyDescent="0.25">
      <c r="A844" s="19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</row>
    <row r="845" spans="1:20" x14ac:dyDescent="0.25">
      <c r="A845" s="19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</row>
    <row r="846" spans="1:20" x14ac:dyDescent="0.25">
      <c r="A846" s="19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</row>
    <row r="847" spans="1:20" x14ac:dyDescent="0.25">
      <c r="A847" s="19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</row>
    <row r="848" spans="1:20" x14ac:dyDescent="0.25">
      <c r="A848" s="19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</row>
    <row r="849" spans="1:20" x14ac:dyDescent="0.25">
      <c r="A849" s="19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</row>
    <row r="850" spans="1:20" x14ac:dyDescent="0.25">
      <c r="A850" s="19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</row>
    <row r="851" spans="1:20" x14ac:dyDescent="0.25">
      <c r="A851" s="19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</row>
    <row r="852" spans="1:20" x14ac:dyDescent="0.25">
      <c r="A852" s="19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</row>
    <row r="853" spans="1:20" x14ac:dyDescent="0.25">
      <c r="A853" s="19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</row>
    <row r="854" spans="1:20" x14ac:dyDescent="0.25">
      <c r="A854" s="19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</row>
    <row r="855" spans="1:20" x14ac:dyDescent="0.25">
      <c r="A855" s="19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</row>
    <row r="856" spans="1:20" x14ac:dyDescent="0.25">
      <c r="A856" s="19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</row>
    <row r="857" spans="1:20" x14ac:dyDescent="0.25">
      <c r="A857" s="19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</row>
    <row r="858" spans="1:20" x14ac:dyDescent="0.25">
      <c r="A858" s="19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</row>
    <row r="859" spans="1:20" x14ac:dyDescent="0.25">
      <c r="A859" s="19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</row>
    <row r="860" spans="1:20" x14ac:dyDescent="0.25">
      <c r="A860" s="19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</row>
    <row r="861" spans="1:20" x14ac:dyDescent="0.25">
      <c r="A861" s="19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</row>
    <row r="862" spans="1:20" x14ac:dyDescent="0.25">
      <c r="A862" s="19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</row>
    <row r="863" spans="1:20" x14ac:dyDescent="0.25">
      <c r="A863" s="19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</row>
    <row r="864" spans="1:20" x14ac:dyDescent="0.25">
      <c r="A864" s="19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</row>
    <row r="865" spans="1:20" x14ac:dyDescent="0.25">
      <c r="A865" s="19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</row>
    <row r="866" spans="1:20" x14ac:dyDescent="0.25">
      <c r="A866" s="19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</row>
    <row r="867" spans="1:20" x14ac:dyDescent="0.25">
      <c r="A867" s="19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</row>
    <row r="868" spans="1:20" x14ac:dyDescent="0.25">
      <c r="A868" s="19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</row>
    <row r="869" spans="1:20" x14ac:dyDescent="0.25">
      <c r="A869" s="19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</row>
    <row r="870" spans="1:20" x14ac:dyDescent="0.25">
      <c r="A870" s="19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</row>
    <row r="871" spans="1:20" x14ac:dyDescent="0.25">
      <c r="A871" s="19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</row>
    <row r="872" spans="1:20" x14ac:dyDescent="0.25">
      <c r="A872" s="19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</row>
    <row r="873" spans="1:20" x14ac:dyDescent="0.25">
      <c r="A873" s="19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</row>
    <row r="874" spans="1:20" x14ac:dyDescent="0.25">
      <c r="A874" s="19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</row>
    <row r="875" spans="1:20" x14ac:dyDescent="0.25">
      <c r="A875" s="19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</row>
    <row r="876" spans="1:20" x14ac:dyDescent="0.25">
      <c r="A876" s="19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</row>
    <row r="877" spans="1:20" x14ac:dyDescent="0.25">
      <c r="A877" s="19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</row>
    <row r="878" spans="1:20" x14ac:dyDescent="0.25">
      <c r="A878" s="19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</row>
    <row r="879" spans="1:20" x14ac:dyDescent="0.25">
      <c r="A879" s="19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</row>
    <row r="880" spans="1:20" x14ac:dyDescent="0.25">
      <c r="A880" s="19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</row>
    <row r="881" spans="1:20" x14ac:dyDescent="0.25">
      <c r="A881" s="19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</row>
    <row r="882" spans="1:20" x14ac:dyDescent="0.25">
      <c r="A882" s="19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</row>
    <row r="883" spans="1:20" x14ac:dyDescent="0.25">
      <c r="A883" s="19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</row>
    <row r="884" spans="1:20" x14ac:dyDescent="0.25">
      <c r="A884" s="19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</row>
    <row r="885" spans="1:20" x14ac:dyDescent="0.25">
      <c r="A885" s="19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</row>
    <row r="886" spans="1:20" x14ac:dyDescent="0.25">
      <c r="A886" s="19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</row>
    <row r="887" spans="1:20" x14ac:dyDescent="0.25">
      <c r="A887" s="19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</row>
    <row r="888" spans="1:20" x14ac:dyDescent="0.25">
      <c r="A888" s="19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</row>
    <row r="889" spans="1:20" x14ac:dyDescent="0.25">
      <c r="A889" s="19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</row>
    <row r="890" spans="1:20" x14ac:dyDescent="0.25">
      <c r="A890" s="19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</row>
    <row r="891" spans="1:20" x14ac:dyDescent="0.25">
      <c r="A891" s="19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</row>
    <row r="892" spans="1:20" x14ac:dyDescent="0.25">
      <c r="A892" s="19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</row>
    <row r="893" spans="1:20" x14ac:dyDescent="0.25">
      <c r="A893" s="19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</row>
    <row r="894" spans="1:20" x14ac:dyDescent="0.25">
      <c r="A894" s="19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</row>
    <row r="895" spans="1:20" x14ac:dyDescent="0.25">
      <c r="A895" s="19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</row>
    <row r="896" spans="1:20" x14ac:dyDescent="0.25">
      <c r="A896" s="19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</row>
    <row r="897" spans="1:20" x14ac:dyDescent="0.25">
      <c r="A897" s="19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</row>
    <row r="898" spans="1:20" x14ac:dyDescent="0.25">
      <c r="A898" s="19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</row>
    <row r="899" spans="1:20" x14ac:dyDescent="0.25">
      <c r="A899" s="19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</row>
    <row r="900" spans="1:20" x14ac:dyDescent="0.25">
      <c r="A900" s="19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</row>
    <row r="901" spans="1:20" x14ac:dyDescent="0.25">
      <c r="A901" s="19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</row>
    <row r="902" spans="1:20" x14ac:dyDescent="0.25">
      <c r="A902" s="19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</row>
    <row r="903" spans="1:20" x14ac:dyDescent="0.25">
      <c r="A903" s="19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</row>
    <row r="904" spans="1:20" x14ac:dyDescent="0.25">
      <c r="A904" s="19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</row>
    <row r="905" spans="1:20" x14ac:dyDescent="0.25">
      <c r="A905" s="19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</row>
    <row r="906" spans="1:20" x14ac:dyDescent="0.25">
      <c r="A906" s="19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</row>
    <row r="907" spans="1:20" x14ac:dyDescent="0.25">
      <c r="A907" s="19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</row>
    <row r="908" spans="1:20" x14ac:dyDescent="0.25">
      <c r="A908" s="19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</row>
    <row r="909" spans="1:20" x14ac:dyDescent="0.25">
      <c r="A909" s="19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</row>
    <row r="910" spans="1:20" x14ac:dyDescent="0.25">
      <c r="A910" s="19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</row>
    <row r="911" spans="1:20" x14ac:dyDescent="0.25">
      <c r="A911" s="19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</row>
    <row r="912" spans="1:20" x14ac:dyDescent="0.25">
      <c r="A912" s="19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</row>
    <row r="913" spans="1:20" x14ac:dyDescent="0.25">
      <c r="A913" s="19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</row>
    <row r="914" spans="1:20" x14ac:dyDescent="0.25">
      <c r="A914" s="19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</row>
    <row r="915" spans="1:20" x14ac:dyDescent="0.25">
      <c r="A915" s="19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</row>
    <row r="916" spans="1:20" x14ac:dyDescent="0.25">
      <c r="A916" s="19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</row>
    <row r="917" spans="1:20" x14ac:dyDescent="0.25">
      <c r="A917" s="19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</row>
    <row r="918" spans="1:20" x14ac:dyDescent="0.25">
      <c r="A918" s="19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</row>
    <row r="919" spans="1:20" x14ac:dyDescent="0.25">
      <c r="A919" s="19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</row>
    <row r="920" spans="1:20" x14ac:dyDescent="0.25">
      <c r="A920" s="19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</row>
    <row r="921" spans="1:20" x14ac:dyDescent="0.25">
      <c r="A921" s="19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</row>
    <row r="922" spans="1:20" x14ac:dyDescent="0.25">
      <c r="A922" s="19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</row>
    <row r="923" spans="1:20" x14ac:dyDescent="0.25">
      <c r="A923" s="19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</row>
    <row r="924" spans="1:20" x14ac:dyDescent="0.25">
      <c r="A924" s="19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</row>
    <row r="925" spans="1:20" x14ac:dyDescent="0.25">
      <c r="A925" s="19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</row>
    <row r="926" spans="1:20" x14ac:dyDescent="0.25">
      <c r="A926" s="19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</row>
    <row r="927" spans="1:20" x14ac:dyDescent="0.25">
      <c r="A927" s="19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</row>
    <row r="928" spans="1:20" x14ac:dyDescent="0.25">
      <c r="A928" s="19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</row>
    <row r="929" spans="1:20" x14ac:dyDescent="0.25">
      <c r="A929" s="19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</row>
    <row r="930" spans="1:20" x14ac:dyDescent="0.25">
      <c r="A930" s="19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</row>
    <row r="931" spans="1:20" x14ac:dyDescent="0.25">
      <c r="A931" s="19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</row>
    <row r="932" spans="1:20" x14ac:dyDescent="0.25">
      <c r="A932" s="19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</row>
    <row r="933" spans="1:20" x14ac:dyDescent="0.25">
      <c r="A933" s="19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</row>
    <row r="934" spans="1:20" x14ac:dyDescent="0.25">
      <c r="A934" s="19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</row>
    <row r="935" spans="1:20" x14ac:dyDescent="0.25">
      <c r="A935" s="19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</row>
    <row r="936" spans="1:20" x14ac:dyDescent="0.25">
      <c r="A936" s="19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</row>
    <row r="937" spans="1:20" x14ac:dyDescent="0.25">
      <c r="A937" s="19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</row>
    <row r="938" spans="1:20" x14ac:dyDescent="0.25">
      <c r="A938" s="19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</row>
    <row r="939" spans="1:20" x14ac:dyDescent="0.25">
      <c r="A939" s="19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</row>
    <row r="940" spans="1:20" x14ac:dyDescent="0.25">
      <c r="A940" s="19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</row>
    <row r="941" spans="1:20" x14ac:dyDescent="0.25">
      <c r="A941" s="19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</row>
    <row r="942" spans="1:20" x14ac:dyDescent="0.25">
      <c r="A942" s="19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</row>
    <row r="943" spans="1:20" x14ac:dyDescent="0.25">
      <c r="A943" s="19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</row>
    <row r="944" spans="1:20" x14ac:dyDescent="0.25">
      <c r="A944" s="19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</row>
    <row r="945" spans="1:20" x14ac:dyDescent="0.25">
      <c r="A945" s="19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</row>
    <row r="946" spans="1:20" x14ac:dyDescent="0.25">
      <c r="A946" s="19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</row>
    <row r="947" spans="1:20" x14ac:dyDescent="0.25">
      <c r="A947" s="19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</row>
    <row r="948" spans="1:20" x14ac:dyDescent="0.25">
      <c r="A948" s="19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</row>
    <row r="949" spans="1:20" x14ac:dyDescent="0.25">
      <c r="A949" s="19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</row>
    <row r="950" spans="1:20" x14ac:dyDescent="0.25">
      <c r="A950" s="19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</row>
    <row r="951" spans="1:20" x14ac:dyDescent="0.25">
      <c r="A951" s="19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</row>
    <row r="952" spans="1:20" x14ac:dyDescent="0.25">
      <c r="A952" s="19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</row>
    <row r="953" spans="1:20" x14ac:dyDescent="0.25">
      <c r="A953" s="19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</row>
    <row r="954" spans="1:20" x14ac:dyDescent="0.25">
      <c r="A954" s="19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</row>
    <row r="955" spans="1:20" x14ac:dyDescent="0.25">
      <c r="A955" s="19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</row>
    <row r="956" spans="1:20" x14ac:dyDescent="0.25">
      <c r="A956" s="19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</row>
    <row r="957" spans="1:20" x14ac:dyDescent="0.25">
      <c r="A957" s="19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</row>
    <row r="958" spans="1:20" x14ac:dyDescent="0.25">
      <c r="A958" s="19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</row>
    <row r="959" spans="1:20" x14ac:dyDescent="0.25">
      <c r="A959" s="19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</row>
    <row r="960" spans="1:20" x14ac:dyDescent="0.25">
      <c r="A960" s="19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</row>
    <row r="961" spans="1:20" x14ac:dyDescent="0.25">
      <c r="A961" s="19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</row>
    <row r="962" spans="1:20" x14ac:dyDescent="0.25">
      <c r="A962" s="19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</row>
    <row r="963" spans="1:20" x14ac:dyDescent="0.25">
      <c r="A963" s="19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</row>
    <row r="964" spans="1:20" x14ac:dyDescent="0.25">
      <c r="A964" s="19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</row>
    <row r="965" spans="1:20" x14ac:dyDescent="0.25">
      <c r="A965" s="19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</row>
    <row r="966" spans="1:20" x14ac:dyDescent="0.25">
      <c r="A966" s="19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</row>
    <row r="967" spans="1:20" x14ac:dyDescent="0.25">
      <c r="A967" s="19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</row>
    <row r="968" spans="1:20" x14ac:dyDescent="0.25">
      <c r="A968" s="19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</row>
    <row r="969" spans="1:20" x14ac:dyDescent="0.25">
      <c r="A969" s="19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</row>
    <row r="970" spans="1:20" x14ac:dyDescent="0.25">
      <c r="A970" s="19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</row>
    <row r="971" spans="1:20" x14ac:dyDescent="0.25">
      <c r="A971" s="19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</row>
    <row r="972" spans="1:20" x14ac:dyDescent="0.25">
      <c r="A972" s="19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</row>
    <row r="973" spans="1:20" x14ac:dyDescent="0.25">
      <c r="A973" s="19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</row>
    <row r="974" spans="1:20" x14ac:dyDescent="0.25">
      <c r="A974" s="19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</row>
    <row r="975" spans="1:20" x14ac:dyDescent="0.25">
      <c r="A975" s="19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</row>
    <row r="976" spans="1:20" x14ac:dyDescent="0.25">
      <c r="A976" s="19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</row>
    <row r="977" spans="1:20" x14ac:dyDescent="0.25">
      <c r="A977" s="19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</row>
    <row r="978" spans="1:20" x14ac:dyDescent="0.25">
      <c r="A978" s="19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</row>
    <row r="979" spans="1:20" x14ac:dyDescent="0.25">
      <c r="A979" s="19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</row>
    <row r="980" spans="1:20" x14ac:dyDescent="0.25">
      <c r="A980" s="19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</row>
    <row r="981" spans="1:20" x14ac:dyDescent="0.25">
      <c r="A981" s="19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</row>
    <row r="982" spans="1:20" x14ac:dyDescent="0.25">
      <c r="A982" s="19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</row>
    <row r="983" spans="1:20" x14ac:dyDescent="0.25">
      <c r="A983" s="19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</row>
    <row r="984" spans="1:20" x14ac:dyDescent="0.25">
      <c r="A984" s="19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</row>
    <row r="985" spans="1:20" x14ac:dyDescent="0.25">
      <c r="A985" s="19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</row>
    <row r="986" spans="1:20" x14ac:dyDescent="0.25">
      <c r="A986" s="19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</row>
    <row r="987" spans="1:20" x14ac:dyDescent="0.25">
      <c r="A987" s="19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</row>
    <row r="988" spans="1:20" x14ac:dyDescent="0.25">
      <c r="A988" s="19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</row>
    <row r="989" spans="1:20" x14ac:dyDescent="0.25">
      <c r="A989" s="19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</row>
    <row r="990" spans="1:20" x14ac:dyDescent="0.25">
      <c r="A990" s="19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</row>
    <row r="991" spans="1:20" x14ac:dyDescent="0.25">
      <c r="A991" s="19"/>
      <c r="C991" s="56"/>
      <c r="D991" s="56"/>
      <c r="E991" s="56"/>
      <c r="F991" s="56"/>
      <c r="G991" s="56"/>
      <c r="H991" s="56"/>
      <c r="I991" s="56"/>
      <c r="J991" s="56"/>
      <c r="K991" s="56"/>
      <c r="L991" s="56"/>
      <c r="M991" s="56"/>
      <c r="N991" s="56"/>
      <c r="O991" s="56"/>
      <c r="P991" s="56"/>
      <c r="Q991" s="56"/>
      <c r="R991" s="56"/>
      <c r="S991" s="56"/>
      <c r="T991" s="56"/>
    </row>
    <row r="992" spans="1:20" x14ac:dyDescent="0.25">
      <c r="A992" s="19"/>
      <c r="C992" s="56"/>
      <c r="D992" s="56"/>
      <c r="E992" s="56"/>
      <c r="F992" s="56"/>
      <c r="G992" s="56"/>
      <c r="H992" s="56"/>
      <c r="I992" s="56"/>
      <c r="J992" s="56"/>
      <c r="K992" s="56"/>
      <c r="L992" s="56"/>
      <c r="M992" s="56"/>
      <c r="N992" s="56"/>
      <c r="O992" s="56"/>
      <c r="P992" s="56"/>
      <c r="Q992" s="56"/>
      <c r="R992" s="56"/>
      <c r="S992" s="56"/>
      <c r="T992" s="56"/>
    </row>
    <row r="993" spans="1:20" x14ac:dyDescent="0.25">
      <c r="A993" s="19"/>
      <c r="C993" s="56"/>
      <c r="D993" s="56"/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</row>
    <row r="994" spans="1:20" x14ac:dyDescent="0.25">
      <c r="A994" s="19"/>
      <c r="C994" s="56"/>
      <c r="D994" s="56"/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</row>
    <row r="995" spans="1:20" x14ac:dyDescent="0.25">
      <c r="A995" s="19"/>
      <c r="C995" s="56"/>
      <c r="D995" s="56"/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</row>
    <row r="996" spans="1:20" x14ac:dyDescent="0.25">
      <c r="A996" s="19"/>
      <c r="C996" s="56"/>
      <c r="D996" s="56"/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</row>
    <row r="997" spans="1:20" x14ac:dyDescent="0.25">
      <c r="A997" s="19"/>
      <c r="C997" s="56"/>
      <c r="D997" s="56"/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</row>
    <row r="998" spans="1:20" x14ac:dyDescent="0.25">
      <c r="A998" s="19"/>
      <c r="C998" s="56"/>
      <c r="D998" s="56"/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</row>
    <row r="999" spans="1:20" x14ac:dyDescent="0.25">
      <c r="A999" s="19"/>
      <c r="C999" s="56"/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</row>
    <row r="1000" spans="1:20" x14ac:dyDescent="0.25">
      <c r="A1000" s="19"/>
      <c r="C1000" s="56"/>
      <c r="D1000" s="56"/>
      <c r="E1000" s="56"/>
      <c r="F1000" s="56"/>
      <c r="G1000" s="56"/>
      <c r="H1000" s="56"/>
      <c r="I1000" s="56"/>
      <c r="J1000" s="56"/>
      <c r="K1000" s="56"/>
      <c r="L1000" s="56"/>
      <c r="M1000" s="56"/>
      <c r="N1000" s="56"/>
      <c r="O1000" s="56"/>
      <c r="P1000" s="56"/>
      <c r="Q1000" s="56"/>
      <c r="R1000" s="56"/>
      <c r="S1000" s="56"/>
      <c r="T1000" s="56"/>
    </row>
    <row r="1001" spans="1:20" x14ac:dyDescent="0.25">
      <c r="A1001" s="19"/>
      <c r="C1001" s="56"/>
      <c r="D1001" s="56"/>
      <c r="E1001" s="56"/>
      <c r="F1001" s="56"/>
      <c r="G1001" s="56"/>
      <c r="H1001" s="56"/>
      <c r="I1001" s="56"/>
      <c r="J1001" s="56"/>
      <c r="K1001" s="56"/>
      <c r="L1001" s="56"/>
      <c r="M1001" s="56"/>
      <c r="N1001" s="56"/>
      <c r="O1001" s="56"/>
      <c r="P1001" s="56"/>
      <c r="Q1001" s="56"/>
      <c r="R1001" s="56"/>
      <c r="S1001" s="56"/>
      <c r="T1001" s="56"/>
    </row>
    <row r="1002" spans="1:20" x14ac:dyDescent="0.25">
      <c r="A1002" s="19"/>
      <c r="C1002" s="56"/>
      <c r="D1002" s="56"/>
      <c r="E1002" s="56"/>
      <c r="F1002" s="56"/>
      <c r="G1002" s="56"/>
      <c r="H1002" s="56"/>
      <c r="I1002" s="56"/>
      <c r="J1002" s="56"/>
      <c r="K1002" s="56"/>
      <c r="L1002" s="56"/>
      <c r="M1002" s="56"/>
      <c r="N1002" s="56"/>
      <c r="O1002" s="56"/>
      <c r="P1002" s="56"/>
      <c r="Q1002" s="56"/>
      <c r="R1002" s="56"/>
      <c r="S1002" s="56"/>
      <c r="T1002" s="56"/>
    </row>
    <row r="1003" spans="1:20" x14ac:dyDescent="0.25">
      <c r="A1003" s="19"/>
      <c r="C1003" s="56"/>
      <c r="D1003" s="56"/>
      <c r="E1003" s="56"/>
      <c r="F1003" s="56"/>
      <c r="G1003" s="56"/>
      <c r="H1003" s="56"/>
      <c r="I1003" s="56"/>
      <c r="J1003" s="56"/>
      <c r="K1003" s="56"/>
      <c r="L1003" s="56"/>
      <c r="M1003" s="56"/>
      <c r="N1003" s="56"/>
      <c r="O1003" s="56"/>
      <c r="P1003" s="56"/>
      <c r="Q1003" s="56"/>
      <c r="R1003" s="56"/>
      <c r="S1003" s="56"/>
      <c r="T1003" s="56"/>
    </row>
    <row r="1004" spans="1:20" x14ac:dyDescent="0.25">
      <c r="A1004" s="19"/>
      <c r="C1004" s="56"/>
      <c r="D1004" s="56"/>
      <c r="E1004" s="56"/>
      <c r="F1004" s="56"/>
      <c r="G1004" s="56"/>
      <c r="H1004" s="56"/>
      <c r="I1004" s="56"/>
      <c r="J1004" s="56"/>
      <c r="K1004" s="56"/>
      <c r="L1004" s="56"/>
      <c r="M1004" s="56"/>
      <c r="N1004" s="56"/>
      <c r="O1004" s="56"/>
      <c r="P1004" s="56"/>
      <c r="Q1004" s="56"/>
      <c r="R1004" s="56"/>
      <c r="S1004" s="56"/>
      <c r="T1004" s="56"/>
    </row>
    <row r="1005" spans="1:20" x14ac:dyDescent="0.25">
      <c r="A1005" s="19"/>
      <c r="C1005" s="56"/>
      <c r="D1005" s="56"/>
      <c r="E1005" s="56"/>
      <c r="F1005" s="56"/>
      <c r="G1005" s="56"/>
      <c r="H1005" s="56"/>
      <c r="I1005" s="56"/>
      <c r="J1005" s="56"/>
      <c r="K1005" s="56"/>
      <c r="L1005" s="56"/>
      <c r="M1005" s="56"/>
      <c r="N1005" s="56"/>
      <c r="O1005" s="56"/>
      <c r="P1005" s="56"/>
      <c r="Q1005" s="56"/>
      <c r="R1005" s="56"/>
      <c r="S1005" s="56"/>
      <c r="T1005" s="56"/>
    </row>
    <row r="1006" spans="1:20" x14ac:dyDescent="0.25">
      <c r="A1006" s="19"/>
      <c r="C1006" s="56"/>
      <c r="D1006" s="56"/>
      <c r="E1006" s="56"/>
      <c r="F1006" s="56"/>
      <c r="G1006" s="56"/>
      <c r="H1006" s="56"/>
      <c r="I1006" s="56"/>
      <c r="J1006" s="56"/>
      <c r="K1006" s="56"/>
      <c r="L1006" s="56"/>
      <c r="M1006" s="56"/>
      <c r="N1006" s="56"/>
      <c r="O1006" s="56"/>
      <c r="P1006" s="56"/>
      <c r="Q1006" s="56"/>
      <c r="R1006" s="56"/>
      <c r="S1006" s="56"/>
      <c r="T1006" s="56"/>
    </row>
    <row r="1007" spans="1:20" x14ac:dyDescent="0.25">
      <c r="A1007" s="19"/>
      <c r="C1007" s="56"/>
      <c r="D1007" s="56"/>
      <c r="E1007" s="56"/>
      <c r="F1007" s="56"/>
      <c r="G1007" s="56"/>
      <c r="H1007" s="56"/>
      <c r="I1007" s="56"/>
      <c r="J1007" s="56"/>
      <c r="K1007" s="56"/>
      <c r="L1007" s="56"/>
      <c r="M1007" s="56"/>
      <c r="N1007" s="56"/>
      <c r="O1007" s="56"/>
      <c r="P1007" s="56"/>
      <c r="Q1007" s="56"/>
      <c r="R1007" s="56"/>
      <c r="S1007" s="56"/>
      <c r="T1007" s="56"/>
    </row>
    <row r="1008" spans="1:20" x14ac:dyDescent="0.25">
      <c r="A1008" s="19"/>
      <c r="C1008" s="56"/>
      <c r="D1008" s="56"/>
      <c r="E1008" s="56"/>
      <c r="F1008" s="56"/>
      <c r="G1008" s="56"/>
      <c r="H1008" s="56"/>
      <c r="I1008" s="56"/>
      <c r="J1008" s="56"/>
      <c r="K1008" s="56"/>
      <c r="L1008" s="56"/>
      <c r="M1008" s="56"/>
      <c r="N1008" s="56"/>
      <c r="O1008" s="56"/>
      <c r="P1008" s="56"/>
      <c r="Q1008" s="56"/>
      <c r="R1008" s="56"/>
      <c r="S1008" s="56"/>
      <c r="T1008" s="56"/>
    </row>
    <row r="1009" spans="1:20" x14ac:dyDescent="0.25">
      <c r="A1009" s="19"/>
      <c r="C1009" s="56"/>
      <c r="D1009" s="56"/>
      <c r="E1009" s="56"/>
      <c r="F1009" s="56"/>
      <c r="G1009" s="56"/>
      <c r="H1009" s="56"/>
      <c r="I1009" s="56"/>
      <c r="J1009" s="56"/>
      <c r="K1009" s="56"/>
      <c r="L1009" s="56"/>
      <c r="M1009" s="56"/>
      <c r="N1009" s="56"/>
      <c r="O1009" s="56"/>
      <c r="P1009" s="56"/>
      <c r="Q1009" s="56"/>
      <c r="R1009" s="56"/>
      <c r="S1009" s="56"/>
      <c r="T1009" s="56"/>
    </row>
    <row r="1010" spans="1:20" x14ac:dyDescent="0.25">
      <c r="A1010" s="19"/>
      <c r="C1010" s="56"/>
      <c r="D1010" s="56"/>
      <c r="E1010" s="56"/>
      <c r="F1010" s="56"/>
      <c r="G1010" s="56"/>
      <c r="H1010" s="56"/>
      <c r="I1010" s="56"/>
      <c r="J1010" s="56"/>
      <c r="K1010" s="56"/>
      <c r="L1010" s="56"/>
      <c r="M1010" s="56"/>
      <c r="N1010" s="56"/>
      <c r="O1010" s="56"/>
      <c r="P1010" s="56"/>
      <c r="Q1010" s="56"/>
      <c r="R1010" s="56"/>
      <c r="S1010" s="56"/>
      <c r="T1010" s="56"/>
    </row>
    <row r="1011" spans="1:20" x14ac:dyDescent="0.25">
      <c r="A1011" s="19"/>
      <c r="C1011" s="56"/>
      <c r="D1011" s="56"/>
      <c r="E1011" s="56"/>
      <c r="F1011" s="56"/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</row>
    <row r="1012" spans="1:20" x14ac:dyDescent="0.25">
      <c r="A1012" s="19"/>
      <c r="C1012" s="56"/>
      <c r="D1012" s="56"/>
      <c r="E1012" s="56"/>
      <c r="F1012" s="56"/>
      <c r="G1012" s="56"/>
      <c r="H1012" s="56"/>
      <c r="I1012" s="56"/>
      <c r="J1012" s="56"/>
      <c r="K1012" s="56"/>
      <c r="L1012" s="56"/>
      <c r="M1012" s="56"/>
      <c r="N1012" s="56"/>
      <c r="O1012" s="56"/>
      <c r="P1012" s="56"/>
      <c r="Q1012" s="56"/>
      <c r="R1012" s="56"/>
      <c r="S1012" s="56"/>
      <c r="T1012" s="56"/>
    </row>
    <row r="1013" spans="1:20" x14ac:dyDescent="0.25">
      <c r="A1013" s="19"/>
      <c r="C1013" s="56"/>
      <c r="D1013" s="56"/>
      <c r="E1013" s="56"/>
      <c r="F1013" s="56"/>
      <c r="G1013" s="56"/>
      <c r="H1013" s="56"/>
      <c r="I1013" s="56"/>
      <c r="J1013" s="56"/>
      <c r="K1013" s="56"/>
      <c r="L1013" s="56"/>
      <c r="M1013" s="56"/>
      <c r="N1013" s="56"/>
      <c r="O1013" s="56"/>
      <c r="P1013" s="56"/>
      <c r="Q1013" s="56"/>
      <c r="R1013" s="56"/>
      <c r="S1013" s="56"/>
      <c r="T1013" s="56"/>
    </row>
    <row r="1014" spans="1:20" x14ac:dyDescent="0.25">
      <c r="A1014" s="19"/>
      <c r="C1014" s="56"/>
      <c r="D1014" s="56"/>
      <c r="E1014" s="56"/>
      <c r="F1014" s="56"/>
      <c r="G1014" s="56"/>
      <c r="H1014" s="56"/>
      <c r="I1014" s="56"/>
      <c r="J1014" s="56"/>
      <c r="K1014" s="56"/>
      <c r="L1014" s="56"/>
      <c r="M1014" s="56"/>
      <c r="N1014" s="56"/>
      <c r="O1014" s="56"/>
      <c r="P1014" s="56"/>
      <c r="Q1014" s="56"/>
      <c r="R1014" s="56"/>
      <c r="S1014" s="56"/>
      <c r="T1014" s="56"/>
    </row>
    <row r="1015" spans="1:20" x14ac:dyDescent="0.25">
      <c r="A1015" s="19"/>
      <c r="C1015" s="56"/>
      <c r="D1015" s="56"/>
      <c r="E1015" s="56"/>
      <c r="F1015" s="56"/>
      <c r="G1015" s="56"/>
      <c r="H1015" s="56"/>
      <c r="I1015" s="56"/>
      <c r="J1015" s="56"/>
      <c r="K1015" s="56"/>
      <c r="L1015" s="56"/>
      <c r="M1015" s="56"/>
      <c r="N1015" s="56"/>
      <c r="O1015" s="56"/>
      <c r="P1015" s="56"/>
      <c r="Q1015" s="56"/>
      <c r="R1015" s="56"/>
      <c r="S1015" s="56"/>
      <c r="T1015" s="56"/>
    </row>
    <row r="1016" spans="1:20" x14ac:dyDescent="0.25">
      <c r="A1016" s="19"/>
      <c r="C1016" s="56"/>
      <c r="D1016" s="56"/>
      <c r="E1016" s="56"/>
      <c r="F1016" s="56"/>
      <c r="G1016" s="56"/>
      <c r="H1016" s="56"/>
      <c r="I1016" s="56"/>
      <c r="J1016" s="56"/>
      <c r="K1016" s="56"/>
      <c r="L1016" s="56"/>
      <c r="M1016" s="56"/>
      <c r="N1016" s="56"/>
      <c r="O1016" s="56"/>
      <c r="P1016" s="56"/>
      <c r="Q1016" s="56"/>
      <c r="R1016" s="56"/>
      <c r="S1016" s="56"/>
      <c r="T1016" s="56"/>
    </row>
    <row r="1017" spans="1:20" x14ac:dyDescent="0.25">
      <c r="A1017" s="19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56"/>
      <c r="N1017" s="56"/>
      <c r="O1017" s="56"/>
      <c r="P1017" s="56"/>
      <c r="Q1017" s="56"/>
      <c r="R1017" s="56"/>
      <c r="S1017" s="56"/>
      <c r="T1017" s="56"/>
    </row>
    <row r="1018" spans="1:20" x14ac:dyDescent="0.25">
      <c r="A1018" s="19"/>
      <c r="C1018" s="56"/>
      <c r="D1018" s="56"/>
      <c r="E1018" s="56"/>
      <c r="F1018" s="56"/>
      <c r="G1018" s="56"/>
      <c r="H1018" s="56"/>
      <c r="I1018" s="56"/>
      <c r="J1018" s="56"/>
      <c r="K1018" s="56"/>
      <c r="L1018" s="56"/>
      <c r="M1018" s="56"/>
      <c r="N1018" s="56"/>
      <c r="O1018" s="56"/>
      <c r="P1018" s="56"/>
      <c r="Q1018" s="56"/>
      <c r="R1018" s="56"/>
      <c r="S1018" s="56"/>
      <c r="T1018" s="56"/>
    </row>
    <row r="1019" spans="1:20" x14ac:dyDescent="0.25">
      <c r="A1019" s="19"/>
      <c r="C1019" s="5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56"/>
      <c r="S1019" s="56"/>
      <c r="T1019" s="56"/>
    </row>
    <row r="1020" spans="1:20" x14ac:dyDescent="0.25">
      <c r="A1020" s="19"/>
      <c r="C1020" s="56"/>
      <c r="D1020" s="56"/>
      <c r="E1020" s="56"/>
      <c r="F1020" s="56"/>
      <c r="G1020" s="56"/>
      <c r="H1020" s="56"/>
      <c r="I1020" s="56"/>
      <c r="J1020" s="56"/>
      <c r="K1020" s="56"/>
      <c r="L1020" s="56"/>
      <c r="M1020" s="56"/>
      <c r="N1020" s="56"/>
      <c r="O1020" s="56"/>
      <c r="P1020" s="56"/>
      <c r="Q1020" s="56"/>
      <c r="R1020" s="56"/>
      <c r="S1020" s="56"/>
      <c r="T1020" s="56"/>
    </row>
    <row r="1021" spans="1:20" x14ac:dyDescent="0.25">
      <c r="A1021" s="19"/>
      <c r="C1021" s="56"/>
      <c r="D1021" s="56"/>
      <c r="E1021" s="56"/>
      <c r="F1021" s="56"/>
      <c r="G1021" s="56"/>
      <c r="H1021" s="56"/>
      <c r="I1021" s="56"/>
      <c r="J1021" s="56"/>
      <c r="K1021" s="56"/>
      <c r="L1021" s="56"/>
      <c r="M1021" s="56"/>
      <c r="N1021" s="56"/>
      <c r="O1021" s="56"/>
      <c r="P1021" s="56"/>
      <c r="Q1021" s="56"/>
      <c r="R1021" s="56"/>
      <c r="S1021" s="56"/>
      <c r="T1021" s="56"/>
    </row>
    <row r="1022" spans="1:20" x14ac:dyDescent="0.25">
      <c r="A1022" s="19"/>
      <c r="C1022" s="56"/>
      <c r="D1022" s="56"/>
      <c r="E1022" s="56"/>
      <c r="F1022" s="56"/>
      <c r="G1022" s="56"/>
      <c r="H1022" s="56"/>
      <c r="I1022" s="56"/>
      <c r="J1022" s="56"/>
      <c r="K1022" s="56"/>
      <c r="L1022" s="56"/>
      <c r="M1022" s="56"/>
      <c r="N1022" s="56"/>
      <c r="O1022" s="56"/>
      <c r="P1022" s="56"/>
      <c r="Q1022" s="56"/>
      <c r="R1022" s="56"/>
      <c r="S1022" s="56"/>
      <c r="T1022" s="56"/>
    </row>
    <row r="1023" spans="1:20" x14ac:dyDescent="0.25">
      <c r="A1023" s="19"/>
      <c r="C1023" s="56"/>
      <c r="D1023" s="56"/>
      <c r="E1023" s="56"/>
      <c r="F1023" s="56"/>
      <c r="G1023" s="56"/>
      <c r="H1023" s="56"/>
      <c r="I1023" s="56"/>
      <c r="J1023" s="56"/>
      <c r="K1023" s="56"/>
      <c r="L1023" s="56"/>
      <c r="M1023" s="56"/>
      <c r="N1023" s="56"/>
      <c r="O1023" s="56"/>
      <c r="P1023" s="56"/>
      <c r="Q1023" s="56"/>
      <c r="R1023" s="56"/>
      <c r="S1023" s="56"/>
      <c r="T1023" s="56"/>
    </row>
    <row r="1024" spans="1:20" x14ac:dyDescent="0.25">
      <c r="A1024" s="19"/>
      <c r="C1024" s="56"/>
      <c r="D1024" s="56"/>
      <c r="E1024" s="56"/>
      <c r="F1024" s="56"/>
      <c r="G1024" s="56"/>
      <c r="H1024" s="56"/>
      <c r="I1024" s="56"/>
      <c r="J1024" s="56"/>
      <c r="K1024" s="56"/>
      <c r="L1024" s="56"/>
      <c r="M1024" s="56"/>
      <c r="N1024" s="56"/>
      <c r="O1024" s="56"/>
      <c r="P1024" s="56"/>
      <c r="Q1024" s="56"/>
      <c r="R1024" s="56"/>
      <c r="S1024" s="56"/>
      <c r="T1024" s="56"/>
    </row>
    <row r="1025" spans="1:20" x14ac:dyDescent="0.25">
      <c r="A1025" s="19"/>
      <c r="C1025" s="56"/>
      <c r="D1025" s="56"/>
      <c r="E1025" s="56"/>
      <c r="F1025" s="56"/>
      <c r="G1025" s="56"/>
      <c r="H1025" s="56"/>
      <c r="I1025" s="56"/>
      <c r="J1025" s="56"/>
      <c r="K1025" s="56"/>
      <c r="L1025" s="56"/>
      <c r="M1025" s="56"/>
      <c r="N1025" s="56"/>
      <c r="O1025" s="56"/>
      <c r="P1025" s="56"/>
      <c r="Q1025" s="56"/>
      <c r="R1025" s="56"/>
      <c r="S1025" s="56"/>
      <c r="T1025" s="56"/>
    </row>
    <row r="1026" spans="1:20" x14ac:dyDescent="0.25">
      <c r="A1026" s="19"/>
      <c r="C1026" s="56"/>
      <c r="D1026" s="56"/>
      <c r="E1026" s="56"/>
      <c r="F1026" s="56"/>
      <c r="G1026" s="56"/>
      <c r="H1026" s="56"/>
      <c r="I1026" s="56"/>
      <c r="J1026" s="56"/>
      <c r="K1026" s="56"/>
      <c r="L1026" s="56"/>
      <c r="M1026" s="56"/>
      <c r="N1026" s="56"/>
      <c r="O1026" s="56"/>
      <c r="P1026" s="56"/>
      <c r="Q1026" s="56"/>
      <c r="R1026" s="56"/>
      <c r="S1026" s="56"/>
      <c r="T1026" s="56"/>
    </row>
    <row r="1027" spans="1:20" x14ac:dyDescent="0.25">
      <c r="A1027" s="19"/>
      <c r="C1027" s="56"/>
      <c r="D1027" s="56"/>
      <c r="E1027" s="56"/>
      <c r="F1027" s="56"/>
      <c r="G1027" s="56"/>
      <c r="H1027" s="56"/>
      <c r="I1027" s="56"/>
      <c r="J1027" s="56"/>
      <c r="K1027" s="56"/>
      <c r="L1027" s="56"/>
      <c r="M1027" s="56"/>
      <c r="N1027" s="56"/>
      <c r="O1027" s="56"/>
      <c r="P1027" s="56"/>
      <c r="Q1027" s="56"/>
      <c r="R1027" s="56"/>
      <c r="S1027" s="56"/>
      <c r="T1027" s="56"/>
    </row>
    <row r="1028" spans="1:20" x14ac:dyDescent="0.25">
      <c r="A1028" s="19"/>
      <c r="C1028" s="56"/>
      <c r="D1028" s="56"/>
      <c r="E1028" s="56"/>
      <c r="F1028" s="56"/>
      <c r="G1028" s="56"/>
      <c r="H1028" s="56"/>
      <c r="I1028" s="56"/>
      <c r="J1028" s="56"/>
      <c r="K1028" s="56"/>
      <c r="L1028" s="56"/>
      <c r="M1028" s="56"/>
      <c r="N1028" s="56"/>
      <c r="O1028" s="56"/>
      <c r="P1028" s="56"/>
      <c r="Q1028" s="56"/>
      <c r="R1028" s="56"/>
      <c r="S1028" s="56"/>
      <c r="T1028" s="56"/>
    </row>
    <row r="1029" spans="1:20" x14ac:dyDescent="0.25">
      <c r="A1029" s="19"/>
      <c r="C1029" s="56"/>
      <c r="D1029" s="56"/>
      <c r="E1029" s="56"/>
      <c r="F1029" s="56"/>
      <c r="G1029" s="56"/>
      <c r="H1029" s="56"/>
      <c r="I1029" s="56"/>
      <c r="J1029" s="56"/>
      <c r="K1029" s="56"/>
      <c r="L1029" s="56"/>
      <c r="M1029" s="56"/>
      <c r="N1029" s="56"/>
      <c r="O1029" s="56"/>
      <c r="P1029" s="56"/>
      <c r="Q1029" s="56"/>
      <c r="R1029" s="56"/>
      <c r="S1029" s="56"/>
      <c r="T1029" s="56"/>
    </row>
    <row r="1030" spans="1:20" x14ac:dyDescent="0.25">
      <c r="A1030" s="19"/>
      <c r="C1030" s="56"/>
      <c r="D1030" s="56"/>
      <c r="E1030" s="56"/>
      <c r="F1030" s="56"/>
      <c r="G1030" s="56"/>
      <c r="H1030" s="56"/>
      <c r="I1030" s="56"/>
      <c r="J1030" s="56"/>
      <c r="K1030" s="56"/>
      <c r="L1030" s="56"/>
      <c r="M1030" s="56"/>
      <c r="N1030" s="56"/>
      <c r="O1030" s="56"/>
      <c r="P1030" s="56"/>
      <c r="Q1030" s="56"/>
      <c r="R1030" s="56"/>
      <c r="S1030" s="56"/>
      <c r="T1030" s="56"/>
    </row>
    <row r="1031" spans="1:20" x14ac:dyDescent="0.25">
      <c r="A1031" s="19"/>
      <c r="C1031" s="56"/>
      <c r="D1031" s="56"/>
      <c r="E1031" s="56"/>
      <c r="F1031" s="56"/>
      <c r="G1031" s="56"/>
      <c r="H1031" s="56"/>
      <c r="I1031" s="56"/>
      <c r="J1031" s="56"/>
      <c r="K1031" s="56"/>
      <c r="L1031" s="56"/>
      <c r="M1031" s="56"/>
      <c r="N1031" s="56"/>
      <c r="O1031" s="56"/>
      <c r="P1031" s="56"/>
      <c r="Q1031" s="56"/>
      <c r="R1031" s="56"/>
      <c r="S1031" s="56"/>
      <c r="T1031" s="56"/>
    </row>
    <row r="1032" spans="1:20" x14ac:dyDescent="0.25">
      <c r="A1032" s="19"/>
      <c r="C1032" s="56"/>
      <c r="D1032" s="56"/>
      <c r="E1032" s="56"/>
      <c r="F1032" s="56"/>
      <c r="G1032" s="56"/>
      <c r="H1032" s="56"/>
      <c r="I1032" s="56"/>
      <c r="J1032" s="56"/>
      <c r="K1032" s="56"/>
      <c r="L1032" s="56"/>
      <c r="M1032" s="56"/>
      <c r="N1032" s="56"/>
      <c r="O1032" s="56"/>
      <c r="P1032" s="56"/>
      <c r="Q1032" s="56"/>
      <c r="R1032" s="56"/>
      <c r="S1032" s="56"/>
      <c r="T1032" s="56"/>
    </row>
    <row r="1033" spans="1:20" x14ac:dyDescent="0.25">
      <c r="A1033" s="19"/>
      <c r="C1033" s="56"/>
      <c r="D1033" s="56"/>
      <c r="E1033" s="56"/>
      <c r="F1033" s="56"/>
      <c r="G1033" s="56"/>
      <c r="H1033" s="56"/>
      <c r="I1033" s="56"/>
      <c r="J1033" s="56"/>
      <c r="K1033" s="56"/>
      <c r="L1033" s="56"/>
      <c r="M1033" s="56"/>
      <c r="N1033" s="56"/>
      <c r="O1033" s="56"/>
      <c r="P1033" s="56"/>
      <c r="Q1033" s="56"/>
      <c r="R1033" s="56"/>
      <c r="S1033" s="56"/>
      <c r="T1033" s="56"/>
    </row>
    <row r="1034" spans="1:20" x14ac:dyDescent="0.25">
      <c r="A1034" s="19"/>
      <c r="C1034" s="56"/>
      <c r="D1034" s="56"/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</row>
    <row r="1035" spans="1:20" x14ac:dyDescent="0.25">
      <c r="A1035" s="19"/>
      <c r="C1035" s="56"/>
      <c r="D1035" s="56"/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</row>
    <row r="1036" spans="1:20" x14ac:dyDescent="0.25">
      <c r="A1036" s="19"/>
      <c r="C1036" s="56"/>
      <c r="D1036" s="56"/>
      <c r="E1036" s="56"/>
      <c r="F1036" s="56"/>
      <c r="G1036" s="56"/>
      <c r="H1036" s="56"/>
      <c r="I1036" s="56"/>
      <c r="J1036" s="56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</row>
    <row r="1037" spans="1:20" x14ac:dyDescent="0.25">
      <c r="A1037" s="19"/>
      <c r="C1037" s="5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</row>
    <row r="1038" spans="1:20" x14ac:dyDescent="0.25">
      <c r="A1038" s="19"/>
      <c r="C1038" s="5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</row>
    <row r="1039" spans="1:20" x14ac:dyDescent="0.25">
      <c r="A1039" s="19"/>
      <c r="C1039" s="5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</row>
    <row r="1040" spans="1:20" x14ac:dyDescent="0.25">
      <c r="A1040" s="19"/>
      <c r="C1040" s="5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</row>
    <row r="1041" spans="1:20" x14ac:dyDescent="0.25">
      <c r="A1041" s="19"/>
      <c r="C1041" s="56"/>
      <c r="D1041" s="56"/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</row>
    <row r="1042" spans="1:20" x14ac:dyDescent="0.25">
      <c r="A1042" s="19"/>
      <c r="C1042" s="56"/>
      <c r="D1042" s="56"/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</row>
    <row r="1043" spans="1:20" x14ac:dyDescent="0.25">
      <c r="A1043" s="19"/>
      <c r="C1043" s="56"/>
      <c r="D1043" s="56"/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</row>
    <row r="1044" spans="1:20" x14ac:dyDescent="0.25">
      <c r="A1044" s="19"/>
      <c r="C1044" s="56"/>
      <c r="D1044" s="56"/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</row>
    <row r="1045" spans="1:20" x14ac:dyDescent="0.25">
      <c r="A1045" s="19"/>
      <c r="C1045" s="56"/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</row>
    <row r="1046" spans="1:20" x14ac:dyDescent="0.25">
      <c r="A1046" s="19"/>
      <c r="C1046" s="56"/>
      <c r="D1046" s="56"/>
      <c r="E1046" s="56"/>
      <c r="F1046" s="56"/>
      <c r="G1046" s="56"/>
      <c r="H1046" s="56"/>
      <c r="I1046" s="56"/>
      <c r="J1046" s="56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</row>
    <row r="1047" spans="1:20" x14ac:dyDescent="0.25">
      <c r="A1047" s="19"/>
      <c r="C1047" s="56"/>
      <c r="D1047" s="56"/>
      <c r="E1047" s="56"/>
      <c r="F1047" s="56"/>
      <c r="G1047" s="56"/>
      <c r="H1047" s="56"/>
      <c r="I1047" s="56"/>
      <c r="J1047" s="56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</row>
    <row r="1048" spans="1:20" x14ac:dyDescent="0.25">
      <c r="A1048" s="19"/>
      <c r="C1048" s="56"/>
      <c r="D1048" s="56"/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</row>
    <row r="1049" spans="1:20" x14ac:dyDescent="0.25">
      <c r="A1049" s="19"/>
      <c r="C1049" s="56"/>
      <c r="D1049" s="56"/>
      <c r="E1049" s="56"/>
      <c r="F1049" s="56"/>
      <c r="G1049" s="56"/>
      <c r="H1049" s="56"/>
      <c r="I1049" s="56"/>
      <c r="J1049" s="56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</row>
    <row r="1050" spans="1:20" x14ac:dyDescent="0.25">
      <c r="A1050" s="19"/>
      <c r="C1050" s="56"/>
      <c r="D1050" s="56"/>
      <c r="E1050" s="56"/>
      <c r="F1050" s="56"/>
      <c r="G1050" s="56"/>
      <c r="H1050" s="56"/>
      <c r="I1050" s="56"/>
      <c r="J1050" s="56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</row>
    <row r="1051" spans="1:20" x14ac:dyDescent="0.25">
      <c r="A1051" s="19"/>
      <c r="C1051" s="56"/>
      <c r="D1051" s="56"/>
      <c r="E1051" s="56"/>
      <c r="F1051" s="56"/>
      <c r="G1051" s="56"/>
      <c r="H1051" s="56"/>
      <c r="I1051" s="56"/>
      <c r="J1051" s="56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</row>
    <row r="1052" spans="1:20" x14ac:dyDescent="0.25">
      <c r="A1052" s="19"/>
      <c r="C1052" s="56"/>
      <c r="D1052" s="56"/>
      <c r="E1052" s="56"/>
      <c r="F1052" s="56"/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</row>
    <row r="1053" spans="1:20" x14ac:dyDescent="0.25">
      <c r="A1053" s="19"/>
      <c r="C1053" s="56"/>
      <c r="D1053" s="56"/>
      <c r="E1053" s="56"/>
      <c r="F1053" s="56"/>
      <c r="G1053" s="56"/>
      <c r="H1053" s="56"/>
      <c r="I1053" s="56"/>
      <c r="J1053" s="56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</row>
    <row r="1054" spans="1:20" x14ac:dyDescent="0.25">
      <c r="A1054" s="19"/>
      <c r="C1054" s="56"/>
      <c r="D1054" s="56"/>
      <c r="E1054" s="56"/>
      <c r="F1054" s="56"/>
      <c r="G1054" s="56"/>
      <c r="H1054" s="56"/>
      <c r="I1054" s="56"/>
      <c r="J1054" s="56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</row>
    <row r="1055" spans="1:20" x14ac:dyDescent="0.25">
      <c r="A1055" s="19"/>
      <c r="C1055" s="56"/>
      <c r="D1055" s="56"/>
      <c r="E1055" s="56"/>
      <c r="F1055" s="56"/>
      <c r="G1055" s="56"/>
      <c r="H1055" s="56"/>
      <c r="I1055" s="56"/>
      <c r="J1055" s="56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</row>
    <row r="1056" spans="1:20" x14ac:dyDescent="0.25">
      <c r="A1056" s="19"/>
      <c r="C1056" s="56"/>
      <c r="D1056" s="56"/>
      <c r="E1056" s="56"/>
      <c r="F1056" s="56"/>
      <c r="G1056" s="56"/>
      <c r="H1056" s="56"/>
      <c r="I1056" s="56"/>
      <c r="J1056" s="56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</row>
    <row r="1057" spans="1:20" x14ac:dyDescent="0.25">
      <c r="A1057" s="19"/>
      <c r="C1057" s="56"/>
      <c r="D1057" s="56"/>
      <c r="E1057" s="56"/>
      <c r="F1057" s="56"/>
      <c r="G1057" s="56"/>
      <c r="H1057" s="56"/>
      <c r="I1057" s="56"/>
      <c r="J1057" s="56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</row>
    <row r="1058" spans="1:20" x14ac:dyDescent="0.25">
      <c r="A1058" s="19"/>
      <c r="C1058" s="56"/>
      <c r="D1058" s="56"/>
      <c r="E1058" s="56"/>
      <c r="F1058" s="56"/>
      <c r="G1058" s="56"/>
      <c r="H1058" s="56"/>
      <c r="I1058" s="56"/>
      <c r="J1058" s="56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</row>
    <row r="1059" spans="1:20" x14ac:dyDescent="0.25">
      <c r="A1059" s="19"/>
      <c r="C1059" s="56"/>
      <c r="D1059" s="56"/>
      <c r="E1059" s="56"/>
      <c r="F1059" s="56"/>
      <c r="G1059" s="56"/>
      <c r="H1059" s="56"/>
      <c r="I1059" s="56"/>
      <c r="J1059" s="56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</row>
    <row r="1060" spans="1:20" x14ac:dyDescent="0.25">
      <c r="A1060" s="19"/>
      <c r="C1060" s="56"/>
      <c r="D1060" s="56"/>
      <c r="E1060" s="56"/>
      <c r="F1060" s="56"/>
      <c r="G1060" s="56"/>
      <c r="H1060" s="56"/>
      <c r="I1060" s="56"/>
      <c r="J1060" s="56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</row>
    <row r="1061" spans="1:20" x14ac:dyDescent="0.25">
      <c r="A1061" s="19"/>
      <c r="C1061" s="56"/>
      <c r="D1061" s="56"/>
      <c r="E1061" s="56"/>
      <c r="F1061" s="56"/>
      <c r="G1061" s="56"/>
      <c r="H1061" s="56"/>
      <c r="I1061" s="56"/>
      <c r="J1061" s="56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</row>
    <row r="1062" spans="1:20" x14ac:dyDescent="0.25">
      <c r="A1062" s="19"/>
      <c r="C1062" s="56"/>
      <c r="D1062" s="56"/>
      <c r="E1062" s="56"/>
      <c r="F1062" s="56"/>
      <c r="G1062" s="56"/>
      <c r="H1062" s="56"/>
      <c r="I1062" s="56"/>
      <c r="J1062" s="56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</row>
    <row r="1063" spans="1:20" x14ac:dyDescent="0.25">
      <c r="A1063" s="19"/>
      <c r="C1063" s="56"/>
      <c r="D1063" s="56"/>
      <c r="E1063" s="56"/>
      <c r="F1063" s="56"/>
      <c r="G1063" s="56"/>
      <c r="H1063" s="56"/>
      <c r="I1063" s="56"/>
      <c r="J1063" s="56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</row>
    <row r="1064" spans="1:20" x14ac:dyDescent="0.25">
      <c r="A1064" s="19"/>
      <c r="C1064" s="56"/>
      <c r="D1064" s="56"/>
      <c r="E1064" s="56"/>
      <c r="F1064" s="56"/>
      <c r="G1064" s="56"/>
      <c r="H1064" s="56"/>
      <c r="I1064" s="56"/>
      <c r="J1064" s="56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</row>
    <row r="1065" spans="1:20" x14ac:dyDescent="0.25">
      <c r="A1065" s="19"/>
      <c r="C1065" s="56"/>
      <c r="D1065" s="56"/>
      <c r="E1065" s="56"/>
      <c r="F1065" s="56"/>
      <c r="G1065" s="56"/>
      <c r="H1065" s="56"/>
      <c r="I1065" s="56"/>
      <c r="J1065" s="56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</row>
    <row r="1066" spans="1:20" x14ac:dyDescent="0.25">
      <c r="A1066" s="19"/>
      <c r="C1066" s="56"/>
      <c r="D1066" s="56"/>
      <c r="E1066" s="56"/>
      <c r="F1066" s="56"/>
      <c r="G1066" s="56"/>
      <c r="H1066" s="56"/>
      <c r="I1066" s="56"/>
      <c r="J1066" s="56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</row>
    <row r="1067" spans="1:20" x14ac:dyDescent="0.25">
      <c r="A1067" s="19"/>
      <c r="C1067" s="56"/>
      <c r="D1067" s="56"/>
      <c r="E1067" s="56"/>
      <c r="F1067" s="56"/>
      <c r="G1067" s="56"/>
      <c r="H1067" s="56"/>
      <c r="I1067" s="56"/>
      <c r="J1067" s="56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</row>
    <row r="1068" spans="1:20" x14ac:dyDescent="0.25">
      <c r="A1068" s="19"/>
      <c r="C1068" s="56"/>
      <c r="D1068" s="56"/>
      <c r="E1068" s="56"/>
      <c r="F1068" s="56"/>
      <c r="G1068" s="56"/>
      <c r="H1068" s="56"/>
      <c r="I1068" s="56"/>
      <c r="J1068" s="56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</row>
    <row r="1069" spans="1:20" x14ac:dyDescent="0.25">
      <c r="A1069" s="19"/>
      <c r="C1069" s="56"/>
      <c r="D1069" s="56"/>
      <c r="E1069" s="56"/>
      <c r="F1069" s="56"/>
      <c r="G1069" s="56"/>
      <c r="H1069" s="56"/>
      <c r="I1069" s="56"/>
      <c r="J1069" s="56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</row>
    <row r="1070" spans="1:20" x14ac:dyDescent="0.25">
      <c r="A1070" s="19"/>
      <c r="C1070" s="56"/>
      <c r="D1070" s="56"/>
      <c r="E1070" s="56"/>
      <c r="F1070" s="56"/>
      <c r="G1070" s="56"/>
      <c r="H1070" s="56"/>
      <c r="I1070" s="56"/>
      <c r="J1070" s="56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</row>
    <row r="1071" spans="1:20" x14ac:dyDescent="0.25">
      <c r="A1071" s="19"/>
      <c r="C1071" s="56"/>
      <c r="D1071" s="56"/>
      <c r="E1071" s="56"/>
      <c r="F1071" s="56"/>
      <c r="G1071" s="56"/>
      <c r="H1071" s="56"/>
      <c r="I1071" s="56"/>
      <c r="J1071" s="56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</row>
    <row r="1072" spans="1:20" x14ac:dyDescent="0.25">
      <c r="A1072" s="19"/>
      <c r="C1072" s="56"/>
      <c r="D1072" s="56"/>
      <c r="E1072" s="56"/>
      <c r="F1072" s="56"/>
      <c r="G1072" s="56"/>
      <c r="H1072" s="56"/>
      <c r="I1072" s="56"/>
      <c r="J1072" s="56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</row>
    <row r="1073" spans="1:20" x14ac:dyDescent="0.25">
      <c r="A1073" s="19"/>
      <c r="C1073" s="56"/>
      <c r="D1073" s="56"/>
      <c r="E1073" s="56"/>
      <c r="F1073" s="56"/>
      <c r="G1073" s="56"/>
      <c r="H1073" s="56"/>
      <c r="I1073" s="56"/>
      <c r="J1073" s="56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</row>
    <row r="1074" spans="1:20" x14ac:dyDescent="0.25">
      <c r="A1074" s="19"/>
      <c r="C1074" s="56"/>
      <c r="D1074" s="56"/>
      <c r="E1074" s="56"/>
      <c r="F1074" s="56"/>
      <c r="G1074" s="56"/>
      <c r="H1074" s="56"/>
      <c r="I1074" s="56"/>
      <c r="J1074" s="56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</row>
    <row r="1075" spans="1:20" x14ac:dyDescent="0.25">
      <c r="A1075" s="19"/>
      <c r="C1075" s="56"/>
      <c r="D1075" s="56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</row>
    <row r="1076" spans="1:20" x14ac:dyDescent="0.25">
      <c r="A1076" s="19"/>
      <c r="C1076" s="56"/>
      <c r="D1076" s="56"/>
      <c r="E1076" s="56"/>
      <c r="F1076" s="56"/>
      <c r="G1076" s="56"/>
      <c r="H1076" s="56"/>
      <c r="I1076" s="56"/>
      <c r="J1076" s="56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</row>
    <row r="1077" spans="1:20" x14ac:dyDescent="0.25">
      <c r="A1077" s="19"/>
      <c r="C1077" s="56"/>
      <c r="D1077" s="56"/>
      <c r="E1077" s="56"/>
      <c r="F1077" s="56"/>
      <c r="G1077" s="56"/>
      <c r="H1077" s="56"/>
      <c r="I1077" s="56"/>
      <c r="J1077" s="56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</row>
    <row r="1078" spans="1:20" x14ac:dyDescent="0.25">
      <c r="A1078" s="19"/>
      <c r="C1078" s="56"/>
      <c r="D1078" s="56"/>
      <c r="E1078" s="56"/>
      <c r="F1078" s="56"/>
      <c r="G1078" s="56"/>
      <c r="H1078" s="56"/>
      <c r="I1078" s="56"/>
      <c r="J1078" s="56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</row>
    <row r="1079" spans="1:20" x14ac:dyDescent="0.25">
      <c r="A1079" s="19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</row>
    <row r="1080" spans="1:20" x14ac:dyDescent="0.25">
      <c r="A1080" s="19"/>
      <c r="C1080" s="56"/>
      <c r="D1080" s="56"/>
      <c r="E1080" s="56"/>
      <c r="F1080" s="56"/>
      <c r="G1080" s="56"/>
      <c r="H1080" s="56"/>
      <c r="I1080" s="56"/>
      <c r="J1080" s="56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</row>
    <row r="1081" spans="1:20" x14ac:dyDescent="0.25">
      <c r="A1081" s="19"/>
      <c r="C1081" s="56"/>
      <c r="D1081" s="56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</row>
    <row r="1082" spans="1:20" x14ac:dyDescent="0.25">
      <c r="A1082" s="19"/>
      <c r="C1082" s="56"/>
      <c r="D1082" s="56"/>
      <c r="E1082" s="56"/>
      <c r="F1082" s="56"/>
      <c r="G1082" s="56"/>
      <c r="H1082" s="56"/>
      <c r="I1082" s="56"/>
      <c r="J1082" s="56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</row>
    <row r="1083" spans="1:20" x14ac:dyDescent="0.25">
      <c r="A1083" s="19"/>
      <c r="C1083" s="56"/>
      <c r="D1083" s="56"/>
      <c r="E1083" s="56"/>
      <c r="F1083" s="56"/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</row>
    <row r="1084" spans="1:20" x14ac:dyDescent="0.25">
      <c r="A1084" s="19"/>
      <c r="C1084" s="56"/>
      <c r="D1084" s="56"/>
      <c r="E1084" s="56"/>
      <c r="F1084" s="56"/>
      <c r="G1084" s="56"/>
      <c r="H1084" s="56"/>
      <c r="I1084" s="56"/>
      <c r="J1084" s="56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</row>
    <row r="1085" spans="1:20" x14ac:dyDescent="0.25">
      <c r="A1085" s="19"/>
      <c r="C1085" s="56"/>
      <c r="D1085" s="56"/>
      <c r="E1085" s="56"/>
      <c r="F1085" s="56"/>
      <c r="G1085" s="56"/>
      <c r="H1085" s="56"/>
      <c r="I1085" s="56"/>
      <c r="J1085" s="56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</row>
    <row r="1086" spans="1:20" x14ac:dyDescent="0.25">
      <c r="A1086" s="19"/>
      <c r="C1086" s="56"/>
      <c r="D1086" s="56"/>
      <c r="E1086" s="56"/>
      <c r="F1086" s="56"/>
      <c r="G1086" s="56"/>
      <c r="H1086" s="56"/>
      <c r="I1086" s="56"/>
      <c r="J1086" s="56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</row>
    <row r="1087" spans="1:20" x14ac:dyDescent="0.25">
      <c r="A1087" s="19"/>
      <c r="C1087" s="56"/>
      <c r="D1087" s="56"/>
      <c r="E1087" s="56"/>
      <c r="F1087" s="56"/>
      <c r="G1087" s="56"/>
      <c r="H1087" s="56"/>
      <c r="I1087" s="56"/>
      <c r="J1087" s="56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</row>
    <row r="1088" spans="1:20" x14ac:dyDescent="0.25">
      <c r="A1088" s="19"/>
      <c r="C1088" s="56"/>
      <c r="D1088" s="56"/>
      <c r="E1088" s="56"/>
      <c r="F1088" s="56"/>
      <c r="G1088" s="56"/>
      <c r="H1088" s="56"/>
      <c r="I1088" s="56"/>
      <c r="J1088" s="56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</row>
    <row r="1089" spans="1:20" x14ac:dyDescent="0.25">
      <c r="A1089" s="19"/>
      <c r="C1089" s="56"/>
      <c r="D1089" s="56"/>
      <c r="E1089" s="56"/>
      <c r="F1089" s="56"/>
      <c r="G1089" s="56"/>
      <c r="H1089" s="56"/>
      <c r="I1089" s="56"/>
      <c r="J1089" s="56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</row>
    <row r="1090" spans="1:20" x14ac:dyDescent="0.25">
      <c r="A1090" s="19"/>
      <c r="C1090" s="56"/>
      <c r="D1090" s="56"/>
      <c r="E1090" s="56"/>
      <c r="F1090" s="56"/>
      <c r="G1090" s="56"/>
      <c r="H1090" s="56"/>
      <c r="I1090" s="56"/>
      <c r="J1090" s="56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</row>
    <row r="1091" spans="1:20" x14ac:dyDescent="0.25">
      <c r="A1091" s="19"/>
      <c r="C1091" s="56"/>
      <c r="D1091" s="56"/>
      <c r="E1091" s="56"/>
      <c r="F1091" s="56"/>
      <c r="G1091" s="56"/>
      <c r="H1091" s="56"/>
      <c r="I1091" s="56"/>
      <c r="J1091" s="56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</row>
    <row r="1092" spans="1:20" x14ac:dyDescent="0.25">
      <c r="A1092" s="19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</row>
    <row r="1093" spans="1:20" x14ac:dyDescent="0.25">
      <c r="A1093" s="19"/>
      <c r="C1093" s="56"/>
      <c r="D1093" s="56"/>
      <c r="E1093" s="56"/>
      <c r="F1093" s="56"/>
      <c r="G1093" s="56"/>
      <c r="H1093" s="56"/>
      <c r="I1093" s="56"/>
      <c r="J1093" s="56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</row>
    <row r="1094" spans="1:20" x14ac:dyDescent="0.25">
      <c r="A1094" s="19"/>
      <c r="C1094" s="56"/>
      <c r="D1094" s="56"/>
      <c r="E1094" s="56"/>
      <c r="F1094" s="56"/>
      <c r="G1094" s="56"/>
      <c r="H1094" s="56"/>
      <c r="I1094" s="56"/>
      <c r="J1094" s="56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</row>
    <row r="1095" spans="1:20" x14ac:dyDescent="0.25">
      <c r="A1095" s="19"/>
      <c r="C1095" s="56"/>
      <c r="D1095" s="56"/>
      <c r="E1095" s="56"/>
      <c r="F1095" s="56"/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</row>
    <row r="1096" spans="1:20" x14ac:dyDescent="0.25">
      <c r="A1096" s="19"/>
      <c r="C1096" s="56"/>
      <c r="D1096" s="56"/>
      <c r="E1096" s="56"/>
      <c r="F1096" s="56"/>
      <c r="G1096" s="56"/>
      <c r="H1096" s="56"/>
      <c r="I1096" s="56"/>
      <c r="J1096" s="56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</row>
    <row r="1097" spans="1:20" x14ac:dyDescent="0.25">
      <c r="A1097" s="19"/>
      <c r="C1097" s="56"/>
      <c r="D1097" s="56"/>
      <c r="E1097" s="56"/>
      <c r="F1097" s="56"/>
      <c r="G1097" s="56"/>
      <c r="H1097" s="56"/>
      <c r="I1097" s="56"/>
      <c r="J1097" s="56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</row>
    <row r="1098" spans="1:20" x14ac:dyDescent="0.25">
      <c r="A1098" s="19"/>
      <c r="C1098" s="56"/>
      <c r="D1098" s="56"/>
      <c r="E1098" s="56"/>
      <c r="F1098" s="56"/>
      <c r="G1098" s="56"/>
      <c r="H1098" s="56"/>
      <c r="I1098" s="56"/>
      <c r="J1098" s="56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</row>
    <row r="1099" spans="1:20" x14ac:dyDescent="0.25">
      <c r="A1099" s="19"/>
      <c r="C1099" s="56"/>
      <c r="D1099" s="56"/>
      <c r="E1099" s="56"/>
      <c r="F1099" s="56"/>
      <c r="G1099" s="56"/>
      <c r="H1099" s="56"/>
      <c r="I1099" s="56"/>
      <c r="J1099" s="56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</row>
    <row r="1100" spans="1:20" x14ac:dyDescent="0.25">
      <c r="A1100" s="19"/>
      <c r="C1100" s="56"/>
      <c r="D1100" s="56"/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</row>
    <row r="1101" spans="1:20" x14ac:dyDescent="0.25">
      <c r="A1101" s="19"/>
      <c r="C1101" s="56"/>
      <c r="D1101" s="56"/>
      <c r="E1101" s="56"/>
      <c r="F1101" s="56"/>
      <c r="G1101" s="56"/>
      <c r="H1101" s="56"/>
      <c r="I1101" s="56"/>
      <c r="J1101" s="56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</row>
    <row r="1102" spans="1:20" x14ac:dyDescent="0.25">
      <c r="A1102" s="19"/>
      <c r="C1102" s="56"/>
      <c r="D1102" s="56"/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</row>
    <row r="1103" spans="1:20" x14ac:dyDescent="0.25">
      <c r="A1103" s="19"/>
      <c r="C1103" s="56"/>
      <c r="D1103" s="56"/>
      <c r="E1103" s="56"/>
      <c r="F1103" s="56"/>
      <c r="G1103" s="56"/>
      <c r="H1103" s="56"/>
      <c r="I1103" s="56"/>
      <c r="J1103" s="56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</row>
    <row r="1104" spans="1:20" x14ac:dyDescent="0.25">
      <c r="A1104" s="19"/>
      <c r="C1104" s="56"/>
      <c r="D1104" s="56"/>
      <c r="E1104" s="56"/>
      <c r="F1104" s="56"/>
      <c r="G1104" s="56"/>
      <c r="H1104" s="56"/>
      <c r="I1104" s="56"/>
      <c r="J1104" s="56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</row>
    <row r="1105" spans="1:20" x14ac:dyDescent="0.25">
      <c r="A1105" s="19"/>
      <c r="C1105" s="56"/>
      <c r="D1105" s="56"/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</row>
    <row r="1106" spans="1:20" x14ac:dyDescent="0.25">
      <c r="A1106" s="19"/>
      <c r="C1106" s="56"/>
      <c r="D1106" s="56"/>
      <c r="E1106" s="56"/>
      <c r="F1106" s="56"/>
      <c r="G1106" s="56"/>
      <c r="H1106" s="56"/>
      <c r="I1106" s="56"/>
      <c r="J1106" s="56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</row>
    <row r="1107" spans="1:20" x14ac:dyDescent="0.25">
      <c r="A1107" s="19"/>
      <c r="C1107" s="56"/>
      <c r="D1107" s="56"/>
      <c r="E1107" s="56"/>
      <c r="F1107" s="56"/>
      <c r="G1107" s="56"/>
      <c r="H1107" s="56"/>
      <c r="I1107" s="56"/>
      <c r="J1107" s="56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</row>
    <row r="1108" spans="1:20" x14ac:dyDescent="0.25">
      <c r="A1108" s="19"/>
      <c r="C1108" s="56"/>
      <c r="D1108" s="56"/>
      <c r="E1108" s="56"/>
      <c r="F1108" s="56"/>
      <c r="G1108" s="56"/>
      <c r="H1108" s="56"/>
      <c r="I1108" s="56"/>
      <c r="J1108" s="56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</row>
    <row r="1109" spans="1:20" x14ac:dyDescent="0.25">
      <c r="A1109" s="19"/>
      <c r="C1109" s="56"/>
      <c r="D1109" s="56"/>
      <c r="E1109" s="56"/>
      <c r="F1109" s="56"/>
      <c r="G1109" s="56"/>
      <c r="H1109" s="56"/>
      <c r="I1109" s="56"/>
      <c r="J1109" s="56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</row>
    <row r="1110" spans="1:20" x14ac:dyDescent="0.25">
      <c r="A1110" s="19"/>
      <c r="C1110" s="56"/>
      <c r="D1110" s="56"/>
      <c r="E1110" s="56"/>
      <c r="F1110" s="56"/>
      <c r="G1110" s="56"/>
      <c r="H1110" s="56"/>
      <c r="I1110" s="56"/>
      <c r="J1110" s="56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</row>
    <row r="1111" spans="1:20" x14ac:dyDescent="0.25">
      <c r="A1111" s="19"/>
      <c r="C1111" s="56"/>
      <c r="D1111" s="56"/>
      <c r="E1111" s="56"/>
      <c r="F1111" s="56"/>
      <c r="G1111" s="56"/>
      <c r="H1111" s="56"/>
      <c r="I1111" s="56"/>
      <c r="J1111" s="56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</row>
    <row r="1112" spans="1:20" x14ac:dyDescent="0.25">
      <c r="A1112" s="19"/>
      <c r="C1112" s="56"/>
      <c r="D1112" s="56"/>
      <c r="E1112" s="56"/>
      <c r="F1112" s="56"/>
      <c r="G1112" s="56"/>
      <c r="H1112" s="56"/>
      <c r="I1112" s="56"/>
      <c r="J1112" s="56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</row>
    <row r="1113" spans="1:20" x14ac:dyDescent="0.25">
      <c r="A1113" s="19"/>
      <c r="C1113" s="56"/>
      <c r="D1113" s="56"/>
      <c r="E1113" s="56"/>
      <c r="F1113" s="56"/>
      <c r="G1113" s="56"/>
      <c r="H1113" s="56"/>
      <c r="I1113" s="56"/>
      <c r="J1113" s="56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</row>
    <row r="1114" spans="1:20" x14ac:dyDescent="0.25">
      <c r="A1114" s="19"/>
      <c r="C1114" s="56"/>
      <c r="D1114" s="56"/>
      <c r="E1114" s="56"/>
      <c r="F1114" s="56"/>
      <c r="G1114" s="56"/>
      <c r="H1114" s="56"/>
      <c r="I1114" s="56"/>
      <c r="J1114" s="56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</row>
    <row r="1115" spans="1:20" x14ac:dyDescent="0.25">
      <c r="A1115" s="19"/>
      <c r="C1115" s="56"/>
      <c r="D1115" s="56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</row>
    <row r="1116" spans="1:20" x14ac:dyDescent="0.25">
      <c r="A1116" s="19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</row>
    <row r="1117" spans="1:20" x14ac:dyDescent="0.25">
      <c r="A1117" s="19"/>
      <c r="C1117" s="56"/>
      <c r="D1117" s="56"/>
      <c r="E1117" s="56"/>
      <c r="F1117" s="56"/>
      <c r="G1117" s="56"/>
      <c r="H1117" s="56"/>
      <c r="I1117" s="56"/>
      <c r="J1117" s="56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</row>
    <row r="1118" spans="1:20" x14ac:dyDescent="0.25">
      <c r="A1118" s="19"/>
      <c r="C1118" s="56"/>
      <c r="D1118" s="56"/>
      <c r="E1118" s="56"/>
      <c r="F1118" s="56"/>
      <c r="G1118" s="56"/>
      <c r="H1118" s="56"/>
      <c r="I1118" s="56"/>
      <c r="J1118" s="56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</row>
    <row r="1119" spans="1:20" x14ac:dyDescent="0.25">
      <c r="A1119" s="19"/>
      <c r="C1119" s="56"/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</row>
    <row r="1120" spans="1:20" x14ac:dyDescent="0.25">
      <c r="A1120" s="19"/>
      <c r="C1120" s="56"/>
      <c r="D1120" s="56"/>
      <c r="E1120" s="56"/>
      <c r="F1120" s="56"/>
      <c r="G1120" s="56"/>
      <c r="H1120" s="56"/>
      <c r="I1120" s="56"/>
      <c r="J1120" s="56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</row>
    <row r="1121" spans="1:20" x14ac:dyDescent="0.25">
      <c r="A1121" s="19"/>
      <c r="C1121" s="56"/>
      <c r="D1121" s="56"/>
      <c r="E1121" s="56"/>
      <c r="F1121" s="56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</row>
    <row r="1122" spans="1:20" x14ac:dyDescent="0.25">
      <c r="A1122" s="19"/>
      <c r="C1122" s="56"/>
      <c r="D1122" s="56"/>
      <c r="E1122" s="56"/>
      <c r="F1122" s="56"/>
      <c r="G1122" s="56"/>
      <c r="H1122" s="56"/>
      <c r="I1122" s="56"/>
      <c r="J1122" s="56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</row>
    <row r="1123" spans="1:20" x14ac:dyDescent="0.25">
      <c r="A1123" s="19"/>
      <c r="C1123" s="56"/>
      <c r="D1123" s="56"/>
      <c r="E1123" s="56"/>
      <c r="F1123" s="56"/>
      <c r="G1123" s="56"/>
      <c r="H1123" s="56"/>
      <c r="I1123" s="56"/>
      <c r="J1123" s="56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</row>
    <row r="1124" spans="1:20" x14ac:dyDescent="0.25">
      <c r="A1124" s="19"/>
      <c r="C1124" s="56"/>
      <c r="D1124" s="56"/>
      <c r="E1124" s="56"/>
      <c r="F1124" s="56"/>
      <c r="G1124" s="56"/>
      <c r="H1124" s="56"/>
      <c r="I1124" s="56"/>
      <c r="J1124" s="56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</row>
    <row r="1125" spans="1:20" x14ac:dyDescent="0.25">
      <c r="A1125" s="19"/>
      <c r="C1125" s="56"/>
      <c r="D1125" s="56"/>
      <c r="E1125" s="56"/>
      <c r="F1125" s="56"/>
      <c r="G1125" s="56"/>
      <c r="H1125" s="56"/>
      <c r="I1125" s="56"/>
      <c r="J1125" s="56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</row>
    <row r="1126" spans="1:20" x14ac:dyDescent="0.25">
      <c r="A1126" s="19"/>
      <c r="C1126" s="56"/>
      <c r="D1126" s="56"/>
      <c r="E1126" s="56"/>
      <c r="F1126" s="56"/>
      <c r="G1126" s="56"/>
      <c r="H1126" s="56"/>
      <c r="I1126" s="56"/>
      <c r="J1126" s="56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</row>
    <row r="1127" spans="1:20" x14ac:dyDescent="0.25">
      <c r="A1127" s="19"/>
      <c r="C1127" s="56"/>
      <c r="D1127" s="56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</row>
    <row r="1128" spans="1:20" x14ac:dyDescent="0.25">
      <c r="A1128" s="19"/>
      <c r="C1128" s="56"/>
      <c r="D1128" s="56"/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</row>
    <row r="1129" spans="1:20" x14ac:dyDescent="0.25">
      <c r="A1129" s="19"/>
      <c r="C1129" s="56"/>
      <c r="D1129" s="56"/>
      <c r="E1129" s="56"/>
      <c r="F1129" s="56"/>
      <c r="G1129" s="56"/>
      <c r="H1129" s="56"/>
      <c r="I1129" s="56"/>
      <c r="J1129" s="56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</row>
    <row r="1130" spans="1:20" x14ac:dyDescent="0.25">
      <c r="A1130" s="19"/>
      <c r="C1130" s="56"/>
      <c r="D1130" s="56"/>
      <c r="E1130" s="56"/>
      <c r="F1130" s="56"/>
      <c r="G1130" s="56"/>
      <c r="H1130" s="56"/>
      <c r="I1130" s="56"/>
      <c r="J1130" s="56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</row>
    <row r="1131" spans="1:20" x14ac:dyDescent="0.25">
      <c r="A1131" s="19"/>
      <c r="C1131" s="56"/>
      <c r="D1131" s="56"/>
      <c r="E1131" s="56"/>
      <c r="F1131" s="56"/>
      <c r="G1131" s="56"/>
      <c r="H1131" s="56"/>
      <c r="I1131" s="56"/>
      <c r="J1131" s="56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</row>
    <row r="1132" spans="1:20" x14ac:dyDescent="0.25">
      <c r="A1132" s="19"/>
      <c r="C1132" s="56"/>
      <c r="D1132" s="56"/>
      <c r="E1132" s="56"/>
      <c r="F1132" s="56"/>
      <c r="G1132" s="56"/>
      <c r="H1132" s="56"/>
      <c r="I1132" s="56"/>
      <c r="J1132" s="56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</row>
    <row r="1133" spans="1:20" x14ac:dyDescent="0.25">
      <c r="A1133" s="19"/>
      <c r="C1133" s="56"/>
      <c r="D1133" s="56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</row>
    <row r="1134" spans="1:20" x14ac:dyDescent="0.25">
      <c r="A1134" s="19"/>
      <c r="C1134" s="56"/>
      <c r="D1134" s="56"/>
      <c r="E1134" s="56"/>
      <c r="F1134" s="56"/>
      <c r="G1134" s="56"/>
      <c r="H1134" s="56"/>
      <c r="I1134" s="56"/>
      <c r="J1134" s="56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</row>
    <row r="1135" spans="1:20" x14ac:dyDescent="0.25">
      <c r="A1135" s="19"/>
      <c r="C1135" s="56"/>
      <c r="D1135" s="56"/>
      <c r="E1135" s="56"/>
      <c r="F1135" s="56"/>
      <c r="G1135" s="56"/>
      <c r="H1135" s="56"/>
      <c r="I1135" s="56"/>
      <c r="J1135" s="56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</row>
    <row r="1136" spans="1:20" x14ac:dyDescent="0.25">
      <c r="A1136" s="19"/>
      <c r="C1136" s="56"/>
      <c r="D1136" s="56"/>
      <c r="E1136" s="56"/>
      <c r="F1136" s="56"/>
      <c r="G1136" s="56"/>
      <c r="H1136" s="56"/>
      <c r="I1136" s="56"/>
      <c r="J1136" s="56"/>
      <c r="K1136" s="56"/>
      <c r="L1136" s="56"/>
      <c r="M1136" s="56"/>
      <c r="N1136" s="56"/>
      <c r="O1136" s="56"/>
      <c r="P1136" s="56"/>
      <c r="Q1136" s="56"/>
      <c r="R1136" s="56"/>
      <c r="S1136" s="56"/>
      <c r="T1136" s="56"/>
    </row>
    <row r="1137" spans="1:20" x14ac:dyDescent="0.25">
      <c r="A1137" s="19"/>
      <c r="C1137" s="56"/>
      <c r="D1137" s="56"/>
      <c r="E1137" s="56"/>
      <c r="F1137" s="56"/>
      <c r="G1137" s="56"/>
      <c r="H1137" s="56"/>
      <c r="I1137" s="56"/>
      <c r="J1137" s="56"/>
      <c r="K1137" s="56"/>
      <c r="L1137" s="56"/>
      <c r="M1137" s="56"/>
      <c r="N1137" s="56"/>
      <c r="O1137" s="56"/>
      <c r="P1137" s="56"/>
      <c r="Q1137" s="56"/>
      <c r="R1137" s="56"/>
      <c r="S1137" s="56"/>
      <c r="T1137" s="56"/>
    </row>
    <row r="1138" spans="1:20" x14ac:dyDescent="0.25">
      <c r="A1138" s="19"/>
      <c r="C1138" s="56"/>
      <c r="D1138" s="56"/>
      <c r="E1138" s="56"/>
      <c r="F1138" s="56"/>
      <c r="G1138" s="56"/>
      <c r="H1138" s="56"/>
      <c r="I1138" s="56"/>
      <c r="J1138" s="56"/>
      <c r="K1138" s="56"/>
      <c r="L1138" s="56"/>
      <c r="M1138" s="56"/>
      <c r="N1138" s="56"/>
      <c r="O1138" s="56"/>
      <c r="P1138" s="56"/>
      <c r="Q1138" s="56"/>
      <c r="R1138" s="56"/>
      <c r="S1138" s="56"/>
      <c r="T1138" s="56"/>
    </row>
    <row r="1139" spans="1:20" x14ac:dyDescent="0.25">
      <c r="A1139" s="19"/>
      <c r="C1139" s="56"/>
      <c r="D1139" s="56"/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</row>
    <row r="1140" spans="1:20" x14ac:dyDescent="0.25">
      <c r="A1140" s="19"/>
      <c r="C1140" s="56"/>
      <c r="D1140" s="56"/>
      <c r="E1140" s="56"/>
      <c r="F1140" s="56"/>
      <c r="G1140" s="56"/>
      <c r="H1140" s="56"/>
      <c r="I1140" s="56"/>
      <c r="J1140" s="56"/>
      <c r="K1140" s="56"/>
      <c r="L1140" s="56"/>
      <c r="M1140" s="56"/>
      <c r="N1140" s="56"/>
      <c r="O1140" s="56"/>
      <c r="P1140" s="56"/>
      <c r="Q1140" s="56"/>
      <c r="R1140" s="56"/>
      <c r="S1140" s="56"/>
      <c r="T1140" s="56"/>
    </row>
    <row r="1141" spans="1:20" x14ac:dyDescent="0.25">
      <c r="A1141" s="19"/>
      <c r="C1141" s="56"/>
      <c r="D1141" s="56"/>
      <c r="E1141" s="56"/>
      <c r="F1141" s="56"/>
      <c r="G1141" s="56"/>
      <c r="H1141" s="56"/>
      <c r="I1141" s="56"/>
      <c r="J1141" s="56"/>
      <c r="K1141" s="56"/>
      <c r="L1141" s="56"/>
      <c r="M1141" s="56"/>
      <c r="N1141" s="56"/>
      <c r="O1141" s="56"/>
      <c r="P1141" s="56"/>
      <c r="Q1141" s="56"/>
      <c r="R1141" s="56"/>
      <c r="S1141" s="56"/>
      <c r="T1141" s="56"/>
    </row>
    <row r="1142" spans="1:20" x14ac:dyDescent="0.25">
      <c r="A1142" s="19"/>
      <c r="C1142" s="56"/>
      <c r="D1142" s="56"/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</row>
    <row r="1143" spans="1:20" x14ac:dyDescent="0.25">
      <c r="A1143" s="19"/>
      <c r="C1143" s="56"/>
      <c r="D1143" s="56"/>
      <c r="E1143" s="56"/>
      <c r="F1143" s="56"/>
      <c r="G1143" s="56"/>
      <c r="H1143" s="56"/>
      <c r="I1143" s="56"/>
      <c r="J1143" s="56"/>
      <c r="K1143" s="56"/>
      <c r="L1143" s="56"/>
      <c r="M1143" s="56"/>
      <c r="N1143" s="56"/>
      <c r="O1143" s="56"/>
      <c r="P1143" s="56"/>
      <c r="Q1143" s="56"/>
      <c r="R1143" s="56"/>
      <c r="S1143" s="56"/>
      <c r="T1143" s="56"/>
    </row>
    <row r="1144" spans="1:20" x14ac:dyDescent="0.25">
      <c r="A1144" s="19"/>
      <c r="C1144" s="56"/>
      <c r="D1144" s="56"/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</row>
    <row r="1145" spans="1:20" x14ac:dyDescent="0.25">
      <c r="A1145" s="19"/>
      <c r="C1145" s="56"/>
      <c r="D1145" s="56"/>
      <c r="E1145" s="56"/>
      <c r="F1145" s="56"/>
      <c r="G1145" s="56"/>
      <c r="H1145" s="56"/>
      <c r="I1145" s="56"/>
      <c r="J1145" s="56"/>
      <c r="K1145" s="56"/>
      <c r="L1145" s="56"/>
      <c r="M1145" s="56"/>
      <c r="N1145" s="56"/>
      <c r="O1145" s="56"/>
      <c r="P1145" s="56"/>
      <c r="Q1145" s="56"/>
      <c r="R1145" s="56"/>
      <c r="S1145" s="56"/>
      <c r="T1145" s="56"/>
    </row>
    <row r="1146" spans="1:20" x14ac:dyDescent="0.25">
      <c r="A1146" s="19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56"/>
      <c r="N1146" s="56"/>
      <c r="O1146" s="56"/>
      <c r="P1146" s="56"/>
      <c r="Q1146" s="56"/>
      <c r="R1146" s="56"/>
      <c r="S1146" s="56"/>
      <c r="T1146" s="56"/>
    </row>
    <row r="1147" spans="1:20" x14ac:dyDescent="0.25">
      <c r="A1147" s="19"/>
      <c r="C1147" s="56"/>
      <c r="D1147" s="56"/>
      <c r="E1147" s="56"/>
      <c r="F1147" s="56"/>
      <c r="G1147" s="56"/>
      <c r="H1147" s="56"/>
      <c r="I1147" s="56"/>
      <c r="J1147" s="56"/>
      <c r="K1147" s="56"/>
      <c r="L1147" s="56"/>
      <c r="M1147" s="56"/>
      <c r="N1147" s="56"/>
      <c r="O1147" s="56"/>
      <c r="P1147" s="56"/>
      <c r="Q1147" s="56"/>
      <c r="R1147" s="56"/>
      <c r="S1147" s="56"/>
      <c r="T1147" s="56"/>
    </row>
    <row r="1148" spans="1:20" x14ac:dyDescent="0.25">
      <c r="A1148" s="19"/>
      <c r="C1148" s="56"/>
      <c r="D1148" s="56"/>
      <c r="E1148" s="56"/>
      <c r="F1148" s="56"/>
      <c r="G1148" s="56"/>
      <c r="H1148" s="56"/>
      <c r="I1148" s="56"/>
      <c r="J1148" s="56"/>
      <c r="K1148" s="56"/>
      <c r="L1148" s="56"/>
      <c r="M1148" s="56"/>
      <c r="N1148" s="56"/>
      <c r="O1148" s="56"/>
      <c r="P1148" s="56"/>
      <c r="Q1148" s="56"/>
      <c r="R1148" s="56"/>
      <c r="S1148" s="56"/>
      <c r="T1148" s="56"/>
    </row>
    <row r="1149" spans="1:20" x14ac:dyDescent="0.25">
      <c r="A1149" s="19"/>
      <c r="C1149" s="56"/>
      <c r="D1149" s="56"/>
      <c r="E1149" s="56"/>
      <c r="F1149" s="56"/>
      <c r="G1149" s="56"/>
      <c r="H1149" s="56"/>
      <c r="I1149" s="56"/>
      <c r="J1149" s="56"/>
      <c r="K1149" s="56"/>
      <c r="L1149" s="56"/>
      <c r="M1149" s="56"/>
      <c r="N1149" s="56"/>
      <c r="O1149" s="56"/>
      <c r="P1149" s="56"/>
      <c r="Q1149" s="56"/>
      <c r="R1149" s="56"/>
      <c r="S1149" s="56"/>
      <c r="T1149" s="56"/>
    </row>
    <row r="1150" spans="1:20" x14ac:dyDescent="0.25">
      <c r="C1150" s="56"/>
      <c r="D1150" s="56"/>
      <c r="E1150" s="56"/>
      <c r="F1150" s="56"/>
      <c r="G1150" s="56"/>
      <c r="H1150" s="56"/>
      <c r="I1150" s="56"/>
      <c r="J1150" s="56"/>
      <c r="K1150" s="56"/>
      <c r="L1150" s="56"/>
      <c r="M1150" s="56"/>
      <c r="N1150" s="56"/>
      <c r="O1150" s="56"/>
      <c r="P1150" s="56"/>
      <c r="Q1150" s="56"/>
      <c r="R1150" s="56"/>
      <c r="S1150" s="56"/>
      <c r="T1150" s="56"/>
    </row>
    <row r="1151" spans="1:20" x14ac:dyDescent="0.25">
      <c r="C1151" s="56"/>
      <c r="D1151" s="56"/>
      <c r="E1151" s="56"/>
      <c r="F1151" s="56"/>
      <c r="G1151" s="56"/>
      <c r="H1151" s="56"/>
      <c r="I1151" s="56"/>
      <c r="J1151" s="56"/>
      <c r="K1151" s="56"/>
      <c r="L1151" s="56"/>
      <c r="M1151" s="56"/>
      <c r="N1151" s="56"/>
      <c r="O1151" s="56"/>
      <c r="P1151" s="56"/>
      <c r="Q1151" s="56"/>
      <c r="R1151" s="56"/>
      <c r="S1151" s="56"/>
      <c r="T1151" s="56"/>
    </row>
    <row r="1152" spans="1:20" x14ac:dyDescent="0.25">
      <c r="C1152" s="56"/>
      <c r="D1152" s="56"/>
      <c r="E1152" s="56"/>
      <c r="F1152" s="56"/>
      <c r="G1152" s="56"/>
      <c r="H1152" s="56"/>
      <c r="I1152" s="56"/>
      <c r="J1152" s="56"/>
      <c r="K1152" s="56"/>
      <c r="L1152" s="56"/>
      <c r="M1152" s="56"/>
      <c r="N1152" s="56"/>
      <c r="O1152" s="56"/>
      <c r="P1152" s="56"/>
      <c r="Q1152" s="56"/>
      <c r="R1152" s="56"/>
      <c r="S1152" s="56"/>
      <c r="T1152" s="56"/>
    </row>
    <row r="1153" spans="3:20" x14ac:dyDescent="0.25">
      <c r="C1153" s="56"/>
      <c r="D1153" s="56"/>
      <c r="E1153" s="56"/>
      <c r="F1153" s="56"/>
      <c r="G1153" s="56"/>
      <c r="H1153" s="56"/>
      <c r="I1153" s="56"/>
      <c r="J1153" s="56"/>
      <c r="K1153" s="56"/>
      <c r="L1153" s="56"/>
      <c r="M1153" s="56"/>
      <c r="N1153" s="56"/>
      <c r="O1153" s="56"/>
      <c r="P1153" s="56"/>
      <c r="Q1153" s="56"/>
      <c r="R1153" s="56"/>
      <c r="S1153" s="56"/>
      <c r="T1153" s="56"/>
    </row>
    <row r="1154" spans="3:20" x14ac:dyDescent="0.25">
      <c r="C1154" s="56"/>
      <c r="D1154" s="56"/>
      <c r="E1154" s="56"/>
      <c r="F1154" s="56"/>
      <c r="G1154" s="56"/>
      <c r="H1154" s="56"/>
      <c r="I1154" s="56"/>
      <c r="J1154" s="56"/>
      <c r="K1154" s="56"/>
      <c r="L1154" s="56"/>
      <c r="M1154" s="56"/>
      <c r="N1154" s="56"/>
      <c r="O1154" s="56"/>
      <c r="P1154" s="56"/>
      <c r="Q1154" s="56"/>
      <c r="R1154" s="56"/>
      <c r="S1154" s="56"/>
      <c r="T1154" s="56"/>
    </row>
  </sheetData>
  <mergeCells count="1">
    <mergeCell ref="A1:A2"/>
  </mergeCells>
  <conditionalFormatting sqref="J7:T7">
    <cfRule type="expression" dxfId="31" priority="1">
      <formula>$U7=0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roject Page Document" ma:contentTypeID="0x01010012BE98611EB2BF4C8D0EE8F12C18138100B5121C3CF2B9F34981497C23D202BB81" ma:contentTypeVersion="33" ma:contentTypeDescription="" ma:contentTypeScope="" ma:versionID="19fcc8e66ae5876ba90e2adaaddbd8c7">
  <xsd:schema xmlns:xsd="http://www.w3.org/2001/XMLSchema" xmlns:xs="http://www.w3.org/2001/XMLSchema" xmlns:p="http://schemas.microsoft.com/office/2006/metadata/properties" xmlns:ns2="54e040e9-bc5a-4778-bc2d-f4c316b2e12b" targetNamespace="http://schemas.microsoft.com/office/2006/metadata/properties" ma:root="true" ma:fieldsID="1664a8aa3aab08bfb983aceb594fbc26" ns2:_="">
    <xsd:import namespace="54e040e9-bc5a-4778-bc2d-f4c316b2e12b"/>
    <xsd:element name="properties">
      <xsd:complexType>
        <xsd:sequence>
          <xsd:element name="documentManagement">
            <xsd:complexType>
              <xsd:all>
                <xsd:element ref="ns2:Activities" minOccurs="0"/>
                <xsd:element ref="ns2:Program_x0020_Area" minOccurs="0"/>
                <xsd:element ref="ns2:Planning_x0020_and_x0020_Reporting_x0020_Cycle" minOccurs="0"/>
                <xsd:element ref="ns2:Fiscal_x0020_Year" minOccurs="0"/>
                <xsd:element ref="ns2:Agencies" minOccurs="0"/>
                <xsd:element ref="ns2:PEPFAR_x0020_Country" minOccurs="0"/>
                <xsd:element ref="ns2:TWG" minOccurs="0"/>
                <xsd:element ref="ns2:TaxKeywordTaxHTField" minOccurs="0"/>
                <xsd:element ref="ns2:TaxCatchAll" minOccurs="0"/>
                <xsd:element ref="ns2:TaxCatchAllLabel" minOccurs="0"/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e040e9-bc5a-4778-bc2d-f4c316b2e12b" elementFormDefault="qualified">
    <xsd:import namespace="http://schemas.microsoft.com/office/2006/documentManagement/types"/>
    <xsd:import namespace="http://schemas.microsoft.com/office/infopath/2007/PartnerControls"/>
    <xsd:element name="Activities" ma:index="1" nillable="true" ma:displayName="Activities" ma:format="Dropdown" ma:internalName="Activities" ma:readOnly="false">
      <xsd:simpleType>
        <xsd:restriction base="dms:Choice">
          <xsd:enumeration value="(None)"/>
          <xsd:enumeration value="Communications"/>
          <xsd:enumeration value="Event"/>
          <xsd:enumeration value="Financial"/>
          <xsd:enumeration value="Human Resources"/>
          <xsd:enumeration value="Meeting"/>
          <xsd:enumeration value="Planning"/>
          <xsd:enumeration value="Records"/>
          <xsd:enumeration value="Training"/>
        </xsd:restriction>
      </xsd:simpleType>
    </xsd:element>
    <xsd:element name="Program_x0020_Area" ma:index="2" nillable="true" ma:displayName="Program Area" ma:format="Dropdown" ma:internalName="Program_x0020_Area" ma:readOnly="false">
      <xsd:simpleType>
        <xsd:restriction base="dms:Choice">
          <xsd:enumeration value="(None)"/>
          <xsd:enumeration value="Prevention"/>
          <xsd:enumeration value="Care"/>
          <xsd:enumeration value="Treatment"/>
          <xsd:enumeration value="Systems and Governance"/>
          <xsd:enumeration value="Cross Cutting"/>
        </xsd:restriction>
      </xsd:simpleType>
    </xsd:element>
    <xsd:element name="Planning_x0020_and_x0020_Reporting_x0020_Cycle" ma:index="3" nillable="true" ma:displayName="Planning and Reporting Cycle" ma:format="Dropdown" ma:internalName="Planning_x0020_and_x0020_Reporting_x0020_Cycle" ma:readOnly="false">
      <xsd:simpleType>
        <xsd:restriction base="dms:Choice">
          <xsd:enumeration value="(None)"/>
          <xsd:enumeration value="Archive"/>
          <xsd:enumeration value="APR"/>
          <xsd:enumeration value="COP"/>
          <xsd:enumeration value="HOP"/>
          <xsd:enumeration value="OPU"/>
          <xsd:enumeration value="Pre-COP"/>
          <xsd:enumeration value="SAPR"/>
        </xsd:restriction>
      </xsd:simpleType>
    </xsd:element>
    <xsd:element name="Fiscal_x0020_Year" ma:index="4" nillable="true" ma:displayName="Fiscal Year" ma:format="Dropdown" ma:internalName="Fiscal_x0020_Year" ma:readOnly="false">
      <xsd:simpleType>
        <xsd:restriction base="dms:Choice">
          <xsd:enumeration value="(None)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4"/>
          <xsd:enumeration value="2013"/>
          <xsd:enumeration value="2012"/>
          <xsd:enumeration value="2011"/>
        </xsd:restriction>
      </xsd:simpleType>
    </xsd:element>
    <xsd:element name="Agencies" ma:index="5" nillable="true" ma:displayName="Agency" ma:format="Dropdown" ma:internalName="Agencies" ma:readOnly="false">
      <xsd:simpleType>
        <xsd:restriction base="dms:Choice">
          <xsd:enumeration value="(None)"/>
          <xsd:enumeration value="All"/>
          <xsd:enumeration value="Commerce"/>
          <xsd:enumeration value="Defense"/>
          <xsd:enumeration value="Labor"/>
          <xsd:enumeration value="HHS/CDC"/>
          <xsd:enumeration value="HHS/FDA"/>
          <xsd:enumeration value="HHS/HRSA"/>
          <xsd:enumeration value="HHS/NIH"/>
          <xsd:enumeration value="HHS/OGA"/>
          <xsd:enumeration value="HHS/SAMHSA"/>
          <xsd:enumeration value="Other"/>
          <xsd:enumeration value="Peace Corps"/>
          <xsd:enumeration value="State"/>
          <xsd:enumeration value="Treasury"/>
          <xsd:enumeration value="USAID"/>
        </xsd:restriction>
      </xsd:simpleType>
    </xsd:element>
    <xsd:element name="PEPFAR_x0020_Country" ma:index="7" nillable="true" ma:displayName="OU" ma:internalName="PEPFAR_x0020_Country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(None)"/>
                    <xsd:enumeration value="All"/>
                    <xsd:enumeration value="Angola"/>
                    <xsd:enumeration value="Asia Regional Program (ARP)"/>
                    <xsd:enumeration value="Botswana"/>
                    <xsd:enumeration value="Burma"/>
                    <xsd:enumeration value="Burundi"/>
                    <xsd:enumeration value="Cambodia"/>
                    <xsd:enumeration value="Cameroon"/>
                    <xsd:enumeration value="Caribbean Region"/>
                    <xsd:enumeration value="Central America Region"/>
                    <xsd:enumeration value="Central Asia Region"/>
                    <xsd:enumeration value="Cote d' Ivoire"/>
                    <xsd:enumeration value="Democratic Republic of the Congo"/>
                    <xsd:enumeration value="Dominican Republic"/>
                    <xsd:enumeration value="Ethiopia"/>
                    <xsd:enumeration value="Ghana"/>
                    <xsd:enumeration value="Guyana"/>
                    <xsd:enumeration value="Haiti"/>
                    <xsd:enumeration value="HQ"/>
                    <xsd:enumeration value="India"/>
                    <xsd:enumeration value="Indonesia"/>
                    <xsd:enumeration value="Kenya"/>
                    <xsd:enumeration value="Lesotho"/>
                    <xsd:enumeration value="Malawi"/>
                    <xsd:enumeration value="Mozambique"/>
                    <xsd:enumeration value="Namibia"/>
                    <xsd:enumeration value="Nigeria"/>
                    <xsd:enumeration value="PNG"/>
                    <xsd:enumeration value="Russia"/>
                    <xsd:enumeration value="Rwanda"/>
                    <xsd:enumeration value="South Africa"/>
                    <xsd:enumeration value="South Sudan"/>
                    <xsd:enumeration value="Swaziland"/>
                    <xsd:enumeration value="Tanzania"/>
                    <xsd:enumeration value="Uganda"/>
                    <xsd:enumeration value="Ukraine"/>
                    <xsd:enumeration value="Vietnam"/>
                    <xsd:enumeration value="Zambia"/>
                    <xsd:enumeration value="Zimbabwe"/>
                  </xsd:restriction>
                </xsd:simpleType>
              </xsd:element>
            </xsd:sequence>
          </xsd:extension>
        </xsd:complexContent>
      </xsd:complexType>
    </xsd:element>
    <xsd:element name="TWG" ma:index="8" nillable="true" ma:displayName="TWG" ma:internalName="TWG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ult Treatment"/>
                    <xsd:enumeration value="Care &amp; Support"/>
                    <xsd:enumeration value="Care &amp; Treat Steer. Comm."/>
                    <xsd:enumeration value="Counseling &amp; Testing"/>
                    <xsd:enumeration value="Country Ownership"/>
                    <xsd:enumeration value="Family Planning/HIV Integration Staff"/>
                    <xsd:enumeration value="Finance &amp; Econ"/>
                    <xsd:enumeration value="Food &amp; Nutrition"/>
                    <xsd:enumeration value="Gender"/>
                    <xsd:enumeration value="General Popul’n &amp; Youth"/>
                    <xsd:enumeration value="HMIS"/>
                    <xsd:enumeration value="HRH"/>
                    <xsd:enumeration value="HSS Steer. Comm."/>
                    <xsd:enumeration value="Key Populations"/>
                    <xsd:enumeration value="Laboratory"/>
                    <xsd:enumeration value="Male Circ Taskforce"/>
                    <xsd:enumeration value="Medical Transmission"/>
                    <xsd:enumeration value="Modeling"/>
                    <xsd:enumeration value="M&amp;E Working Group"/>
                    <xsd:enumeration value="OVC"/>
                    <xsd:enumeration value="PMTCT/Peds"/>
                    <xsd:enumeration value="PPP"/>
                    <xsd:enumeration value="Prevention Steering Committee"/>
                    <xsd:enumeration value="PwP/PHDP Task Force"/>
                    <xsd:enumeration value="SI Steer. Comm."/>
                    <xsd:enumeration value="Surveillance &amp; Survey"/>
                    <xsd:enumeration value="TB/HIV"/>
                  </xsd:restriction>
                </xsd:simpleType>
              </xsd:element>
            </xsd:sequence>
          </xsd:extension>
        </xsd:complexContent>
      </xsd:complexType>
    </xsd:element>
    <xsd:element name="TaxKeywordTaxHTField" ma:index="9" nillable="true" ma:taxonomy="true" ma:internalName="TaxKeywordTaxHTField" ma:taxonomyFieldName="TaxKeyword" ma:displayName="Enterprise Keywords" ma:readOnly="false" ma:fieldId="{23f27201-bee3-471e-b2e7-b64fd8b7ca38}" ma:taxonomyMulti="true" ma:sspId="a0048e47-9258-427b-b476-27e0ab29a8e1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description="" ma:hidden="true" ma:list="{2cc5ae64-a620-450e-845b-f73f3eb4e805}" ma:internalName="TaxCatchAll" ma:readOnly="false" ma:showField="CatchAllData" ma:web="54e040e9-bc5a-4778-bc2d-f4c316b2e1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6" nillable="true" ma:displayName="Taxonomy Catch All Column1" ma:description="" ma:hidden="true" ma:list="{2cc5ae64-a620-450e-845b-f73f3eb4e805}" ma:internalName="TaxCatchAllLabel" ma:readOnly="true" ma:showField="CatchAllDataLabel" ma:web="54e040e9-bc5a-4778-bc2d-f4c316b2e1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9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0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Persist ID" ma:description="Keep ID on add." ma:hidden="true" ma:internalName="_dlc_DocIdPersistId" ma:readOnly="false">
      <xsd:simpleType>
        <xsd:restriction base="dms:Boolean"/>
      </xsd:simpleType>
    </xsd:element>
    <xsd:element name="SharedWithUsers" ma:index="22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54e040e9-bc5a-4778-bc2d-f4c316b2e12b">
      <Terms xmlns="http://schemas.microsoft.com/office/infopath/2007/PartnerControls"/>
    </TaxKeywordTaxHTField>
    <TWG xmlns="54e040e9-bc5a-4778-bc2d-f4c316b2e12b"/>
    <Program_x0020_Area xmlns="54e040e9-bc5a-4778-bc2d-f4c316b2e12b" xsi:nil="true"/>
    <TaxCatchAll xmlns="54e040e9-bc5a-4778-bc2d-f4c316b2e12b"/>
    <Planning_x0020_and_x0020_Reporting_x0020_Cycle xmlns="54e040e9-bc5a-4778-bc2d-f4c316b2e12b" xsi:nil="true"/>
    <Activities xmlns="54e040e9-bc5a-4778-bc2d-f4c316b2e12b" xsi:nil="true"/>
    <Agencies xmlns="54e040e9-bc5a-4778-bc2d-f4c316b2e12b" xsi:nil="true"/>
    <_dlc_DocIdPersistId xmlns="54e040e9-bc5a-4778-bc2d-f4c316b2e12b" xsi:nil="true"/>
    <Fiscal_x0020_Year xmlns="54e040e9-bc5a-4778-bc2d-f4c316b2e12b" xsi:nil="true"/>
    <PEPFAR_x0020_Country xmlns="54e040e9-bc5a-4778-bc2d-f4c316b2e12b"/>
  </documentManagement>
</p:properties>
</file>

<file path=customXml/itemProps1.xml><?xml version="1.0" encoding="utf-8"?>
<ds:datastoreItem xmlns:ds="http://schemas.openxmlformats.org/officeDocument/2006/customXml" ds:itemID="{A0728AED-9008-4DFF-91CF-6DEB9712C96D}"/>
</file>

<file path=customXml/itemProps2.xml><?xml version="1.0" encoding="utf-8"?>
<ds:datastoreItem xmlns:ds="http://schemas.openxmlformats.org/officeDocument/2006/customXml" ds:itemID="{96CE340D-BE9A-47C4-9BBD-7D935B2108A3}"/>
</file>

<file path=customXml/itemProps3.xml><?xml version="1.0" encoding="utf-8"?>
<ds:datastoreItem xmlns:ds="http://schemas.openxmlformats.org/officeDocument/2006/customXml" ds:itemID="{684FAB53-FE25-425C-86AB-AAF0A65F7BFB}"/>
</file>

<file path=customXml/itemProps4.xml><?xml version="1.0" encoding="utf-8"?>
<ds:datastoreItem xmlns:ds="http://schemas.openxmlformats.org/officeDocument/2006/customXml" ds:itemID="{65FC3AEC-9A66-4D68-A1D0-B849537DA3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POPrun</vt:lpstr>
      <vt:lpstr>POPsubset</vt:lpstr>
      <vt:lpstr>POPref</vt:lpstr>
      <vt:lpstr>template</vt:lpstr>
      <vt:lpstr>Home</vt:lpstr>
      <vt:lpstr>Allocation by SNUxIM</vt:lpstr>
      <vt:lpstr>IndexMod</vt:lpstr>
      <vt:lpstr>MobileMod</vt:lpstr>
      <vt:lpstr>VCTMod</vt:lpstr>
      <vt:lpstr>OtherMod</vt:lpstr>
      <vt:lpstr>Index</vt:lpstr>
      <vt:lpstr>STI</vt:lpstr>
      <vt:lpstr>Inpat</vt:lpstr>
      <vt:lpstr>Emergency</vt:lpstr>
      <vt:lpstr>VCT</vt:lpstr>
      <vt:lpstr>VMMC</vt:lpstr>
      <vt:lpstr>TBClinic</vt:lpstr>
      <vt:lpstr>PMTCTANC</vt:lpstr>
      <vt:lpstr>PediatricServices</vt:lpstr>
      <vt:lpstr>Malnutrition</vt:lpstr>
      <vt:lpstr>OtherPITC</vt:lpstr>
      <vt:lpstr>KeyPop</vt:lpstr>
    </vt:vector>
  </TitlesOfParts>
  <Company>USAID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Chafetz (GH/OHA/SPER)</dc:creator>
  <cp:lastModifiedBy>cop18dpp</cp:lastModifiedBy>
  <dcterms:created xsi:type="dcterms:W3CDTF">2017-01-18T17:27:39Z</dcterms:created>
  <dcterms:modified xsi:type="dcterms:W3CDTF">2018-03-06T11:15:46Z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eda3d1bcd418451f90471af3ed05c169</vt:lpwstr>
  </property>
  <property fmtid="{D5CDD505-2E9C-101B-9397-08002B2CF9AE}" pid="3" name="ContentTypeId">
    <vt:lpwstr>0x01010012BE98611EB2BF4C8D0EE8F12C18138100B5121C3CF2B9F34981497C23D202BB81</vt:lpwstr>
  </property>
</Properties>
</file>