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OneDrive\Documents\Internships and Jobs\JL Analytics\"/>
    </mc:Choice>
  </mc:AlternateContent>
  <bookViews>
    <workbookView xWindow="0" yWindow="0" windowWidth="20490" windowHeight="7230" activeTab="1"/>
  </bookViews>
  <sheets>
    <sheet name="Disclaimer" sheetId="7" r:id="rId1"/>
    <sheet name="Title" sheetId="6" r:id="rId2"/>
    <sheet name="Functional Sheet" sheetId="5" r:id="rId3"/>
    <sheet name="Working Sheet" sheetId="2" r:id="rId4"/>
    <sheet name="Target E_R" sheetId="3" r:id="rId5"/>
    <sheet name="Target SD" sheetId="4" r:id="rId6"/>
  </sheets>
  <calcPr calcId="171027"/>
</workbook>
</file>

<file path=xl/calcChain.xml><?xml version="1.0" encoding="utf-8"?>
<calcChain xmlns="http://schemas.openxmlformats.org/spreadsheetml/2006/main">
  <c r="B9" i="4" l="1"/>
  <c r="B8" i="4"/>
  <c r="B2" i="4"/>
  <c r="E30" i="3"/>
  <c r="B7" i="3" l="1"/>
  <c r="B6" i="3"/>
  <c r="B2" i="3" l="1"/>
  <c r="B29" i="2"/>
  <c r="B30" i="2"/>
  <c r="B31" i="2"/>
  <c r="B32" i="2"/>
  <c r="B33" i="2"/>
  <c r="B34" i="2"/>
  <c r="B35" i="2"/>
  <c r="B36" i="2"/>
  <c r="B37" i="2"/>
  <c r="B28" i="2"/>
  <c r="G26" i="2"/>
  <c r="G25" i="2"/>
  <c r="B26" i="2"/>
  <c r="B25" i="2"/>
  <c r="B4" i="2"/>
  <c r="C4" i="2"/>
  <c r="D4" i="2"/>
  <c r="E4" i="2"/>
  <c r="F4" i="2"/>
  <c r="G4" i="2"/>
  <c r="H4" i="2"/>
  <c r="I4" i="2"/>
  <c r="J4" i="2"/>
  <c r="K4" i="2"/>
  <c r="B5" i="2"/>
  <c r="C5" i="2"/>
  <c r="D5" i="2"/>
  <c r="E5" i="2"/>
  <c r="F5" i="2"/>
  <c r="G5" i="2"/>
  <c r="H5" i="2"/>
  <c r="I5" i="2"/>
  <c r="J5" i="2"/>
  <c r="K5" i="2"/>
  <c r="B6" i="2"/>
  <c r="C6" i="2"/>
  <c r="D6" i="2"/>
  <c r="E6" i="2"/>
  <c r="F6" i="2"/>
  <c r="G6" i="2"/>
  <c r="H6" i="2"/>
  <c r="I6" i="2"/>
  <c r="J6" i="2"/>
  <c r="K6" i="2"/>
  <c r="B7" i="2"/>
  <c r="C7" i="2"/>
  <c r="D7" i="2"/>
  <c r="E7" i="2"/>
  <c r="F7" i="2"/>
  <c r="G7" i="2"/>
  <c r="H7" i="2"/>
  <c r="I7" i="2"/>
  <c r="J7" i="2"/>
  <c r="K7" i="2"/>
  <c r="B8" i="2"/>
  <c r="C8" i="2"/>
  <c r="D8" i="2"/>
  <c r="E8" i="2"/>
  <c r="F8" i="2"/>
  <c r="G8" i="2"/>
  <c r="H8" i="2"/>
  <c r="I8" i="2"/>
  <c r="J8" i="2"/>
  <c r="K8" i="2"/>
  <c r="B9" i="2"/>
  <c r="C9" i="2"/>
  <c r="D9" i="2"/>
  <c r="E9" i="2"/>
  <c r="F9" i="2"/>
  <c r="G9" i="2"/>
  <c r="H9" i="2"/>
  <c r="I9" i="2"/>
  <c r="J9" i="2"/>
  <c r="K9" i="2"/>
  <c r="B10" i="2"/>
  <c r="C10" i="2"/>
  <c r="D10" i="2"/>
  <c r="E10" i="2"/>
  <c r="F10" i="2"/>
  <c r="G10" i="2"/>
  <c r="H10" i="2"/>
  <c r="I10" i="2"/>
  <c r="J10" i="2"/>
  <c r="K10" i="2"/>
  <c r="B11" i="2"/>
  <c r="C11" i="2"/>
  <c r="D11" i="2"/>
  <c r="E11" i="2"/>
  <c r="F11" i="2"/>
  <c r="G11" i="2"/>
  <c r="H11" i="2"/>
  <c r="I11" i="2"/>
  <c r="J11" i="2"/>
  <c r="K11" i="2"/>
  <c r="B12" i="2"/>
  <c r="C12" i="2"/>
  <c r="D12" i="2"/>
  <c r="E12" i="2"/>
  <c r="F12" i="2"/>
  <c r="G12" i="2"/>
  <c r="H12" i="2"/>
  <c r="I12" i="2"/>
  <c r="J12" i="2"/>
  <c r="K12" i="2"/>
  <c r="C3" i="2"/>
  <c r="D3" i="2"/>
  <c r="E3" i="2"/>
  <c r="F3" i="2"/>
  <c r="G3" i="2"/>
  <c r="H3" i="2"/>
  <c r="I3" i="2"/>
  <c r="J3" i="2"/>
  <c r="K3" i="2"/>
  <c r="B3" i="2"/>
  <c r="A49" i="5"/>
  <c r="A48" i="5"/>
  <c r="A41" i="5"/>
  <c r="A42" i="5"/>
  <c r="A43" i="5"/>
  <c r="A44" i="5"/>
  <c r="A45" i="5"/>
  <c r="A46" i="5"/>
  <c r="A40" i="5"/>
  <c r="A27" i="5"/>
  <c r="A28" i="5"/>
  <c r="A47" i="5" s="1"/>
  <c r="A29" i="5"/>
  <c r="A30" i="5"/>
  <c r="A22" i="5"/>
  <c r="A23" i="5"/>
  <c r="A24" i="5"/>
  <c r="A25" i="5"/>
  <c r="A26" i="5"/>
  <c r="A21" i="5"/>
  <c r="B20" i="5" a="1"/>
  <c r="B20" i="5" s="1"/>
  <c r="D20" i="5" l="1"/>
  <c r="J20" i="5"/>
  <c r="F20" i="5"/>
  <c r="I20" i="5"/>
  <c r="E20" i="5"/>
  <c r="H20" i="5"/>
  <c r="K20" i="5"/>
  <c r="G20" i="5"/>
  <c r="C20" i="5"/>
  <c r="E36" i="4"/>
  <c r="B14" i="2" l="1" a="1"/>
  <c r="B14" i="2" s="1"/>
  <c r="B21" i="2" l="1"/>
  <c r="E22" i="2"/>
  <c r="K17" i="2"/>
  <c r="B16" i="2"/>
  <c r="J14" i="2"/>
  <c r="C18" i="2"/>
  <c r="D21" i="2"/>
  <c r="E21" i="2"/>
  <c r="C22" i="2"/>
  <c r="J16" i="2"/>
  <c r="D18" i="2"/>
  <c r="I17" i="2"/>
  <c r="I16" i="2"/>
  <c r="H14" i="2"/>
  <c r="F18" i="2"/>
  <c r="G18" i="2"/>
  <c r="F15" i="2"/>
  <c r="J21" i="2"/>
  <c r="I18" i="2"/>
  <c r="H15" i="2"/>
  <c r="B22" i="2"/>
  <c r="K22" i="2"/>
  <c r="B19" i="2"/>
  <c r="C19" i="2"/>
  <c r="D19" i="2"/>
  <c r="J23" i="2"/>
  <c r="J20" i="2"/>
  <c r="E19" i="2"/>
  <c r="D16" i="2"/>
  <c r="H22" i="2"/>
  <c r="G19" i="2"/>
  <c r="F16" i="2"/>
  <c r="J22" i="2"/>
  <c r="I23" i="2"/>
  <c r="J19" i="2"/>
  <c r="G21" i="2"/>
  <c r="H21" i="2"/>
  <c r="K15" i="2"/>
  <c r="D23" i="2"/>
  <c r="C20" i="2"/>
  <c r="B17" i="2"/>
  <c r="F23" i="2"/>
  <c r="E20" i="2"/>
  <c r="D17" i="2"/>
  <c r="H23" i="2"/>
  <c r="D14" i="2"/>
  <c r="H20" i="2"/>
  <c r="K23" i="2"/>
  <c r="C14" i="2"/>
  <c r="E18" i="2"/>
  <c r="G14" i="2"/>
  <c r="K20" i="2"/>
  <c r="J17" i="2"/>
  <c r="I14" i="2"/>
  <c r="C21" i="2"/>
  <c r="B18" i="2"/>
  <c r="E17" i="2"/>
  <c r="B15" i="2"/>
  <c r="F21" i="2"/>
  <c r="D15" i="2"/>
  <c r="E14" i="2"/>
  <c r="K14" i="2"/>
  <c r="I20" i="2"/>
  <c r="E15" i="2"/>
  <c r="I21" i="2"/>
  <c r="H18" i="2"/>
  <c r="G15" i="2"/>
  <c r="K21" i="2"/>
  <c r="J18" i="2"/>
  <c r="K18" i="2"/>
  <c r="J15" i="2"/>
  <c r="D22" i="2"/>
  <c r="H17" i="2"/>
  <c r="G17" i="2"/>
  <c r="I15" i="2"/>
  <c r="C23" i="2"/>
  <c r="C16" i="2"/>
  <c r="G22" i="2"/>
  <c r="F19" i="2"/>
  <c r="E16" i="2"/>
  <c r="I22" i="2"/>
  <c r="H19" i="2"/>
  <c r="I19" i="2"/>
  <c r="H16" i="2"/>
  <c r="B23" i="2"/>
  <c r="B20" i="2"/>
  <c r="K19" i="2"/>
  <c r="G16" i="2"/>
  <c r="F14" i="2"/>
  <c r="K16" i="2"/>
  <c r="E23" i="2"/>
  <c r="D20" i="2"/>
  <c r="C17" i="2"/>
  <c r="G23" i="2"/>
  <c r="F20" i="2"/>
  <c r="G20" i="2"/>
  <c r="F17" i="2"/>
  <c r="C15" i="2"/>
  <c r="F22" i="2"/>
  <c r="E52" i="2" l="1" a="1"/>
  <c r="E61" i="2" s="1"/>
  <c r="E58" i="2" l="1"/>
  <c r="E60" i="2"/>
  <c r="E59" i="2"/>
  <c r="E54" i="2"/>
  <c r="E53" i="2"/>
  <c r="E52" i="2"/>
  <c r="E57" i="2"/>
  <c r="E56" i="2"/>
  <c r="E55" i="2"/>
  <c r="E63" i="2" l="1" a="1"/>
  <c r="E63" i="2" s="1"/>
  <c r="E66" i="2" s="1" a="1"/>
  <c r="E66" i="2" s="1"/>
  <c r="E72" i="2" l="1"/>
  <c r="E67" i="2"/>
  <c r="E64" i="2"/>
  <c r="E73" i="2"/>
  <c r="E74" i="2"/>
  <c r="E75" i="2"/>
  <c r="E68" i="2"/>
  <c r="E71" i="2"/>
  <c r="E69" i="2"/>
  <c r="E70" i="2"/>
  <c r="E79" i="2" l="1" a="1"/>
  <c r="E80" i="2" s="1"/>
  <c r="E77" i="2"/>
  <c r="E82" i="2" a="1"/>
  <c r="E83" i="2" s="1"/>
  <c r="E79" i="2" l="1"/>
  <c r="B5" i="3" s="1"/>
  <c r="E84" i="2"/>
  <c r="E82" i="2"/>
  <c r="E86" i="2" s="1"/>
  <c r="B5" i="4" s="1"/>
  <c r="B7" i="4" s="1"/>
  <c r="B14" i="4" s="1"/>
  <c r="B52" i="2" l="1" a="1"/>
  <c r="B61" i="2" s="1"/>
  <c r="H52" i="2" a="1"/>
  <c r="H54" i="2" s="1"/>
  <c r="B52" i="2" l="1"/>
  <c r="B55" i="2"/>
  <c r="B58" i="2"/>
  <c r="B59" i="2"/>
  <c r="B56" i="2"/>
  <c r="B57" i="2"/>
  <c r="B53" i="2"/>
  <c r="B60" i="2"/>
  <c r="B54" i="2"/>
  <c r="H56" i="2"/>
  <c r="H59" i="2"/>
  <c r="H57" i="2"/>
  <c r="H61" i="2"/>
  <c r="H53" i="2"/>
  <c r="H60" i="2"/>
  <c r="H55" i="2"/>
  <c r="H52" i="2"/>
  <c r="H58" i="2"/>
  <c r="B63" i="2" l="1"/>
  <c r="B65" i="2" s="1" a="1"/>
  <c r="B72" i="2" s="1"/>
  <c r="H63" i="2"/>
  <c r="H65" i="2" s="1" a="1"/>
  <c r="H66" i="2" s="1"/>
  <c r="B74" i="2" l="1"/>
  <c r="C49" i="5" s="1"/>
  <c r="B69" i="2"/>
  <c r="C44" i="5" s="1"/>
  <c r="B73" i="2"/>
  <c r="B71" i="2"/>
  <c r="B68" i="2"/>
  <c r="C43" i="5" s="1"/>
  <c r="B65" i="2"/>
  <c r="C40" i="5" s="1"/>
  <c r="B67" i="2"/>
  <c r="B66" i="2"/>
  <c r="C41" i="5" s="1"/>
  <c r="B70" i="2"/>
  <c r="H68" i="2"/>
  <c r="D43" i="5" s="1"/>
  <c r="H70" i="2"/>
  <c r="D45" i="5" s="1"/>
  <c r="H69" i="2"/>
  <c r="D44" i="5" s="1"/>
  <c r="H74" i="2"/>
  <c r="H72" i="2"/>
  <c r="D47" i="5" s="1"/>
  <c r="H67" i="2"/>
  <c r="D42" i="5" s="1"/>
  <c r="H65" i="2"/>
  <c r="D40" i="5" s="1"/>
  <c r="H73" i="2"/>
  <c r="D48" i="5" s="1"/>
  <c r="H71" i="2"/>
  <c r="C47" i="5"/>
  <c r="D41" i="5"/>
  <c r="C48" i="5" l="1"/>
  <c r="C45" i="5"/>
  <c r="B81" i="2" a="1"/>
  <c r="B82" i="2" s="1"/>
  <c r="C42" i="5"/>
  <c r="B78" i="2" a="1"/>
  <c r="B78" i="2" s="1"/>
  <c r="B76" i="2"/>
  <c r="C46" i="5"/>
  <c r="D46" i="5"/>
  <c r="H78" i="2" a="1"/>
  <c r="H79" i="2" s="1"/>
  <c r="H76" i="2"/>
  <c r="H81" i="2" a="1"/>
  <c r="H82" i="2" s="1"/>
  <c r="D49" i="5"/>
  <c r="B81" i="2" l="1"/>
  <c r="B84" i="2" s="1"/>
  <c r="B10" i="4" a="1"/>
  <c r="B10" i="4" s="1"/>
  <c r="B13" i="4" s="1"/>
  <c r="B79" i="2"/>
  <c r="H78" i="2"/>
  <c r="D53" i="5" s="1"/>
  <c r="B4" i="3" s="1"/>
  <c r="H81" i="2"/>
  <c r="H84" i="2" s="1"/>
  <c r="C53" i="5"/>
  <c r="B3" i="3" s="1"/>
  <c r="E35" i="3" s="1" a="1"/>
  <c r="C54" i="5" l="1"/>
  <c r="B3" i="4" s="1"/>
  <c r="B6" i="4" s="1"/>
  <c r="B12" i="4" s="1"/>
  <c r="B11" i="4"/>
  <c r="D54" i="5"/>
  <c r="B4" i="4" s="1"/>
  <c r="E49" i="4" s="1" a="1"/>
  <c r="E35" i="3"/>
  <c r="E36" i="3"/>
  <c r="B11" i="3"/>
  <c r="H14" i="3" s="1"/>
  <c r="B10" i="3"/>
  <c r="B15" i="3" s="1"/>
  <c r="B30" i="3" s="1"/>
  <c r="B12" i="3"/>
  <c r="E15" i="3" s="1"/>
  <c r="E16" i="3" s="1"/>
  <c r="B23" i="4" l="1"/>
  <c r="B26" i="4" s="1"/>
  <c r="B16" i="4"/>
  <c r="B22" i="4" s="1"/>
  <c r="B36" i="4" s="1"/>
  <c r="E49" i="4"/>
  <c r="E50" i="4"/>
  <c r="B17" i="4"/>
  <c r="H18" i="4" s="1"/>
  <c r="H32" i="4" s="1"/>
  <c r="B32" i="4"/>
  <c r="B18" i="4"/>
  <c r="E23" i="4" s="1"/>
  <c r="E24" i="4" s="1"/>
  <c r="H19" i="4"/>
  <c r="H15" i="3"/>
  <c r="H27" i="3" s="1"/>
  <c r="H29" i="3"/>
  <c r="E27" i="3"/>
  <c r="E23" i="3"/>
  <c r="E26" i="3"/>
  <c r="E25" i="3"/>
  <c r="E29" i="3"/>
  <c r="E22" i="3"/>
  <c r="E24" i="3"/>
  <c r="E28" i="3"/>
  <c r="E21" i="3"/>
  <c r="E20" i="3"/>
  <c r="B16" i="3"/>
  <c r="B27" i="4" l="1"/>
  <c r="B30" i="4"/>
  <c r="B28" i="4"/>
  <c r="B35" i="4"/>
  <c r="K32" i="4"/>
  <c r="F50" i="5" s="1"/>
  <c r="B34" i="4"/>
  <c r="B29" i="4"/>
  <c r="B31" i="4"/>
  <c r="B33" i="4"/>
  <c r="H26" i="4"/>
  <c r="H27" i="4"/>
  <c r="H24" i="4"/>
  <c r="H30" i="4"/>
  <c r="H25" i="4"/>
  <c r="H29" i="4"/>
  <c r="H23" i="4"/>
  <c r="H31" i="4"/>
  <c r="H28" i="4"/>
  <c r="H22" i="4"/>
  <c r="E27" i="4"/>
  <c r="E29" i="4"/>
  <c r="E30" i="4"/>
  <c r="E31" i="4"/>
  <c r="E34" i="4"/>
  <c r="E35" i="4"/>
  <c r="E28" i="4"/>
  <c r="E32" i="4"/>
  <c r="E33" i="4"/>
  <c r="E26" i="4"/>
  <c r="H28" i="3"/>
  <c r="H19" i="3"/>
  <c r="H23" i="3"/>
  <c r="H25" i="3"/>
  <c r="H24" i="3"/>
  <c r="H22" i="3"/>
  <c r="H20" i="3"/>
  <c r="H26" i="3"/>
  <c r="H21" i="3"/>
  <c r="B20" i="3"/>
  <c r="K19" i="3" s="1"/>
  <c r="B21" i="3"/>
  <c r="B22" i="3"/>
  <c r="B23" i="3"/>
  <c r="B25" i="3"/>
  <c r="B26" i="3"/>
  <c r="B28" i="3"/>
  <c r="K27" i="3" s="1"/>
  <c r="B24" i="3"/>
  <c r="B27" i="3"/>
  <c r="B29" i="3"/>
  <c r="K29" i="3"/>
  <c r="E32" i="3"/>
  <c r="K29" i="4" l="1"/>
  <c r="F47" i="5" s="1"/>
  <c r="B38" i="4"/>
  <c r="K27" i="4"/>
  <c r="F45" i="5" s="1"/>
  <c r="K25" i="4"/>
  <c r="F43" i="5" s="1"/>
  <c r="K30" i="4"/>
  <c r="F48" i="5" s="1"/>
  <c r="K22" i="4"/>
  <c r="F40" i="5" s="1"/>
  <c r="K28" i="4"/>
  <c r="F46" i="5" s="1"/>
  <c r="K26" i="4"/>
  <c r="K31" i="4"/>
  <c r="K24" i="4"/>
  <c r="E38" i="4"/>
  <c r="K24" i="3"/>
  <c r="K20" i="3"/>
  <c r="E41" i="5" s="1"/>
  <c r="H34" i="4"/>
  <c r="K23" i="4"/>
  <c r="K28" i="3"/>
  <c r="E49" i="5" s="1"/>
  <c r="K22" i="3"/>
  <c r="E41" i="4" a="1"/>
  <c r="H31" i="3"/>
  <c r="K25" i="3"/>
  <c r="K23" i="3"/>
  <c r="E44" i="5" s="1"/>
  <c r="K26" i="3"/>
  <c r="E47" i="5" s="1"/>
  <c r="K21" i="3"/>
  <c r="E40" i="5"/>
  <c r="E50" i="5"/>
  <c r="E48" i="5"/>
  <c r="B32" i="3"/>
  <c r="H37" i="3" l="1" a="1"/>
  <c r="F44" i="5"/>
  <c r="F49" i="5"/>
  <c r="F42" i="5"/>
  <c r="K34" i="4"/>
  <c r="E45" i="4" a="1"/>
  <c r="E39" i="3" a="1"/>
  <c r="E45" i="5"/>
  <c r="E46" i="5"/>
  <c r="E43" i="5"/>
  <c r="F41" i="5"/>
  <c r="E43" i="3" a="1"/>
  <c r="E43" i="3" s="1"/>
  <c r="E41" i="4"/>
  <c r="E42" i="4"/>
  <c r="E42" i="5"/>
  <c r="K31" i="3"/>
  <c r="H40" i="4" l="1" a="1"/>
  <c r="H40" i="4" s="1"/>
  <c r="H37" i="3"/>
  <c r="L37" i="3"/>
  <c r="P37" i="3"/>
  <c r="I37" i="3"/>
  <c r="M37" i="3"/>
  <c r="Q37" i="3"/>
  <c r="J37" i="3"/>
  <c r="N37" i="3"/>
  <c r="K37" i="3"/>
  <c r="O37" i="3"/>
  <c r="E45" i="4"/>
  <c r="E53" i="4" s="1"/>
  <c r="E46" i="4"/>
  <c r="E39" i="3"/>
  <c r="E47" i="3" s="1"/>
  <c r="E40" i="3"/>
  <c r="E44" i="3"/>
  <c r="N40" i="4" l="1"/>
  <c r="P40" i="4"/>
  <c r="I40" i="4"/>
  <c r="J40" i="4"/>
  <c r="L40" i="4"/>
  <c r="K40" i="4"/>
  <c r="M40" i="4"/>
  <c r="O40" i="4"/>
  <c r="Q40" i="4"/>
  <c r="H38" i="3"/>
  <c r="H34" i="3" s="1"/>
  <c r="F53" i="5"/>
  <c r="E53" i="5"/>
  <c r="H41" i="4" l="1"/>
  <c r="H37" i="4" s="1"/>
  <c r="F54" i="5" s="1"/>
  <c r="E54" i="5"/>
</calcChain>
</file>

<file path=xl/sharedStrings.xml><?xml version="1.0" encoding="utf-8"?>
<sst xmlns="http://schemas.openxmlformats.org/spreadsheetml/2006/main" count="269" uniqueCount="126">
  <si>
    <t>Return Covariance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</si>
  <si>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</si>
  <si>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</si>
  <si>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</si>
  <si>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</si>
  <si>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</si>
  <si>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</si>
  <si>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</si>
  <si>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</si>
  <si>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</si>
  <si>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</si>
  <si>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Risk-free Investment Rate</t>
  </si>
  <si>
    <t>Target Expected Return</t>
  </si>
  <si>
    <t>Risk-free Borrowing Rate</t>
  </si>
  <si>
    <t xml:space="preserve">Target Standard Deviation </t>
  </si>
  <si>
    <t>Asset</t>
  </si>
  <si>
    <t>Expected Return</t>
  </si>
  <si>
    <t>Exp Target (weights)</t>
  </si>
  <si>
    <t>SD Target (weights)</t>
  </si>
  <si>
    <t>T_inv (weights)</t>
  </si>
  <si>
    <t>T_borr (weights)</t>
  </si>
  <si>
    <t>Inverse Covaraince Matrix</t>
  </si>
  <si>
    <t>Covariance Matrix</t>
  </si>
  <si>
    <t>Bar_R matrix</t>
  </si>
  <si>
    <t>Y matrix</t>
  </si>
  <si>
    <t>e</t>
  </si>
  <si>
    <t>Sum_Y</t>
  </si>
  <si>
    <t>X matrix</t>
  </si>
  <si>
    <t>E(R_T_INV)</t>
  </si>
  <si>
    <t>Var(R_T_INV)</t>
  </si>
  <si>
    <t>SD(R_T_INV)</t>
  </si>
  <si>
    <t>T_INV</t>
  </si>
  <si>
    <t>MVP</t>
  </si>
  <si>
    <t>Sum_X</t>
  </si>
  <si>
    <t>E(R_MVP)</t>
  </si>
  <si>
    <t>Var(R_MVP)</t>
  </si>
  <si>
    <t>SD(R_MVP)</t>
  </si>
  <si>
    <t>T_BORR</t>
  </si>
  <si>
    <t>E(R_T_BORR)</t>
  </si>
  <si>
    <t>Var(R_T_BORR)</t>
  </si>
  <si>
    <t>SD(R_T_BORR)</t>
  </si>
  <si>
    <t xml:space="preserve">Risk- free Investment Rate </t>
  </si>
  <si>
    <t>Risk- free Borrowing Rate</t>
  </si>
  <si>
    <t>Risk- free Weight</t>
  </si>
  <si>
    <t>Risk- free Investment Proportion</t>
  </si>
  <si>
    <t>Risk- free Borrowing Proportion</t>
  </si>
  <si>
    <t>T_INV Proportion</t>
  </si>
  <si>
    <t>Exp Target (Weights)</t>
  </si>
  <si>
    <t>Risk- free</t>
  </si>
  <si>
    <t>Lending and Investing in Risky Portfolio</t>
  </si>
  <si>
    <t>Risky Portfolio Weight</t>
  </si>
  <si>
    <t>SUM</t>
  </si>
  <si>
    <t>Investing Solely in Risky Portfolio</t>
  </si>
  <si>
    <t>T_INV Weight</t>
  </si>
  <si>
    <t>Borrowing and Over-investing in Risky Portfolio</t>
  </si>
  <si>
    <t>Exp Target(Put into INPUTS)</t>
  </si>
  <si>
    <t xml:space="preserve">Expected Return of Target Portfolio </t>
  </si>
  <si>
    <t>(Given Specified Target Expected Return)</t>
  </si>
  <si>
    <t xml:space="preserve">SD of Target Portfolio </t>
  </si>
  <si>
    <t>x_T*C</t>
  </si>
  <si>
    <t>x_T*C*x</t>
  </si>
  <si>
    <t>(Lending and Investing in Risky Portfolio)</t>
  </si>
  <si>
    <t>(Investing Solely in Risky Portfolio)</t>
  </si>
  <si>
    <t>(Borrowing and Over-investing in Risky Portfolio)</t>
  </si>
  <si>
    <t>Effective Expected Return of Target Portfolio</t>
  </si>
  <si>
    <t>Target SD</t>
  </si>
  <si>
    <t>(Given Specified Target SD)</t>
  </si>
  <si>
    <t>C^(-1)e</t>
  </si>
  <si>
    <t>&lt;C^(-1)e,e&gt;</t>
  </si>
  <si>
    <t>x_T*C*x (Var of Target Portfolio)</t>
  </si>
  <si>
    <t>SD of Target Portfolio  (Output- INPUTS)</t>
  </si>
  <si>
    <t>(Output- INPUTS)</t>
  </si>
  <si>
    <t>Exp Target(Outut- INPUTS)</t>
  </si>
  <si>
    <t>SD (MVP)</t>
  </si>
  <si>
    <t>Cov(R_T_INV,R_MVP)</t>
  </si>
  <si>
    <t>Var(R_T_INV)+Var(R_MVP)-2*Cov(R_T_INV,R_MVP)</t>
  </si>
  <si>
    <t>neg_2*Var(R_MVP)+2*Cov(R_T_INV,R_MVP)</t>
  </si>
  <si>
    <t>Var(R_MVP)- Target Var</t>
  </si>
  <si>
    <t>MVP Weight</t>
  </si>
  <si>
    <t xml:space="preserve"> MVP Weight </t>
  </si>
  <si>
    <t>Asset Number</t>
  </si>
  <si>
    <t>Asset's 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</si>
  <si>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</si>
  <si>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</si>
  <si>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</si>
  <si>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</si>
  <si>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</si>
  <si>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</si>
  <si>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</si>
  <si>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</si>
  <si>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</si>
  <si>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</si>
  <si>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Rate Input (%)</t>
  </si>
  <si>
    <t>Expected Return, %</t>
  </si>
  <si>
    <t>Standard Dev, %</t>
  </si>
  <si>
    <t>(NB: "N/A" would appear if there is no efficient portfolio)</t>
  </si>
  <si>
    <t>Purpose:</t>
  </si>
  <si>
    <t>Author:</t>
  </si>
  <si>
    <t xml:space="preserve">Jason Lim </t>
  </si>
  <si>
    <t>Details:</t>
  </si>
  <si>
    <t>Visible Sheet</t>
  </si>
  <si>
    <t>Details</t>
  </si>
  <si>
    <t>Functional Sheet</t>
  </si>
  <si>
    <t>Allows user to input data and extract results/ outcome</t>
  </si>
  <si>
    <t>Hidden Sheet (Protected)</t>
  </si>
  <si>
    <t>Demonstrates the mathematical workings behind functional sheet</t>
  </si>
  <si>
    <t xml:space="preserve">   </t>
  </si>
  <si>
    <t xml:space="preserve">Working Sheet, 
Target E_R, 
Target SD
</t>
  </si>
  <si>
    <t>Notations</t>
  </si>
  <si>
    <t xml:space="preserve">T_inv </t>
  </si>
  <si>
    <t>Tangent portfolio with respect to risk- free investment rate</t>
  </si>
  <si>
    <t>T_borr</t>
  </si>
  <si>
    <t>Tangent portfolio with respect to risk- free borrowing rate</t>
  </si>
  <si>
    <t>Efficient portfolio which is constructed based on target E (Return)</t>
  </si>
  <si>
    <t>Exp Target</t>
  </si>
  <si>
    <t>SD Target</t>
  </si>
  <si>
    <t>Efficient portfolio which is constructed based on target standard
deviation</t>
  </si>
  <si>
    <t/>
  </si>
  <si>
    <t>Consturction of Efficient Portfolio</t>
  </si>
  <si>
    <t>Colour Code</t>
  </si>
  <si>
    <t>Purpose</t>
  </si>
  <si>
    <t>Field for users to input their data</t>
  </si>
  <si>
    <t>Outcome/ Result</t>
  </si>
  <si>
    <t>Assumptions</t>
  </si>
  <si>
    <t xml:space="preserve">
- User only could choose from 10 risky assets rather than all
   assets (inclusive of stocks and bonds) in the financial market
- Stocks could be purchased in fractions
- Short- selling is allowed
- Risk- free borrowing rate is always higher than risk- free   
   investment (deposit) rate
</t>
  </si>
  <si>
    <t xml:space="preserve">
This model allows the user to:
- Construct an efficient portfolio of 10 risky assets and 1 risk- free  
   asset in an environment where short- selling is allowed
- Construct an efficient portfolio based on the target E(Return) 
   or target Standard Deviation     
( GIVEN THAT THERE ARE ONLY 10 RISKY ASSETS WHICH YOU COULD CHOOSE FROM RATHER THAN ALL ASSETS LISTED IN FINANCIAL MARKET)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</si>
</sst>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"/>
    <numFmt numFmtId="165" formatCode="0.0000000000000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9" fontId="6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/>
    <xf numFmtId="0" fontId="0" fillId="0" borderId="0" xfId="0" applyFill="1"/>
    <xf numFmtId="0" fontId="3" fillId="0" borderId="0" xfId="0" applyFont="1"/>
    <xf numFmtId="2" fontId="0" fillId="0" borderId="0" xfId="0" applyNumberFormat="1"/>
    <xf numFmtId="0" fontId="1" fillId="4" borderId="0" xfId="0" applyFont="1" applyFill="1" applyBorder="1"/>
    <xf numFmtId="0" fontId="2" fillId="4" borderId="0" xfId="0" applyFont="1" applyFill="1" applyBorder="1"/>
    <xf numFmtId="0" fontId="2" fillId="6" borderId="0" xfId="0" applyFont="1" applyFill="1" applyBorder="1"/>
    <xf numFmtId="0" fontId="4" fillId="6" borderId="0" xfId="0" applyFont="1" applyFill="1" applyBorder="1"/>
    <xf numFmtId="0" fontId="0" fillId="6" borderId="0" xfId="0" applyFill="1"/>
    <xf numFmtId="0" fontId="0" fillId="4" borderId="0" xfId="0" applyFill="1"/>
    <xf numFmtId="0" fontId="0" fillId="6" borderId="0" xfId="0" applyFont="1" applyFill="1"/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2" fontId="0" fillId="6" borderId="0" xfId="0" applyNumberFormat="1" applyFill="1"/>
    <xf numFmtId="164" fontId="0" fillId="0" borderId="0" xfId="0" applyNumberFormat="1"/>
    <xf numFmtId="164" fontId="0" fillId="6" borderId="0" xfId="0" applyNumberFormat="1" applyFill="1"/>
    <xf numFmtId="165" fontId="0" fillId="6" borderId="0" xfId="0" applyNumberFormat="1" applyFill="1"/>
    <xf numFmtId="0" fontId="3" fillId="0" borderId="0" xfId="0" applyFont="1" applyFill="1"/>
    <xf numFmtId="0" fontId="1" fillId="2" borderId="3" xfId="0" applyFont="1" applyFill="1" applyBorder="1"/>
    <xf numFmtId="2" fontId="5" fillId="7" borderId="4" xfId="1" applyNumberFormat="1" applyFill="1" applyBorder="1"/>
    <xf numFmtId="2" fontId="5" fillId="7" borderId="5" xfId="1" applyNumberFormat="1" applyFill="1" applyBorder="1"/>
    <xf numFmtId="0" fontId="1" fillId="0" borderId="0" xfId="0" applyFont="1" applyFill="1" applyBorder="1" applyAlignment="1"/>
    <xf numFmtId="2" fontId="2" fillId="6" borderId="0" xfId="0" applyNumberFormat="1" applyFont="1" applyFill="1" applyBorder="1"/>
    <xf numFmtId="0" fontId="0" fillId="6" borderId="0" xfId="0" applyFont="1" applyFill="1" applyAlignment="1">
      <alignment horizontal="center"/>
    </xf>
    <xf numFmtId="10" fontId="0" fillId="0" borderId="0" xfId="2" applyNumberFormat="1" applyFont="1"/>
    <xf numFmtId="10" fontId="0" fillId="0" borderId="0" xfId="0" applyNumberFormat="1"/>
    <xf numFmtId="10" fontId="0" fillId="0" borderId="0" xfId="2" applyNumberFormat="1" applyFont="1" applyFill="1" applyBorder="1"/>
    <xf numFmtId="10" fontId="0" fillId="0" borderId="0" xfId="2" applyNumberFormat="1" applyFont="1" applyFill="1"/>
    <xf numFmtId="10" fontId="0" fillId="0" borderId="0" xfId="0" applyNumberFormat="1" applyFill="1"/>
    <xf numFmtId="0" fontId="0" fillId="0" borderId="0" xfId="2" applyNumberFormat="1" applyFont="1"/>
    <xf numFmtId="0" fontId="3" fillId="9" borderId="3" xfId="0" applyFont="1" applyFill="1" applyBorder="1"/>
    <xf numFmtId="0" fontId="3" fillId="8" borderId="3" xfId="0" applyFont="1" applyFill="1" applyBorder="1"/>
    <xf numFmtId="0" fontId="0" fillId="7" borderId="3" xfId="0" applyFill="1" applyBorder="1"/>
    <xf numFmtId="0" fontId="3" fillId="8" borderId="6" xfId="0" applyFont="1" applyFill="1" applyBorder="1"/>
    <xf numFmtId="0" fontId="0" fillId="7" borderId="6" xfId="0" applyFill="1" applyBorder="1"/>
    <xf numFmtId="0" fontId="3" fillId="8" borderId="4" xfId="0" applyFont="1" applyFill="1" applyBorder="1"/>
    <xf numFmtId="0" fontId="0" fillId="7" borderId="4" xfId="0" applyFill="1" applyBorder="1"/>
    <xf numFmtId="0" fontId="3" fillId="8" borderId="5" xfId="0" applyFont="1" applyFill="1" applyBorder="1"/>
    <xf numFmtId="0" fontId="0" fillId="7" borderId="5" xfId="0" applyFill="1" applyBorder="1"/>
    <xf numFmtId="0" fontId="3" fillId="8" borderId="7" xfId="0" applyFont="1" applyFill="1" applyBorder="1"/>
    <xf numFmtId="0" fontId="3" fillId="8" borderId="8" xfId="0" applyFont="1" applyFill="1" applyBorder="1"/>
    <xf numFmtId="0" fontId="0" fillId="8" borderId="3" xfId="0" applyFill="1" applyBorder="1"/>
    <xf numFmtId="0" fontId="1" fillId="8" borderId="3" xfId="0" applyFont="1" applyFill="1" applyBorder="1" applyAlignment="1"/>
    <xf numFmtId="0" fontId="2" fillId="3" borderId="3" xfId="0" applyFont="1" applyFill="1" applyBorder="1"/>
    <xf numFmtId="10" fontId="0" fillId="4" borderId="10" xfId="2" applyNumberFormat="1" applyFont="1" applyFill="1" applyBorder="1"/>
    <xf numFmtId="10" fontId="0" fillId="4" borderId="11" xfId="2" applyNumberFormat="1" applyFont="1" applyFill="1" applyBorder="1"/>
    <xf numFmtId="10" fontId="0" fillId="4" borderId="4" xfId="2" applyNumberFormat="1" applyFont="1" applyFill="1" applyBorder="1"/>
    <xf numFmtId="10" fontId="0" fillId="4" borderId="5" xfId="2" applyNumberFormat="1" applyFont="1" applyFill="1" applyBorder="1"/>
    <xf numFmtId="0" fontId="2" fillId="3" borderId="4" xfId="0" applyFont="1" applyFill="1" applyBorder="1"/>
    <xf numFmtId="0" fontId="1" fillId="8" borderId="1" xfId="0" applyFont="1" applyFill="1" applyBorder="1" applyAlignment="1"/>
    <xf numFmtId="0" fontId="1" fillId="2" borderId="9" xfId="0" applyFont="1" applyFill="1" applyBorder="1"/>
    <xf numFmtId="0" fontId="3" fillId="8" borderId="1" xfId="0" applyFont="1" applyFill="1" applyBorder="1"/>
    <xf numFmtId="0" fontId="2" fillId="8" borderId="2" xfId="0" applyFont="1" applyFill="1" applyBorder="1"/>
    <xf numFmtId="10" fontId="0" fillId="8" borderId="2" xfId="2" applyNumberFormat="1" applyFont="1" applyFill="1" applyBorder="1"/>
    <xf numFmtId="10" fontId="0" fillId="8" borderId="9" xfId="2" applyNumberFormat="1" applyFont="1" applyFill="1" applyBorder="1"/>
    <xf numFmtId="2" fontId="0" fillId="4" borderId="3" xfId="0" applyNumberFormat="1" applyFill="1" applyBorder="1"/>
    <xf numFmtId="2" fontId="0" fillId="0" borderId="0" xfId="0" applyNumberFormat="1" applyFill="1"/>
    <xf numFmtId="0" fontId="3" fillId="4" borderId="3" xfId="0" applyFont="1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3" xfId="0" applyFont="1" applyFill="1" applyBorder="1" applyAlignment="1">
      <alignment vertical="center"/>
    </xf>
    <xf numFmtId="0" fontId="0" fillId="7" borderId="3" xfId="0" applyFont="1" applyFill="1" applyBorder="1" applyAlignment="1">
      <alignment vertical="center" wrapText="1"/>
    </xf>
    <xf numFmtId="0" fontId="3" fillId="4" borderId="3" xfId="0" applyFont="1" applyFill="1" applyBorder="1"/>
    <xf numFmtId="0" fontId="3" fillId="7" borderId="3" xfId="0" applyFont="1" applyFill="1" applyBorder="1"/>
    <xf numFmtId="0" fontId="3" fillId="7" borderId="3" xfId="0" applyFont="1" applyFill="1" applyBorder="1" applyAlignment="1">
      <alignment wrapText="1"/>
    </xf>
    <xf numFmtId="0" fontId="0" fillId="7" borderId="3" xfId="0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0" borderId="0" xfId="0" quotePrefix="1"/>
    <xf numFmtId="0" fontId="0" fillId="7" borderId="3" xfId="0" applyFill="1" applyBorder="1" applyAlignment="1">
      <alignment horizontal="center" vertical="center" wrapText="1"/>
    </xf>
    <xf numFmtId="0" fontId="7" fillId="4" borderId="3" xfId="0" applyFont="1" applyFill="1" applyBorder="1"/>
    <xf numFmtId="0" fontId="8" fillId="4" borderId="3" xfId="0" applyFont="1" applyFill="1" applyBorder="1"/>
    <xf numFmtId="49" fontId="0" fillId="7" borderId="3" xfId="0" applyNumberFormat="1" applyFont="1" applyFill="1" applyBorder="1" applyAlignment="1">
      <alignment vertical="center" wrapText="1"/>
    </xf>
    <xf numFmtId="0" fontId="3" fillId="5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3">
    <cellStyle name="Normal" xfId="0" builtinId="0"/>
    <cellStyle name="Normal 2" xfId="1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304800</xdr:colOff>
          <xdr:row>1</xdr:row>
          <xdr:rowOff>9525</xdr:rowOff>
        </xdr:from>
        <xdr:to>
          <xdr:col>15</xdr:col>
          <xdr:colOff>457200</xdr:colOff>
          <xdr:row>33</xdr:row>
          <xdr:rowOff>123825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"/>
  <sheetViews>
    <sheetView showGridLines="0" topLeftCell="A4" workbookViewId="0">
      <selection activeCell="R11" sqref="R11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5" r:id="rId4">
          <objectPr defaultSize="0" autoPict="0" r:id="rId5">
            <anchor moveWithCells="1">
              <from>
                <xdr:col>0</xdr:col>
                <xdr:colOff>304800</xdr:colOff>
                <xdr:row>1</xdr:row>
                <xdr:rowOff>9525</xdr:rowOff>
              </from>
              <to>
                <xdr:col>15</xdr:col>
                <xdr:colOff>457200</xdr:colOff>
                <xdr:row>33</xdr:row>
                <xdr:rowOff>123825</xdr:rowOff>
              </to>
            </anchor>
          </objectPr>
        </oleObject>
      </mc:Choice>
      <mc:Fallback>
        <oleObject progId="Document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4:B20"/>
  <sheetViews>
    <sheetView showGridLines="0" tabSelected="1" topLeftCell="A10" workbookViewId="0">
      <selection activeCell="I14" sqref="I14"/>
    </sheetView>
  </sheetViews>
  <sheetFormatPr defaultRowHeight="15" x14ac:dyDescent="0.25"/>
  <cols>
    <col min="1" max="1" width="24" customWidth="1"/>
    <col min="2" max="2" width="60" customWidth="1"/>
  </cols>
  <sheetData>
    <row r="4" spans="1:2" x14ac:dyDescent="0.25">
      <c r="A4" s="60" t="s">
        <v>96</v>
      </c>
      <c r="B4" s="61" t="s">
        <v>118</v>
      </c>
    </row>
    <row r="5" spans="1:2" x14ac:dyDescent="0.25">
      <c r="A5" s="60" t="s">
        <v>97</v>
      </c>
      <c r="B5" s="62" t="s">
        <v>98</v>
      </c>
    </row>
    <row r="6" spans="1:2" ht="195" x14ac:dyDescent="0.25">
      <c r="A6" s="60" t="s">
        <v>99</v>
      </c>
      <c r="B6" s="63" t="s">
        <v>125</v>
      </c>
    </row>
    <row r="7" spans="1:2" ht="165" x14ac:dyDescent="0.25">
      <c r="A7" s="60" t="s">
        <v>123</v>
      </c>
      <c r="B7" s="73" t="s">
        <v>124</v>
      </c>
    </row>
    <row r="8" spans="1:2" x14ac:dyDescent="0.25">
      <c r="B8" t="s">
        <v>106</v>
      </c>
    </row>
    <row r="9" spans="1:2" x14ac:dyDescent="0.25">
      <c r="A9" s="64" t="s">
        <v>100</v>
      </c>
      <c r="B9" s="64" t="s">
        <v>101</v>
      </c>
    </row>
    <row r="10" spans="1:2" x14ac:dyDescent="0.25">
      <c r="A10" s="65" t="s">
        <v>102</v>
      </c>
      <c r="B10" s="68" t="s">
        <v>103</v>
      </c>
    </row>
    <row r="12" spans="1:2" x14ac:dyDescent="0.25">
      <c r="A12" s="64" t="s">
        <v>104</v>
      </c>
      <c r="B12" s="64" t="s">
        <v>101</v>
      </c>
    </row>
    <row r="13" spans="1:2" ht="60" x14ac:dyDescent="0.25">
      <c r="A13" s="66" t="s">
        <v>107</v>
      </c>
      <c r="B13" s="68" t="s">
        <v>105</v>
      </c>
    </row>
    <row r="15" spans="1:2" x14ac:dyDescent="0.25">
      <c r="A15" s="64" t="s">
        <v>108</v>
      </c>
      <c r="B15" s="64" t="s">
        <v>101</v>
      </c>
    </row>
    <row r="16" spans="1:2" x14ac:dyDescent="0.25">
      <c r="A16" s="65" t="s">
        <v>109</v>
      </c>
      <c r="B16" s="67" t="s">
        <v>110</v>
      </c>
    </row>
    <row r="17" spans="1:2" x14ac:dyDescent="0.25">
      <c r="A17" s="65" t="s">
        <v>111</v>
      </c>
      <c r="B17" s="67" t="s">
        <v>112</v>
      </c>
    </row>
    <row r="18" spans="1:2" x14ac:dyDescent="0.25">
      <c r="A18" s="65" t="s">
        <v>114</v>
      </c>
      <c r="B18" s="67" t="s">
        <v>113</v>
      </c>
    </row>
    <row r="19" spans="1:2" ht="30" x14ac:dyDescent="0.25">
      <c r="A19" s="65" t="s">
        <v>115</v>
      </c>
      <c r="B19" s="70" t="s">
        <v>116</v>
      </c>
    </row>
    <row r="20" spans="1:2" x14ac:dyDescent="0.25">
      <c r="B20" s="6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N54"/>
  <sheetViews>
    <sheetView showGridLines="0" topLeftCell="A43" zoomScale="80" zoomScaleNormal="80" workbookViewId="0">
      <selection activeCell="B44" sqref="B44"/>
    </sheetView>
  </sheetViews>
  <sheetFormatPr defaultRowHeight="15" x14ac:dyDescent="0.25"/>
  <cols>
    <col min="1" max="1" width="24.42578125" bestFit="1" customWidth="1"/>
    <col min="2" max="2" width="18.42578125" bestFit="1" customWidth="1"/>
    <col min="3" max="3" width="30.7109375" bestFit="1" customWidth="1"/>
    <col min="4" max="4" width="15.7109375" bestFit="1" customWidth="1"/>
    <col min="5" max="5" width="19.28515625" bestFit="1" customWidth="1"/>
    <col min="6" max="6" width="18.42578125" bestFit="1" customWidth="1"/>
  </cols>
  <sheetData>
    <row r="2" spans="1:3" x14ac:dyDescent="0.25">
      <c r="B2" s="34" t="s">
        <v>119</v>
      </c>
      <c r="C2" s="34" t="s">
        <v>120</v>
      </c>
    </row>
    <row r="3" spans="1:3" x14ac:dyDescent="0.25">
      <c r="B3" s="35"/>
      <c r="C3" s="65" t="s">
        <v>121</v>
      </c>
    </row>
    <row r="4" spans="1:3" x14ac:dyDescent="0.25">
      <c r="B4" s="71"/>
      <c r="C4" s="72" t="s">
        <v>122</v>
      </c>
    </row>
    <row r="6" spans="1:3" x14ac:dyDescent="0.25">
      <c r="A6" s="33" t="s">
        <v>0</v>
      </c>
    </row>
    <row r="8" spans="1:3" x14ac:dyDescent="0.25">
      <c r="A8" s="34" t="s">
        <v>80</v>
      </c>
      <c r="B8" s="34" t="s">
        <v>81</v>
      </c>
    </row>
    <row r="9" spans="1:3" x14ac:dyDescent="0.25">
      <c r="A9" s="36">
        <v>1</v>
      </c>
      <c r="B9" s="37" t="s">
        <v>82</v>
      </c>
    </row>
    <row r="10" spans="1:3" x14ac:dyDescent="0.25">
      <c r="A10" s="38">
        <v>2</v>
      </c>
      <c r="B10" s="39" t="s">
        <v>83</v>
      </c>
    </row>
    <row r="11" spans="1:3" x14ac:dyDescent="0.25">
      <c r="A11" s="38">
        <v>3</v>
      </c>
      <c r="B11" s="39" t="s">
        <v>84</v>
      </c>
    </row>
    <row r="12" spans="1:3" x14ac:dyDescent="0.25">
      <c r="A12" s="38">
        <v>4</v>
      </c>
      <c r="B12" s="39" t="s">
        <v>85</v>
      </c>
    </row>
    <row r="13" spans="1:3" x14ac:dyDescent="0.25">
      <c r="A13" s="38">
        <v>5</v>
      </c>
      <c r="B13" s="39" t="s">
        <v>86</v>
      </c>
    </row>
    <row r="14" spans="1:3" x14ac:dyDescent="0.25">
      <c r="A14" s="38">
        <v>6</v>
      </c>
      <c r="B14" s="39" t="s">
        <v>87</v>
      </c>
    </row>
    <row r="15" spans="1:3" x14ac:dyDescent="0.25">
      <c r="A15" s="38">
        <v>7</v>
      </c>
      <c r="B15" s="39" t="s">
        <v>88</v>
      </c>
    </row>
    <row r="16" spans="1:3" x14ac:dyDescent="0.25">
      <c r="A16" s="38">
        <v>8</v>
      </c>
      <c r="B16" s="39" t="s">
        <v>89</v>
      </c>
    </row>
    <row r="17" spans="1:11" x14ac:dyDescent="0.25">
      <c r="A17" s="38">
        <v>9</v>
      </c>
      <c r="B17" s="39" t="s">
        <v>90</v>
      </c>
    </row>
    <row r="18" spans="1:11" x14ac:dyDescent="0.25">
      <c r="A18" s="40">
        <v>10</v>
      </c>
      <c r="B18" s="41" t="s">
        <v>91</v>
      </c>
    </row>
    <row r="20" spans="1:11" x14ac:dyDescent="0.25">
      <c r="A20" s="44"/>
      <c r="B20" s="34" t="str">
        <f t="array" ref="B20:K20">TRANSPOSE(B9:B18)</f>
        <v>A</v>
      </c>
      <c r="C20" s="34" t="str">
        <v>B</v>
      </c>
      <c r="D20" s="34" t="str">
        <v>C</v>
      </c>
      <c r="E20" s="34" t="str">
        <v>D</v>
      </c>
      <c r="F20" s="34" t="str">
        <v>E</v>
      </c>
      <c r="G20" s="34" t="str">
        <v>F</v>
      </c>
      <c r="H20" s="34" t="str">
        <v>G</v>
      </c>
      <c r="I20" s="34" t="str">
        <v>H</v>
      </c>
      <c r="J20" s="34" t="str">
        <v>I</v>
      </c>
      <c r="K20" s="34" t="str">
        <v>J</v>
      </c>
    </row>
    <row r="21" spans="1:11" ht="15.75" x14ac:dyDescent="0.25">
      <c r="A21" s="42" t="str">
        <f>B9</f>
        <v>A</v>
      </c>
      <c r="B21" s="22">
        <v>682.08642429999998</v>
      </c>
      <c r="C21" s="22">
        <v>-23.623891999999998</v>
      </c>
      <c r="D21" s="22">
        <v>0.21929309999999999</v>
      </c>
      <c r="E21" s="22">
        <v>-130.1502112</v>
      </c>
      <c r="F21" s="22">
        <v>47.657440000000001</v>
      </c>
      <c r="G21" s="22">
        <v>71.072900000000004</v>
      </c>
      <c r="H21" s="22">
        <v>208.31656000000001</v>
      </c>
      <c r="I21" s="22">
        <v>80.514830000000003</v>
      </c>
      <c r="J21" s="22">
        <v>-50.614294000000001</v>
      </c>
      <c r="K21" s="22">
        <v>-44.125688000000004</v>
      </c>
    </row>
    <row r="22" spans="1:11" ht="15.75" x14ac:dyDescent="0.25">
      <c r="A22" s="42" t="str">
        <f t="shared" ref="A22:A30" si="0">B10</f>
        <v>B</v>
      </c>
      <c r="B22" s="22">
        <v>-23.623891999999998</v>
      </c>
      <c r="C22" s="22">
        <v>837.836456</v>
      </c>
      <c r="D22" s="22">
        <v>11.9524957</v>
      </c>
      <c r="E22" s="22">
        <v>-9.6200727999999991</v>
      </c>
      <c r="F22" s="22">
        <v>16.57274</v>
      </c>
      <c r="G22" s="22">
        <v>23.693739999999998</v>
      </c>
      <c r="H22" s="22">
        <v>46.981639999999999</v>
      </c>
      <c r="I22" s="22">
        <v>21.99089</v>
      </c>
      <c r="J22" s="22">
        <v>-2.0820880000000002</v>
      </c>
      <c r="K22" s="22">
        <v>-1.934329</v>
      </c>
    </row>
    <row r="23" spans="1:11" ht="15.75" x14ac:dyDescent="0.25">
      <c r="A23" s="42" t="str">
        <f t="shared" si="0"/>
        <v>C</v>
      </c>
      <c r="B23" s="22">
        <v>0.21929309999999999</v>
      </c>
      <c r="C23" s="22">
        <v>11.952496</v>
      </c>
      <c r="D23" s="22">
        <v>762.96590220000007</v>
      </c>
      <c r="E23" s="22">
        <v>0.93772909999999998</v>
      </c>
      <c r="F23" s="22">
        <v>46.331029999999998</v>
      </c>
      <c r="G23" s="22">
        <v>65.440770000000001</v>
      </c>
      <c r="H23" s="22">
        <v>111.4603</v>
      </c>
      <c r="I23" s="22">
        <v>56.786349999999999</v>
      </c>
      <c r="J23" s="22">
        <v>6.298432</v>
      </c>
      <c r="K23" s="22">
        <v>5.0648169999999997</v>
      </c>
    </row>
    <row r="24" spans="1:11" ht="15.75" x14ac:dyDescent="0.25">
      <c r="A24" s="42" t="str">
        <f t="shared" si="0"/>
        <v>D</v>
      </c>
      <c r="B24" s="22">
        <v>-130.1502112</v>
      </c>
      <c r="C24" s="22">
        <v>-9.6200729999999997</v>
      </c>
      <c r="D24" s="22">
        <v>0.93772909999999998</v>
      </c>
      <c r="E24" s="22">
        <v>935.01707629999999</v>
      </c>
      <c r="F24" s="22">
        <v>20.803369999999997</v>
      </c>
      <c r="G24" s="22">
        <v>30.952220000000004</v>
      </c>
      <c r="H24" s="22">
        <v>89.129040000000003</v>
      </c>
      <c r="I24" s="22">
        <v>34.720289999999999</v>
      </c>
      <c r="J24" s="22">
        <v>-20.993829000000002</v>
      </c>
      <c r="K24" s="22">
        <v>-18.310929000000002</v>
      </c>
    </row>
    <row r="25" spans="1:11" ht="15.75" x14ac:dyDescent="0.25">
      <c r="A25" s="42" t="str">
        <f t="shared" si="0"/>
        <v>E</v>
      </c>
      <c r="B25" s="22">
        <v>47.657441299999995</v>
      </c>
      <c r="C25" s="22">
        <v>16.572741999999998</v>
      </c>
      <c r="D25" s="22">
        <v>46.331025500000003</v>
      </c>
      <c r="E25" s="22">
        <v>20.803368899999999</v>
      </c>
      <c r="F25" s="22">
        <v>596.23235</v>
      </c>
      <c r="G25" s="22">
        <v>60.270610000000005</v>
      </c>
      <c r="H25" s="22">
        <v>89.388930000000002</v>
      </c>
      <c r="I25" s="22">
        <v>49.435769999999998</v>
      </c>
      <c r="J25" s="22">
        <v>14.534868000000001</v>
      </c>
      <c r="K25" s="22">
        <v>12.208674999999999</v>
      </c>
    </row>
    <row r="26" spans="1:11" ht="15.75" x14ac:dyDescent="0.25">
      <c r="A26" s="42" t="str">
        <f t="shared" si="0"/>
        <v>F</v>
      </c>
      <c r="B26" s="22">
        <v>71.072902100000007</v>
      </c>
      <c r="C26" s="22">
        <v>23.693743000000001</v>
      </c>
      <c r="D26" s="22">
        <v>65.440765999999996</v>
      </c>
      <c r="E26" s="22">
        <v>30.952223799999999</v>
      </c>
      <c r="F26" s="22">
        <v>60.270610000000005</v>
      </c>
      <c r="G26" s="22">
        <v>621.80758000000003</v>
      </c>
      <c r="H26" s="22">
        <v>123.75521000000001</v>
      </c>
      <c r="I26" s="22">
        <v>68.859470000000002</v>
      </c>
      <c r="J26" s="22">
        <v>21.140191000000002</v>
      </c>
      <c r="K26" s="22">
        <v>17.776274000000001</v>
      </c>
    </row>
    <row r="27" spans="1:11" ht="15.75" x14ac:dyDescent="0.25">
      <c r="A27" s="42" t="str">
        <f>B15</f>
        <v>G</v>
      </c>
      <c r="B27" s="22">
        <v>208.31655850000001</v>
      </c>
      <c r="C27" s="22">
        <v>46.981644000000003</v>
      </c>
      <c r="D27" s="22">
        <v>111.4603046</v>
      </c>
      <c r="E27" s="22">
        <v>89.129035899999991</v>
      </c>
      <c r="F27" s="22">
        <v>89.388930000000002</v>
      </c>
      <c r="G27" s="22">
        <v>123.75521000000001</v>
      </c>
      <c r="H27" s="22">
        <v>263.91127</v>
      </c>
      <c r="I27" s="22">
        <v>94.840959999999995</v>
      </c>
      <c r="J27" s="22">
        <v>50.174726999999997</v>
      </c>
      <c r="K27" s="22">
        <v>42.628281999999999</v>
      </c>
    </row>
    <row r="28" spans="1:11" ht="15.75" x14ac:dyDescent="0.25">
      <c r="A28" s="42" t="str">
        <f t="shared" si="0"/>
        <v>H</v>
      </c>
      <c r="B28" s="22">
        <v>80.514831099999995</v>
      </c>
      <c r="C28" s="22">
        <v>21.990894999999998</v>
      </c>
      <c r="D28" s="22">
        <v>56.786347499999998</v>
      </c>
      <c r="E28" s="22">
        <v>34.7202871</v>
      </c>
      <c r="F28" s="22">
        <v>49.435769999999998</v>
      </c>
      <c r="G28" s="22">
        <v>68.859470000000002</v>
      </c>
      <c r="H28" s="22">
        <v>94.840959999999995</v>
      </c>
      <c r="I28" s="22">
        <v>474.93495000000001</v>
      </c>
      <c r="J28" s="22">
        <v>21.403525999999999</v>
      </c>
      <c r="K28" s="22">
        <v>18.092183000000002</v>
      </c>
    </row>
    <row r="29" spans="1:11" ht="15.75" x14ac:dyDescent="0.25">
      <c r="A29" s="42" t="str">
        <f t="shared" si="0"/>
        <v>I</v>
      </c>
      <c r="B29" s="22">
        <v>-50.614293700000005</v>
      </c>
      <c r="C29" s="22">
        <v>-2.0820880000000002</v>
      </c>
      <c r="D29" s="22">
        <v>6.2984315999999998</v>
      </c>
      <c r="E29" s="22">
        <v>-20.9938295</v>
      </c>
      <c r="F29" s="22">
        <v>14.53487</v>
      </c>
      <c r="G29" s="22">
        <v>21.14019</v>
      </c>
      <c r="H29" s="22">
        <v>50.174730000000004</v>
      </c>
      <c r="I29" s="22">
        <v>21.40353</v>
      </c>
      <c r="J29" s="22">
        <v>918.24605300000007</v>
      </c>
      <c r="K29" s="22">
        <v>-6.4212699999999998</v>
      </c>
    </row>
    <row r="30" spans="1:11" ht="15.75" x14ac:dyDescent="0.25">
      <c r="A30" s="43" t="str">
        <f t="shared" si="0"/>
        <v>J</v>
      </c>
      <c r="B30" s="23">
        <v>-44.125687499999998</v>
      </c>
      <c r="C30" s="23">
        <v>-1.934329</v>
      </c>
      <c r="D30" s="23">
        <v>5.0648166999999997</v>
      </c>
      <c r="E30" s="23">
        <v>-18.310929300000002</v>
      </c>
      <c r="F30" s="23">
        <v>12.208679999999999</v>
      </c>
      <c r="G30" s="23">
        <v>17.77627</v>
      </c>
      <c r="H30" s="23">
        <v>42.628280000000004</v>
      </c>
      <c r="I30" s="23">
        <v>18.092179999999999</v>
      </c>
      <c r="J30" s="23">
        <v>-6.4212699999999998</v>
      </c>
      <c r="K30" s="23">
        <v>923.97701500000005</v>
      </c>
    </row>
    <row r="32" spans="1:11" x14ac:dyDescent="0.25">
      <c r="A32" s="33" t="s">
        <v>92</v>
      </c>
    </row>
    <row r="34" spans="1:14" x14ac:dyDescent="0.25">
      <c r="A34" s="45" t="s">
        <v>11</v>
      </c>
      <c r="B34" s="46">
        <v>2</v>
      </c>
      <c r="C34" s="24"/>
    </row>
    <row r="35" spans="1:14" x14ac:dyDescent="0.25">
      <c r="A35" s="45" t="s">
        <v>13</v>
      </c>
      <c r="B35" s="46">
        <v>15</v>
      </c>
      <c r="C35" s="24"/>
    </row>
    <row r="36" spans="1:14" x14ac:dyDescent="0.25">
      <c r="A36" s="45" t="s">
        <v>12</v>
      </c>
      <c r="B36" s="46">
        <v>30</v>
      </c>
      <c r="C36" s="3"/>
    </row>
    <row r="37" spans="1:14" x14ac:dyDescent="0.25">
      <c r="A37" s="45" t="s">
        <v>14</v>
      </c>
      <c r="B37" s="46">
        <v>40</v>
      </c>
      <c r="C37" s="3"/>
    </row>
    <row r="39" spans="1:14" x14ac:dyDescent="0.25">
      <c r="A39" s="52" t="s">
        <v>15</v>
      </c>
      <c r="B39" s="21" t="s">
        <v>16</v>
      </c>
      <c r="C39" s="21" t="s">
        <v>19</v>
      </c>
      <c r="D39" s="21" t="s">
        <v>20</v>
      </c>
      <c r="E39" s="53" t="s">
        <v>17</v>
      </c>
      <c r="F39" s="21" t="s">
        <v>18</v>
      </c>
      <c r="H39" s="27"/>
      <c r="I39" s="27"/>
      <c r="J39" s="27"/>
      <c r="K39" s="27"/>
      <c r="L39" s="27"/>
      <c r="M39" s="27"/>
      <c r="N39" s="27"/>
    </row>
    <row r="40" spans="1:14" x14ac:dyDescent="0.25">
      <c r="A40" s="42" t="str">
        <f>A21</f>
        <v>A</v>
      </c>
      <c r="B40" s="51">
        <v>2</v>
      </c>
      <c r="C40" s="49">
        <f ca="1">'Working Sheet'!B65</f>
        <v>0.20837194755411106</v>
      </c>
      <c r="D40" s="49" t="str">
        <f ca="1">'Working Sheet'!H65</f>
        <v>N/A</v>
      </c>
      <c r="E40" s="47">
        <f ca="1">'Target E_R'!K19</f>
        <v>0.46951217381534838</v>
      </c>
      <c r="F40" s="49">
        <f ca="1">'Target SD'!K22</f>
        <v>0.35267764552340908</v>
      </c>
      <c r="H40" s="27"/>
      <c r="I40" s="32"/>
      <c r="J40" s="27"/>
      <c r="K40" s="32"/>
      <c r="L40" s="27"/>
      <c r="M40" s="27"/>
      <c r="N40" s="27"/>
    </row>
    <row r="41" spans="1:14" x14ac:dyDescent="0.25">
      <c r="A41" s="42" t="str">
        <f t="shared" ref="A41:A47" si="1">A22</f>
        <v>B</v>
      </c>
      <c r="B41" s="51">
        <v>5</v>
      </c>
      <c r="C41" s="49">
        <f ca="1">'Working Sheet'!B66</f>
        <v>0.11753784231352837</v>
      </c>
      <c r="D41" s="49" t="str">
        <f ca="1">'Working Sheet'!H66</f>
        <v>N/A</v>
      </c>
      <c r="E41" s="47">
        <f ca="1">'Target E_R'!K20</f>
        <v>0.14878665108821976</v>
      </c>
      <c r="F41" s="49">
        <f ca="1">'Target SD'!K23</f>
        <v>0.13480588724671266</v>
      </c>
      <c r="H41" s="27"/>
      <c r="I41" s="32"/>
      <c r="J41" s="27"/>
      <c r="K41" s="32"/>
      <c r="L41" s="27"/>
      <c r="M41" s="27"/>
      <c r="N41" s="27"/>
    </row>
    <row r="42" spans="1:14" x14ac:dyDescent="0.25">
      <c r="A42" s="42" t="str">
        <f t="shared" si="1"/>
        <v>C</v>
      </c>
      <c r="B42" s="51">
        <v>7</v>
      </c>
      <c r="C42" s="49">
        <f ca="1">'Working Sheet'!B67</f>
        <v>0.21027049423929053</v>
      </c>
      <c r="D42" s="49" t="str">
        <f ca="1">'Working Sheet'!H67</f>
        <v>N/A</v>
      </c>
      <c r="E42" s="47">
        <f ca="1">'Target E_R'!K21</f>
        <v>0.79367110122614259</v>
      </c>
      <c r="F42" s="49">
        <f ca="1">'Target SD'!K24</f>
        <v>0.53265679600625937</v>
      </c>
      <c r="H42" s="27"/>
      <c r="I42" s="32"/>
      <c r="J42" s="27"/>
      <c r="K42" s="32"/>
      <c r="L42" s="27"/>
      <c r="M42" s="27"/>
      <c r="N42" s="27"/>
    </row>
    <row r="43" spans="1:14" x14ac:dyDescent="0.25">
      <c r="A43" s="42" t="str">
        <f t="shared" si="1"/>
        <v>D</v>
      </c>
      <c r="B43" s="51">
        <v>9</v>
      </c>
      <c r="C43" s="49">
        <f ca="1">'Working Sheet'!B68</f>
        <v>0.26552962363752941</v>
      </c>
      <c r="D43" s="49" t="str">
        <f ca="1">'Working Sheet'!H68</f>
        <v>N/A</v>
      </c>
      <c r="E43" s="47">
        <f ca="1">'Target E_R'!K22</f>
        <v>1.0364871941747043</v>
      </c>
      <c r="F43" s="49">
        <f ca="1">'Target SD'!K25</f>
        <v>0.69155962259213832</v>
      </c>
      <c r="H43" s="27"/>
      <c r="I43" s="32"/>
      <c r="J43" s="27"/>
      <c r="K43" s="32"/>
      <c r="L43" s="27"/>
      <c r="M43" s="27"/>
      <c r="N43" s="27"/>
    </row>
    <row r="44" spans="1:14" x14ac:dyDescent="0.25">
      <c r="A44" s="42" t="str">
        <f t="shared" si="1"/>
        <v>E</v>
      </c>
      <c r="B44" s="51">
        <v>10</v>
      </c>
      <c r="C44" s="49">
        <f ca="1">'Working Sheet'!B69</f>
        <v>0.35707783282896144</v>
      </c>
      <c r="D44" s="49" t="str">
        <f ca="1">'Working Sheet'!H69</f>
        <v>N/A</v>
      </c>
      <c r="E44" s="47">
        <f ca="1">'Target E_R'!K23</f>
        <v>1.6776692039908849</v>
      </c>
      <c r="F44" s="49">
        <f ca="1">'Target SD'!K26</f>
        <v>1.0868346469213019</v>
      </c>
      <c r="H44" s="27"/>
      <c r="I44" s="32"/>
      <c r="J44" s="27"/>
      <c r="K44" s="32"/>
      <c r="L44" s="27"/>
      <c r="M44" s="27"/>
      <c r="N44" s="27"/>
    </row>
    <row r="45" spans="1:14" x14ac:dyDescent="0.25">
      <c r="A45" s="42" t="str">
        <f t="shared" si="1"/>
        <v>F</v>
      </c>
      <c r="B45" s="51">
        <v>5</v>
      </c>
      <c r="C45" s="49">
        <f ca="1">'Working Sheet'!B70</f>
        <v>0.12671072882962714</v>
      </c>
      <c r="D45" s="49" t="str">
        <f ca="1">'Working Sheet'!H70</f>
        <v>N/A</v>
      </c>
      <c r="E45" s="47">
        <f ca="1">'Target E_R'!K24</f>
        <v>0.33340477556958359</v>
      </c>
      <c r="F45" s="49">
        <f ca="1">'Target SD'!K27</f>
        <v>0.24092954952969758</v>
      </c>
      <c r="H45" s="27"/>
      <c r="I45" s="32"/>
      <c r="J45" s="27"/>
      <c r="K45" s="32"/>
      <c r="L45" s="27"/>
      <c r="M45" s="27"/>
      <c r="N45" s="27"/>
    </row>
    <row r="46" spans="1:14" x14ac:dyDescent="0.25">
      <c r="A46" s="42" t="str">
        <f t="shared" si="1"/>
        <v>G</v>
      </c>
      <c r="B46" s="51">
        <v>2</v>
      </c>
      <c r="C46" s="49">
        <f ca="1">'Working Sheet'!B71</f>
        <v>-0.63094517056125887</v>
      </c>
      <c r="D46" s="49" t="str">
        <f ca="1">'Working Sheet'!H71</f>
        <v>N/A</v>
      </c>
      <c r="E46" s="47">
        <f ca="1">'Target E_R'!K25</f>
        <v>-3.8491643964023088</v>
      </c>
      <c r="F46" s="49">
        <f ca="1">'Target SD'!K28</f>
        <v>-2.4093282954139821</v>
      </c>
      <c r="H46" s="27"/>
      <c r="I46" s="32"/>
      <c r="J46" s="27"/>
      <c r="K46" s="32"/>
      <c r="L46" s="27"/>
      <c r="M46" s="27"/>
      <c r="N46" s="27"/>
    </row>
    <row r="47" spans="1:14" x14ac:dyDescent="0.25">
      <c r="A47" s="42" t="str">
        <f t="shared" si="1"/>
        <v>H</v>
      </c>
      <c r="B47" s="51">
        <v>5</v>
      </c>
      <c r="C47" s="49">
        <f ca="1">'Working Sheet'!B72</f>
        <v>0.13466271751420772</v>
      </c>
      <c r="D47" s="49" t="str">
        <f ca="1">'Working Sheet'!H72</f>
        <v>N/A</v>
      </c>
      <c r="E47" s="47">
        <f ca="1">'Target E_R'!K26</f>
        <v>0.22160006633168927</v>
      </c>
      <c r="F47" s="49">
        <f ca="1">'Target SD'!K29</f>
        <v>0.18270416628034608</v>
      </c>
      <c r="H47" s="27"/>
      <c r="I47" s="32"/>
      <c r="J47" s="27"/>
      <c r="K47" s="32"/>
      <c r="L47" s="27"/>
      <c r="M47" s="27"/>
      <c r="N47" s="27"/>
    </row>
    <row r="48" spans="1:14" x14ac:dyDescent="0.25">
      <c r="A48" s="42" t="str">
        <f>A29</f>
        <v>I</v>
      </c>
      <c r="B48" s="51">
        <v>6</v>
      </c>
      <c r="C48" s="49">
        <f ca="1">'Working Sheet'!B73</f>
        <v>0.14895248593012086</v>
      </c>
      <c r="D48" s="49" t="str">
        <f ca="1">'Working Sheet'!H73</f>
        <v>N/A</v>
      </c>
      <c r="E48" s="47">
        <f ca="1">'Target E_R'!K27</f>
        <v>0.35849093118168196</v>
      </c>
      <c r="F48" s="49">
        <f ca="1">'Target SD'!K30</f>
        <v>0.264743116988161</v>
      </c>
      <c r="H48" s="27"/>
      <c r="I48" s="32"/>
      <c r="J48" s="27"/>
      <c r="K48" s="32"/>
      <c r="L48" s="27"/>
      <c r="M48" s="27"/>
      <c r="N48" s="27"/>
    </row>
    <row r="49" spans="1:14" x14ac:dyDescent="0.25">
      <c r="A49" s="42" t="str">
        <f>A30</f>
        <v>J</v>
      </c>
      <c r="B49" s="51">
        <v>3</v>
      </c>
      <c r="C49" s="49">
        <f ca="1">'Working Sheet'!B74</f>
        <v>6.183149771388214E-2</v>
      </c>
      <c r="D49" s="49" t="str">
        <f ca="1">'Working Sheet'!H74</f>
        <v>N/A</v>
      </c>
      <c r="E49" s="47">
        <f ca="1">'Target E_R'!K28</f>
        <v>-0.19045770097594705</v>
      </c>
      <c r="F49" s="49">
        <f ca="1">'Target SD'!K31</f>
        <v>-7.7583135674044762E-2</v>
      </c>
      <c r="H49" s="27"/>
      <c r="I49" s="32"/>
      <c r="J49" s="27"/>
      <c r="K49" s="32"/>
      <c r="L49" s="27"/>
      <c r="M49" s="27"/>
      <c r="N49" s="27"/>
    </row>
    <row r="50" spans="1:14" x14ac:dyDescent="0.25">
      <c r="A50" s="54" t="s">
        <v>48</v>
      </c>
      <c r="B50" s="55"/>
      <c r="C50" s="56"/>
      <c r="D50" s="57"/>
      <c r="E50" s="48">
        <f ca="1">'Target E_R'!K29</f>
        <v>0</v>
      </c>
      <c r="F50" s="50">
        <f ca="1">'Target SD'!K32</f>
        <v>0</v>
      </c>
      <c r="I50" s="28"/>
    </row>
    <row r="51" spans="1:14" s="3" customFormat="1" x14ac:dyDescent="0.25">
      <c r="A51" s="20" t="s">
        <v>95</v>
      </c>
      <c r="B51" s="1"/>
      <c r="C51" s="29"/>
      <c r="D51" s="29"/>
      <c r="E51" s="30"/>
      <c r="F51" s="30"/>
      <c r="I51" s="31"/>
    </row>
    <row r="52" spans="1:14" x14ac:dyDescent="0.25">
      <c r="C52" s="28"/>
      <c r="D52" s="28"/>
      <c r="E52" s="28"/>
      <c r="F52" s="28"/>
    </row>
    <row r="53" spans="1:14" x14ac:dyDescent="0.25">
      <c r="B53" s="21" t="s">
        <v>93</v>
      </c>
      <c r="C53" s="58">
        <f ca="1">'Working Sheet'!B78</f>
        <v>9.561057806697308</v>
      </c>
      <c r="D53" s="58" t="str">
        <f ca="1">'Working Sheet'!H78</f>
        <v>N/A</v>
      </c>
      <c r="E53" s="58">
        <f ca="1">'Target E_R'!E47</f>
        <v>29.999999999999975</v>
      </c>
      <c r="F53" s="58">
        <f ca="1">'Target SD'!E53</f>
        <v>20.855586654995548</v>
      </c>
    </row>
    <row r="54" spans="1:14" x14ac:dyDescent="0.25">
      <c r="B54" s="34" t="s">
        <v>94</v>
      </c>
      <c r="C54" s="58">
        <f ca="1">'Working Sheet'!B84</f>
        <v>13.778222713731228</v>
      </c>
      <c r="D54" s="58" t="str">
        <f ca="1">'Working Sheet'!H84</f>
        <v>N/A</v>
      </c>
      <c r="E54" s="58">
        <f ca="1">'Target E_R'!H34</f>
        <v>63.062104290097743</v>
      </c>
      <c r="F54" s="58">
        <f ca="1">'Target SD'!H37</f>
        <v>39.999999990207243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2"/>
  <sheetViews>
    <sheetView showGridLines="0" topLeftCell="A88" zoomScaleNormal="100" workbookViewId="0">
      <selection activeCell="F20" sqref="F20"/>
    </sheetView>
  </sheetViews>
  <sheetFormatPr defaultRowHeight="15" x14ac:dyDescent="0.25"/>
  <cols>
    <col min="1" max="1" width="24.42578125" bestFit="1" customWidth="1"/>
    <col min="2" max="3" width="12.7109375" bestFit="1" customWidth="1"/>
    <col min="4" max="4" width="24.7109375" bestFit="1" customWidth="1"/>
    <col min="5" max="6" width="12.7109375" bestFit="1" customWidth="1"/>
    <col min="7" max="7" width="14.5703125" bestFit="1" customWidth="1"/>
    <col min="8" max="11" width="12.7109375" bestFit="1" customWidth="1"/>
  </cols>
  <sheetData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6" t="s">
        <v>22</v>
      </c>
      <c r="B3" s="25">
        <f ca="1" xml:space="preserve"> OFFSET('Functional Sheet'!$A$20, ROW(B3)-2, COLUMN(B3)-1)</f>
        <v>682.08642429999998</v>
      </c>
      <c r="C3" s="25">
        <f ca="1" xml:space="preserve"> OFFSET('Functional Sheet'!$A$20, ROW(C3)-2, COLUMN(C3)-1)</f>
        <v>-23.623891999999998</v>
      </c>
      <c r="D3" s="25">
        <f ca="1" xml:space="preserve"> OFFSET('Functional Sheet'!$A$20, ROW(D3)-2, COLUMN(D3)-1)</f>
        <v>0.21929309999999999</v>
      </c>
      <c r="E3" s="25">
        <f ca="1" xml:space="preserve"> OFFSET('Functional Sheet'!$A$20, ROW(E3)-2, COLUMN(E3)-1)</f>
        <v>-130.1502112</v>
      </c>
      <c r="F3" s="25">
        <f ca="1" xml:space="preserve"> OFFSET('Functional Sheet'!$A$20, ROW(F3)-2, COLUMN(F3)-1)</f>
        <v>47.657440000000001</v>
      </c>
      <c r="G3" s="25">
        <f ca="1" xml:space="preserve"> OFFSET('Functional Sheet'!$A$20, ROW(G3)-2, COLUMN(G3)-1)</f>
        <v>71.072900000000004</v>
      </c>
      <c r="H3" s="25">
        <f ca="1" xml:space="preserve"> OFFSET('Functional Sheet'!$A$20, ROW(H3)-2, COLUMN(H3)-1)</f>
        <v>208.31656000000001</v>
      </c>
      <c r="I3" s="25">
        <f ca="1" xml:space="preserve"> OFFSET('Functional Sheet'!$A$20, ROW(I3)-2, COLUMN(I3)-1)</f>
        <v>80.514830000000003</v>
      </c>
      <c r="J3" s="25">
        <f ca="1" xml:space="preserve"> OFFSET('Functional Sheet'!$A$20, ROW(J3)-2, COLUMN(J3)-1)</f>
        <v>-50.614294000000001</v>
      </c>
      <c r="K3" s="25">
        <f ca="1" xml:space="preserve"> OFFSET('Functional Sheet'!$A$20, ROW(K3)-2, COLUMN(K3)-1)</f>
        <v>-44.125688000000004</v>
      </c>
    </row>
    <row r="4" spans="1:11" x14ac:dyDescent="0.25">
      <c r="A4" s="6"/>
      <c r="B4" s="25">
        <f ca="1" xml:space="preserve"> OFFSET('Functional Sheet'!$A$20, ROW(B4)-2, COLUMN(B4)-1)</f>
        <v>-23.623891999999998</v>
      </c>
      <c r="C4" s="25">
        <f ca="1" xml:space="preserve"> OFFSET('Functional Sheet'!$A$20, ROW(C4)-2, COLUMN(C4)-1)</f>
        <v>837.836456</v>
      </c>
      <c r="D4" s="25">
        <f ca="1" xml:space="preserve"> OFFSET('Functional Sheet'!$A$20, ROW(D4)-2, COLUMN(D4)-1)</f>
        <v>11.9524957</v>
      </c>
      <c r="E4" s="25">
        <f ca="1" xml:space="preserve"> OFFSET('Functional Sheet'!$A$20, ROW(E4)-2, COLUMN(E4)-1)</f>
        <v>-9.6200727999999991</v>
      </c>
      <c r="F4" s="25">
        <f ca="1" xml:space="preserve"> OFFSET('Functional Sheet'!$A$20, ROW(F4)-2, COLUMN(F4)-1)</f>
        <v>16.57274</v>
      </c>
      <c r="G4" s="25">
        <f ca="1" xml:space="preserve"> OFFSET('Functional Sheet'!$A$20, ROW(G4)-2, COLUMN(G4)-1)</f>
        <v>23.693739999999998</v>
      </c>
      <c r="H4" s="25">
        <f ca="1" xml:space="preserve"> OFFSET('Functional Sheet'!$A$20, ROW(H4)-2, COLUMN(H4)-1)</f>
        <v>46.981639999999999</v>
      </c>
      <c r="I4" s="25">
        <f ca="1" xml:space="preserve"> OFFSET('Functional Sheet'!$A$20, ROW(I4)-2, COLUMN(I4)-1)</f>
        <v>21.99089</v>
      </c>
      <c r="J4" s="25">
        <f ca="1" xml:space="preserve"> OFFSET('Functional Sheet'!$A$20, ROW(J4)-2, COLUMN(J4)-1)</f>
        <v>-2.0820880000000002</v>
      </c>
      <c r="K4" s="25">
        <f ca="1" xml:space="preserve"> OFFSET('Functional Sheet'!$A$20, ROW(K4)-2, COLUMN(K4)-1)</f>
        <v>-1.934329</v>
      </c>
    </row>
    <row r="5" spans="1:11" x14ac:dyDescent="0.25">
      <c r="A5" s="6"/>
      <c r="B5" s="25">
        <f ca="1" xml:space="preserve"> OFFSET('Functional Sheet'!$A$20, ROW(B5)-2, COLUMN(B5)-1)</f>
        <v>0.21929309999999999</v>
      </c>
      <c r="C5" s="25">
        <f ca="1" xml:space="preserve"> OFFSET('Functional Sheet'!$A$20, ROW(C5)-2, COLUMN(C5)-1)</f>
        <v>11.952496</v>
      </c>
      <c r="D5" s="25">
        <f ca="1" xml:space="preserve"> OFFSET('Functional Sheet'!$A$20, ROW(D5)-2, COLUMN(D5)-1)</f>
        <v>762.96590220000007</v>
      </c>
      <c r="E5" s="25">
        <f ca="1" xml:space="preserve"> OFFSET('Functional Sheet'!$A$20, ROW(E5)-2, COLUMN(E5)-1)</f>
        <v>0.93772909999999998</v>
      </c>
      <c r="F5" s="25">
        <f ca="1" xml:space="preserve"> OFFSET('Functional Sheet'!$A$20, ROW(F5)-2, COLUMN(F5)-1)</f>
        <v>46.331029999999998</v>
      </c>
      <c r="G5" s="25">
        <f ca="1" xml:space="preserve"> OFFSET('Functional Sheet'!$A$20, ROW(G5)-2, COLUMN(G5)-1)</f>
        <v>65.440770000000001</v>
      </c>
      <c r="H5" s="25">
        <f ca="1" xml:space="preserve"> OFFSET('Functional Sheet'!$A$20, ROW(H5)-2, COLUMN(H5)-1)</f>
        <v>111.4603</v>
      </c>
      <c r="I5" s="25">
        <f ca="1" xml:space="preserve"> OFFSET('Functional Sheet'!$A$20, ROW(I5)-2, COLUMN(I5)-1)</f>
        <v>56.786349999999999</v>
      </c>
      <c r="J5" s="25">
        <f ca="1" xml:space="preserve"> OFFSET('Functional Sheet'!$A$20, ROW(J5)-2, COLUMN(J5)-1)</f>
        <v>6.298432</v>
      </c>
      <c r="K5" s="25">
        <f ca="1" xml:space="preserve"> OFFSET('Functional Sheet'!$A$20, ROW(K5)-2, COLUMN(K5)-1)</f>
        <v>5.0648169999999997</v>
      </c>
    </row>
    <row r="6" spans="1:11" x14ac:dyDescent="0.25">
      <c r="A6" s="6"/>
      <c r="B6" s="25">
        <f ca="1" xml:space="preserve"> OFFSET('Functional Sheet'!$A$20, ROW(B6)-2, COLUMN(B6)-1)</f>
        <v>-130.1502112</v>
      </c>
      <c r="C6" s="25">
        <f ca="1" xml:space="preserve"> OFFSET('Functional Sheet'!$A$20, ROW(C6)-2, COLUMN(C6)-1)</f>
        <v>-9.6200729999999997</v>
      </c>
      <c r="D6" s="25">
        <f ca="1" xml:space="preserve"> OFFSET('Functional Sheet'!$A$20, ROW(D6)-2, COLUMN(D6)-1)</f>
        <v>0.93772909999999998</v>
      </c>
      <c r="E6" s="25">
        <f ca="1" xml:space="preserve"> OFFSET('Functional Sheet'!$A$20, ROW(E6)-2, COLUMN(E6)-1)</f>
        <v>935.01707629999999</v>
      </c>
      <c r="F6" s="25">
        <f ca="1" xml:space="preserve"> OFFSET('Functional Sheet'!$A$20, ROW(F6)-2, COLUMN(F6)-1)</f>
        <v>20.803369999999997</v>
      </c>
      <c r="G6" s="25">
        <f ca="1" xml:space="preserve"> OFFSET('Functional Sheet'!$A$20, ROW(G6)-2, COLUMN(G6)-1)</f>
        <v>30.952220000000004</v>
      </c>
      <c r="H6" s="25">
        <f ca="1" xml:space="preserve"> OFFSET('Functional Sheet'!$A$20, ROW(H6)-2, COLUMN(H6)-1)</f>
        <v>89.129040000000003</v>
      </c>
      <c r="I6" s="25">
        <f ca="1" xml:space="preserve"> OFFSET('Functional Sheet'!$A$20, ROW(I6)-2, COLUMN(I6)-1)</f>
        <v>34.720289999999999</v>
      </c>
      <c r="J6" s="25">
        <f ca="1" xml:space="preserve"> OFFSET('Functional Sheet'!$A$20, ROW(J6)-2, COLUMN(J6)-1)</f>
        <v>-20.993829000000002</v>
      </c>
      <c r="K6" s="25">
        <f ca="1" xml:space="preserve"> OFFSET('Functional Sheet'!$A$20, ROW(K6)-2, COLUMN(K6)-1)</f>
        <v>-18.310929000000002</v>
      </c>
    </row>
    <row r="7" spans="1:11" x14ac:dyDescent="0.25">
      <c r="A7" s="6"/>
      <c r="B7" s="25">
        <f ca="1" xml:space="preserve"> OFFSET('Functional Sheet'!$A$20, ROW(B7)-2, COLUMN(B7)-1)</f>
        <v>47.657441299999995</v>
      </c>
      <c r="C7" s="25">
        <f ca="1" xml:space="preserve"> OFFSET('Functional Sheet'!$A$20, ROW(C7)-2, COLUMN(C7)-1)</f>
        <v>16.572741999999998</v>
      </c>
      <c r="D7" s="25">
        <f ca="1" xml:space="preserve"> OFFSET('Functional Sheet'!$A$20, ROW(D7)-2, COLUMN(D7)-1)</f>
        <v>46.331025500000003</v>
      </c>
      <c r="E7" s="25">
        <f ca="1" xml:space="preserve"> OFFSET('Functional Sheet'!$A$20, ROW(E7)-2, COLUMN(E7)-1)</f>
        <v>20.803368899999999</v>
      </c>
      <c r="F7" s="25">
        <f ca="1" xml:space="preserve"> OFFSET('Functional Sheet'!$A$20, ROW(F7)-2, COLUMN(F7)-1)</f>
        <v>596.23235</v>
      </c>
      <c r="G7" s="25">
        <f ca="1" xml:space="preserve"> OFFSET('Functional Sheet'!$A$20, ROW(G7)-2, COLUMN(G7)-1)</f>
        <v>60.270610000000005</v>
      </c>
      <c r="H7" s="25">
        <f ca="1" xml:space="preserve"> OFFSET('Functional Sheet'!$A$20, ROW(H7)-2, COLUMN(H7)-1)</f>
        <v>89.388930000000002</v>
      </c>
      <c r="I7" s="25">
        <f ca="1" xml:space="preserve"> OFFSET('Functional Sheet'!$A$20, ROW(I7)-2, COLUMN(I7)-1)</f>
        <v>49.435769999999998</v>
      </c>
      <c r="J7" s="25">
        <f ca="1" xml:space="preserve"> OFFSET('Functional Sheet'!$A$20, ROW(J7)-2, COLUMN(J7)-1)</f>
        <v>14.534868000000001</v>
      </c>
      <c r="K7" s="25">
        <f ca="1" xml:space="preserve"> OFFSET('Functional Sheet'!$A$20, ROW(K7)-2, COLUMN(K7)-1)</f>
        <v>12.208674999999999</v>
      </c>
    </row>
    <row r="8" spans="1:11" x14ac:dyDescent="0.25">
      <c r="A8" s="6"/>
      <c r="B8" s="25">
        <f ca="1" xml:space="preserve"> OFFSET('Functional Sheet'!$A$20, ROW(B8)-2, COLUMN(B8)-1)</f>
        <v>71.072902100000007</v>
      </c>
      <c r="C8" s="25">
        <f ca="1" xml:space="preserve"> OFFSET('Functional Sheet'!$A$20, ROW(C8)-2, COLUMN(C8)-1)</f>
        <v>23.693743000000001</v>
      </c>
      <c r="D8" s="25">
        <f ca="1" xml:space="preserve"> OFFSET('Functional Sheet'!$A$20, ROW(D8)-2, COLUMN(D8)-1)</f>
        <v>65.440765999999996</v>
      </c>
      <c r="E8" s="25">
        <f ca="1" xml:space="preserve"> OFFSET('Functional Sheet'!$A$20, ROW(E8)-2, COLUMN(E8)-1)</f>
        <v>30.952223799999999</v>
      </c>
      <c r="F8" s="25">
        <f ca="1" xml:space="preserve"> OFFSET('Functional Sheet'!$A$20, ROW(F8)-2, COLUMN(F8)-1)</f>
        <v>60.270610000000005</v>
      </c>
      <c r="G8" s="25">
        <f ca="1" xml:space="preserve"> OFFSET('Functional Sheet'!$A$20, ROW(G8)-2, COLUMN(G8)-1)</f>
        <v>621.80758000000003</v>
      </c>
      <c r="H8" s="25">
        <f ca="1" xml:space="preserve"> OFFSET('Functional Sheet'!$A$20, ROW(H8)-2, COLUMN(H8)-1)</f>
        <v>123.75521000000001</v>
      </c>
      <c r="I8" s="25">
        <f ca="1" xml:space="preserve"> OFFSET('Functional Sheet'!$A$20, ROW(I8)-2, COLUMN(I8)-1)</f>
        <v>68.859470000000002</v>
      </c>
      <c r="J8" s="25">
        <f ca="1" xml:space="preserve"> OFFSET('Functional Sheet'!$A$20, ROW(J8)-2, COLUMN(J8)-1)</f>
        <v>21.140191000000002</v>
      </c>
      <c r="K8" s="25">
        <f ca="1" xml:space="preserve"> OFFSET('Functional Sheet'!$A$20, ROW(K8)-2, COLUMN(K8)-1)</f>
        <v>17.776274000000001</v>
      </c>
    </row>
    <row r="9" spans="1:11" x14ac:dyDescent="0.25">
      <c r="A9" s="6"/>
      <c r="B9" s="25">
        <f ca="1" xml:space="preserve"> OFFSET('Functional Sheet'!$A$20, ROW(B9)-2, COLUMN(B9)-1)</f>
        <v>208.31655850000001</v>
      </c>
      <c r="C9" s="25">
        <f ca="1" xml:space="preserve"> OFFSET('Functional Sheet'!$A$20, ROW(C9)-2, COLUMN(C9)-1)</f>
        <v>46.981644000000003</v>
      </c>
      <c r="D9" s="25">
        <f ca="1" xml:space="preserve"> OFFSET('Functional Sheet'!$A$20, ROW(D9)-2, COLUMN(D9)-1)</f>
        <v>111.4603046</v>
      </c>
      <c r="E9" s="25">
        <f ca="1" xml:space="preserve"> OFFSET('Functional Sheet'!$A$20, ROW(E9)-2, COLUMN(E9)-1)</f>
        <v>89.129035899999991</v>
      </c>
      <c r="F9" s="25">
        <f ca="1" xml:space="preserve"> OFFSET('Functional Sheet'!$A$20, ROW(F9)-2, COLUMN(F9)-1)</f>
        <v>89.388930000000002</v>
      </c>
      <c r="G9" s="25">
        <f ca="1" xml:space="preserve"> OFFSET('Functional Sheet'!$A$20, ROW(G9)-2, COLUMN(G9)-1)</f>
        <v>123.75521000000001</v>
      </c>
      <c r="H9" s="25">
        <f ca="1" xml:space="preserve"> OFFSET('Functional Sheet'!$A$20, ROW(H9)-2, COLUMN(H9)-1)</f>
        <v>263.91127</v>
      </c>
      <c r="I9" s="25">
        <f ca="1" xml:space="preserve"> OFFSET('Functional Sheet'!$A$20, ROW(I9)-2, COLUMN(I9)-1)</f>
        <v>94.840959999999995</v>
      </c>
      <c r="J9" s="25">
        <f ca="1" xml:space="preserve"> OFFSET('Functional Sheet'!$A$20, ROW(J9)-2, COLUMN(J9)-1)</f>
        <v>50.174726999999997</v>
      </c>
      <c r="K9" s="25">
        <f ca="1" xml:space="preserve"> OFFSET('Functional Sheet'!$A$20, ROW(K9)-2, COLUMN(K9)-1)</f>
        <v>42.628281999999999</v>
      </c>
    </row>
    <row r="10" spans="1:11" x14ac:dyDescent="0.25">
      <c r="A10" s="6"/>
      <c r="B10" s="25">
        <f ca="1" xml:space="preserve"> OFFSET('Functional Sheet'!$A$20, ROW(B10)-2, COLUMN(B10)-1)</f>
        <v>80.514831099999995</v>
      </c>
      <c r="C10" s="25">
        <f ca="1" xml:space="preserve"> OFFSET('Functional Sheet'!$A$20, ROW(C10)-2, COLUMN(C10)-1)</f>
        <v>21.990894999999998</v>
      </c>
      <c r="D10" s="25">
        <f ca="1" xml:space="preserve"> OFFSET('Functional Sheet'!$A$20, ROW(D10)-2, COLUMN(D10)-1)</f>
        <v>56.786347499999998</v>
      </c>
      <c r="E10" s="25">
        <f ca="1" xml:space="preserve"> OFFSET('Functional Sheet'!$A$20, ROW(E10)-2, COLUMN(E10)-1)</f>
        <v>34.7202871</v>
      </c>
      <c r="F10" s="25">
        <f ca="1" xml:space="preserve"> OFFSET('Functional Sheet'!$A$20, ROW(F10)-2, COLUMN(F10)-1)</f>
        <v>49.435769999999998</v>
      </c>
      <c r="G10" s="25">
        <f ca="1" xml:space="preserve"> OFFSET('Functional Sheet'!$A$20, ROW(G10)-2, COLUMN(G10)-1)</f>
        <v>68.859470000000002</v>
      </c>
      <c r="H10" s="25">
        <f ca="1" xml:space="preserve"> OFFSET('Functional Sheet'!$A$20, ROW(H10)-2, COLUMN(H10)-1)</f>
        <v>94.840959999999995</v>
      </c>
      <c r="I10" s="25">
        <f ca="1" xml:space="preserve"> OFFSET('Functional Sheet'!$A$20, ROW(I10)-2, COLUMN(I10)-1)</f>
        <v>474.93495000000001</v>
      </c>
      <c r="J10" s="25">
        <f ca="1" xml:space="preserve"> OFFSET('Functional Sheet'!$A$20, ROW(J10)-2, COLUMN(J10)-1)</f>
        <v>21.403525999999999</v>
      </c>
      <c r="K10" s="25">
        <f ca="1" xml:space="preserve"> OFFSET('Functional Sheet'!$A$20, ROW(K10)-2, COLUMN(K10)-1)</f>
        <v>18.092183000000002</v>
      </c>
    </row>
    <row r="11" spans="1:11" x14ac:dyDescent="0.25">
      <c r="A11" s="6"/>
      <c r="B11" s="25">
        <f ca="1" xml:space="preserve"> OFFSET('Functional Sheet'!$A$20, ROW(B11)-2, COLUMN(B11)-1)</f>
        <v>-50.614293700000005</v>
      </c>
      <c r="C11" s="25">
        <f ca="1" xml:space="preserve"> OFFSET('Functional Sheet'!$A$20, ROW(C11)-2, COLUMN(C11)-1)</f>
        <v>-2.0820880000000002</v>
      </c>
      <c r="D11" s="25">
        <f ca="1" xml:space="preserve"> OFFSET('Functional Sheet'!$A$20, ROW(D11)-2, COLUMN(D11)-1)</f>
        <v>6.2984315999999998</v>
      </c>
      <c r="E11" s="25">
        <f ca="1" xml:space="preserve"> OFFSET('Functional Sheet'!$A$20, ROW(E11)-2, COLUMN(E11)-1)</f>
        <v>-20.9938295</v>
      </c>
      <c r="F11" s="25">
        <f ca="1" xml:space="preserve"> OFFSET('Functional Sheet'!$A$20, ROW(F11)-2, COLUMN(F11)-1)</f>
        <v>14.53487</v>
      </c>
      <c r="G11" s="25">
        <f ca="1" xml:space="preserve"> OFFSET('Functional Sheet'!$A$20, ROW(G11)-2, COLUMN(G11)-1)</f>
        <v>21.14019</v>
      </c>
      <c r="H11" s="25">
        <f ca="1" xml:space="preserve"> OFFSET('Functional Sheet'!$A$20, ROW(H11)-2, COLUMN(H11)-1)</f>
        <v>50.174730000000004</v>
      </c>
      <c r="I11" s="25">
        <f ca="1" xml:space="preserve"> OFFSET('Functional Sheet'!$A$20, ROW(I11)-2, COLUMN(I11)-1)</f>
        <v>21.40353</v>
      </c>
      <c r="J11" s="25">
        <f ca="1" xml:space="preserve"> OFFSET('Functional Sheet'!$A$20, ROW(J11)-2, COLUMN(J11)-1)</f>
        <v>918.24605300000007</v>
      </c>
      <c r="K11" s="25">
        <f ca="1" xml:space="preserve"> OFFSET('Functional Sheet'!$A$20, ROW(K11)-2, COLUMN(K11)-1)</f>
        <v>-6.4212699999999998</v>
      </c>
    </row>
    <row r="12" spans="1:11" x14ac:dyDescent="0.25">
      <c r="A12" s="6"/>
      <c r="B12" s="25">
        <f ca="1" xml:space="preserve"> OFFSET('Functional Sheet'!$A$20, ROW(B12)-2, COLUMN(B12)-1)</f>
        <v>-44.125687499999998</v>
      </c>
      <c r="C12" s="25">
        <f ca="1" xml:space="preserve"> OFFSET('Functional Sheet'!$A$20, ROW(C12)-2, COLUMN(C12)-1)</f>
        <v>-1.934329</v>
      </c>
      <c r="D12" s="25">
        <f ca="1" xml:space="preserve"> OFFSET('Functional Sheet'!$A$20, ROW(D12)-2, COLUMN(D12)-1)</f>
        <v>5.0648166999999997</v>
      </c>
      <c r="E12" s="25">
        <f ca="1" xml:space="preserve"> OFFSET('Functional Sheet'!$A$20, ROW(E12)-2, COLUMN(E12)-1)</f>
        <v>-18.310929300000002</v>
      </c>
      <c r="F12" s="25">
        <f ca="1" xml:space="preserve"> OFFSET('Functional Sheet'!$A$20, ROW(F12)-2, COLUMN(F12)-1)</f>
        <v>12.208679999999999</v>
      </c>
      <c r="G12" s="25">
        <f ca="1" xml:space="preserve"> OFFSET('Functional Sheet'!$A$20, ROW(G12)-2, COLUMN(G12)-1)</f>
        <v>17.77627</v>
      </c>
      <c r="H12" s="25">
        <f ca="1" xml:space="preserve"> OFFSET('Functional Sheet'!$A$20, ROW(H12)-2, COLUMN(H12)-1)</f>
        <v>42.628280000000004</v>
      </c>
      <c r="I12" s="25">
        <f ca="1" xml:space="preserve"> OFFSET('Functional Sheet'!$A$20, ROW(I12)-2, COLUMN(I12)-1)</f>
        <v>18.092179999999999</v>
      </c>
      <c r="J12" s="25">
        <f ca="1" xml:space="preserve"> OFFSET('Functional Sheet'!$A$20, ROW(J12)-2, COLUMN(J12)-1)</f>
        <v>-6.4212699999999998</v>
      </c>
      <c r="K12" s="25">
        <f ca="1" xml:space="preserve"> OFFSET('Functional Sheet'!$A$20, ROW(K12)-2, COLUMN(K12)-1)</f>
        <v>923.97701500000005</v>
      </c>
    </row>
    <row r="13" spans="1:1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6" t="s">
        <v>21</v>
      </c>
      <c r="B14" s="9">
        <f t="array" aca="1" ref="B14:K23" ca="1">MINVERSE(B3:K12)</f>
        <v>2.3148941805530131E-3</v>
      </c>
      <c r="C14" s="9">
        <f ca="1"/>
        <v>1.9569527202332478E-4</v>
      </c>
      <c r="D14" s="9">
        <f ca="1"/>
        <v>3.2210719699440687E-4</v>
      </c>
      <c r="E14" s="9">
        <f ca="1"/>
        <v>5.5338114078152829E-4</v>
      </c>
      <c r="F14" s="9">
        <f ca="1"/>
        <v>9.7981698462349721E-5</v>
      </c>
      <c r="G14" s="9">
        <f ca="1"/>
        <v>1.1328096635723661E-4</v>
      </c>
      <c r="H14" s="9">
        <f ca="1"/>
        <v>-2.3364886668708626E-3</v>
      </c>
      <c r="I14" s="9">
        <f ca="1"/>
        <v>-6.1123431145526321E-5</v>
      </c>
      <c r="J14" s="9">
        <f ca="1"/>
        <v>2.6501174586885821E-4</v>
      </c>
      <c r="K14" s="9">
        <f ca="1"/>
        <v>2.2752132207810708E-4</v>
      </c>
    </row>
    <row r="15" spans="1:11" x14ac:dyDescent="0.25">
      <c r="A15" s="11"/>
      <c r="B15" s="10">
        <f ca="1"/>
        <v>1.9569526033997206E-4</v>
      </c>
      <c r="C15" s="10">
        <f ca="1"/>
        <v>1.2238680170927592E-3</v>
      </c>
      <c r="D15" s="10">
        <f ca="1"/>
        <v>4.3379960511267412E-5</v>
      </c>
      <c r="E15" s="10">
        <f ca="1"/>
        <v>8.2668934040891874E-5</v>
      </c>
      <c r="F15" s="10">
        <f ca="1"/>
        <v>7.890452578314908E-6</v>
      </c>
      <c r="G15" s="10">
        <f ca="1"/>
        <v>7.1120738685698479E-6</v>
      </c>
      <c r="H15" s="10">
        <f ca="1"/>
        <v>-4.3023983755989737E-4</v>
      </c>
      <c r="I15" s="10">
        <f ca="1"/>
        <v>-2.0051969043431745E-5</v>
      </c>
      <c r="J15" s="10">
        <f ca="1"/>
        <v>3.9077144445362063E-5</v>
      </c>
      <c r="K15" s="10">
        <f ca="1"/>
        <v>3.358083597535578E-5</v>
      </c>
    </row>
    <row r="16" spans="1:11" x14ac:dyDescent="0.25">
      <c r="A16" s="11"/>
      <c r="B16" s="10">
        <f ca="1"/>
        <v>3.2210717904455172E-4</v>
      </c>
      <c r="C16" s="10">
        <f ca="1"/>
        <v>4.3379961952011556E-5</v>
      </c>
      <c r="D16" s="10">
        <f ca="1"/>
        <v>1.4477767292253516E-3</v>
      </c>
      <c r="E16" s="10">
        <f ca="1"/>
        <v>1.3589711147852859E-4</v>
      </c>
      <c r="F16" s="10">
        <f ca="1"/>
        <v>-3.9553146520925335E-6</v>
      </c>
      <c r="G16" s="10">
        <f ca="1"/>
        <v>-1.292141301606914E-5</v>
      </c>
      <c r="H16" s="10">
        <f ca="1"/>
        <v>-9.1095450834896465E-4</v>
      </c>
      <c r="I16" s="10">
        <f ca="1"/>
        <v>-6.0360284463416891E-5</v>
      </c>
      <c r="J16" s="10">
        <f ca="1"/>
        <v>6.295174014348738E-5</v>
      </c>
      <c r="K16" s="10">
        <f ca="1"/>
        <v>5.4178273045031885E-5</v>
      </c>
    </row>
    <row r="17" spans="1:11" x14ac:dyDescent="0.25">
      <c r="A17" s="11"/>
      <c r="B17" s="10">
        <f ca="1"/>
        <v>5.5338114909714861E-4</v>
      </c>
      <c r="C17" s="10">
        <f ca="1"/>
        <v>8.266894079992687E-5</v>
      </c>
      <c r="D17" s="10">
        <f ca="1"/>
        <v>1.3589712239787201E-4</v>
      </c>
      <c r="E17" s="10">
        <f ca="1"/>
        <v>1.2447719646010318E-3</v>
      </c>
      <c r="F17" s="10">
        <f ca="1"/>
        <v>4.1020547614436507E-5</v>
      </c>
      <c r="G17" s="10">
        <f ca="1"/>
        <v>4.7305185508420801E-5</v>
      </c>
      <c r="H17" s="10">
        <f ca="1"/>
        <v>-9.9269176976875349E-4</v>
      </c>
      <c r="I17" s="10">
        <f ca="1"/>
        <v>-2.6496408442956901E-5</v>
      </c>
      <c r="J17" s="10">
        <f ca="1"/>
        <v>1.1201149662680017E-4</v>
      </c>
      <c r="K17" s="10">
        <f ca="1"/>
        <v>9.6167470172093901E-5</v>
      </c>
    </row>
    <row r="18" spans="1:11" x14ac:dyDescent="0.25">
      <c r="A18" s="11"/>
      <c r="B18" s="10">
        <f ca="1"/>
        <v>9.7981697778683246E-5</v>
      </c>
      <c r="C18" s="10">
        <f ca="1"/>
        <v>7.890452371890602E-6</v>
      </c>
      <c r="D18" s="10">
        <f ca="1"/>
        <v>-3.9552994411039776E-6</v>
      </c>
      <c r="E18" s="10">
        <f ca="1"/>
        <v>4.102054792799258E-5</v>
      </c>
      <c r="F18" s="10">
        <f ca="1"/>
        <v>1.7754448130967878E-3</v>
      </c>
      <c r="G18" s="10">
        <f ca="1"/>
        <v>-4.9218990671273641E-5</v>
      </c>
      <c r="H18" s="10">
        <f ca="1"/>
        <v>-6.5002984428921134E-4</v>
      </c>
      <c r="I18" s="10">
        <f ca="1"/>
        <v>-6.8665714290287014E-5</v>
      </c>
      <c r="J18" s="10">
        <f ca="1"/>
        <v>1.6633990149332694E-5</v>
      </c>
      <c r="K18" s="10">
        <f ca="1"/>
        <v>1.4467687648429721E-5</v>
      </c>
    </row>
    <row r="19" spans="1:11" x14ac:dyDescent="0.25">
      <c r="A19" s="11"/>
      <c r="B19" s="10">
        <f ca="1"/>
        <v>1.1328095076159757E-4</v>
      </c>
      <c r="C19" s="10">
        <f ca="1"/>
        <v>7.1120708464422956E-6</v>
      </c>
      <c r="D19" s="10">
        <f ca="1"/>
        <v>-1.292140071104724E-5</v>
      </c>
      <c r="E19" s="10">
        <f ca="1"/>
        <v>4.730517011907762E-5</v>
      </c>
      <c r="F19" s="10">
        <f ca="1"/>
        <v>-4.9218991474670121E-5</v>
      </c>
      <c r="G19" s="10">
        <f ca="1"/>
        <v>1.7862950057762608E-3</v>
      </c>
      <c r="H19" s="10">
        <f ca="1"/>
        <v>-8.9284799254634372E-4</v>
      </c>
      <c r="I19" s="10">
        <f ca="1"/>
        <v>-9.8450356085760265E-5</v>
      </c>
      <c r="J19" s="10">
        <f ca="1"/>
        <v>1.8278125480091572E-5</v>
      </c>
      <c r="K19" s="10">
        <f ca="1"/>
        <v>1.5963989067474555E-5</v>
      </c>
    </row>
    <row r="20" spans="1:11" x14ac:dyDescent="0.25">
      <c r="A20" s="11"/>
      <c r="B20" s="10">
        <f ca="1"/>
        <v>-2.3364886370005034E-3</v>
      </c>
      <c r="C20" s="10">
        <f ca="1"/>
        <v>-4.302398622397283E-4</v>
      </c>
      <c r="D20" s="10">
        <f ca="1"/>
        <v>-9.1095456407138775E-4</v>
      </c>
      <c r="E20" s="10">
        <f ca="1"/>
        <v>-9.9269173208096527E-4</v>
      </c>
      <c r="F20" s="10">
        <f ca="1"/>
        <v>-6.5002983459371499E-4</v>
      </c>
      <c r="G20" s="10">
        <f ca="1"/>
        <v>-8.9284800657822019E-4</v>
      </c>
      <c r="H20" s="10">
        <f ca="1"/>
        <v>7.4731373666090924E-3</v>
      </c>
      <c r="I20" s="10">
        <f ca="1"/>
        <v>-6.5801477305890254E-4</v>
      </c>
      <c r="J20" s="10">
        <f ca="1"/>
        <v>-5.1143061152901384E-4</v>
      </c>
      <c r="K20" s="10">
        <f ca="1"/>
        <v>-4.3684342879612867E-4</v>
      </c>
    </row>
    <row r="21" spans="1:11" x14ac:dyDescent="0.25">
      <c r="A21" s="11"/>
      <c r="B21" s="10">
        <f ca="1"/>
        <v>-6.1123434279970903E-5</v>
      </c>
      <c r="C21" s="10">
        <f ca="1"/>
        <v>-2.0051979006733095E-5</v>
      </c>
      <c r="D21" s="10">
        <f ca="1"/>
        <v>-6.0360273417635298E-5</v>
      </c>
      <c r="E21" s="10">
        <f ca="1"/>
        <v>-2.6496404164622853E-5</v>
      </c>
      <c r="F21" s="10">
        <f ca="1"/>
        <v>-6.8665713885422437E-5</v>
      </c>
      <c r="G21" s="10">
        <f ca="1"/>
        <v>-9.8450356492620127E-5</v>
      </c>
      <c r="H21" s="10">
        <f ca="1"/>
        <v>-6.5801477589032048E-4</v>
      </c>
      <c r="I21" s="10">
        <f ca="1"/>
        <v>2.2801716484523943E-3</v>
      </c>
      <c r="J21" s="10">
        <f ca="1"/>
        <v>-1.7549830978848514E-5</v>
      </c>
      <c r="K21" s="10">
        <f ca="1"/>
        <v>-1.4765408819387136E-5</v>
      </c>
    </row>
    <row r="22" spans="1:11" x14ac:dyDescent="0.25">
      <c r="A22" s="11"/>
      <c r="B22" s="10">
        <f ca="1"/>
        <v>2.6501175241259772E-4</v>
      </c>
      <c r="C22" s="10">
        <f ca="1"/>
        <v>3.9077148378379752E-5</v>
      </c>
      <c r="D22" s="10">
        <f ca="1"/>
        <v>6.2951747483839135E-5</v>
      </c>
      <c r="E22" s="10">
        <f ca="1"/>
        <v>1.1201149826751699E-4</v>
      </c>
      <c r="F22" s="10">
        <f ca="1"/>
        <v>1.6633988171962214E-5</v>
      </c>
      <c r="G22" s="10">
        <f ca="1"/>
        <v>1.8278132980438693E-5</v>
      </c>
      <c r="H22" s="10">
        <f ca="1"/>
        <v>-5.1143063566507017E-4</v>
      </c>
      <c r="I22" s="10">
        <f ca="1"/>
        <v>-1.7549838683362336E-5</v>
      </c>
      <c r="J22" s="10">
        <f ca="1"/>
        <v>1.1338492734530067E-3</v>
      </c>
      <c r="K22" s="10">
        <f ca="1"/>
        <v>4.58596797431619E-5</v>
      </c>
    </row>
    <row r="23" spans="1:11" x14ac:dyDescent="0.25">
      <c r="A23" s="11"/>
      <c r="B23" s="10">
        <f ca="1"/>
        <v>2.2752131509052207E-4</v>
      </c>
      <c r="C23" s="10">
        <f ca="1"/>
        <v>3.3580837008005305E-5</v>
      </c>
      <c r="D23" s="10">
        <f ca="1"/>
        <v>5.4178274220986916E-5</v>
      </c>
      <c r="E23" s="10">
        <f ca="1"/>
        <v>9.6167466198354012E-5</v>
      </c>
      <c r="F23" s="10">
        <f ca="1"/>
        <v>1.4467675813497558E-5</v>
      </c>
      <c r="G23" s="10">
        <f ca="1"/>
        <v>1.5963996584871074E-5</v>
      </c>
      <c r="H23" s="10">
        <f ca="1"/>
        <v>-4.3684341713925664E-4</v>
      </c>
      <c r="I23" s="10">
        <f ca="1"/>
        <v>-1.4765402930449688E-5</v>
      </c>
      <c r="J23" s="10">
        <f ca="1"/>
        <v>4.5859677022435905E-5</v>
      </c>
      <c r="K23" s="10">
        <f ca="1"/>
        <v>1.1150862796491122E-3</v>
      </c>
    </row>
    <row r="25" spans="1:11" x14ac:dyDescent="0.25">
      <c r="A25" s="6" t="s">
        <v>11</v>
      </c>
      <c r="B25" s="9">
        <f>'Functional Sheet'!B34</f>
        <v>2</v>
      </c>
      <c r="C25" s="2"/>
      <c r="D25" s="6" t="s">
        <v>12</v>
      </c>
      <c r="E25" s="7"/>
      <c r="F25" s="6"/>
      <c r="G25" s="8">
        <f>'Functional Sheet'!B36</f>
        <v>30</v>
      </c>
      <c r="H25" s="1"/>
    </row>
    <row r="26" spans="1:11" x14ac:dyDescent="0.25">
      <c r="A26" s="6" t="s">
        <v>13</v>
      </c>
      <c r="B26" s="9">
        <f>'Functional Sheet'!B35</f>
        <v>15</v>
      </c>
      <c r="C26" s="2"/>
      <c r="D26" s="6" t="s">
        <v>14</v>
      </c>
      <c r="E26" s="7"/>
      <c r="F26" s="6"/>
      <c r="G26" s="8">
        <f>'Functional Sheet'!B37</f>
        <v>40</v>
      </c>
      <c r="H26" s="1"/>
    </row>
    <row r="27" spans="1:11" x14ac:dyDescent="0.25">
      <c r="D27" s="3"/>
    </row>
    <row r="28" spans="1:11" x14ac:dyDescent="0.25">
      <c r="A28" s="13" t="s">
        <v>23</v>
      </c>
      <c r="B28" s="12">
        <f>'Functional Sheet'!B40</f>
        <v>2</v>
      </c>
    </row>
    <row r="29" spans="1:11" x14ac:dyDescent="0.25">
      <c r="A29" s="11"/>
      <c r="B29" s="12">
        <f>'Functional Sheet'!B41</f>
        <v>5</v>
      </c>
    </row>
    <row r="30" spans="1:11" x14ac:dyDescent="0.25">
      <c r="A30" s="11"/>
      <c r="B30" s="12">
        <f>'Functional Sheet'!B42</f>
        <v>7</v>
      </c>
    </row>
    <row r="31" spans="1:11" x14ac:dyDescent="0.25">
      <c r="A31" s="11"/>
      <c r="B31" s="12">
        <f>'Functional Sheet'!B43</f>
        <v>9</v>
      </c>
    </row>
    <row r="32" spans="1:11" x14ac:dyDescent="0.25">
      <c r="A32" s="11"/>
      <c r="B32" s="12">
        <f>'Functional Sheet'!B44</f>
        <v>10</v>
      </c>
    </row>
    <row r="33" spans="1:2" x14ac:dyDescent="0.25">
      <c r="A33" s="11"/>
      <c r="B33" s="12">
        <f>'Functional Sheet'!B45</f>
        <v>5</v>
      </c>
    </row>
    <row r="34" spans="1:2" x14ac:dyDescent="0.25">
      <c r="A34" s="11"/>
      <c r="B34" s="12">
        <f>'Functional Sheet'!B46</f>
        <v>2</v>
      </c>
    </row>
    <row r="35" spans="1:2" x14ac:dyDescent="0.25">
      <c r="A35" s="11"/>
      <c r="B35" s="12">
        <f>'Functional Sheet'!B47</f>
        <v>5</v>
      </c>
    </row>
    <row r="36" spans="1:2" x14ac:dyDescent="0.25">
      <c r="A36" s="11"/>
      <c r="B36" s="12">
        <f>'Functional Sheet'!B48</f>
        <v>6</v>
      </c>
    </row>
    <row r="37" spans="1:2" x14ac:dyDescent="0.25">
      <c r="A37" s="11"/>
      <c r="B37" s="12">
        <f>'Functional Sheet'!B49</f>
        <v>3</v>
      </c>
    </row>
    <row r="39" spans="1:2" x14ac:dyDescent="0.25">
      <c r="A39" s="13" t="s">
        <v>25</v>
      </c>
      <c r="B39" s="12">
        <v>1</v>
      </c>
    </row>
    <row r="40" spans="1:2" x14ac:dyDescent="0.25">
      <c r="A40" s="11"/>
      <c r="B40" s="12">
        <v>1</v>
      </c>
    </row>
    <row r="41" spans="1:2" x14ac:dyDescent="0.25">
      <c r="A41" s="11"/>
      <c r="B41" s="12">
        <v>1</v>
      </c>
    </row>
    <row r="42" spans="1:2" x14ac:dyDescent="0.25">
      <c r="A42" s="11"/>
      <c r="B42" s="12">
        <v>1</v>
      </c>
    </row>
    <row r="43" spans="1:2" x14ac:dyDescent="0.25">
      <c r="A43" s="11"/>
      <c r="B43" s="12">
        <v>1</v>
      </c>
    </row>
    <row r="44" spans="1:2" x14ac:dyDescent="0.25">
      <c r="A44" s="11"/>
      <c r="B44" s="12">
        <v>1</v>
      </c>
    </row>
    <row r="45" spans="1:2" x14ac:dyDescent="0.25">
      <c r="A45" s="11"/>
      <c r="B45" s="12">
        <v>1</v>
      </c>
    </row>
    <row r="46" spans="1:2" x14ac:dyDescent="0.25">
      <c r="A46" s="11"/>
      <c r="B46" s="12">
        <v>1</v>
      </c>
    </row>
    <row r="47" spans="1:2" x14ac:dyDescent="0.25">
      <c r="A47" s="11"/>
      <c r="B47" s="12">
        <v>1</v>
      </c>
    </row>
    <row r="48" spans="1:2" x14ac:dyDescent="0.25">
      <c r="A48" s="11"/>
      <c r="B48" s="12">
        <v>1</v>
      </c>
    </row>
    <row r="51" spans="1:11" x14ac:dyDescent="0.25">
      <c r="A51" s="74" t="s">
        <v>31</v>
      </c>
      <c r="B51" s="74"/>
      <c r="D51" s="74" t="s">
        <v>32</v>
      </c>
      <c r="E51" s="74"/>
      <c r="G51" s="74" t="s">
        <v>37</v>
      </c>
      <c r="H51" s="74"/>
      <c r="K51" s="4"/>
    </row>
    <row r="52" spans="1:11" x14ac:dyDescent="0.25">
      <c r="A52" s="13" t="s">
        <v>24</v>
      </c>
      <c r="B52" s="12">
        <f t="array" aca="1" ref="B52:B61" ca="1">IF(B25&lt;E79,MMULT(B14:K23,B28:B37)-(B25)*MMULT(B14:K23,B39:B48),"N/A")</f>
        <v>8.2991842854001734E-3</v>
      </c>
      <c r="D52" s="14" t="s">
        <v>67</v>
      </c>
      <c r="E52" s="26">
        <f t="array" aca="1" ref="E52:E61" ca="1">MMULT(B14:K23,B39:B48)</f>
        <v>1.6922614251024357E-3</v>
      </c>
      <c r="G52" s="13" t="s">
        <v>24</v>
      </c>
      <c r="H52" s="10" t="str">
        <f t="array" aca="1" ref="H52:H61" ca="1">IF(B26&lt;E79,(MMULT(B14:K23,B28:B37)-B26*MMULT(B14:K23,B39:B48)),"N/A")</f>
        <v>N/A</v>
      </c>
      <c r="K52" s="4"/>
    </row>
    <row r="53" spans="1:11" x14ac:dyDescent="0.25">
      <c r="A53" s="11"/>
      <c r="B53" s="10">
        <f ca="1"/>
        <v>4.6813797409795948E-3</v>
      </c>
      <c r="D53" s="14"/>
      <c r="E53" s="26">
        <f ca="1"/>
        <v>1.1829808722491641E-3</v>
      </c>
      <c r="G53" s="11"/>
      <c r="H53" s="10" t="str">
        <f ca="1"/>
        <v>N/A</v>
      </c>
      <c r="K53" s="4"/>
    </row>
    <row r="54" spans="1:11" x14ac:dyDescent="0.25">
      <c r="A54" s="11"/>
      <c r="B54" s="10">
        <f ca="1"/>
        <v>8.3748009362962748E-3</v>
      </c>
      <c r="D54" s="14"/>
      <c r="E54" s="26">
        <f ca="1"/>
        <v>1.0780994744084191E-3</v>
      </c>
      <c r="G54" s="11"/>
      <c r="H54" s="10" t="str">
        <f ca="1"/>
        <v>N/A</v>
      </c>
    </row>
    <row r="55" spans="1:11" x14ac:dyDescent="0.25">
      <c r="A55" s="11"/>
      <c r="B55" s="10">
        <f ca="1"/>
        <v>1.0575700355387541E-2</v>
      </c>
      <c r="D55" s="14"/>
      <c r="E55" s="26">
        <f ca="1"/>
        <v>1.2940356986060203E-3</v>
      </c>
      <c r="G55" s="11"/>
      <c r="H55" s="10" t="str">
        <f ca="1"/>
        <v>N/A</v>
      </c>
      <c r="K55" s="4"/>
    </row>
    <row r="56" spans="1:11" x14ac:dyDescent="0.25">
      <c r="A56" s="11"/>
      <c r="B56" s="10">
        <f ca="1"/>
        <v>1.4221946733541482E-2</v>
      </c>
      <c r="D56" s="14"/>
      <c r="E56" s="26">
        <f ca="1"/>
        <v>1.1815693402812404E-3</v>
      </c>
      <c r="G56" s="11"/>
      <c r="H56" s="10" t="str">
        <f ca="1"/>
        <v>N/A</v>
      </c>
    </row>
    <row r="57" spans="1:11" x14ac:dyDescent="0.25">
      <c r="A57" s="11"/>
      <c r="B57" s="10">
        <f ca="1"/>
        <v>5.0467239080796162E-3</v>
      </c>
      <c r="D57" s="14"/>
      <c r="E57" s="26">
        <f ca="1"/>
        <v>9.3479657123312298E-4</v>
      </c>
      <c r="G57" s="11"/>
      <c r="H57" s="10" t="str">
        <f ca="1"/>
        <v>N/A</v>
      </c>
      <c r="K57" s="4"/>
    </row>
    <row r="58" spans="1:11" x14ac:dyDescent="0.25">
      <c r="A58" s="11"/>
      <c r="B58" s="10">
        <f ca="1"/>
        <v>-2.5129727422216155E-2</v>
      </c>
      <c r="D58" s="14"/>
      <c r="E58" s="26">
        <f ca="1"/>
        <v>-3.4640408333947321E-4</v>
      </c>
      <c r="G58" s="11"/>
      <c r="H58" s="10" t="str">
        <f ca="1"/>
        <v>N/A</v>
      </c>
    </row>
    <row r="59" spans="1:11" x14ac:dyDescent="0.25">
      <c r="A59" s="11"/>
      <c r="B59" s="10">
        <f ca="1"/>
        <v>5.3634412988004237E-3</v>
      </c>
      <c r="D59" s="14"/>
      <c r="E59" s="26">
        <f ca="1"/>
        <v>1.2546934715168335E-3</v>
      </c>
      <c r="G59" s="11"/>
      <c r="H59" s="10" t="str">
        <f ca="1"/>
        <v>N/A</v>
      </c>
    </row>
    <row r="60" spans="1:11" x14ac:dyDescent="0.25">
      <c r="A60" s="11"/>
      <c r="B60" s="10">
        <f ca="1"/>
        <v>5.9325842322490701E-3</v>
      </c>
      <c r="D60" s="14"/>
      <c r="E60" s="26">
        <f ca="1"/>
        <v>1.1646927465424706E-3</v>
      </c>
      <c r="G60" s="11"/>
      <c r="H60" s="10" t="str">
        <f ca="1"/>
        <v>N/A</v>
      </c>
    </row>
    <row r="61" spans="1:11" x14ac:dyDescent="0.25">
      <c r="A61" s="11"/>
      <c r="B61" s="10">
        <f ca="1"/>
        <v>2.4626683207275286E-3</v>
      </c>
      <c r="D61" s="14"/>
      <c r="E61" s="26">
        <f ca="1"/>
        <v>1.1512167015180787E-3</v>
      </c>
      <c r="G61" s="11"/>
      <c r="H61" s="10" t="str">
        <f ca="1"/>
        <v>N/A</v>
      </c>
    </row>
    <row r="62" spans="1:11" x14ac:dyDescent="0.25">
      <c r="D62" s="15"/>
      <c r="E62" s="15"/>
    </row>
    <row r="63" spans="1:11" x14ac:dyDescent="0.25">
      <c r="A63" s="13" t="s">
        <v>26</v>
      </c>
      <c r="B63" s="10">
        <f ca="1">IF(B25&lt;E79,SUM(B52:B61),"N/A")</f>
        <v>3.9828702389245553E-2</v>
      </c>
      <c r="D63" s="14" t="s">
        <v>68</v>
      </c>
      <c r="E63" s="26">
        <f t="array" aca="1" ref="E63:E64" ca="1">MMULT(TRANSPOSE(E52:E61),B39:B48)</f>
        <v>1.0587942218118311E-2</v>
      </c>
      <c r="G63" s="13" t="s">
        <v>26</v>
      </c>
      <c r="H63" s="10" t="str">
        <f ca="1">IF(B26&lt;E79,SUM(H52:H61),"N/A")</f>
        <v>N/A</v>
      </c>
    </row>
    <row r="64" spans="1:11" x14ac:dyDescent="0.25">
      <c r="D64" s="14"/>
      <c r="E64" s="26">
        <f ca="1"/>
        <v>1.0587942218118311E-2</v>
      </c>
    </row>
    <row r="65" spans="1:11" x14ac:dyDescent="0.25">
      <c r="A65" s="13" t="s">
        <v>27</v>
      </c>
      <c r="B65" s="10">
        <f t="array" aca="1" ref="B65:B74" ca="1">IF(B25&lt;E79,B63^(-1)*B52:B61,"N/A")</f>
        <v>0.20837194755411106</v>
      </c>
      <c r="D65" s="15"/>
      <c r="E65" s="15"/>
      <c r="G65" s="13" t="s">
        <v>27</v>
      </c>
      <c r="H65" s="10" t="str">
        <f t="array" aca="1" ref="H65:H74" ca="1">IF(B26&lt;E79,H63^(-1)*H52:H61,"N/A")</f>
        <v>N/A</v>
      </c>
    </row>
    <row r="66" spans="1:11" x14ac:dyDescent="0.25">
      <c r="A66" s="11"/>
      <c r="B66" s="10">
        <f ca="1"/>
        <v>0.11753784231352837</v>
      </c>
      <c r="D66" s="13" t="s">
        <v>27</v>
      </c>
      <c r="E66" s="10">
        <f t="array" ref="E66:E75" ca="1">E63^(-1)*(E52:E61)</f>
        <v>0.15982911412253478</v>
      </c>
      <c r="G66" s="11"/>
      <c r="H66" s="10" t="str">
        <f ca="1"/>
        <v>N/A</v>
      </c>
    </row>
    <row r="67" spans="1:11" x14ac:dyDescent="0.25">
      <c r="A67" s="11"/>
      <c r="B67" s="10">
        <f ca="1"/>
        <v>0.21027049423929053</v>
      </c>
      <c r="D67" s="11"/>
      <c r="E67" s="10">
        <f ca="1"/>
        <v>0.11172906386141984</v>
      </c>
      <c r="G67" s="11"/>
      <c r="H67" s="10" t="str">
        <f ca="1"/>
        <v>N/A</v>
      </c>
    </row>
    <row r="68" spans="1:11" x14ac:dyDescent="0.25">
      <c r="A68" s="11"/>
      <c r="B68" s="10">
        <f ca="1"/>
        <v>0.26552962363752941</v>
      </c>
      <c r="D68" s="11"/>
      <c r="E68" s="10">
        <f ca="1"/>
        <v>0.10182332432486763</v>
      </c>
      <c r="G68" s="11"/>
      <c r="H68" s="10" t="str">
        <f ca="1"/>
        <v>N/A</v>
      </c>
      <c r="K68" s="4"/>
    </row>
    <row r="69" spans="1:11" x14ac:dyDescent="0.25">
      <c r="A69" s="11"/>
      <c r="B69" s="10">
        <f ca="1"/>
        <v>0.35707783282896144</v>
      </c>
      <c r="D69" s="11"/>
      <c r="E69" s="10">
        <f ca="1"/>
        <v>0.12221786556330454</v>
      </c>
      <c r="G69" s="11"/>
      <c r="H69" s="10" t="str">
        <f ca="1"/>
        <v>N/A</v>
      </c>
    </row>
    <row r="70" spans="1:11" x14ac:dyDescent="0.25">
      <c r="A70" s="11"/>
      <c r="B70" s="10">
        <f ca="1"/>
        <v>0.12671072882962714</v>
      </c>
      <c r="D70" s="11"/>
      <c r="E70" s="10">
        <f ca="1"/>
        <v>0.11159574881881333</v>
      </c>
      <c r="G70" s="11"/>
      <c r="H70" s="10" t="str">
        <f ca="1"/>
        <v>N/A</v>
      </c>
    </row>
    <row r="71" spans="1:11" x14ac:dyDescent="0.25">
      <c r="A71" s="11"/>
      <c r="B71" s="10">
        <f ca="1"/>
        <v>-0.63094517056125887</v>
      </c>
      <c r="D71" s="11"/>
      <c r="E71" s="10">
        <f ca="1"/>
        <v>8.8288786619318646E-2</v>
      </c>
      <c r="G71" s="11"/>
      <c r="H71" s="10" t="str">
        <f ca="1"/>
        <v>N/A</v>
      </c>
    </row>
    <row r="72" spans="1:11" x14ac:dyDescent="0.25">
      <c r="A72" s="11"/>
      <c r="B72" s="10">
        <f ca="1"/>
        <v>0.13466271751420772</v>
      </c>
      <c r="D72" s="11"/>
      <c r="E72" s="10">
        <f ca="1"/>
        <v>-3.2716846786970483E-2</v>
      </c>
      <c r="G72" s="11"/>
      <c r="H72" s="10" t="str">
        <f ca="1"/>
        <v>N/A</v>
      </c>
    </row>
    <row r="73" spans="1:11" x14ac:dyDescent="0.25">
      <c r="A73" s="11"/>
      <c r="B73" s="10">
        <f ca="1"/>
        <v>0.14895248593012086</v>
      </c>
      <c r="D73" s="11"/>
      <c r="E73" s="10">
        <f ca="1"/>
        <v>0.11850210793271759</v>
      </c>
      <c r="G73" s="11"/>
      <c r="H73" s="10" t="str">
        <f ca="1"/>
        <v>N/A</v>
      </c>
    </row>
    <row r="74" spans="1:11" x14ac:dyDescent="0.25">
      <c r="A74" s="11"/>
      <c r="B74" s="10">
        <f ca="1"/>
        <v>6.183149771388214E-2</v>
      </c>
      <c r="D74" s="11"/>
      <c r="E74" s="10">
        <f ca="1"/>
        <v>0.11000180417960947</v>
      </c>
      <c r="G74" s="11"/>
      <c r="H74" s="10" t="str">
        <f ca="1"/>
        <v>N/A</v>
      </c>
    </row>
    <row r="75" spans="1:11" x14ac:dyDescent="0.25">
      <c r="D75" s="11"/>
      <c r="E75" s="10">
        <f ca="1"/>
        <v>0.10872903136438469</v>
      </c>
    </row>
    <row r="76" spans="1:11" x14ac:dyDescent="0.25">
      <c r="A76" s="13" t="s">
        <v>33</v>
      </c>
      <c r="B76" s="10">
        <f ca="1">IF(B25&lt;E79,SUM(B65:B74),"N/A")</f>
        <v>1</v>
      </c>
      <c r="G76" s="13" t="s">
        <v>33</v>
      </c>
      <c r="H76" s="10" t="str">
        <f ca="1">IF(B26&lt;E79,SUM(H65:H74),"N/A")</f>
        <v>N/A</v>
      </c>
    </row>
    <row r="77" spans="1:11" x14ac:dyDescent="0.25">
      <c r="A77" s="4"/>
      <c r="D77" s="13" t="s">
        <v>33</v>
      </c>
      <c r="E77" s="10">
        <f ca="1">SUM(E66:E75)</f>
        <v>1</v>
      </c>
    </row>
    <row r="78" spans="1:11" x14ac:dyDescent="0.25">
      <c r="A78" s="13" t="s">
        <v>28</v>
      </c>
      <c r="B78" s="10">
        <f t="array" aca="1" ref="B78:B79" ca="1">IF(B25&lt;E79,MMULT(TRANSPOSE(B65:B74),B28:B37),"N/A")</f>
        <v>9.561057806697308</v>
      </c>
      <c r="G78" s="13" t="s">
        <v>38</v>
      </c>
      <c r="H78" s="10" t="str">
        <f t="array" aca="1" ref="H78:H79" ca="1">IF(B26&lt;E79,MMULT(TRANSPOSE(H65:H74),B28:B37),"N/A")</f>
        <v>N/A</v>
      </c>
    </row>
    <row r="79" spans="1:11" x14ac:dyDescent="0.25">
      <c r="A79" s="11"/>
      <c r="B79" s="10">
        <f ca="1"/>
        <v>9.561057806697308</v>
      </c>
      <c r="D79" s="13" t="s">
        <v>34</v>
      </c>
      <c r="E79" s="10">
        <f t="array" aca="1" ref="E79:E80" ca="1">MMULT(TRANSPOSE(E66:E75),B28:B37)</f>
        <v>5.7617037944411669</v>
      </c>
      <c r="G79" s="11"/>
      <c r="H79" s="10" t="str">
        <f ca="1"/>
        <v>N/A</v>
      </c>
    </row>
    <row r="80" spans="1:11" x14ac:dyDescent="0.25">
      <c r="D80" s="11"/>
      <c r="E80" s="10">
        <f ca="1"/>
        <v>5.7617037944411669</v>
      </c>
    </row>
    <row r="81" spans="1:8" x14ac:dyDescent="0.25">
      <c r="A81" s="13" t="s">
        <v>29</v>
      </c>
      <c r="B81" s="10">
        <f t="array" aca="1" ref="B81:B82" ca="1">IF(B25&lt;E79,MMULT(MMULT(TRANSPOSE(B65:B74),B3:K12),B65:B74),"N/A")</f>
        <v>189.83942114917915</v>
      </c>
      <c r="G81" s="13" t="s">
        <v>39</v>
      </c>
      <c r="H81" s="10" t="str">
        <f t="array" aca="1" ref="H81:H82" ca="1">IF(B26&lt;E79,MMULT(MMULT(TRANSPOSE(H65:H74),B3:K12),H65:H74),"N/A")</f>
        <v>N/A</v>
      </c>
    </row>
    <row r="82" spans="1:8" x14ac:dyDescent="0.25">
      <c r="A82" s="11"/>
      <c r="B82" s="10">
        <f ca="1"/>
        <v>189.83942114917915</v>
      </c>
      <c r="D82" s="13" t="s">
        <v>35</v>
      </c>
      <c r="E82" s="10">
        <f t="array" aca="1" ref="E82:E84" ca="1">MMULT(MMULT(TRANSPOSE(E66:E75),B3:K12),E66:E75)</f>
        <v>94.44705868235458</v>
      </c>
      <c r="G82" s="11"/>
      <c r="H82" s="10" t="str">
        <f ca="1"/>
        <v>N/A</v>
      </c>
    </row>
    <row r="83" spans="1:8" x14ac:dyDescent="0.25">
      <c r="D83" s="11"/>
      <c r="E83" s="10">
        <f ca="1"/>
        <v>94.44705868235458</v>
      </c>
    </row>
    <row r="84" spans="1:8" x14ac:dyDescent="0.25">
      <c r="A84" s="13" t="s">
        <v>30</v>
      </c>
      <c r="B84" s="10">
        <f ca="1">IF(B25&lt;E79,SQRT(B81),"N/A")</f>
        <v>13.778222713731228</v>
      </c>
      <c r="D84" s="11"/>
      <c r="E84" s="10">
        <f ca="1"/>
        <v>94.44705868235458</v>
      </c>
      <c r="G84" s="13" t="s">
        <v>40</v>
      </c>
      <c r="H84" s="10" t="str">
        <f ca="1">IF(B26&lt;E79,SQRT(H81),"N/A")</f>
        <v>N/A</v>
      </c>
    </row>
    <row r="86" spans="1:8" x14ac:dyDescent="0.25">
      <c r="D86" s="13" t="s">
        <v>36</v>
      </c>
      <c r="E86" s="10">
        <f ca="1">SQRT(E82)</f>
        <v>9.7183876585756028</v>
      </c>
    </row>
    <row r="89" spans="1:8" x14ac:dyDescent="0.25">
      <c r="A89" s="3"/>
      <c r="B89" s="59"/>
    </row>
    <row r="90" spans="1:8" x14ac:dyDescent="0.25">
      <c r="A90" s="3"/>
      <c r="B90" s="3"/>
    </row>
    <row r="91" spans="1:8" x14ac:dyDescent="0.25">
      <c r="A91" s="75"/>
      <c r="B91" s="75"/>
    </row>
    <row r="92" spans="1:8" x14ac:dyDescent="0.25">
      <c r="A92" s="3"/>
      <c r="B92" s="3"/>
    </row>
    <row r="93" spans="1:8" x14ac:dyDescent="0.25">
      <c r="A93" s="3"/>
      <c r="B93" s="3"/>
    </row>
    <row r="94" spans="1:8" x14ac:dyDescent="0.25">
      <c r="A94" s="3"/>
      <c r="B94" s="3"/>
    </row>
    <row r="95" spans="1:8" x14ac:dyDescent="0.25">
      <c r="A95" s="3"/>
      <c r="B95" s="3"/>
    </row>
    <row r="96" spans="1:8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75"/>
      <c r="B105" s="75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11" x14ac:dyDescent="0.25">
      <c r="A113" s="3"/>
      <c r="B113" s="3"/>
    </row>
    <row r="114" spans="1:11" x14ac:dyDescent="0.25">
      <c r="A114" s="3"/>
      <c r="B114" s="3"/>
    </row>
    <row r="115" spans="1:11" x14ac:dyDescent="0.25">
      <c r="A115" s="3"/>
      <c r="B115" s="3"/>
    </row>
    <row r="116" spans="1:11" x14ac:dyDescent="0.25">
      <c r="A116" s="3"/>
      <c r="B116" s="3"/>
    </row>
    <row r="117" spans="1:11" x14ac:dyDescent="0.25">
      <c r="A117" s="3"/>
      <c r="B117" s="3"/>
    </row>
    <row r="118" spans="1:11" x14ac:dyDescent="0.25">
      <c r="A118" s="3"/>
      <c r="B118" s="3"/>
    </row>
    <row r="119" spans="1:11" x14ac:dyDescent="0.25">
      <c r="A119" s="3"/>
      <c r="B119" s="3"/>
    </row>
    <row r="120" spans="1:11" x14ac:dyDescent="0.25">
      <c r="A120" s="3"/>
      <c r="B120" s="3"/>
    </row>
    <row r="122" spans="1:11" x14ac:dyDescent="0.25">
      <c r="A122" s="75"/>
      <c r="B122" s="75"/>
      <c r="C122" s="3"/>
      <c r="D122" s="3"/>
      <c r="E122" s="3"/>
      <c r="F122" s="3"/>
      <c r="G122" s="3"/>
      <c r="H122" s="3"/>
      <c r="I122" s="3"/>
      <c r="J122" s="3"/>
      <c r="K122" s="3"/>
    </row>
    <row r="123" spans="1:1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x14ac:dyDescent="0.25">
      <c r="A127" s="75"/>
      <c r="B127" s="75"/>
      <c r="C127" s="3"/>
      <c r="D127" s="3"/>
      <c r="E127" s="3"/>
      <c r="F127" s="3"/>
      <c r="G127" s="3"/>
      <c r="H127" s="3"/>
      <c r="I127" s="3"/>
      <c r="J127" s="3"/>
      <c r="K127" s="3"/>
    </row>
    <row r="128" spans="1:1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</sheetData>
  <mergeCells count="7">
    <mergeCell ref="A51:B51"/>
    <mergeCell ref="D51:E51"/>
    <mergeCell ref="G51:H51"/>
    <mergeCell ref="A91:B91"/>
    <mergeCell ref="A127:B127"/>
    <mergeCell ref="A122:B122"/>
    <mergeCell ref="A105:B105"/>
  </mergeCells>
  <conditionalFormatting sqref="A92:A101">
    <cfRule type="duplicateValues" dxfId="1" priority="2"/>
  </conditionalFormatting>
  <conditionalFormatting sqref="A106:A115 A117 A11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8"/>
  <sheetViews>
    <sheetView showGridLines="0" topLeftCell="A13" zoomScale="120" zoomScaleNormal="120" workbookViewId="0">
      <selection activeCell="D4" sqref="D4"/>
    </sheetView>
  </sheetViews>
  <sheetFormatPr defaultRowHeight="15" x14ac:dyDescent="0.25"/>
  <cols>
    <col min="1" max="1" width="36.5703125" bestFit="1" customWidth="1"/>
    <col min="2" max="2" width="12.7109375" bestFit="1" customWidth="1"/>
    <col min="4" max="4" width="45.42578125" bestFit="1" customWidth="1"/>
    <col min="5" max="5" width="8.42578125" bestFit="1" customWidth="1"/>
    <col min="7" max="7" width="44" bestFit="1" customWidth="1"/>
    <col min="10" max="10" width="31.28515625" customWidth="1"/>
    <col min="11" max="11" width="12.7109375" bestFit="1" customWidth="1"/>
    <col min="12" max="12" width="12" bestFit="1" customWidth="1"/>
    <col min="13" max="13" width="11" bestFit="1" customWidth="1"/>
    <col min="14" max="17" width="12" bestFit="1" customWidth="1"/>
  </cols>
  <sheetData>
    <row r="2" spans="1:8" x14ac:dyDescent="0.25">
      <c r="A2" s="13" t="s">
        <v>12</v>
      </c>
      <c r="B2" s="10">
        <f>'Functional Sheet'!B36</f>
        <v>30</v>
      </c>
    </row>
    <row r="3" spans="1:8" x14ac:dyDescent="0.25">
      <c r="A3" s="13" t="s">
        <v>28</v>
      </c>
      <c r="B3" s="16">
        <f ca="1">'Functional Sheet'!C53</f>
        <v>9.561057806697308</v>
      </c>
    </row>
    <row r="4" spans="1:8" x14ac:dyDescent="0.25">
      <c r="A4" s="13" t="s">
        <v>38</v>
      </c>
      <c r="B4" s="16" t="str">
        <f ca="1">'Functional Sheet'!D53</f>
        <v>N/A</v>
      </c>
    </row>
    <row r="5" spans="1:8" x14ac:dyDescent="0.25">
      <c r="A5" s="13" t="s">
        <v>34</v>
      </c>
      <c r="B5" s="16">
        <f ca="1">'Working Sheet'!E79</f>
        <v>5.7617037944411669</v>
      </c>
    </row>
    <row r="6" spans="1:8" x14ac:dyDescent="0.25">
      <c r="A6" s="13" t="s">
        <v>41</v>
      </c>
      <c r="B6" s="16">
        <f>'Functional Sheet'!B34</f>
        <v>2</v>
      </c>
    </row>
    <row r="7" spans="1:8" x14ac:dyDescent="0.25">
      <c r="A7" s="13" t="s">
        <v>42</v>
      </c>
      <c r="B7" s="16">
        <f>'Functional Sheet'!B35</f>
        <v>15</v>
      </c>
    </row>
    <row r="8" spans="1:8" x14ac:dyDescent="0.25">
      <c r="B8" s="5"/>
    </row>
    <row r="10" spans="1:8" x14ac:dyDescent="0.25">
      <c r="A10" s="13" t="s">
        <v>44</v>
      </c>
      <c r="B10" s="10">
        <f ca="1">IF(B3&lt;&gt;"N/A",(IF(B2&lt;=B3,((B2-B3)/(B6-B3)),0)),0)</f>
        <v>0</v>
      </c>
    </row>
    <row r="11" spans="1:8" x14ac:dyDescent="0.25">
      <c r="A11" s="13" t="s">
        <v>45</v>
      </c>
      <c r="B11" s="10">
        <f ca="1">IF(B4&lt;&gt;"N/A",(IF(B2&gt;=B4,((B2-B4)/(B7-B4)),0)),0)</f>
        <v>0</v>
      </c>
    </row>
    <row r="12" spans="1:8" x14ac:dyDescent="0.25">
      <c r="A12" s="13" t="s">
        <v>46</v>
      </c>
      <c r="B12" s="10">
        <f ca="1">IF(B4&lt;&gt;"N/A",IF(AND(B3&lt;B2,B2&lt;B4),(B2-B5)/(B3-B5),0),IF(B2&gt;B3,(B2-B5)/(B3-B5),0))</f>
        <v>6.3795835100834921</v>
      </c>
    </row>
    <row r="13" spans="1:8" x14ac:dyDescent="0.25">
      <c r="D13" s="74" t="s">
        <v>52</v>
      </c>
      <c r="E13" s="74"/>
      <c r="G13" s="74" t="s">
        <v>54</v>
      </c>
      <c r="H13" s="74"/>
    </row>
    <row r="14" spans="1:8" x14ac:dyDescent="0.25">
      <c r="A14" s="74" t="s">
        <v>49</v>
      </c>
      <c r="B14" s="74"/>
      <c r="D14" s="13" t="s">
        <v>43</v>
      </c>
      <c r="E14" s="10">
        <v>0</v>
      </c>
      <c r="G14" s="13" t="s">
        <v>43</v>
      </c>
      <c r="H14" s="10">
        <f ca="1">B11</f>
        <v>0</v>
      </c>
    </row>
    <row r="15" spans="1:8" x14ac:dyDescent="0.25">
      <c r="A15" s="13" t="s">
        <v>43</v>
      </c>
      <c r="B15" s="10">
        <f ca="1">B10</f>
        <v>0</v>
      </c>
      <c r="D15" s="13" t="s">
        <v>53</v>
      </c>
      <c r="E15" s="10">
        <f ca="1">B12</f>
        <v>6.3795835100834921</v>
      </c>
      <c r="G15" s="13" t="s">
        <v>50</v>
      </c>
      <c r="H15" s="10">
        <f ca="1">IF(B4&lt;&gt;"N/A",(IF(B2&gt;=B4,1-H14,0)),0)</f>
        <v>0</v>
      </c>
    </row>
    <row r="16" spans="1:8" x14ac:dyDescent="0.25">
      <c r="A16" s="13" t="s">
        <v>50</v>
      </c>
      <c r="B16" s="10">
        <f ca="1">IF(B3&lt;&gt;"N/A",(IF(B2&lt;=B3,1-B15,0)),0)</f>
        <v>0</v>
      </c>
      <c r="D16" s="13" t="s">
        <v>79</v>
      </c>
      <c r="E16" s="10">
        <f ca="1">IF(B4&lt;&gt;"N/A",(IF(AND(B3&lt;B2,B2&lt;B4),1-E15,0)),(IF(B2&gt;B3,1-E15,0)))</f>
        <v>-5.3795835100834921</v>
      </c>
    </row>
    <row r="17" spans="1:11" x14ac:dyDescent="0.25">
      <c r="D17" s="4"/>
      <c r="E17" s="3"/>
    </row>
    <row r="18" spans="1:11" x14ac:dyDescent="0.25">
      <c r="G18" s="74" t="s">
        <v>47</v>
      </c>
      <c r="H18" s="74"/>
      <c r="J18" s="74" t="s">
        <v>72</v>
      </c>
      <c r="K18" s="74"/>
    </row>
    <row r="19" spans="1:11" x14ac:dyDescent="0.25">
      <c r="A19" s="74" t="s">
        <v>47</v>
      </c>
      <c r="B19" s="74"/>
      <c r="D19" s="74" t="s">
        <v>47</v>
      </c>
      <c r="E19" s="74"/>
      <c r="G19" s="13" t="s">
        <v>1</v>
      </c>
      <c r="H19" s="10">
        <f ca="1">IF('Functional Sheet'!D40&lt;&gt;"N/A",$H$15*'Functional Sheet'!D40,0)</f>
        <v>0</v>
      </c>
      <c r="J19" s="13" t="s">
        <v>1</v>
      </c>
      <c r="K19" s="10">
        <f t="shared" ref="K19:K27" ca="1" si="0">IF($B$3&lt;&gt;"N/A",B20+E20+H19,"N/A")</f>
        <v>0.46951217381534838</v>
      </c>
    </row>
    <row r="20" spans="1:11" x14ac:dyDescent="0.25">
      <c r="A20" s="13" t="s">
        <v>1</v>
      </c>
      <c r="B20" s="10">
        <f ca="1">IF($B$3&lt;&gt;"N/A",$B$16*'Functional Sheet'!C40,0)</f>
        <v>0</v>
      </c>
      <c r="D20" s="13" t="s">
        <v>1</v>
      </c>
      <c r="E20" s="10">
        <f ca="1">IF('Target E_R'!$B$3&lt;&gt;"N/A",'Target E_R'!$E$15*'Functional Sheet'!C40+'Target E_R'!$E$16*'Working Sheet'!E66,0)</f>
        <v>0.46951217381534838</v>
      </c>
      <c r="G20" s="13" t="s">
        <v>2</v>
      </c>
      <c r="H20" s="10">
        <f ca="1">IF('Functional Sheet'!D41&lt;&gt;"N/A",$H$15*'Functional Sheet'!D41,0)</f>
        <v>0</v>
      </c>
      <c r="J20" s="13" t="s">
        <v>2</v>
      </c>
      <c r="K20" s="10">
        <f t="shared" ca="1" si="0"/>
        <v>0.14878665108821976</v>
      </c>
    </row>
    <row r="21" spans="1:11" x14ac:dyDescent="0.25">
      <c r="A21" s="13" t="s">
        <v>2</v>
      </c>
      <c r="B21" s="10">
        <f ca="1">IF($B$3&lt;&gt;"N/A",$B$16*'Functional Sheet'!C41,0)</f>
        <v>0</v>
      </c>
      <c r="D21" s="13" t="s">
        <v>2</v>
      </c>
      <c r="E21" s="10">
        <f ca="1">IF('Target E_R'!$B$3&lt;&gt;"N/A",'Target E_R'!$E$15*'Functional Sheet'!C41+'Target E_R'!$E$16*'Working Sheet'!E67,0)</f>
        <v>0.14878665108821976</v>
      </c>
      <c r="G21" s="13" t="s">
        <v>3</v>
      </c>
      <c r="H21" s="10">
        <f ca="1">IF('Functional Sheet'!D42&lt;&gt;"N/A",$H$15*'Functional Sheet'!D42,0)</f>
        <v>0</v>
      </c>
      <c r="J21" s="13" t="s">
        <v>3</v>
      </c>
      <c r="K21" s="10">
        <f t="shared" ca="1" si="0"/>
        <v>0.79367110122614259</v>
      </c>
    </row>
    <row r="22" spans="1:11" x14ac:dyDescent="0.25">
      <c r="A22" s="13" t="s">
        <v>3</v>
      </c>
      <c r="B22" s="10">
        <f ca="1">IF($B$3&lt;&gt;"N/A",$B$16*'Functional Sheet'!C42,0)</f>
        <v>0</v>
      </c>
      <c r="D22" s="13" t="s">
        <v>3</v>
      </c>
      <c r="E22" s="10">
        <f ca="1">IF('Target E_R'!$B$3&lt;&gt;"N/A",'Target E_R'!$E$15*'Functional Sheet'!C42+'Target E_R'!$E$16*'Working Sheet'!E68,0)</f>
        <v>0.79367110122614259</v>
      </c>
      <c r="G22" s="13" t="s">
        <v>4</v>
      </c>
      <c r="H22" s="10">
        <f ca="1">IF('Functional Sheet'!D43&lt;&gt;"N/A",$H$15*'Functional Sheet'!D43,0)</f>
        <v>0</v>
      </c>
      <c r="J22" s="13" t="s">
        <v>4</v>
      </c>
      <c r="K22" s="10">
        <f t="shared" ca="1" si="0"/>
        <v>1.0364871941747043</v>
      </c>
    </row>
    <row r="23" spans="1:11" x14ac:dyDescent="0.25">
      <c r="A23" s="13" t="s">
        <v>4</v>
      </c>
      <c r="B23" s="10">
        <f ca="1">IF($B$3&lt;&gt;"N/A",$B$16*'Functional Sheet'!C43,0)</f>
        <v>0</v>
      </c>
      <c r="D23" s="13" t="s">
        <v>4</v>
      </c>
      <c r="E23" s="10">
        <f ca="1">IF('Target E_R'!$B$3&lt;&gt;"N/A",'Target E_R'!$E$15*'Functional Sheet'!C43+'Target E_R'!$E$16*'Working Sheet'!E69,0)</f>
        <v>1.0364871941747043</v>
      </c>
      <c r="G23" s="13" t="s">
        <v>5</v>
      </c>
      <c r="H23" s="10">
        <f ca="1">IF('Functional Sheet'!D44&lt;&gt;"N/A",$H$15*'Functional Sheet'!D44,0)</f>
        <v>0</v>
      </c>
      <c r="J23" s="13" t="s">
        <v>5</v>
      </c>
      <c r="K23" s="10">
        <f t="shared" ca="1" si="0"/>
        <v>1.6776692039908849</v>
      </c>
    </row>
    <row r="24" spans="1:11" x14ac:dyDescent="0.25">
      <c r="A24" s="13" t="s">
        <v>5</v>
      </c>
      <c r="B24" s="10">
        <f ca="1">IF($B$3&lt;&gt;"N/A",$B$16*'Functional Sheet'!C44,0)</f>
        <v>0</v>
      </c>
      <c r="D24" s="13" t="s">
        <v>5</v>
      </c>
      <c r="E24" s="10">
        <f ca="1">IF('Target E_R'!$B$3&lt;&gt;"N/A",'Target E_R'!$E$15*'Functional Sheet'!C44+'Target E_R'!$E$16*'Working Sheet'!E70,0)</f>
        <v>1.6776692039908849</v>
      </c>
      <c r="G24" s="13" t="s">
        <v>6</v>
      </c>
      <c r="H24" s="10">
        <f ca="1">IF('Functional Sheet'!D45&lt;&gt;"N/A",$H$15*'Functional Sheet'!D45,0)</f>
        <v>0</v>
      </c>
      <c r="J24" s="13" t="s">
        <v>6</v>
      </c>
      <c r="K24" s="10">
        <f ca="1">IF($B$3&lt;&gt;"N/A",B25+E25+H24,"N/A")</f>
        <v>0.33340477556958359</v>
      </c>
    </row>
    <row r="25" spans="1:11" x14ac:dyDescent="0.25">
      <c r="A25" s="13" t="s">
        <v>6</v>
      </c>
      <c r="B25" s="10">
        <f ca="1">IF($B$3&lt;&gt;"N/A",$B$16*'Functional Sheet'!C45,0)</f>
        <v>0</v>
      </c>
      <c r="D25" s="13" t="s">
        <v>6</v>
      </c>
      <c r="E25" s="10">
        <f ca="1">IF('Target E_R'!$B$3&lt;&gt;"N/A",'Target E_R'!$E$15*'Functional Sheet'!C45+'Target E_R'!$E$16*'Working Sheet'!E71,0)</f>
        <v>0.33340477556958359</v>
      </c>
      <c r="G25" s="13" t="s">
        <v>7</v>
      </c>
      <c r="H25" s="10">
        <f ca="1">IF('Functional Sheet'!D46&lt;&gt;"N/A",$H$15*'Functional Sheet'!D46,0)</f>
        <v>0</v>
      </c>
      <c r="J25" s="13" t="s">
        <v>7</v>
      </c>
      <c r="K25" s="10">
        <f t="shared" ca="1" si="0"/>
        <v>-3.8491643964023088</v>
      </c>
    </row>
    <row r="26" spans="1:11" x14ac:dyDescent="0.25">
      <c r="A26" s="13" t="s">
        <v>7</v>
      </c>
      <c r="B26" s="10">
        <f ca="1">IF($B$3&lt;&gt;"N/A",$B$16*'Functional Sheet'!C46,0)</f>
        <v>0</v>
      </c>
      <c r="D26" s="13" t="s">
        <v>7</v>
      </c>
      <c r="E26" s="10">
        <f ca="1">IF('Target E_R'!$B$3&lt;&gt;"N/A",'Target E_R'!$E$15*'Functional Sheet'!C46+'Target E_R'!$E$16*'Working Sheet'!E72,0)</f>
        <v>-3.8491643964023088</v>
      </c>
      <c r="G26" s="13" t="s">
        <v>8</v>
      </c>
      <c r="H26" s="10">
        <f ca="1">IF('Functional Sheet'!D47&lt;&gt;"N/A",$H$15*'Functional Sheet'!D47,0)</f>
        <v>0</v>
      </c>
      <c r="J26" s="13" t="s">
        <v>8</v>
      </c>
      <c r="K26" s="10">
        <f t="shared" ca="1" si="0"/>
        <v>0.22160006633168927</v>
      </c>
    </row>
    <row r="27" spans="1:11" x14ac:dyDescent="0.25">
      <c r="A27" s="13" t="s">
        <v>8</v>
      </c>
      <c r="B27" s="10">
        <f ca="1">IF($B$3&lt;&gt;"N/A",$B$16*'Functional Sheet'!C47,0)</f>
        <v>0</v>
      </c>
      <c r="D27" s="13" t="s">
        <v>8</v>
      </c>
      <c r="E27" s="10">
        <f ca="1">IF('Target E_R'!$B$3&lt;&gt;"N/A",'Target E_R'!$E$15*'Functional Sheet'!C47+'Target E_R'!$E$16*'Working Sheet'!E73,0)</f>
        <v>0.22160006633168927</v>
      </c>
      <c r="G27" s="13" t="s">
        <v>9</v>
      </c>
      <c r="H27" s="10">
        <f ca="1">IF('Functional Sheet'!D48&lt;&gt;"N/A",$H$15*'Functional Sheet'!D48,0)</f>
        <v>0</v>
      </c>
      <c r="J27" s="13" t="s">
        <v>9</v>
      </c>
      <c r="K27" s="10">
        <f t="shared" ca="1" si="0"/>
        <v>0.35849093118168196</v>
      </c>
    </row>
    <row r="28" spans="1:11" x14ac:dyDescent="0.25">
      <c r="A28" s="13" t="s">
        <v>9</v>
      </c>
      <c r="B28" s="10">
        <f ca="1">IF($B$3&lt;&gt;"N/A",$B$16*'Functional Sheet'!C48,0)</f>
        <v>0</v>
      </c>
      <c r="D28" s="13" t="s">
        <v>9</v>
      </c>
      <c r="E28" s="10">
        <f ca="1">IF('Target E_R'!$B$3&lt;&gt;"N/A",'Target E_R'!$E$15*'Functional Sheet'!C48+'Target E_R'!$E$16*'Working Sheet'!E74,0)</f>
        <v>0.35849093118168196</v>
      </c>
      <c r="G28" s="13" t="s">
        <v>10</v>
      </c>
      <c r="H28" s="10">
        <f ca="1">IF('Functional Sheet'!D49&lt;&gt;"N/A",$H$15*'Functional Sheet'!D49,0)</f>
        <v>0</v>
      </c>
      <c r="J28" s="13" t="s">
        <v>10</v>
      </c>
      <c r="K28" s="10">
        <f ca="1">IF($B$3&lt;&gt;"N/A",B29+E29+H28,"N/A")</f>
        <v>-0.19045770097594705</v>
      </c>
    </row>
    <row r="29" spans="1:11" x14ac:dyDescent="0.25">
      <c r="A29" s="13" t="s">
        <v>10</v>
      </c>
      <c r="B29" s="10">
        <f ca="1">IF($B$3&lt;&gt;"N/A",$B$16*'Functional Sheet'!C49,0)</f>
        <v>0</v>
      </c>
      <c r="D29" s="13" t="s">
        <v>10</v>
      </c>
      <c r="E29" s="10">
        <f ca="1">IF('Target E_R'!$B$3&lt;&gt;"N/A",'Target E_R'!$E$15*'Functional Sheet'!C49+'Target E_R'!$E$16*'Working Sheet'!E75,0)</f>
        <v>-0.19045770097594705</v>
      </c>
      <c r="G29" s="13" t="s">
        <v>48</v>
      </c>
      <c r="H29" s="10">
        <f ca="1">H14</f>
        <v>0</v>
      </c>
      <c r="J29" s="13" t="s">
        <v>48</v>
      </c>
      <c r="K29" s="10">
        <f ca="1">IF($B$3&lt;&gt;"N/A",B30+E30+H29,"N/A")</f>
        <v>0</v>
      </c>
    </row>
    <row r="30" spans="1:11" x14ac:dyDescent="0.25">
      <c r="A30" s="13" t="s">
        <v>48</v>
      </c>
      <c r="B30" s="10">
        <f ca="1">B15</f>
        <v>0</v>
      </c>
      <c r="D30" s="13" t="s">
        <v>48</v>
      </c>
      <c r="E30" s="10">
        <f>E14</f>
        <v>0</v>
      </c>
    </row>
    <row r="31" spans="1:11" x14ac:dyDescent="0.25">
      <c r="G31" s="13" t="s">
        <v>51</v>
      </c>
      <c r="H31" s="10">
        <f ca="1">SUM(H19:H29)</f>
        <v>0</v>
      </c>
      <c r="J31" s="13" t="s">
        <v>51</v>
      </c>
      <c r="K31" s="10">
        <f ca="1">SUM(K19:K29)</f>
        <v>0.99999999999999811</v>
      </c>
    </row>
    <row r="32" spans="1:11" x14ac:dyDescent="0.25">
      <c r="A32" s="13" t="s">
        <v>51</v>
      </c>
      <c r="B32" s="10">
        <f ca="1">SUM(B20:B30)</f>
        <v>0</v>
      </c>
      <c r="D32" s="13" t="s">
        <v>51</v>
      </c>
      <c r="E32" s="10">
        <f ca="1">SUM(E20:E30)</f>
        <v>0.99999999999999811</v>
      </c>
    </row>
    <row r="34" spans="4:17" x14ac:dyDescent="0.25">
      <c r="G34" s="13" t="s">
        <v>70</v>
      </c>
      <c r="H34" s="10">
        <f ca="1">IF(ISERROR(H38),"N/A",SQRT(H38))</f>
        <v>63.062104290097743</v>
      </c>
    </row>
    <row r="35" spans="4:17" x14ac:dyDescent="0.25">
      <c r="D35" s="13" t="s">
        <v>56</v>
      </c>
      <c r="E35" s="10">
        <f t="array" aca="1" ref="E35:E36" ca="1">IF(B3&lt;&gt;"N/A",(IF(B2&lt;=B3,MMULT(TRANSPOSE(K19:K28),'Functional Sheet'!B40:B49)+'Target E_R'!K29*'Functional Sheet'!B34,0)),0)</f>
        <v>0</v>
      </c>
      <c r="G35" s="13" t="s">
        <v>57</v>
      </c>
    </row>
    <row r="36" spans="4:17" x14ac:dyDescent="0.25">
      <c r="D36" s="13" t="s">
        <v>57</v>
      </c>
      <c r="E36" s="10">
        <f ca="1"/>
        <v>0</v>
      </c>
    </row>
    <row r="37" spans="4:17" x14ac:dyDescent="0.25">
      <c r="D37" s="13" t="s">
        <v>61</v>
      </c>
      <c r="G37" s="13" t="s">
        <v>59</v>
      </c>
      <c r="H37" s="10">
        <f t="array" aca="1" ref="H37:Q37" ca="1">MMULT(TRANSPOSE(K19:K28),'Functional Sheet'!B21:K30)</f>
        <v>-508.08583055253808</v>
      </c>
      <c r="I37" s="10">
        <f ca="1"/>
        <v>-27.559259691642559</v>
      </c>
      <c r="J37" s="10">
        <f ca="1"/>
        <v>292.79178271923695</v>
      </c>
      <c r="K37" s="10">
        <f ca="1"/>
        <v>613.14288424426468</v>
      </c>
      <c r="L37" s="10">
        <f ca="1"/>
        <v>773.31840323597044</v>
      </c>
      <c r="M37" s="10">
        <f ca="1"/>
        <v>-27.559251582304263</v>
      </c>
      <c r="N37" s="10">
        <f ca="1"/>
        <v>-508.08583729926244</v>
      </c>
      <c r="O37" s="10">
        <f ca="1"/>
        <v>-27.559244054411128</v>
      </c>
      <c r="P37" s="10">
        <f ca="1"/>
        <v>132.61628843605644</v>
      </c>
      <c r="Q37" s="10">
        <f ca="1"/>
        <v>-347.91032334606666</v>
      </c>
    </row>
    <row r="38" spans="4:17" x14ac:dyDescent="0.25">
      <c r="G38" s="13" t="s">
        <v>69</v>
      </c>
      <c r="H38" s="10">
        <f ca="1">MMULT(H37:Q37,K19:K28)</f>
        <v>3976.8289974951645</v>
      </c>
    </row>
    <row r="39" spans="4:17" x14ac:dyDescent="0.25">
      <c r="D39" s="13" t="s">
        <v>56</v>
      </c>
      <c r="E39" s="10">
        <f t="array" aca="1" ref="E39:E40" ca="1">IF(B4&lt;&gt;"N/A",(IF(AND(B3&lt;B2,B2&lt;B4),MMULT(TRANSPOSE(K19:K28),'Functional Sheet'!B40:B49),0)),IF(B2&gt;B3,MMULT(TRANSPOSE(K19:K28),'Functional Sheet'!B40:B49),0))</f>
        <v>29.999999999999975</v>
      </c>
    </row>
    <row r="40" spans="4:17" x14ac:dyDescent="0.25">
      <c r="D40" s="13" t="s">
        <v>57</v>
      </c>
      <c r="E40" s="10">
        <f ca="1"/>
        <v>29.999999999999975</v>
      </c>
    </row>
    <row r="41" spans="4:17" x14ac:dyDescent="0.25">
      <c r="D41" s="13" t="s">
        <v>62</v>
      </c>
    </row>
    <row r="43" spans="4:17" x14ac:dyDescent="0.25">
      <c r="D43" s="13" t="s">
        <v>56</v>
      </c>
      <c r="E43" s="10">
        <f t="array" aca="1" ref="E43:E44" ca="1">IF(B4&lt;&gt;"N/A",(IF(B2&gt;=B4,MMULT(TRANSPOSE(K19:K28),'Functional Sheet'!B40:B49)+K29*'Functional Sheet'!B35,0)),0)</f>
        <v>0</v>
      </c>
    </row>
    <row r="44" spans="4:17" x14ac:dyDescent="0.25">
      <c r="D44" s="13" t="s">
        <v>57</v>
      </c>
      <c r="E44" s="10">
        <f ca="1"/>
        <v>0</v>
      </c>
    </row>
    <row r="45" spans="4:17" x14ac:dyDescent="0.25">
      <c r="D45" s="13" t="s">
        <v>63</v>
      </c>
    </row>
    <row r="47" spans="4:17" x14ac:dyDescent="0.25">
      <c r="D47" s="13" t="s">
        <v>64</v>
      </c>
      <c r="E47" s="10">
        <f ca="1">IF(OR(E35&lt;&gt;0,E39&lt;&gt;0,E43&lt;&gt;0),E35+E39+E43,"N/A")</f>
        <v>29.999999999999975</v>
      </c>
    </row>
    <row r="48" spans="4:17" x14ac:dyDescent="0.25">
      <c r="D48" s="13" t="s">
        <v>71</v>
      </c>
    </row>
  </sheetData>
  <mergeCells count="7">
    <mergeCell ref="J18:K18"/>
    <mergeCell ref="A14:B14"/>
    <mergeCell ref="D13:E13"/>
    <mergeCell ref="G13:H13"/>
    <mergeCell ref="A19:B19"/>
    <mergeCell ref="D19:E19"/>
    <mergeCell ref="G18:H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3"/>
  <sheetViews>
    <sheetView showGridLines="0" zoomScaleNormal="100" workbookViewId="0">
      <selection activeCell="D7" sqref="D7"/>
    </sheetView>
  </sheetViews>
  <sheetFormatPr defaultRowHeight="15" x14ac:dyDescent="0.25"/>
  <cols>
    <col min="1" max="1" width="47.5703125" bestFit="1" customWidth="1"/>
    <col min="2" max="2" width="18" bestFit="1" customWidth="1"/>
    <col min="4" max="4" width="45.42578125" bestFit="1" customWidth="1"/>
    <col min="5" max="5" width="8.42578125" bestFit="1" customWidth="1"/>
    <col min="7" max="7" width="44" bestFit="1" customWidth="1"/>
    <col min="10" max="10" width="26" bestFit="1" customWidth="1"/>
  </cols>
  <sheetData>
    <row r="2" spans="1:2" x14ac:dyDescent="0.25">
      <c r="A2" s="13" t="s">
        <v>65</v>
      </c>
      <c r="B2" s="10">
        <f>'Functional Sheet'!B37</f>
        <v>40</v>
      </c>
    </row>
    <row r="3" spans="1:2" x14ac:dyDescent="0.25">
      <c r="A3" s="13" t="s">
        <v>30</v>
      </c>
      <c r="B3" s="16">
        <f ca="1">'Functional Sheet'!C54</f>
        <v>13.778222713731228</v>
      </c>
    </row>
    <row r="4" spans="1:2" x14ac:dyDescent="0.25">
      <c r="A4" s="13" t="s">
        <v>40</v>
      </c>
      <c r="B4" s="16" t="str">
        <f ca="1">'Functional Sheet'!D54</f>
        <v>N/A</v>
      </c>
    </row>
    <row r="5" spans="1:2" x14ac:dyDescent="0.25">
      <c r="A5" s="13" t="s">
        <v>73</v>
      </c>
      <c r="B5" s="16">
        <f ca="1">'Working Sheet'!E86</f>
        <v>9.7183876585756028</v>
      </c>
    </row>
    <row r="6" spans="1:2" x14ac:dyDescent="0.25">
      <c r="A6" s="13" t="s">
        <v>29</v>
      </c>
      <c r="B6" s="18">
        <f ca="1">(B3)^2</f>
        <v>189.83942114917915</v>
      </c>
    </row>
    <row r="7" spans="1:2" x14ac:dyDescent="0.25">
      <c r="A7" s="13" t="s">
        <v>35</v>
      </c>
      <c r="B7" s="19">
        <f ca="1">(B5)^2</f>
        <v>94.447058682354594</v>
      </c>
    </row>
    <row r="8" spans="1:2" x14ac:dyDescent="0.25">
      <c r="A8" s="13" t="s">
        <v>41</v>
      </c>
      <c r="B8" s="16">
        <f>'Functional Sheet'!B34</f>
        <v>2</v>
      </c>
    </row>
    <row r="9" spans="1:2" x14ac:dyDescent="0.25">
      <c r="A9" s="13" t="s">
        <v>42</v>
      </c>
      <c r="B9" s="16">
        <f>'Functional Sheet'!B35</f>
        <v>15</v>
      </c>
    </row>
    <row r="10" spans="1:2" x14ac:dyDescent="0.25">
      <c r="A10" s="13" t="s">
        <v>74</v>
      </c>
      <c r="B10" s="16">
        <f t="array" aca="1" ref="B10:B11" ca="1">MMULT(MMULT(TRANSPOSE('Functional Sheet'!C40:C49),'Functional Sheet'!B21:K30),'Working Sheet'!E66:E75)</f>
        <v>94.447058682354566</v>
      </c>
    </row>
    <row r="11" spans="1:2" x14ac:dyDescent="0.25">
      <c r="A11" s="13"/>
      <c r="B11" s="16">
        <f ca="1"/>
        <v>94.447058682354566</v>
      </c>
    </row>
    <row r="12" spans="1:2" x14ac:dyDescent="0.25">
      <c r="A12" s="13" t="s">
        <v>75</v>
      </c>
      <c r="B12" s="16">
        <f ca="1">B6+B7-2*B10</f>
        <v>95.392362466824579</v>
      </c>
    </row>
    <row r="13" spans="1:2" x14ac:dyDescent="0.25">
      <c r="A13" s="13" t="s">
        <v>76</v>
      </c>
      <c r="B13" s="16">
        <f ca="1">-2*B7+2*B10</f>
        <v>0</v>
      </c>
    </row>
    <row r="14" spans="1:2" x14ac:dyDescent="0.25">
      <c r="A14" s="13" t="s">
        <v>77</v>
      </c>
      <c r="B14" s="16">
        <f ca="1">B7-B2^2</f>
        <v>-1505.5529413176455</v>
      </c>
    </row>
    <row r="15" spans="1:2" x14ac:dyDescent="0.25">
      <c r="A15" s="20"/>
      <c r="B15" s="3"/>
    </row>
    <row r="16" spans="1:2" x14ac:dyDescent="0.25">
      <c r="A16" s="13" t="s">
        <v>44</v>
      </c>
      <c r="B16" s="10">
        <f ca="1">IF(B3&lt;&gt;"N/A",IF(B2&lt;=B3,1-B2/B3,0),0)</f>
        <v>0</v>
      </c>
    </row>
    <row r="17" spans="1:11" x14ac:dyDescent="0.25">
      <c r="A17" s="13" t="s">
        <v>45</v>
      </c>
      <c r="B17" s="10">
        <f ca="1">IF(B4&lt;&gt;"N/A",IF(B2&gt;=B4,1-B2/B4,0),0)</f>
        <v>0</v>
      </c>
      <c r="G17" s="74" t="s">
        <v>54</v>
      </c>
      <c r="H17" s="74"/>
    </row>
    <row r="18" spans="1:11" x14ac:dyDescent="0.25">
      <c r="A18" s="13" t="s">
        <v>46</v>
      </c>
      <c r="B18" s="10">
        <f ca="1">IF(B4&lt;&gt;"N/A",IF(AND(B3&lt;B2,B2&lt;B4),(-B13+SQRT(B13^2-4*B12*B14))/(2*B12),0),IF(B2&gt;B3,(-B13+SQRT(B13^2-4*B12*B14))/(2*B12),0))</f>
        <v>3.972749791639266</v>
      </c>
      <c r="G18" s="13" t="s">
        <v>43</v>
      </c>
      <c r="H18" s="10">
        <f ca="1">B17</f>
        <v>0</v>
      </c>
    </row>
    <row r="19" spans="1:11" x14ac:dyDescent="0.25">
      <c r="B19" s="17"/>
      <c r="G19" s="13" t="s">
        <v>50</v>
      </c>
      <c r="H19" s="10">
        <f ca="1">IF(B4&lt;&gt;"N/A",IF(B2&gt;=B4,1-H18,0),0)</f>
        <v>0</v>
      </c>
    </row>
    <row r="21" spans="1:11" x14ac:dyDescent="0.25">
      <c r="A21" s="74" t="s">
        <v>49</v>
      </c>
      <c r="B21" s="74"/>
      <c r="D21" s="74" t="s">
        <v>52</v>
      </c>
      <c r="E21" s="74"/>
      <c r="G21" s="74" t="s">
        <v>47</v>
      </c>
      <c r="H21" s="74"/>
      <c r="J21" s="74" t="s">
        <v>55</v>
      </c>
      <c r="K21" s="74"/>
    </row>
    <row r="22" spans="1:11" x14ac:dyDescent="0.25">
      <c r="A22" s="13" t="s">
        <v>43</v>
      </c>
      <c r="B22" s="10">
        <f ca="1">B16</f>
        <v>0</v>
      </c>
      <c r="D22" s="13" t="s">
        <v>43</v>
      </c>
      <c r="E22" s="10">
        <v>0</v>
      </c>
      <c r="G22" s="13" t="s">
        <v>1</v>
      </c>
      <c r="H22" s="10">
        <f ca="1">IF('Functional Sheet'!D40&lt;&gt;"N/A",$H$19*'Functional Sheet'!D40,0)</f>
        <v>0</v>
      </c>
      <c r="J22" s="13" t="s">
        <v>1</v>
      </c>
      <c r="K22" s="10">
        <f ca="1">IF($B$3&lt;&gt;"N/A",B26+E26+H22,"N/A")</f>
        <v>0.35267764552340908</v>
      </c>
    </row>
    <row r="23" spans="1:11" x14ac:dyDescent="0.25">
      <c r="A23" s="13" t="s">
        <v>50</v>
      </c>
      <c r="B23" s="10">
        <f ca="1">IF(B3&lt;&gt;"N/A",IF(B2&lt;=B3,1-B22,0),0)</f>
        <v>0</v>
      </c>
      <c r="D23" s="13" t="s">
        <v>53</v>
      </c>
      <c r="E23" s="10">
        <f ca="1">B18</f>
        <v>3.972749791639266</v>
      </c>
      <c r="G23" s="13" t="s">
        <v>2</v>
      </c>
      <c r="H23" s="10">
        <f ca="1">IF('Functional Sheet'!D41&lt;&gt;"N/A",$H$19*'Functional Sheet'!D41,0)</f>
        <v>0</v>
      </c>
      <c r="J23" s="13" t="s">
        <v>2</v>
      </c>
      <c r="K23" s="10">
        <f t="shared" ref="K23:K31" ca="1" si="0">IF($B$3&lt;&gt;"N/A",B27+E27+H23,"N/A")</f>
        <v>0.13480588724671266</v>
      </c>
    </row>
    <row r="24" spans="1:11" x14ac:dyDescent="0.25">
      <c r="D24" s="13" t="s">
        <v>78</v>
      </c>
      <c r="E24" s="10">
        <f ca="1">IF(B4&lt;&gt;"N/A",IF(AND(B3&lt;B2,B2&lt;B4),1-E23,0),IF(B2&gt;B3,1-E23,0))</f>
        <v>-2.972749791639266</v>
      </c>
      <c r="G24" s="13" t="s">
        <v>3</v>
      </c>
      <c r="H24" s="10">
        <f ca="1">IF('Functional Sheet'!D42&lt;&gt;"N/A",$H$19*'Functional Sheet'!D42,0)</f>
        <v>0</v>
      </c>
      <c r="J24" s="13" t="s">
        <v>3</v>
      </c>
      <c r="K24" s="10">
        <f t="shared" ca="1" si="0"/>
        <v>0.53265679600625937</v>
      </c>
    </row>
    <row r="25" spans="1:11" x14ac:dyDescent="0.25">
      <c r="A25" s="74" t="s">
        <v>47</v>
      </c>
      <c r="B25" s="74"/>
      <c r="D25" s="74" t="s">
        <v>47</v>
      </c>
      <c r="E25" s="74"/>
      <c r="G25" s="13" t="s">
        <v>4</v>
      </c>
      <c r="H25" s="10">
        <f ca="1">IF('Functional Sheet'!D43&lt;&gt;"N/A",$H$19*'Functional Sheet'!D43,0)</f>
        <v>0</v>
      </c>
      <c r="J25" s="13" t="s">
        <v>4</v>
      </c>
      <c r="K25" s="10">
        <f t="shared" ca="1" si="0"/>
        <v>0.69155962259213832</v>
      </c>
    </row>
    <row r="26" spans="1:11" x14ac:dyDescent="0.25">
      <c r="A26" s="13" t="s">
        <v>1</v>
      </c>
      <c r="B26" s="10">
        <f ca="1">IF($B$3&lt;&gt;"N/A",$B$23*'Functional Sheet'!C40,0)</f>
        <v>0</v>
      </c>
      <c r="D26" s="13" t="s">
        <v>1</v>
      </c>
      <c r="E26" s="10">
        <f ca="1">IF($B$3&lt;&gt;"N/A",$E$23*'Functional Sheet'!C40+$E$24*'Working Sheet'!E66,0)</f>
        <v>0.35267764552340908</v>
      </c>
      <c r="G26" s="13" t="s">
        <v>5</v>
      </c>
      <c r="H26" s="10">
        <f ca="1">IF('Functional Sheet'!D44&lt;&gt;"N/A",$H$19*'Functional Sheet'!D44,0)</f>
        <v>0</v>
      </c>
      <c r="J26" s="13" t="s">
        <v>5</v>
      </c>
      <c r="K26" s="10">
        <f t="shared" ca="1" si="0"/>
        <v>1.0868346469213019</v>
      </c>
    </row>
    <row r="27" spans="1:11" x14ac:dyDescent="0.25">
      <c r="A27" s="13" t="s">
        <v>2</v>
      </c>
      <c r="B27" s="10">
        <f ca="1">IF($B$3&lt;&gt;"N/A",$B$23*'Functional Sheet'!C41,0)</f>
        <v>0</v>
      </c>
      <c r="D27" s="13" t="s">
        <v>2</v>
      </c>
      <c r="E27" s="10">
        <f ca="1">IF($B$3&lt;&gt;"N/A",$E$23*'Functional Sheet'!C41+$E$24*'Working Sheet'!E67,0)</f>
        <v>0.13480588724671266</v>
      </c>
      <c r="G27" s="13" t="s">
        <v>6</v>
      </c>
      <c r="H27" s="10">
        <f ca="1">IF('Functional Sheet'!D45&lt;&gt;"N/A",$H$19*'Functional Sheet'!D45,0)</f>
        <v>0</v>
      </c>
      <c r="J27" s="13" t="s">
        <v>6</v>
      </c>
      <c r="K27" s="10">
        <f t="shared" ca="1" si="0"/>
        <v>0.24092954952969758</v>
      </c>
    </row>
    <row r="28" spans="1:11" x14ac:dyDescent="0.25">
      <c r="A28" s="13" t="s">
        <v>3</v>
      </c>
      <c r="B28" s="10">
        <f ca="1">IF($B$3&lt;&gt;"N/A",$B$23*'Functional Sheet'!C42,0)</f>
        <v>0</v>
      </c>
      <c r="D28" s="13" t="s">
        <v>3</v>
      </c>
      <c r="E28" s="10">
        <f ca="1">IF($B$3&lt;&gt;"N/A",$E$23*'Functional Sheet'!C42+$E$24*'Working Sheet'!E68,0)</f>
        <v>0.53265679600625937</v>
      </c>
      <c r="G28" s="13" t="s">
        <v>7</v>
      </c>
      <c r="H28" s="10">
        <f ca="1">IF('Functional Sheet'!D46&lt;&gt;"N/A",$H$19*'Functional Sheet'!D46,0)</f>
        <v>0</v>
      </c>
      <c r="J28" s="13" t="s">
        <v>7</v>
      </c>
      <c r="K28" s="10">
        <f t="shared" ca="1" si="0"/>
        <v>-2.4093282954139821</v>
      </c>
    </row>
    <row r="29" spans="1:11" x14ac:dyDescent="0.25">
      <c r="A29" s="13" t="s">
        <v>4</v>
      </c>
      <c r="B29" s="10">
        <f ca="1">IF($B$3&lt;&gt;"N/A",$B$23*'Functional Sheet'!C43,0)</f>
        <v>0</v>
      </c>
      <c r="D29" s="13" t="s">
        <v>4</v>
      </c>
      <c r="E29" s="10">
        <f ca="1">IF($B$3&lt;&gt;"N/A",$E$23*'Functional Sheet'!C43+$E$24*'Working Sheet'!E69,0)</f>
        <v>0.69155962259213832</v>
      </c>
      <c r="G29" s="13" t="s">
        <v>8</v>
      </c>
      <c r="H29" s="10">
        <f ca="1">IF('Functional Sheet'!D47&lt;&gt;"N/A",$H$19*'Functional Sheet'!D47,0)</f>
        <v>0</v>
      </c>
      <c r="J29" s="13" t="s">
        <v>8</v>
      </c>
      <c r="K29" s="10">
        <f t="shared" ca="1" si="0"/>
        <v>0.18270416628034608</v>
      </c>
    </row>
    <row r="30" spans="1:11" x14ac:dyDescent="0.25">
      <c r="A30" s="13" t="s">
        <v>5</v>
      </c>
      <c r="B30" s="10">
        <f ca="1">IF($B$3&lt;&gt;"N/A",$B$23*'Functional Sheet'!C44,0)</f>
        <v>0</v>
      </c>
      <c r="D30" s="13" t="s">
        <v>5</v>
      </c>
      <c r="E30" s="10">
        <f ca="1">IF($B$3&lt;&gt;"N/A",$E$23*'Functional Sheet'!C44+$E$24*'Working Sheet'!E70,0)</f>
        <v>1.0868346469213019</v>
      </c>
      <c r="G30" s="13" t="s">
        <v>9</v>
      </c>
      <c r="H30" s="10">
        <f ca="1">IF('Functional Sheet'!D48&lt;&gt;"N/A",$H$19*'Functional Sheet'!D48,0)</f>
        <v>0</v>
      </c>
      <c r="J30" s="13" t="s">
        <v>9</v>
      </c>
      <c r="K30" s="10">
        <f t="shared" ca="1" si="0"/>
        <v>0.264743116988161</v>
      </c>
    </row>
    <row r="31" spans="1:11" x14ac:dyDescent="0.25">
      <c r="A31" s="13" t="s">
        <v>6</v>
      </c>
      <c r="B31" s="10">
        <f ca="1">IF($B$3&lt;&gt;"N/A",$B$23*'Functional Sheet'!C45,0)</f>
        <v>0</v>
      </c>
      <c r="D31" s="13" t="s">
        <v>6</v>
      </c>
      <c r="E31" s="10">
        <f ca="1">IF($B$3&lt;&gt;"N/A",$E$23*'Functional Sheet'!C45+$E$24*'Working Sheet'!E71,0)</f>
        <v>0.24092954952969758</v>
      </c>
      <c r="G31" s="13" t="s">
        <v>10</v>
      </c>
      <c r="H31" s="10">
        <f ca="1">IF('Functional Sheet'!D49&lt;&gt;"N/A",$H$19*'Functional Sheet'!D49,0)</f>
        <v>0</v>
      </c>
      <c r="J31" s="13" t="s">
        <v>10</v>
      </c>
      <c r="K31" s="10">
        <f t="shared" ca="1" si="0"/>
        <v>-7.7583135674044762E-2</v>
      </c>
    </row>
    <row r="32" spans="1:11" x14ac:dyDescent="0.25">
      <c r="A32" s="13" t="s">
        <v>7</v>
      </c>
      <c r="B32" s="10">
        <f ca="1">IF($B$3&lt;&gt;"N/A",$B$23*'Functional Sheet'!C46,0)</f>
        <v>0</v>
      </c>
      <c r="D32" s="13" t="s">
        <v>7</v>
      </c>
      <c r="E32" s="10">
        <f ca="1">IF($B$3&lt;&gt;"N/A",$E$23*'Functional Sheet'!C46+$E$24*'Working Sheet'!E72,0)</f>
        <v>-2.4093282954139821</v>
      </c>
      <c r="G32" s="13" t="s">
        <v>48</v>
      </c>
      <c r="H32" s="10">
        <f ca="1">H18</f>
        <v>0</v>
      </c>
      <c r="J32" s="13" t="s">
        <v>48</v>
      </c>
      <c r="K32" s="10">
        <f ca="1">IF($B$3&lt;&gt;"N/A",B36+E36+H32,"N/A")</f>
        <v>0</v>
      </c>
    </row>
    <row r="33" spans="1:17" x14ac:dyDescent="0.25">
      <c r="A33" s="13" t="s">
        <v>8</v>
      </c>
      <c r="B33" s="10">
        <f ca="1">IF($B$3&lt;&gt;"N/A",$B$23*'Functional Sheet'!C47,0)</f>
        <v>0</v>
      </c>
      <c r="D33" s="13" t="s">
        <v>8</v>
      </c>
      <c r="E33" s="10">
        <f ca="1">IF($B$3&lt;&gt;"N/A",$E$23*'Functional Sheet'!C47+$E$24*'Working Sheet'!E73,0)</f>
        <v>0.18270416628034608</v>
      </c>
    </row>
    <row r="34" spans="1:17" x14ac:dyDescent="0.25">
      <c r="A34" s="13" t="s">
        <v>9</v>
      </c>
      <c r="B34" s="10">
        <f ca="1">IF($B$3&lt;&gt;"N/A",$B$23*'Functional Sheet'!C48,0)</f>
        <v>0</v>
      </c>
      <c r="D34" s="13" t="s">
        <v>9</v>
      </c>
      <c r="E34" s="10">
        <f ca="1">IF($B$3&lt;&gt;"N/A",$E$23*'Functional Sheet'!C48+$E$24*'Working Sheet'!E74,0)</f>
        <v>0.264743116988161</v>
      </c>
      <c r="G34" s="13" t="s">
        <v>51</v>
      </c>
      <c r="H34" s="10">
        <f ca="1">SUM(H22:H32)</f>
        <v>0</v>
      </c>
      <c r="J34" s="13" t="s">
        <v>51</v>
      </c>
      <c r="K34" s="10">
        <f ca="1">SUM(K22:K32)</f>
        <v>0.99999999999999944</v>
      </c>
    </row>
    <row r="35" spans="1:17" x14ac:dyDescent="0.25">
      <c r="A35" s="13" t="s">
        <v>10</v>
      </c>
      <c r="B35" s="10">
        <f ca="1">IF($B$3&lt;&gt;"N/A",$B$23*'Functional Sheet'!C49,0)</f>
        <v>0</v>
      </c>
      <c r="D35" s="13" t="s">
        <v>10</v>
      </c>
      <c r="E35" s="10">
        <f ca="1">IF($B$3&lt;&gt;"N/A",$E$23*'Functional Sheet'!C49+$E$24*'Working Sheet'!E75,0)</f>
        <v>-7.7583135674044762E-2</v>
      </c>
    </row>
    <row r="36" spans="1:17" x14ac:dyDescent="0.25">
      <c r="A36" s="13" t="s">
        <v>48</v>
      </c>
      <c r="B36" s="10">
        <f ca="1">B22</f>
        <v>0</v>
      </c>
      <c r="D36" s="13" t="s">
        <v>48</v>
      </c>
      <c r="E36" s="10">
        <f>E22</f>
        <v>0</v>
      </c>
    </row>
    <row r="37" spans="1:17" x14ac:dyDescent="0.25">
      <c r="G37" s="13" t="s">
        <v>58</v>
      </c>
      <c r="H37" s="10">
        <f ca="1">IF(ISERROR(H41),"N/A",SQRT(H41))</f>
        <v>39.999999990207243</v>
      </c>
    </row>
    <row r="38" spans="1:17" x14ac:dyDescent="0.25">
      <c r="A38" s="13" t="s">
        <v>51</v>
      </c>
      <c r="B38" s="10">
        <f ca="1">SUM(B26:B36)</f>
        <v>0</v>
      </c>
      <c r="D38" s="13" t="s">
        <v>51</v>
      </c>
      <c r="E38" s="10">
        <f ca="1">SUM(E26:E36)</f>
        <v>0.99999999999999944</v>
      </c>
      <c r="G38" s="13" t="s">
        <v>66</v>
      </c>
    </row>
    <row r="40" spans="1:17" x14ac:dyDescent="0.25">
      <c r="G40" s="13" t="s">
        <v>59</v>
      </c>
      <c r="H40" s="10">
        <f t="array" aca="1" ref="H40:Q40" ca="1">MMULT(TRANSPOSE('Functional Sheet'!F40:F49),'Functional Sheet'!B21:K30)</f>
        <v>-280.76746824447588</v>
      </c>
      <c r="I40" s="10">
        <f ca="1"/>
        <v>18.470222133009777</v>
      </c>
      <c r="J40" s="10">
        <f ca="1"/>
        <v>217.96201172683067</v>
      </c>
      <c r="K40" s="10">
        <f ca="1"/>
        <v>417.45383953550248</v>
      </c>
      <c r="L40" s="10">
        <f ca="1"/>
        <v>517.19973377295878</v>
      </c>
      <c r="M40" s="10">
        <f ca="1"/>
        <v>18.470226342108482</v>
      </c>
      <c r="N40" s="10">
        <f ca="1"/>
        <v>-280.76747269454938</v>
      </c>
      <c r="O40" s="10">
        <f ca="1"/>
        <v>18.470231505771029</v>
      </c>
      <c r="P40" s="10">
        <f ca="1"/>
        <v>118.21613360891716</v>
      </c>
      <c r="Q40" s="10">
        <f ca="1"/>
        <v>-181.02158191639415</v>
      </c>
    </row>
    <row r="41" spans="1:17" x14ac:dyDescent="0.25">
      <c r="D41" s="13" t="s">
        <v>56</v>
      </c>
      <c r="E41" s="10">
        <f t="array" aca="1" ref="E41:E42" ca="1">IF(B3&lt;&gt;"N/A",(IF(B2&lt;=B3,(MMULT(TRANSPOSE(K22:K31),'Functional Sheet'!B40:B49)+'Target SD'!K32*'Target SD'!B8),0)),0)</f>
        <v>0</v>
      </c>
      <c r="G41" s="13" t="s">
        <v>60</v>
      </c>
      <c r="H41" s="10">
        <f ca="1">MMULT(H40:Q40,'Functional Sheet'!F40:F49)</f>
        <v>1599.9999992165792</v>
      </c>
    </row>
    <row r="42" spans="1:17" x14ac:dyDescent="0.25">
      <c r="D42" s="13" t="s">
        <v>66</v>
      </c>
      <c r="E42" s="10">
        <f ca="1"/>
        <v>0</v>
      </c>
    </row>
    <row r="43" spans="1:17" x14ac:dyDescent="0.25">
      <c r="D43" s="13" t="s">
        <v>61</v>
      </c>
    </row>
    <row r="45" spans="1:17" x14ac:dyDescent="0.25">
      <c r="D45" s="13" t="s">
        <v>56</v>
      </c>
      <c r="E45" s="10">
        <f t="array" aca="1" ref="E45:E46" ca="1">IF(B4&lt;&gt;"N/A",IF(AND(B3&lt;B2,B2&lt;B4),MMULT(TRANSPOSE(K22:K31),'Functional Sheet'!B40:B49),0),IF(B2&gt;B3,MMULT(TRANSPOSE(K22:K31),'Functional Sheet'!B40:B49),0))</f>
        <v>20.855586654995548</v>
      </c>
    </row>
    <row r="46" spans="1:17" x14ac:dyDescent="0.25">
      <c r="D46" s="13" t="s">
        <v>66</v>
      </c>
      <c r="E46" s="10">
        <f ca="1"/>
        <v>20.855586654995548</v>
      </c>
    </row>
    <row r="47" spans="1:17" x14ac:dyDescent="0.25">
      <c r="D47" s="13" t="s">
        <v>62</v>
      </c>
    </row>
    <row r="49" spans="4:5" x14ac:dyDescent="0.25">
      <c r="D49" s="13" t="s">
        <v>56</v>
      </c>
      <c r="E49" s="10">
        <f t="array" aca="1" ref="E49:E50" ca="1">IF(B4&lt;&gt;"N/A",IF(B2&gt;=B4,(MMULT(TRANSPOSE(K22:K31),'Functional Sheet'!B40:B49)+'Target SD'!K32*'Target SD'!B9),0),0)</f>
        <v>0</v>
      </c>
    </row>
    <row r="50" spans="4:5" x14ac:dyDescent="0.25">
      <c r="D50" s="13" t="s">
        <v>66</v>
      </c>
      <c r="E50" s="10">
        <f ca="1"/>
        <v>0</v>
      </c>
    </row>
    <row r="51" spans="4:5" x14ac:dyDescent="0.25">
      <c r="D51" s="13" t="s">
        <v>63</v>
      </c>
    </row>
    <row r="53" spans="4:5" x14ac:dyDescent="0.25">
      <c r="D53" s="13" t="s">
        <v>64</v>
      </c>
      <c r="E53" s="10">
        <f ca="1">IF(K34&lt;&gt;0,E41+E45+E49,"N/A")</f>
        <v>20.855586654995548</v>
      </c>
    </row>
  </sheetData>
  <mergeCells count="7">
    <mergeCell ref="J21:K21"/>
    <mergeCell ref="A21:B21"/>
    <mergeCell ref="D21:E21"/>
    <mergeCell ref="G17:H17"/>
    <mergeCell ref="A25:B25"/>
    <mergeCell ref="D25:E25"/>
    <mergeCell ref="G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Disclaimer</vt:lpstr>
      <vt:lpstr>Title</vt:lpstr>
      <vt:lpstr>Functional Sheet</vt:lpstr>
      <vt:lpstr>Working Sheet</vt:lpstr>
      <vt:lpstr>Target E_R</vt:lpstr>
      <vt:lpstr>Target SD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Jason Lim</cp:lastModifiedBy>
  <dcterms:created xsi:type="dcterms:W3CDTF">2016-02-10T07:31:51Z</dcterms:created>
  <dcterms:modified xsi:type="dcterms:W3CDTF">2017-05-26T00:38:23Z</dcterms:modified>
</cp:coreProperties>
</file>