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基础数据分析" sheetId="1" r:id="rId1"/>
  </sheets>
  <externalReferences>
    <externalReference r:id="rId2"/>
  </externalReferences>
  <definedNames>
    <definedName name="_xlnm.Print_Titles" localSheetId="0">基础数据分析!$1:$2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<sst xmlns="http://schemas.openxmlformats.org/spreadsheetml/2006/main" count="195" uniqueCount="106">
  <si>
    <t>编号</t>
  </si>
  <si>
    <t>项目名称</t>
  </si>
  <si>
    <t>单位</t>
  </si>
  <si>
    <t>数量</t>
  </si>
  <si>
    <t xml:space="preserve"> 区域名称</t>
  </si>
  <si>
    <t>备　　注</t>
  </si>
  <si>
    <t>销售原则</t>
  </si>
  <si>
    <t>08号地块</t>
  </si>
  <si>
    <t>19号地块</t>
  </si>
  <si>
    <t>21号地块</t>
  </si>
  <si>
    <t>23、24号地块</t>
  </si>
  <si>
    <t>25号地块</t>
  </si>
  <si>
    <t>一</t>
  </si>
  <si>
    <t>住宅部分</t>
  </si>
  <si>
    <t>5 层住宅(19#地块)    6栋</t>
  </si>
  <si>
    <r>
      <t>ｍ</t>
    </r>
    <r>
      <rPr>
        <vertAlign val="superscript"/>
        <sz val="9"/>
        <rFont val="宋体"/>
        <charset val="134"/>
      </rPr>
      <t>２</t>
    </r>
  </si>
  <si>
    <r>
      <t>剪力墙结构 层高</t>
    </r>
    <r>
      <rPr>
        <b/>
        <sz val="9"/>
        <rFont val="宋体"/>
        <charset val="134"/>
      </rPr>
      <t xml:space="preserve">3.2米  </t>
    </r>
    <r>
      <rPr>
        <sz val="9"/>
        <rFont val="宋体"/>
        <charset val="134"/>
      </rPr>
      <t>叠拼</t>
    </r>
  </si>
  <si>
    <t>可销售</t>
  </si>
  <si>
    <t>7 层住宅(19#地块)    5栋</t>
  </si>
  <si>
    <r>
      <t>剪力墙结构 层高</t>
    </r>
    <r>
      <rPr>
        <b/>
        <sz val="9"/>
        <rFont val="宋体"/>
        <charset val="134"/>
      </rPr>
      <t>3.2米</t>
    </r>
  </si>
  <si>
    <t>8 层住宅(08#地块)    5栋</t>
  </si>
  <si>
    <t>9 层住宅(08#地块)    8栋</t>
  </si>
  <si>
    <t>8 层住宅(19#地块)    4栋</t>
  </si>
  <si>
    <t>9 层住宅(19#地块)    14栋</t>
  </si>
  <si>
    <t>7 层板楼住宅         1栋</t>
  </si>
  <si>
    <r>
      <t>剪力墙结构 层高</t>
    </r>
    <r>
      <rPr>
        <b/>
        <sz val="9"/>
        <rFont val="宋体"/>
        <charset val="134"/>
      </rPr>
      <t>3米</t>
    </r>
  </si>
  <si>
    <t>9 层板楼住宅         1栋</t>
  </si>
  <si>
    <t>11层板楼住宅         3栋</t>
  </si>
  <si>
    <t>13~15层板楼住宅     1/3栋</t>
  </si>
  <si>
    <t>住宅部分合计</t>
  </si>
  <si>
    <t>二</t>
  </si>
  <si>
    <t>车库部分</t>
  </si>
  <si>
    <t xml:space="preserve">人防车库    </t>
  </si>
  <si>
    <t>层高３.6米</t>
  </si>
  <si>
    <t>不可销售</t>
  </si>
  <si>
    <t>非人防车库</t>
  </si>
  <si>
    <t>车库部分合计</t>
  </si>
  <si>
    <t>三</t>
  </si>
  <si>
    <t>配套设施</t>
  </si>
  <si>
    <t>会所</t>
  </si>
  <si>
    <t>框架结构2层,层高为4.2米</t>
  </si>
  <si>
    <t>配套建筑合计</t>
  </si>
  <si>
    <t>四</t>
  </si>
  <si>
    <t>商业公建部分</t>
  </si>
  <si>
    <t>首层商铺</t>
  </si>
  <si>
    <t>框剪结构  6米/1</t>
  </si>
  <si>
    <t>商业部分合计</t>
  </si>
  <si>
    <r>
      <t xml:space="preserve">公建  </t>
    </r>
    <r>
      <rPr>
        <b/>
        <sz val="9"/>
        <rFont val="宋体"/>
        <charset val="134"/>
      </rPr>
      <t xml:space="preserve">2 </t>
    </r>
    <r>
      <rPr>
        <sz val="9"/>
        <rFont val="宋体"/>
        <charset val="134"/>
      </rPr>
      <t>层          2栋</t>
    </r>
  </si>
  <si>
    <t>框架结构  层高4.2米</t>
  </si>
  <si>
    <r>
      <t xml:space="preserve">公建  </t>
    </r>
    <r>
      <rPr>
        <b/>
        <sz val="9"/>
        <rFont val="宋体"/>
        <charset val="134"/>
      </rPr>
      <t>10</t>
    </r>
    <r>
      <rPr>
        <sz val="9"/>
        <rFont val="宋体"/>
        <charset val="134"/>
      </rPr>
      <t>层          3栋</t>
    </r>
  </si>
  <si>
    <t>框剪结构  层高3米</t>
  </si>
  <si>
    <r>
      <t xml:space="preserve">公建  </t>
    </r>
    <r>
      <rPr>
        <b/>
        <sz val="9"/>
        <rFont val="宋体"/>
        <charset val="134"/>
      </rPr>
      <t>16~18</t>
    </r>
    <r>
      <rPr>
        <sz val="9"/>
        <rFont val="宋体"/>
        <charset val="134"/>
      </rPr>
      <t>层      3栋</t>
    </r>
  </si>
  <si>
    <t>公建部分合计</t>
  </si>
  <si>
    <t>五</t>
  </si>
  <si>
    <t>总建筑面积</t>
  </si>
  <si>
    <r>
      <t>容积率　</t>
    </r>
    <r>
      <rPr>
        <b/>
        <sz val="9"/>
        <rFont val="宋体"/>
        <charset val="134"/>
      </rPr>
      <t>1.61</t>
    </r>
  </si>
  <si>
    <t>地上建筑面积</t>
  </si>
  <si>
    <r>
      <t>建筑密度　</t>
    </r>
    <r>
      <rPr>
        <b/>
        <sz val="9"/>
        <rFont val="宋体"/>
        <charset val="134"/>
      </rPr>
      <t>28%</t>
    </r>
    <r>
      <rPr>
        <sz val="9"/>
        <rFont val="宋体"/>
        <charset val="134"/>
      </rPr>
      <t>　</t>
    </r>
  </si>
  <si>
    <r>
      <t xml:space="preserve">        </t>
    </r>
    <r>
      <rPr>
        <b/>
        <sz val="9"/>
        <rFont val="宋体"/>
        <charset val="134"/>
      </rPr>
      <t>其中：住宅地上建筑面积</t>
    </r>
  </si>
  <si>
    <r>
      <t xml:space="preserve">        </t>
    </r>
    <r>
      <rPr>
        <b/>
        <sz val="9"/>
        <rFont val="宋体"/>
        <charset val="134"/>
      </rPr>
      <t>其中：商业地上建筑面积</t>
    </r>
  </si>
  <si>
    <r>
      <t xml:space="preserve">        </t>
    </r>
    <r>
      <rPr>
        <b/>
        <sz val="9"/>
        <rFont val="宋体"/>
        <charset val="134"/>
      </rPr>
      <t>其中：公建地上建筑面积</t>
    </r>
  </si>
  <si>
    <r>
      <t xml:space="preserve">        </t>
    </r>
    <r>
      <rPr>
        <b/>
        <sz val="9"/>
        <rFont val="宋体"/>
        <charset val="134"/>
      </rPr>
      <t>其中：配套地上建筑面积</t>
    </r>
  </si>
  <si>
    <t>单指会所地上面积1500m2</t>
  </si>
  <si>
    <t>地下建筑面积</t>
  </si>
  <si>
    <r>
      <t xml:space="preserve">        </t>
    </r>
    <r>
      <rPr>
        <b/>
        <sz val="9"/>
        <rFont val="宋体"/>
        <charset val="134"/>
      </rPr>
      <t>其中：住宅地下建筑面积</t>
    </r>
  </si>
  <si>
    <r>
      <t xml:space="preserve">        </t>
    </r>
    <r>
      <rPr>
        <b/>
        <sz val="9"/>
        <rFont val="宋体"/>
        <charset val="134"/>
      </rPr>
      <t>其中：商业地下建筑面积</t>
    </r>
  </si>
  <si>
    <r>
      <t xml:space="preserve">        </t>
    </r>
    <r>
      <rPr>
        <b/>
        <sz val="9"/>
        <rFont val="宋体"/>
        <charset val="134"/>
      </rPr>
      <t>其中：公建地下建筑面积</t>
    </r>
  </si>
  <si>
    <r>
      <t xml:space="preserve">        </t>
    </r>
    <r>
      <rPr>
        <b/>
        <sz val="9"/>
        <rFont val="宋体"/>
        <charset val="134"/>
      </rPr>
      <t>其中：配套地下建筑面积</t>
    </r>
  </si>
  <si>
    <t>单指会所地下室820m2</t>
  </si>
  <si>
    <r>
      <t xml:space="preserve">        </t>
    </r>
    <r>
      <rPr>
        <b/>
        <sz val="9"/>
        <rFont val="宋体"/>
        <charset val="134"/>
      </rPr>
      <t>其中：车库地下建筑面积</t>
    </r>
  </si>
  <si>
    <t>可销售面积</t>
  </si>
  <si>
    <t>其中  可销售住宅面积</t>
  </si>
  <si>
    <t>按住宅地上面积+地下可分摊面积（其中08＃、19#按地下面积的40%计，23#24#按地下面积的20%计）</t>
  </si>
  <si>
    <t xml:space="preserve">      可销售车库面积</t>
  </si>
  <si>
    <t>仅指非人防车库</t>
  </si>
  <si>
    <t xml:space="preserve">      可销售商业面积</t>
  </si>
  <si>
    <t>按商业地上面积</t>
  </si>
  <si>
    <t xml:space="preserve">      可销售公建面积</t>
  </si>
  <si>
    <t>按公建地上面积</t>
  </si>
  <si>
    <t>不可销售面积</t>
  </si>
  <si>
    <t>六</t>
  </si>
  <si>
    <t>园林道路</t>
  </si>
  <si>
    <t>道路面积</t>
  </si>
  <si>
    <t>宽６米</t>
  </si>
  <si>
    <t>园林绿化面积</t>
  </si>
  <si>
    <r>
      <t>绿化率　</t>
    </r>
    <r>
      <rPr>
        <b/>
        <sz val="9"/>
        <rFont val="Times New Roman"/>
        <family val="1"/>
        <charset val="0"/>
      </rPr>
      <t>30</t>
    </r>
    <r>
      <rPr>
        <b/>
        <sz val="9"/>
        <rFont val="宋体"/>
        <charset val="134"/>
      </rPr>
      <t>％</t>
    </r>
  </si>
  <si>
    <t>七</t>
  </si>
  <si>
    <t>电梯</t>
  </si>
  <si>
    <t>台</t>
  </si>
  <si>
    <r>
      <t>蒂森，</t>
    </r>
    <r>
      <rPr>
        <sz val="9"/>
        <rFont val="Times New Roman"/>
        <family val="1"/>
        <charset val="0"/>
      </rPr>
      <t>800</t>
    </r>
    <r>
      <rPr>
        <sz val="9"/>
        <rFont val="宋体"/>
        <charset val="134"/>
      </rPr>
      <t>kg，1.0m/s,按21.5万计</t>
    </r>
  </si>
  <si>
    <r>
      <t>蒂森，</t>
    </r>
    <r>
      <rPr>
        <sz val="9"/>
        <rFont val="Times New Roman"/>
        <family val="1"/>
        <charset val="0"/>
      </rPr>
      <t>800</t>
    </r>
    <r>
      <rPr>
        <sz val="9"/>
        <rFont val="宋体"/>
        <charset val="134"/>
      </rPr>
      <t>kg，1.0m/s,按22万计</t>
    </r>
  </si>
  <si>
    <r>
      <t>蒂森，</t>
    </r>
    <r>
      <rPr>
        <sz val="9"/>
        <rFont val="Times New Roman"/>
        <family val="1"/>
        <charset val="0"/>
      </rPr>
      <t>1000</t>
    </r>
    <r>
      <rPr>
        <sz val="9"/>
        <rFont val="宋体"/>
        <charset val="134"/>
      </rPr>
      <t>kg，1.0m/s,按23万计</t>
    </r>
  </si>
  <si>
    <r>
      <t>蒂森，</t>
    </r>
    <r>
      <rPr>
        <sz val="9"/>
        <rFont val="Times New Roman"/>
        <family val="1"/>
        <charset val="0"/>
      </rPr>
      <t>1000</t>
    </r>
    <r>
      <rPr>
        <sz val="9"/>
        <rFont val="宋体"/>
        <charset val="134"/>
      </rPr>
      <t>kg，1.0m/s,按24.5万计</t>
    </r>
  </si>
  <si>
    <r>
      <t>蒂森，</t>
    </r>
    <r>
      <rPr>
        <sz val="9"/>
        <rFont val="Times New Roman"/>
        <family val="1"/>
        <charset val="0"/>
      </rPr>
      <t>1000</t>
    </r>
    <r>
      <rPr>
        <sz val="9"/>
        <rFont val="宋体"/>
        <charset val="134"/>
      </rPr>
      <t>kg，1.0m/s,按24万计</t>
    </r>
  </si>
  <si>
    <r>
      <t>蒂森，</t>
    </r>
    <r>
      <rPr>
        <sz val="9"/>
        <rFont val="Times New Roman"/>
        <family val="1"/>
        <charset val="0"/>
      </rPr>
      <t>1000</t>
    </r>
    <r>
      <rPr>
        <sz val="9"/>
        <rFont val="宋体"/>
        <charset val="134"/>
      </rPr>
      <t>kg，1.75m/s,按27.5万计</t>
    </r>
  </si>
  <si>
    <r>
      <t>蒂森，</t>
    </r>
    <r>
      <rPr>
        <sz val="9"/>
        <rFont val="Times New Roman"/>
        <family val="1"/>
        <charset val="0"/>
      </rPr>
      <t>1000</t>
    </r>
    <r>
      <rPr>
        <sz val="9"/>
        <rFont val="宋体"/>
        <charset val="134"/>
      </rPr>
      <t>kg，1.75m/s,按31万计</t>
    </r>
  </si>
  <si>
    <t>公建 10层</t>
  </si>
  <si>
    <r>
      <t>蒂森，</t>
    </r>
    <r>
      <rPr>
        <sz val="9"/>
        <rFont val="Times New Roman"/>
        <family val="1"/>
        <charset val="0"/>
      </rPr>
      <t>1000</t>
    </r>
    <r>
      <rPr>
        <sz val="9"/>
        <rFont val="宋体"/>
        <charset val="134"/>
      </rPr>
      <t>kg，1.75m/s,按30万计</t>
    </r>
  </si>
  <si>
    <t>公建 16~18层</t>
  </si>
  <si>
    <r>
      <t>蒂森，</t>
    </r>
    <r>
      <rPr>
        <sz val="9"/>
        <rFont val="Times New Roman"/>
        <family val="1"/>
        <charset val="0"/>
      </rPr>
      <t>1000</t>
    </r>
    <r>
      <rPr>
        <sz val="9"/>
        <rFont val="宋体"/>
        <charset val="134"/>
      </rPr>
      <t>kg，1.75m/s,按34.5万计</t>
    </r>
  </si>
  <si>
    <t>八</t>
  </si>
  <si>
    <t>户数</t>
  </si>
  <si>
    <t>户</t>
  </si>
  <si>
    <t>九</t>
  </si>
  <si>
    <t>变配电设备</t>
  </si>
  <si>
    <t>kva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</si>
</sst>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9"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color indexed="8"/>
      <name val="宋体"/>
      <charset val="134"/>
    </font>
    <font>
      <b/>
      <sz val="9"/>
      <name val="Times New Roman"/>
      <family val="1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9"/>
      <name val="宋体"/>
      <charset val="134"/>
    </font>
    <font>
      <sz val="9"/>
      <name val="Times New Roman"/>
      <family val="1"/>
      <charset val="0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textRotation="255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255"/>
    </xf>
    <xf numFmtId="17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textRotation="255"/>
    </xf>
    <xf numFmtId="0" fontId="4" fillId="2" borderId="0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 wrapText="1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 wrapText="1"/>
    </xf>
    <xf numFmtId="176" fontId="3" fillId="2" borderId="0" xfId="0" applyNumberFormat="1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176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 wrapText="1"/>
    </xf>
    <xf numFmtId="177" fontId="3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77" fontId="3" fillId="4" borderId="0" xfId="0" applyNumberFormat="1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right" vertical="center"/>
    </xf>
    <xf numFmtId="177" fontId="3" fillId="3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4" fillId="2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76" fontId="3" fillId="3" borderId="0" xfId="0" applyNumberFormat="1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10" fontId="3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538;&#21326;&#38598;&#22242;&#30707;&#26223;&#23665;TSM&#39033;&#30446;&#24314;&#31569;&#38754;&#31215;&#27719;&#24635;&#34920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单价分摊"/>
      <sheetName val="地块分摊"/>
      <sheetName val="地块建销面积汇总及费用分摊 (2)"/>
      <sheetName val="地块建销面积汇总及费用分摊"/>
      <sheetName val="预算大表"/>
      <sheetName val="基础数据分析"/>
      <sheetName val="楼座面积汇总表 "/>
      <sheetName val="桩单方计算"/>
      <sheetName val="建筑工程总价分配表"/>
      <sheetName val="系数表"/>
      <sheetName val="不可销售楼座面积表"/>
      <sheetName val="配套公建分项面积表"/>
      <sheetName val="市政配套工程单方指标表"/>
      <sheetName val="楼座不可销售面积汇总表  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J4">
            <v>1890</v>
          </cell>
        </row>
        <row r="4">
          <cell r="P4">
            <v>13624</v>
          </cell>
        </row>
        <row r="10">
          <cell r="J10">
            <v>2812</v>
          </cell>
        </row>
        <row r="10">
          <cell r="P10">
            <v>25671</v>
          </cell>
        </row>
        <row r="11">
          <cell r="H11">
            <v>3333</v>
          </cell>
          <cell r="I11">
            <v>3465</v>
          </cell>
        </row>
        <row r="19">
          <cell r="J19">
            <v>820</v>
          </cell>
        </row>
        <row r="19">
          <cell r="M19">
            <v>1500</v>
          </cell>
        </row>
        <row r="20">
          <cell r="F20">
            <v>4702</v>
          </cell>
          <cell r="G20">
            <v>820</v>
          </cell>
          <cell r="H20">
            <v>3333</v>
          </cell>
          <cell r="I20">
            <v>3465</v>
          </cell>
        </row>
        <row r="20">
          <cell r="K20">
            <v>0</v>
          </cell>
          <cell r="L20">
            <v>3289</v>
          </cell>
          <cell r="M20">
            <v>1500</v>
          </cell>
        </row>
        <row r="20">
          <cell r="P20">
            <v>39295</v>
          </cell>
          <cell r="Q20">
            <v>44084</v>
          </cell>
        </row>
        <row r="21">
          <cell r="J21">
            <v>1692</v>
          </cell>
        </row>
        <row r="21">
          <cell r="P21">
            <v>8622</v>
          </cell>
        </row>
        <row r="28">
          <cell r="J28">
            <v>1215</v>
          </cell>
        </row>
        <row r="28">
          <cell r="P28">
            <v>8535</v>
          </cell>
        </row>
        <row r="34">
          <cell r="J34">
            <v>4896</v>
          </cell>
        </row>
        <row r="34">
          <cell r="P34">
            <v>44752</v>
          </cell>
        </row>
        <row r="49">
          <cell r="F49">
            <v>1196</v>
          </cell>
        </row>
        <row r="49">
          <cell r="P49">
            <v>9140</v>
          </cell>
        </row>
        <row r="54">
          <cell r="F54">
            <v>8999</v>
          </cell>
          <cell r="G54">
            <v>1592</v>
          </cell>
          <cell r="H54">
            <v>5833</v>
          </cell>
          <cell r="I54">
            <v>6376</v>
          </cell>
        </row>
        <row r="54">
          <cell r="L54">
            <v>1592</v>
          </cell>
        </row>
        <row r="54">
          <cell r="P54">
            <v>71049</v>
          </cell>
          <cell r="Q54">
            <v>72641</v>
          </cell>
        </row>
        <row r="55">
          <cell r="J55">
            <v>552</v>
          </cell>
        </row>
        <row r="55">
          <cell r="P55">
            <v>3940</v>
          </cell>
        </row>
        <row r="57">
          <cell r="J57">
            <v>552</v>
          </cell>
        </row>
        <row r="57">
          <cell r="P57">
            <v>7560</v>
          </cell>
        </row>
        <row r="59">
          <cell r="F59">
            <v>1582</v>
          </cell>
        </row>
        <row r="59">
          <cell r="P59">
            <v>19845</v>
          </cell>
        </row>
        <row r="63">
          <cell r="F63">
            <v>4066</v>
          </cell>
        </row>
        <row r="63">
          <cell r="P63">
            <v>31262</v>
          </cell>
        </row>
        <row r="68">
          <cell r="F68">
            <v>6752</v>
          </cell>
          <cell r="G68">
            <v>3748</v>
          </cell>
          <cell r="H68">
            <v>446</v>
          </cell>
          <cell r="I68">
            <v>4054</v>
          </cell>
        </row>
        <row r="68">
          <cell r="L68">
            <v>3748</v>
          </cell>
        </row>
        <row r="68">
          <cell r="P68">
            <v>62607</v>
          </cell>
          <cell r="Q68">
            <v>66355</v>
          </cell>
        </row>
        <row r="69">
          <cell r="F69">
            <v>1800</v>
          </cell>
          <cell r="G69">
            <v>1165</v>
          </cell>
          <cell r="H69">
            <v>790.5</v>
          </cell>
          <cell r="I69">
            <v>1844.5</v>
          </cell>
          <cell r="J69">
            <v>2965</v>
          </cell>
        </row>
        <row r="69">
          <cell r="M69">
            <v>3495</v>
          </cell>
          <cell r="N69">
            <v>18009</v>
          </cell>
        </row>
        <row r="69">
          <cell r="Q69">
            <v>21504</v>
          </cell>
        </row>
        <row r="72">
          <cell r="J72">
            <v>1165</v>
          </cell>
        </row>
        <row r="72">
          <cell r="Q72">
            <v>3495</v>
          </cell>
        </row>
        <row r="74">
          <cell r="F74">
            <v>1590</v>
          </cell>
          <cell r="G74">
            <v>929</v>
          </cell>
          <cell r="H74">
            <v>1584.3</v>
          </cell>
          <cell r="I74">
            <v>3696.7</v>
          </cell>
          <cell r="J74">
            <v>2519</v>
          </cell>
          <cell r="K74">
            <v>530</v>
          </cell>
          <cell r="L74">
            <v>814</v>
          </cell>
          <cell r="M74">
            <v>2787</v>
          </cell>
        </row>
        <row r="74">
          <cell r="O74">
            <v>25970</v>
          </cell>
        </row>
        <row r="74">
          <cell r="Q74">
            <v>30101</v>
          </cell>
        </row>
        <row r="75">
          <cell r="I75">
            <v>3696.7</v>
          </cell>
          <cell r="J75">
            <v>929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tabSelected="1" zoomScaleSheetLayoutView="60" workbookViewId="0">
      <pane xSplit="4" ySplit="2" topLeftCell="E33" activePane="bottomRight" state="frozen"/>
      <selection/>
      <selection pane="topRight"/>
      <selection pane="bottomLeft"/>
      <selection pane="bottomRight" activeCell="G46" sqref="G46"/>
    </sheetView>
  </sheetViews>
  <sheetFormatPr defaultColWidth="8.8" defaultRowHeight="15.6"/>
  <cols>
    <col min="1" max="1" width="5.375" style="5" customWidth="1"/>
    <col min="2" max="2" width="22.5" style="6" customWidth="1"/>
    <col min="3" max="3" width="4.25" style="7" customWidth="1"/>
    <col min="4" max="4" width="10.875" style="8" customWidth="1"/>
    <col min="5" max="5" width="9.5" style="8" customWidth="1"/>
    <col min="6" max="6" width="9.875" style="9" customWidth="1"/>
    <col min="7" max="7" width="8.875" style="8" customWidth="1"/>
    <col min="8" max="8" width="10.75" style="8" customWidth="1"/>
    <col min="9" max="9" width="9.25" style="8" customWidth="1"/>
    <col min="10" max="10" width="25" style="7" customWidth="1"/>
    <col min="11" max="11" width="9.625" style="10" customWidth="1"/>
  </cols>
  <sheetData>
    <row r="1" spans="1:11">
      <c r="A1" s="11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/>
      <c r="G1" s="14"/>
      <c r="H1" s="14"/>
      <c r="I1" s="14"/>
      <c r="J1" s="12" t="s">
        <v>5</v>
      </c>
      <c r="K1" s="28" t="s">
        <v>6</v>
      </c>
    </row>
    <row r="2" spans="1:11">
      <c r="A2" s="15"/>
      <c r="B2" s="16"/>
      <c r="C2" s="15"/>
      <c r="D2" s="17"/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6"/>
      <c r="K2" s="28"/>
    </row>
    <row r="3" s="1" customFormat="1" spans="1:11">
      <c r="A3" s="19" t="s">
        <v>12</v>
      </c>
      <c r="B3" s="20" t="s">
        <v>13</v>
      </c>
      <c r="C3" s="19"/>
      <c r="D3" s="21"/>
      <c r="E3" s="22"/>
      <c r="F3" s="22"/>
      <c r="G3" s="22"/>
      <c r="H3" s="22"/>
      <c r="I3" s="22"/>
      <c r="J3" s="20"/>
      <c r="K3" s="30"/>
    </row>
    <row r="4" s="2" customFormat="1" spans="1:11">
      <c r="A4" s="23">
        <v>1</v>
      </c>
      <c r="B4" s="24" t="s">
        <v>14</v>
      </c>
      <c r="C4" s="25" t="s">
        <v>15</v>
      </c>
      <c r="D4" s="26">
        <f t="shared" ref="D4:D13" si="0">E4+F4+G4+H4+I4</f>
        <v>10314</v>
      </c>
      <c r="E4" s="27"/>
      <c r="F4" s="27">
        <f>'[1]楼座面积汇总表 '!P21+'[1]楼座面积汇总表 '!J21</f>
        <v>10314</v>
      </c>
      <c r="G4" s="27"/>
      <c r="H4" s="27"/>
      <c r="I4" s="27"/>
      <c r="J4" s="53" t="s">
        <v>16</v>
      </c>
      <c r="K4" s="25" t="s">
        <v>17</v>
      </c>
    </row>
    <row r="5" spans="1:11">
      <c r="A5" s="28">
        <v>2</v>
      </c>
      <c r="B5" s="24" t="s">
        <v>18</v>
      </c>
      <c r="C5" s="10" t="s">
        <v>15</v>
      </c>
      <c r="D5" s="26">
        <f t="shared" si="0"/>
        <v>9750</v>
      </c>
      <c r="E5" s="29"/>
      <c r="F5" s="27">
        <f>'[1]楼座面积汇总表 '!P28+'[1]楼座面积汇总表 '!J28</f>
        <v>9750</v>
      </c>
      <c r="G5" s="29"/>
      <c r="H5" s="29"/>
      <c r="I5" s="29"/>
      <c r="J5" s="37" t="s">
        <v>19</v>
      </c>
      <c r="K5" s="10" t="s">
        <v>17</v>
      </c>
    </row>
    <row r="6" spans="1:11">
      <c r="A6" s="28">
        <v>3</v>
      </c>
      <c r="B6" s="24" t="s">
        <v>20</v>
      </c>
      <c r="C6" s="10" t="s">
        <v>15</v>
      </c>
      <c r="D6" s="26">
        <f t="shared" si="0"/>
        <v>15514</v>
      </c>
      <c r="E6" s="29">
        <f>'[1]楼座面积汇总表 '!P4+'[1]楼座面积汇总表 '!J4</f>
        <v>15514</v>
      </c>
      <c r="F6" s="27"/>
      <c r="G6" s="27"/>
      <c r="H6" s="29"/>
      <c r="I6" s="29"/>
      <c r="J6" s="37" t="s">
        <v>19</v>
      </c>
      <c r="K6" s="10" t="s">
        <v>17</v>
      </c>
    </row>
    <row r="7" spans="1:11">
      <c r="A7" s="28">
        <v>4</v>
      </c>
      <c r="B7" s="24" t="s">
        <v>21</v>
      </c>
      <c r="C7" s="10" t="s">
        <v>15</v>
      </c>
      <c r="D7" s="26">
        <f t="shared" si="0"/>
        <v>28483</v>
      </c>
      <c r="E7" s="29">
        <f>'[1]楼座面积汇总表 '!P10+'[1]楼座面积汇总表 '!J10</f>
        <v>28483</v>
      </c>
      <c r="F7" s="27"/>
      <c r="G7" s="29"/>
      <c r="H7" s="29"/>
      <c r="I7" s="29"/>
      <c r="J7" s="37" t="s">
        <v>19</v>
      </c>
      <c r="K7" s="10" t="s">
        <v>17</v>
      </c>
    </row>
    <row r="8" spans="1:11">
      <c r="A8" s="28">
        <v>5</v>
      </c>
      <c r="B8" s="24" t="s">
        <v>22</v>
      </c>
      <c r="C8" s="10" t="s">
        <v>15</v>
      </c>
      <c r="D8" s="26">
        <f t="shared" si="0"/>
        <v>10336</v>
      </c>
      <c r="E8" s="29"/>
      <c r="F8" s="27">
        <f>'[1]楼座面积汇总表 '!P49+'[1]楼座面积汇总表 '!F49</f>
        <v>10336</v>
      </c>
      <c r="G8" s="29"/>
      <c r="H8" s="29"/>
      <c r="I8" s="29"/>
      <c r="J8" s="37" t="s">
        <v>19</v>
      </c>
      <c r="K8" s="10" t="s">
        <v>17</v>
      </c>
    </row>
    <row r="9" spans="1:11">
      <c r="A9" s="28">
        <v>6</v>
      </c>
      <c r="B9" s="24" t="s">
        <v>23</v>
      </c>
      <c r="C9" s="10" t="s">
        <v>15</v>
      </c>
      <c r="D9" s="26">
        <f t="shared" si="0"/>
        <v>49648</v>
      </c>
      <c r="E9" s="29"/>
      <c r="F9" s="27">
        <f>'[1]楼座面积汇总表 '!P34+'[1]楼座面积汇总表 '!J34</f>
        <v>49648</v>
      </c>
      <c r="G9" s="29"/>
      <c r="H9" s="29"/>
      <c r="I9" s="29"/>
      <c r="J9" s="37" t="s">
        <v>19</v>
      </c>
      <c r="K9" s="10" t="s">
        <v>17</v>
      </c>
    </row>
    <row r="10" spans="1:11">
      <c r="A10" s="28">
        <v>7</v>
      </c>
      <c r="B10" s="24" t="s">
        <v>24</v>
      </c>
      <c r="C10" s="10" t="s">
        <v>15</v>
      </c>
      <c r="D10" s="26">
        <f t="shared" si="0"/>
        <v>4492</v>
      </c>
      <c r="E10" s="27"/>
      <c r="F10" s="26"/>
      <c r="G10" s="27"/>
      <c r="H10" s="27">
        <f>'[1]楼座面积汇总表 '!P55+'[1]楼座面积汇总表 '!J55</f>
        <v>4492</v>
      </c>
      <c r="I10" s="29"/>
      <c r="J10" s="37" t="s">
        <v>25</v>
      </c>
      <c r="K10" s="10" t="s">
        <v>17</v>
      </c>
    </row>
    <row r="11" spans="1:11">
      <c r="A11" s="28">
        <v>8</v>
      </c>
      <c r="B11" s="24" t="s">
        <v>26</v>
      </c>
      <c r="C11" s="10" t="s">
        <v>15</v>
      </c>
      <c r="D11" s="26">
        <f t="shared" si="0"/>
        <v>8112</v>
      </c>
      <c r="E11" s="27"/>
      <c r="F11" s="26"/>
      <c r="G11" s="27"/>
      <c r="H11" s="27">
        <f>'[1]楼座面积汇总表 '!P57+'[1]楼座面积汇总表 '!J57</f>
        <v>8112</v>
      </c>
      <c r="I11" s="29"/>
      <c r="J11" s="37" t="s">
        <v>25</v>
      </c>
      <c r="K11" s="10" t="s">
        <v>17</v>
      </c>
    </row>
    <row r="12" spans="1:11">
      <c r="A12" s="28">
        <v>9</v>
      </c>
      <c r="B12" s="24" t="s">
        <v>27</v>
      </c>
      <c r="C12" s="10" t="s">
        <v>15</v>
      </c>
      <c r="D12" s="26">
        <f t="shared" si="0"/>
        <v>21427</v>
      </c>
      <c r="E12" s="27"/>
      <c r="F12" s="26"/>
      <c r="G12" s="27"/>
      <c r="H12" s="27">
        <f>'[1]楼座面积汇总表 '!P59+'[1]楼座面积汇总表 '!F59</f>
        <v>21427</v>
      </c>
      <c r="I12" s="29"/>
      <c r="J12" s="37" t="s">
        <v>25</v>
      </c>
      <c r="K12" s="10" t="s">
        <v>17</v>
      </c>
    </row>
    <row r="13" spans="1:11">
      <c r="A13" s="28">
        <v>10</v>
      </c>
      <c r="B13" s="24" t="s">
        <v>28</v>
      </c>
      <c r="C13" s="10" t="s">
        <v>15</v>
      </c>
      <c r="D13" s="26">
        <f t="shared" si="0"/>
        <v>35328</v>
      </c>
      <c r="E13" s="27"/>
      <c r="F13" s="26"/>
      <c r="G13" s="27"/>
      <c r="H13" s="27">
        <f>'[1]楼座面积汇总表 '!P63+'[1]楼座面积汇总表 '!F63</f>
        <v>35328</v>
      </c>
      <c r="I13" s="29"/>
      <c r="J13" s="37" t="s">
        <v>25</v>
      </c>
      <c r="K13" s="10" t="s">
        <v>17</v>
      </c>
    </row>
    <row r="14" spans="1:10">
      <c r="A14" s="28"/>
      <c r="B14" s="25" t="s">
        <v>29</v>
      </c>
      <c r="C14" s="10" t="s">
        <v>15</v>
      </c>
      <c r="D14" s="26">
        <f t="shared" ref="D14:I14" si="1">SUM(D4:D13)</f>
        <v>193404</v>
      </c>
      <c r="E14" s="26">
        <f t="shared" si="1"/>
        <v>43997</v>
      </c>
      <c r="F14" s="26">
        <f t="shared" si="1"/>
        <v>80048</v>
      </c>
      <c r="G14" s="26">
        <f t="shared" si="1"/>
        <v>0</v>
      </c>
      <c r="H14" s="26">
        <f t="shared" si="1"/>
        <v>69359</v>
      </c>
      <c r="I14" s="26">
        <f t="shared" si="1"/>
        <v>0</v>
      </c>
      <c r="J14" s="37"/>
    </row>
    <row r="15" s="1" customFormat="1" spans="1:11">
      <c r="A15" s="30" t="s">
        <v>30</v>
      </c>
      <c r="B15" s="20" t="s">
        <v>31</v>
      </c>
      <c r="C15" s="31"/>
      <c r="D15" s="32"/>
      <c r="E15" s="33"/>
      <c r="F15" s="34"/>
      <c r="G15" s="34"/>
      <c r="H15" s="34"/>
      <c r="I15" s="34"/>
      <c r="J15" s="54"/>
      <c r="K15" s="31"/>
    </row>
    <row r="16" spans="1:11">
      <c r="A16" s="28">
        <v>1</v>
      </c>
      <c r="B16" s="35" t="s">
        <v>32</v>
      </c>
      <c r="C16" s="10" t="s">
        <v>15</v>
      </c>
      <c r="D16" s="26">
        <f t="shared" ref="D16:D20" si="2">E16+F16+G16+H16+I16</f>
        <v>11986.8</v>
      </c>
      <c r="E16" s="27">
        <f>'[1]楼座面积汇总表 '!H20</f>
        <v>3333</v>
      </c>
      <c r="F16" s="27">
        <f>'[1]楼座面积汇总表 '!H54</f>
        <v>5833</v>
      </c>
      <c r="G16" s="27">
        <f>'[1]楼座面积汇总表 '!H69</f>
        <v>790.5</v>
      </c>
      <c r="H16" s="27">
        <f>'[1]楼座面积汇总表 '!H68</f>
        <v>446</v>
      </c>
      <c r="I16" s="29">
        <f>'[1]楼座面积汇总表 '!H74</f>
        <v>1584.3</v>
      </c>
      <c r="J16" s="37" t="s">
        <v>33</v>
      </c>
      <c r="K16" s="10" t="s">
        <v>34</v>
      </c>
    </row>
    <row r="17" spans="1:11">
      <c r="A17" s="28">
        <v>2</v>
      </c>
      <c r="B17" s="35" t="s">
        <v>35</v>
      </c>
      <c r="C17" s="10" t="s">
        <v>15</v>
      </c>
      <c r="D17" s="26">
        <f t="shared" si="2"/>
        <v>19436.2</v>
      </c>
      <c r="E17" s="27">
        <f>'[1]楼座面积汇总表 '!I20</f>
        <v>3465</v>
      </c>
      <c r="F17" s="27">
        <f>'[1]楼座面积汇总表 '!I54</f>
        <v>6376</v>
      </c>
      <c r="G17" s="27">
        <f>'[1]楼座面积汇总表 '!I69</f>
        <v>1844.5</v>
      </c>
      <c r="H17" s="27">
        <f>'[1]楼座面积汇总表 '!I68</f>
        <v>4054</v>
      </c>
      <c r="I17" s="29">
        <f>'[1]楼座面积汇总表 '!I74</f>
        <v>3696.7</v>
      </c>
      <c r="J17" s="37" t="s">
        <v>33</v>
      </c>
      <c r="K17" s="10" t="s">
        <v>17</v>
      </c>
    </row>
    <row r="18" spans="1:10">
      <c r="A18" s="28"/>
      <c r="B18" s="10" t="s">
        <v>36</v>
      </c>
      <c r="C18" s="10" t="s">
        <v>15</v>
      </c>
      <c r="D18" s="26">
        <f t="shared" ref="D18:I18" si="3">SUM(D16:D17)</f>
        <v>31423</v>
      </c>
      <c r="E18" s="26">
        <f t="shared" si="3"/>
        <v>6798</v>
      </c>
      <c r="F18" s="26">
        <f t="shared" si="3"/>
        <v>12209</v>
      </c>
      <c r="G18" s="26">
        <f t="shared" si="3"/>
        <v>2635</v>
      </c>
      <c r="H18" s="26">
        <f t="shared" si="3"/>
        <v>4500</v>
      </c>
      <c r="I18" s="26">
        <f t="shared" si="3"/>
        <v>5281</v>
      </c>
      <c r="J18" s="37"/>
    </row>
    <row r="19" s="3" customFormat="1" ht="12" spans="1:11">
      <c r="A19" s="20" t="s">
        <v>37</v>
      </c>
      <c r="B19" s="20" t="s">
        <v>38</v>
      </c>
      <c r="C19" s="20"/>
      <c r="D19" s="32"/>
      <c r="E19" s="36"/>
      <c r="F19" s="36"/>
      <c r="G19" s="36"/>
      <c r="H19" s="36"/>
      <c r="I19" s="36"/>
      <c r="J19" s="20"/>
      <c r="K19" s="20"/>
    </row>
    <row r="20" spans="1:11">
      <c r="A20" s="28">
        <v>1</v>
      </c>
      <c r="B20" s="35" t="s">
        <v>39</v>
      </c>
      <c r="C20" s="10" t="s">
        <v>15</v>
      </c>
      <c r="D20" s="26">
        <f t="shared" si="2"/>
        <v>2320</v>
      </c>
      <c r="E20" s="27">
        <f>'[1]楼座面积汇总表 '!J19+'[1]楼座面积汇总表 '!M19</f>
        <v>2320</v>
      </c>
      <c r="F20" s="27"/>
      <c r="G20" s="27"/>
      <c r="H20" s="29"/>
      <c r="I20" s="29"/>
      <c r="J20" s="37" t="s">
        <v>40</v>
      </c>
      <c r="K20" s="10" t="s">
        <v>34</v>
      </c>
    </row>
    <row r="21" spans="1:11">
      <c r="A21" s="28"/>
      <c r="B21" s="37" t="s">
        <v>41</v>
      </c>
      <c r="C21" s="10" t="s">
        <v>15</v>
      </c>
      <c r="D21" s="26">
        <f t="shared" ref="D21:I21" si="4">SUM(D20:D20)</f>
        <v>2320</v>
      </c>
      <c r="E21" s="26">
        <f t="shared" si="4"/>
        <v>2320</v>
      </c>
      <c r="F21" s="26">
        <f t="shared" si="4"/>
        <v>0</v>
      </c>
      <c r="G21" s="26">
        <f t="shared" si="4"/>
        <v>0</v>
      </c>
      <c r="H21" s="26">
        <f t="shared" si="4"/>
        <v>0</v>
      </c>
      <c r="I21" s="26">
        <f t="shared" si="4"/>
        <v>0</v>
      </c>
      <c r="J21" s="37"/>
      <c r="K21" s="37"/>
    </row>
    <row r="22" s="3" customFormat="1" ht="12" spans="1:11">
      <c r="A22" s="20" t="s">
        <v>42</v>
      </c>
      <c r="B22" s="20" t="s">
        <v>43</v>
      </c>
      <c r="C22" s="20"/>
      <c r="D22" s="32"/>
      <c r="E22" s="36"/>
      <c r="F22" s="36"/>
      <c r="G22" s="36"/>
      <c r="H22" s="36"/>
      <c r="I22" s="36"/>
      <c r="J22" s="20"/>
      <c r="K22" s="20"/>
    </row>
    <row r="23" spans="1:11">
      <c r="A23" s="28">
        <v>1</v>
      </c>
      <c r="B23" s="35" t="s">
        <v>44</v>
      </c>
      <c r="C23" s="10" t="s">
        <v>15</v>
      </c>
      <c r="D23" s="26">
        <f t="shared" ref="D23:D27" si="5">E23+F23+G23+H23+I23</f>
        <v>13969</v>
      </c>
      <c r="E23" s="29">
        <f>'[1]楼座面积汇总表 '!L20+'[1]楼座面积汇总表 '!K20</f>
        <v>3289</v>
      </c>
      <c r="F23" s="27">
        <f>'[1]楼座面积汇总表 '!L54+'[1]楼座面积汇总表 '!G54</f>
        <v>3184</v>
      </c>
      <c r="G23" s="29">
        <v>0</v>
      </c>
      <c r="H23" s="29">
        <f>'[1]楼座面积汇总表 '!L68+'[1]楼座面积汇总表 '!G68</f>
        <v>7496</v>
      </c>
      <c r="I23" s="29">
        <v>0</v>
      </c>
      <c r="J23" s="37" t="s">
        <v>45</v>
      </c>
      <c r="K23" s="55" t="s">
        <v>17</v>
      </c>
    </row>
    <row r="24" spans="1:11">
      <c r="A24" s="28"/>
      <c r="B24" s="10" t="s">
        <v>46</v>
      </c>
      <c r="C24" s="10" t="s">
        <v>15</v>
      </c>
      <c r="D24" s="26">
        <f t="shared" ref="D24:I24" si="6">SUM(D23:D23)</f>
        <v>13969</v>
      </c>
      <c r="E24" s="26">
        <f t="shared" si="6"/>
        <v>3289</v>
      </c>
      <c r="F24" s="26">
        <f t="shared" si="6"/>
        <v>3184</v>
      </c>
      <c r="G24" s="26">
        <f t="shared" si="6"/>
        <v>0</v>
      </c>
      <c r="H24" s="26">
        <f t="shared" si="6"/>
        <v>7496</v>
      </c>
      <c r="I24" s="26">
        <f t="shared" si="6"/>
        <v>0</v>
      </c>
      <c r="J24" s="37"/>
      <c r="K24" s="55"/>
    </row>
    <row r="25" spans="1:11">
      <c r="A25" s="38">
        <v>2</v>
      </c>
      <c r="B25" s="35" t="s">
        <v>47</v>
      </c>
      <c r="C25" s="10" t="s">
        <v>15</v>
      </c>
      <c r="D25" s="26">
        <f t="shared" si="5"/>
        <v>8376</v>
      </c>
      <c r="E25" s="29"/>
      <c r="F25" s="27"/>
      <c r="G25" s="29">
        <f>'[1]楼座面积汇总表 '!Q72+'[1]楼座面积汇总表 '!J72</f>
        <v>4660</v>
      </c>
      <c r="H25" s="29"/>
      <c r="I25" s="29">
        <f>'[1]楼座面积汇总表 '!J75+'[1]楼座面积汇总表 '!M74</f>
        <v>3716</v>
      </c>
      <c r="J25" s="37" t="s">
        <v>48</v>
      </c>
      <c r="K25" s="10" t="s">
        <v>17</v>
      </c>
    </row>
    <row r="26" spans="1:11">
      <c r="A26" s="28">
        <v>3</v>
      </c>
      <c r="B26" s="35" t="s">
        <v>49</v>
      </c>
      <c r="C26" s="10" t="s">
        <v>15</v>
      </c>
      <c r="D26" s="26">
        <f t="shared" si="5"/>
        <v>19809</v>
      </c>
      <c r="E26" s="29"/>
      <c r="F26" s="27"/>
      <c r="G26" s="29">
        <f>'[1]楼座面积汇总表 '!N69+'[1]楼座面积汇总表 '!J69-'[1]楼座面积汇总表 '!J72</f>
        <v>19809</v>
      </c>
      <c r="H26" s="29"/>
      <c r="I26" s="29"/>
      <c r="J26" s="37" t="s">
        <v>50</v>
      </c>
      <c r="K26" s="10" t="s">
        <v>17</v>
      </c>
    </row>
    <row r="27" spans="1:11">
      <c r="A27" s="38">
        <v>4</v>
      </c>
      <c r="B27" s="35" t="s">
        <v>51</v>
      </c>
      <c r="C27" s="10" t="s">
        <v>15</v>
      </c>
      <c r="D27" s="26">
        <f t="shared" si="5"/>
        <v>28904</v>
      </c>
      <c r="E27" s="29"/>
      <c r="F27" s="27"/>
      <c r="G27" s="29"/>
      <c r="H27" s="29"/>
      <c r="I27" s="29">
        <f>'[1]楼座面积汇总表 '!O74+'[1]楼座面积汇总表 '!J74-'[1]楼座面积汇总表 '!J75+'[1]楼座面积汇总表 '!K74+'[1]楼座面积汇总表 '!L74</f>
        <v>28904</v>
      </c>
      <c r="J27" s="37" t="s">
        <v>50</v>
      </c>
      <c r="K27" s="10" t="s">
        <v>17</v>
      </c>
    </row>
    <row r="28" spans="1:10">
      <c r="A28" s="38"/>
      <c r="B28" s="10" t="s">
        <v>52</v>
      </c>
      <c r="C28" s="10" t="s">
        <v>15</v>
      </c>
      <c r="D28" s="26">
        <f t="shared" ref="D28:I28" si="7">SUM(D25:D27)</f>
        <v>57089</v>
      </c>
      <c r="E28" s="26">
        <f t="shared" si="7"/>
        <v>0</v>
      </c>
      <c r="F28" s="26">
        <f t="shared" si="7"/>
        <v>0</v>
      </c>
      <c r="G28" s="26">
        <f t="shared" si="7"/>
        <v>24469</v>
      </c>
      <c r="H28" s="26">
        <f t="shared" si="7"/>
        <v>0</v>
      </c>
      <c r="I28" s="26">
        <f t="shared" si="7"/>
        <v>32620</v>
      </c>
      <c r="J28" s="37"/>
    </row>
    <row r="29" s="3" customFormat="1" ht="12" spans="1:11">
      <c r="A29" s="20" t="s">
        <v>53</v>
      </c>
      <c r="B29" s="20" t="s">
        <v>54</v>
      </c>
      <c r="C29" s="39" t="s">
        <v>15</v>
      </c>
      <c r="D29" s="40">
        <f t="shared" ref="D29:I29" si="8">D14+D18+D21+D24+D28</f>
        <v>298205</v>
      </c>
      <c r="E29" s="40">
        <f t="shared" si="8"/>
        <v>56404</v>
      </c>
      <c r="F29" s="40">
        <f t="shared" si="8"/>
        <v>95441</v>
      </c>
      <c r="G29" s="40">
        <f t="shared" si="8"/>
        <v>27104</v>
      </c>
      <c r="H29" s="40">
        <f t="shared" si="8"/>
        <v>81355</v>
      </c>
      <c r="I29" s="40">
        <f t="shared" si="8"/>
        <v>37901</v>
      </c>
      <c r="J29" s="20" t="s">
        <v>55</v>
      </c>
      <c r="K29" s="56">
        <f>E29+F29+G29+H29+I29</f>
        <v>298205</v>
      </c>
    </row>
    <row r="30" spans="1:11">
      <c r="A30" s="28">
        <v>1</v>
      </c>
      <c r="B30" s="41" t="s">
        <v>56</v>
      </c>
      <c r="C30" s="10" t="s">
        <v>15</v>
      </c>
      <c r="D30" s="42">
        <f t="shared" ref="D30:D40" si="9">E30+F30+G30+H30+I30</f>
        <v>234685</v>
      </c>
      <c r="E30" s="43">
        <f>'[1]楼座面积汇总表 '!Q20</f>
        <v>44084</v>
      </c>
      <c r="F30" s="44">
        <f>'[1]楼座面积汇总表 '!Q54</f>
        <v>72641</v>
      </c>
      <c r="G30" s="43">
        <f>'[1]楼座面积汇总表 '!Q69</f>
        <v>21504</v>
      </c>
      <c r="H30" s="43">
        <f>'[1]楼座面积汇总表 '!Q68</f>
        <v>66355</v>
      </c>
      <c r="I30" s="43">
        <f>'[1]楼座面积汇总表 '!Q74</f>
        <v>30101</v>
      </c>
      <c r="J30" s="37" t="s">
        <v>57</v>
      </c>
      <c r="K30" s="57"/>
    </row>
    <row r="31" spans="1:11">
      <c r="A31" s="28"/>
      <c r="B31" s="45" t="s">
        <v>58</v>
      </c>
      <c r="C31" s="46" t="s">
        <v>15</v>
      </c>
      <c r="D31" s="42">
        <f t="shared" si="9"/>
        <v>172951</v>
      </c>
      <c r="E31" s="43">
        <f>'[1]楼座面积汇总表 '!P20</f>
        <v>39295</v>
      </c>
      <c r="F31" s="44">
        <f>'[1]楼座面积汇总表 '!P54</f>
        <v>71049</v>
      </c>
      <c r="G31" s="43">
        <v>0</v>
      </c>
      <c r="H31" s="43">
        <f>'[1]楼座面积汇总表 '!P68</f>
        <v>62607</v>
      </c>
      <c r="I31" s="43">
        <v>0</v>
      </c>
      <c r="J31" s="37"/>
      <c r="K31" s="57"/>
    </row>
    <row r="32" spans="1:11">
      <c r="A32" s="28"/>
      <c r="B32" s="45" t="s">
        <v>59</v>
      </c>
      <c r="C32" s="10" t="s">
        <v>15</v>
      </c>
      <c r="D32" s="42">
        <f t="shared" si="9"/>
        <v>8629</v>
      </c>
      <c r="E32" s="43">
        <f>'[1]楼座面积汇总表 '!L20</f>
        <v>3289</v>
      </c>
      <c r="F32" s="44">
        <f>'[1]楼座面积汇总表 '!L54</f>
        <v>1592</v>
      </c>
      <c r="G32" s="43">
        <v>0</v>
      </c>
      <c r="H32" s="43">
        <f>'[1]楼座面积汇总表 '!L68</f>
        <v>3748</v>
      </c>
      <c r="I32" s="43">
        <v>0</v>
      </c>
      <c r="J32" s="37"/>
      <c r="K32" s="57"/>
    </row>
    <row r="33" spans="1:11">
      <c r="A33" s="28"/>
      <c r="B33" s="45" t="s">
        <v>60</v>
      </c>
      <c r="C33" s="46" t="s">
        <v>15</v>
      </c>
      <c r="D33" s="42">
        <f t="shared" si="9"/>
        <v>51605</v>
      </c>
      <c r="E33" s="43">
        <v>0</v>
      </c>
      <c r="F33" s="44">
        <v>0</v>
      </c>
      <c r="G33" s="43">
        <f>'[1]楼座面积汇总表 '!N69+'[1]楼座面积汇总表 '!M69</f>
        <v>21504</v>
      </c>
      <c r="H33" s="43">
        <v>0</v>
      </c>
      <c r="I33" s="43">
        <f>'[1]楼座面积汇总表 '!O74+'[1]楼座面积汇总表 '!M74+'[1]楼座面积汇总表 '!K74+'[1]楼座面积汇总表 '!L74</f>
        <v>30101</v>
      </c>
      <c r="J33" s="37"/>
      <c r="K33" s="57"/>
    </row>
    <row r="34" spans="1:11">
      <c r="A34" s="28"/>
      <c r="B34" s="45" t="s">
        <v>61</v>
      </c>
      <c r="C34" s="10" t="s">
        <v>15</v>
      </c>
      <c r="D34" s="42">
        <f t="shared" si="9"/>
        <v>1500</v>
      </c>
      <c r="E34" s="47">
        <f>'[1]楼座面积汇总表 '!M20</f>
        <v>1500</v>
      </c>
      <c r="F34" s="44">
        <v>0</v>
      </c>
      <c r="G34" s="43">
        <v>0</v>
      </c>
      <c r="H34" s="43">
        <v>0</v>
      </c>
      <c r="I34" s="43">
        <v>0</v>
      </c>
      <c r="J34" s="58" t="s">
        <v>62</v>
      </c>
      <c r="K34" s="57"/>
    </row>
    <row r="35" spans="1:11">
      <c r="A35" s="28">
        <v>2</v>
      </c>
      <c r="B35" s="41" t="s">
        <v>63</v>
      </c>
      <c r="C35" s="10" t="s">
        <v>15</v>
      </c>
      <c r="D35" s="42">
        <f t="shared" si="9"/>
        <v>63520</v>
      </c>
      <c r="E35" s="43">
        <f t="shared" ref="E35:I35" si="10">E36+E37+E38+E39+E40</f>
        <v>12320</v>
      </c>
      <c r="F35" s="43">
        <f t="shared" si="10"/>
        <v>22800</v>
      </c>
      <c r="G35" s="43">
        <f t="shared" si="10"/>
        <v>5600</v>
      </c>
      <c r="H35" s="43">
        <f t="shared" si="10"/>
        <v>15000</v>
      </c>
      <c r="I35" s="43">
        <f t="shared" si="10"/>
        <v>7800</v>
      </c>
      <c r="J35" s="37"/>
      <c r="K35" s="57"/>
    </row>
    <row r="36" spans="1:11">
      <c r="A36" s="28"/>
      <c r="B36" s="45" t="s">
        <v>64</v>
      </c>
      <c r="C36" s="46" t="s">
        <v>15</v>
      </c>
      <c r="D36" s="42">
        <f t="shared" si="9"/>
        <v>20453</v>
      </c>
      <c r="E36" s="43">
        <f>'[1]楼座面积汇总表 '!F20</f>
        <v>4702</v>
      </c>
      <c r="F36" s="44">
        <f>'[1]楼座面积汇总表 '!F54</f>
        <v>8999</v>
      </c>
      <c r="G36" s="43">
        <v>0</v>
      </c>
      <c r="H36" s="43">
        <f>'[1]楼座面积汇总表 '!F68</f>
        <v>6752</v>
      </c>
      <c r="I36" s="43">
        <v>0</v>
      </c>
      <c r="J36" s="37"/>
      <c r="K36" s="57"/>
    </row>
    <row r="37" spans="1:11">
      <c r="A37" s="28"/>
      <c r="B37" s="45" t="s">
        <v>65</v>
      </c>
      <c r="C37" s="10" t="s">
        <v>15</v>
      </c>
      <c r="D37" s="42">
        <f t="shared" si="9"/>
        <v>5340</v>
      </c>
      <c r="E37" s="43">
        <v>0</v>
      </c>
      <c r="F37" s="44">
        <f>'[1]楼座面积汇总表 '!G54</f>
        <v>1592</v>
      </c>
      <c r="G37" s="43">
        <v>0</v>
      </c>
      <c r="H37" s="43">
        <f>'[1]楼座面积汇总表 '!G68</f>
        <v>3748</v>
      </c>
      <c r="I37" s="43">
        <v>0</v>
      </c>
      <c r="J37" s="37"/>
      <c r="K37" s="57"/>
    </row>
    <row r="38" spans="1:11">
      <c r="A38" s="28"/>
      <c r="B38" s="45" t="s">
        <v>66</v>
      </c>
      <c r="C38" s="10" t="s">
        <v>15</v>
      </c>
      <c r="D38" s="42">
        <f t="shared" si="9"/>
        <v>5484</v>
      </c>
      <c r="E38" s="43">
        <v>0</v>
      </c>
      <c r="F38" s="44">
        <v>0</v>
      </c>
      <c r="G38" s="43">
        <f>'[1]楼座面积汇总表 '!F69+'[1]楼座面积汇总表 '!G69</f>
        <v>2965</v>
      </c>
      <c r="H38" s="43">
        <v>0</v>
      </c>
      <c r="I38" s="43">
        <f>'[1]楼座面积汇总表 '!F74+'[1]楼座面积汇总表 '!G74</f>
        <v>2519</v>
      </c>
      <c r="J38" s="37"/>
      <c r="K38" s="57"/>
    </row>
    <row r="39" spans="1:11">
      <c r="A39" s="28"/>
      <c r="B39" s="45" t="s">
        <v>67</v>
      </c>
      <c r="C39" s="46" t="s">
        <v>15</v>
      </c>
      <c r="D39" s="42">
        <f t="shared" si="9"/>
        <v>820</v>
      </c>
      <c r="E39" s="47">
        <f>'[1]楼座面积汇总表 '!G20</f>
        <v>820</v>
      </c>
      <c r="F39" s="44">
        <v>0</v>
      </c>
      <c r="G39" s="43">
        <v>0</v>
      </c>
      <c r="H39" s="43">
        <v>0</v>
      </c>
      <c r="I39" s="43">
        <v>0</v>
      </c>
      <c r="J39" s="58" t="s">
        <v>68</v>
      </c>
      <c r="K39" s="57"/>
    </row>
    <row r="40" spans="1:11">
      <c r="A40" s="28"/>
      <c r="B40" s="45" t="s">
        <v>69</v>
      </c>
      <c r="C40" s="10" t="s">
        <v>15</v>
      </c>
      <c r="D40" s="42">
        <f t="shared" si="9"/>
        <v>31423</v>
      </c>
      <c r="E40" s="43">
        <f>'[1]楼座面积汇总表 '!H11+'[1]楼座面积汇总表 '!I11</f>
        <v>6798</v>
      </c>
      <c r="F40" s="44">
        <f>'[1]楼座面积汇总表 '!H54+'[1]楼座面积汇总表 '!I54</f>
        <v>12209</v>
      </c>
      <c r="G40" s="43">
        <f>'[1]楼座面积汇总表 '!H69+'[1]楼座面积汇总表 '!I69</f>
        <v>2635</v>
      </c>
      <c r="H40" s="43">
        <f>'[1]楼座面积汇总表 '!H68+'[1]楼座面积汇总表 '!I68</f>
        <v>4500</v>
      </c>
      <c r="I40" s="43">
        <f>'[1]楼座面积汇总表 '!H74+'[1]楼座面积汇总表 '!I74</f>
        <v>5281</v>
      </c>
      <c r="J40" s="37"/>
      <c r="K40" s="57"/>
    </row>
    <row r="41" s="4" customFormat="1" spans="1:11">
      <c r="A41" s="48">
        <v>3</v>
      </c>
      <c r="B41" s="49" t="s">
        <v>70</v>
      </c>
      <c r="C41" s="50" t="s">
        <v>15</v>
      </c>
      <c r="D41" s="51">
        <f t="shared" ref="D41:I41" si="11">D42+D43+D44+D45</f>
        <v>259452</v>
      </c>
      <c r="E41" s="51">
        <f t="shared" si="11"/>
        <v>47929.8</v>
      </c>
      <c r="F41" s="51">
        <f t="shared" si="11"/>
        <v>82616.6</v>
      </c>
      <c r="G41" s="51">
        <f t="shared" si="11"/>
        <v>23348.5</v>
      </c>
      <c r="H41" s="51">
        <f t="shared" si="11"/>
        <v>71759.4</v>
      </c>
      <c r="I41" s="51">
        <f t="shared" si="11"/>
        <v>33797.7</v>
      </c>
      <c r="J41" s="59">
        <f>D41/D29</f>
        <v>0.870045773880384</v>
      </c>
      <c r="K41" s="60"/>
    </row>
    <row r="42" ht="43.2" spans="1:10">
      <c r="A42" s="28"/>
      <c r="B42" s="41" t="s">
        <v>71</v>
      </c>
      <c r="C42" s="10" t="s">
        <v>15</v>
      </c>
      <c r="D42" s="42">
        <f t="shared" ref="D42:D46" si="12">E42+F42+G42+H42+I42</f>
        <v>179781.8</v>
      </c>
      <c r="E42" s="43">
        <f>E31+E36*0.4</f>
        <v>41175.8</v>
      </c>
      <c r="F42" s="43">
        <f>F31+F36*0.4</f>
        <v>74648.6</v>
      </c>
      <c r="G42" s="43">
        <f>G31*1.05</f>
        <v>0</v>
      </c>
      <c r="H42" s="43">
        <f>H31+H36*0.2</f>
        <v>63957.4</v>
      </c>
      <c r="I42" s="43">
        <f>I31*1.05</f>
        <v>0</v>
      </c>
      <c r="J42" s="61" t="s">
        <v>72</v>
      </c>
    </row>
    <row r="43" s="2" customFormat="1" spans="1:11">
      <c r="A43" s="23"/>
      <c r="B43" s="41" t="s">
        <v>73</v>
      </c>
      <c r="C43" s="25" t="s">
        <v>15</v>
      </c>
      <c r="D43" s="26">
        <f t="shared" si="12"/>
        <v>19436.2</v>
      </c>
      <c r="E43" s="44">
        <f>'[1]楼座面积汇总表 '!I20</f>
        <v>3465</v>
      </c>
      <c r="F43" s="44">
        <f>'[1]楼座面积汇总表 '!I54</f>
        <v>6376</v>
      </c>
      <c r="G43" s="44">
        <f>'[1]楼座面积汇总表 '!I69</f>
        <v>1844.5</v>
      </c>
      <c r="H43" s="44">
        <f>'[1]楼座面积汇总表 '!I68</f>
        <v>4054</v>
      </c>
      <c r="I43" s="44">
        <f>'[1]楼座面积汇总表 '!I75</f>
        <v>3696.7</v>
      </c>
      <c r="J43" s="62" t="s">
        <v>74</v>
      </c>
      <c r="K43" s="25"/>
    </row>
    <row r="44" spans="1:10">
      <c r="A44" s="28"/>
      <c r="B44" s="41" t="s">
        <v>75</v>
      </c>
      <c r="C44" s="10" t="s">
        <v>15</v>
      </c>
      <c r="D44" s="42">
        <f t="shared" si="12"/>
        <v>8629</v>
      </c>
      <c r="E44" s="43">
        <f t="shared" ref="E44:I44" si="13">E32</f>
        <v>3289</v>
      </c>
      <c r="F44" s="43">
        <f t="shared" si="13"/>
        <v>1592</v>
      </c>
      <c r="G44" s="43">
        <f t="shared" si="13"/>
        <v>0</v>
      </c>
      <c r="H44" s="43">
        <f t="shared" si="13"/>
        <v>3748</v>
      </c>
      <c r="I44" s="43">
        <f t="shared" si="13"/>
        <v>0</v>
      </c>
      <c r="J44" s="61" t="s">
        <v>76</v>
      </c>
    </row>
    <row r="45" spans="1:10">
      <c r="A45" s="28"/>
      <c r="B45" s="41" t="s">
        <v>77</v>
      </c>
      <c r="C45" s="25" t="s">
        <v>15</v>
      </c>
      <c r="D45" s="26">
        <f t="shared" si="12"/>
        <v>51605</v>
      </c>
      <c r="E45" s="43">
        <f t="shared" ref="E45:I45" si="14">E33</f>
        <v>0</v>
      </c>
      <c r="F45" s="43">
        <f t="shared" si="14"/>
        <v>0</v>
      </c>
      <c r="G45" s="43">
        <f t="shared" si="14"/>
        <v>21504</v>
      </c>
      <c r="H45" s="43">
        <f t="shared" si="14"/>
        <v>0</v>
      </c>
      <c r="I45" s="43">
        <f t="shared" si="14"/>
        <v>30101</v>
      </c>
      <c r="J45" s="61" t="s">
        <v>78</v>
      </c>
    </row>
    <row r="46" s="4" customFormat="1" spans="1:11">
      <c r="A46" s="48">
        <v>4</v>
      </c>
      <c r="B46" s="49" t="s">
        <v>79</v>
      </c>
      <c r="C46" s="50" t="s">
        <v>15</v>
      </c>
      <c r="D46" s="51">
        <f t="shared" si="12"/>
        <v>38753</v>
      </c>
      <c r="E46" s="52">
        <f t="shared" ref="E46:I46" si="15">E29-E41</f>
        <v>8474.2</v>
      </c>
      <c r="F46" s="52">
        <f t="shared" si="15"/>
        <v>12824.4</v>
      </c>
      <c r="G46" s="52">
        <f t="shared" si="15"/>
        <v>3755.5</v>
      </c>
      <c r="H46" s="52">
        <f t="shared" si="15"/>
        <v>9595.60000000001</v>
      </c>
      <c r="I46" s="52">
        <f t="shared" si="15"/>
        <v>4103.3</v>
      </c>
      <c r="J46" s="59">
        <f>D46/D29</f>
        <v>0.129954226119616</v>
      </c>
      <c r="K46" s="50"/>
    </row>
    <row r="47" s="3" customFormat="1" ht="12" spans="1:11">
      <c r="A47" s="20" t="s">
        <v>80</v>
      </c>
      <c r="B47" s="20" t="s">
        <v>81</v>
      </c>
      <c r="C47" s="20"/>
      <c r="D47" s="36"/>
      <c r="E47" s="36"/>
      <c r="F47" s="36"/>
      <c r="G47" s="36"/>
      <c r="H47" s="36"/>
      <c r="I47" s="36"/>
      <c r="J47" s="20"/>
      <c r="K47" s="20"/>
    </row>
    <row r="48" spans="1:10">
      <c r="A48" s="28">
        <v>1</v>
      </c>
      <c r="B48" s="24" t="s">
        <v>82</v>
      </c>
      <c r="C48" s="10" t="s">
        <v>15</v>
      </c>
      <c r="D48" s="42">
        <f t="shared" ref="D48:D62" si="16">E48+F48+G48+H48+I48</f>
        <v>12900</v>
      </c>
      <c r="E48" s="29">
        <v>2800</v>
      </c>
      <c r="F48" s="27">
        <v>4950</v>
      </c>
      <c r="G48" s="29">
        <v>2950</v>
      </c>
      <c r="H48" s="29">
        <v>1000</v>
      </c>
      <c r="I48" s="29">
        <v>1200</v>
      </c>
      <c r="J48" s="37" t="s">
        <v>83</v>
      </c>
    </row>
    <row r="49" spans="1:10">
      <c r="A49" s="28">
        <v>2</v>
      </c>
      <c r="B49" s="24" t="s">
        <v>84</v>
      </c>
      <c r="C49" s="10" t="s">
        <v>15</v>
      </c>
      <c r="D49" s="26">
        <f t="shared" si="16"/>
        <v>55400</v>
      </c>
      <c r="E49" s="29">
        <v>11000</v>
      </c>
      <c r="F49" s="27">
        <v>22000</v>
      </c>
      <c r="G49" s="29">
        <v>5000</v>
      </c>
      <c r="H49" s="29">
        <v>12000</v>
      </c>
      <c r="I49" s="29">
        <v>5400</v>
      </c>
      <c r="J49" s="37" t="s">
        <v>85</v>
      </c>
    </row>
    <row r="50" s="3" customFormat="1" ht="12" spans="1:11">
      <c r="A50" s="20" t="s">
        <v>86</v>
      </c>
      <c r="B50" s="20" t="s">
        <v>87</v>
      </c>
      <c r="C50" s="20"/>
      <c r="D50" s="32">
        <f t="shared" si="16"/>
        <v>71</v>
      </c>
      <c r="E50" s="40">
        <f t="shared" ref="E50:I50" si="17">E51+E52+E53+E54+E57+E58+E59+E60+E61+E62+E55+E56</f>
        <v>13</v>
      </c>
      <c r="F50" s="40">
        <f t="shared" si="17"/>
        <v>29</v>
      </c>
      <c r="G50" s="40">
        <f t="shared" si="17"/>
        <v>3</v>
      </c>
      <c r="H50" s="40">
        <f t="shared" si="17"/>
        <v>20</v>
      </c>
      <c r="I50" s="40">
        <f t="shared" si="17"/>
        <v>6</v>
      </c>
      <c r="J50" s="20"/>
      <c r="K50" s="20"/>
    </row>
    <row r="51" ht="16.5" customHeight="1" spans="1:10">
      <c r="A51" s="28">
        <v>1</v>
      </c>
      <c r="B51" s="24" t="str">
        <f t="shared" ref="B51:B60" si="18">B4</f>
        <v>5 层住宅(19#地块)    6栋</v>
      </c>
      <c r="C51" s="10" t="s">
        <v>88</v>
      </c>
      <c r="D51" s="42">
        <f t="shared" si="16"/>
        <v>6</v>
      </c>
      <c r="E51" s="29"/>
      <c r="F51" s="27">
        <f>1*6</f>
        <v>6</v>
      </c>
      <c r="G51" s="29"/>
      <c r="H51" s="29"/>
      <c r="I51" s="29"/>
      <c r="J51" s="37" t="s">
        <v>89</v>
      </c>
    </row>
    <row r="52" ht="15.75" customHeight="1" spans="1:10">
      <c r="A52" s="28">
        <v>2</v>
      </c>
      <c r="B52" s="24" t="str">
        <f t="shared" si="18"/>
        <v>7 层住宅(19#地块)    5栋</v>
      </c>
      <c r="C52" s="10" t="s">
        <v>88</v>
      </c>
      <c r="D52" s="42">
        <f t="shared" si="16"/>
        <v>5</v>
      </c>
      <c r="E52" s="29"/>
      <c r="F52" s="27">
        <v>5</v>
      </c>
      <c r="G52" s="29"/>
      <c r="H52" s="29"/>
      <c r="I52" s="29"/>
      <c r="J52" s="37" t="s">
        <v>90</v>
      </c>
    </row>
    <row r="53" ht="18" customHeight="1" spans="1:10">
      <c r="A53" s="28">
        <v>3</v>
      </c>
      <c r="B53" s="24" t="str">
        <f t="shared" si="18"/>
        <v>8 层住宅(08#地块)    5栋</v>
      </c>
      <c r="C53" s="10" t="s">
        <v>88</v>
      </c>
      <c r="D53" s="42">
        <f t="shared" si="16"/>
        <v>5</v>
      </c>
      <c r="E53" s="29">
        <v>5</v>
      </c>
      <c r="F53" s="27"/>
      <c r="G53" s="29"/>
      <c r="H53" s="29"/>
      <c r="I53" s="29"/>
      <c r="J53" s="37" t="s">
        <v>91</v>
      </c>
    </row>
    <row r="54" ht="15.75" customHeight="1" spans="1:10">
      <c r="A54" s="28">
        <v>4</v>
      </c>
      <c r="B54" s="24" t="str">
        <f t="shared" si="18"/>
        <v>9 层住宅(08#地块)    8栋</v>
      </c>
      <c r="C54" s="10" t="s">
        <v>88</v>
      </c>
      <c r="D54" s="42">
        <f t="shared" si="16"/>
        <v>8</v>
      </c>
      <c r="E54" s="29">
        <v>8</v>
      </c>
      <c r="F54" s="27"/>
      <c r="G54" s="29"/>
      <c r="H54" s="29"/>
      <c r="I54" s="29"/>
      <c r="J54" s="37" t="s">
        <v>92</v>
      </c>
    </row>
    <row r="55" ht="15.75" customHeight="1" spans="1:10">
      <c r="A55" s="28">
        <v>5</v>
      </c>
      <c r="B55" s="24" t="str">
        <f t="shared" si="18"/>
        <v>8 层住宅(19#地块)    4栋</v>
      </c>
      <c r="C55" s="10" t="s">
        <v>88</v>
      </c>
      <c r="D55" s="42">
        <f t="shared" si="16"/>
        <v>4</v>
      </c>
      <c r="E55" s="29"/>
      <c r="F55" s="27">
        <v>4</v>
      </c>
      <c r="G55" s="29"/>
      <c r="H55" s="29"/>
      <c r="I55" s="29"/>
      <c r="J55" s="37" t="s">
        <v>91</v>
      </c>
    </row>
    <row r="56" ht="15.75" customHeight="1" spans="1:10">
      <c r="A56" s="28">
        <v>6</v>
      </c>
      <c r="B56" s="24" t="str">
        <f t="shared" si="18"/>
        <v>9 层住宅(19#地块)    14栋</v>
      </c>
      <c r="C56" s="10" t="s">
        <v>88</v>
      </c>
      <c r="D56" s="42">
        <f t="shared" si="16"/>
        <v>14</v>
      </c>
      <c r="E56" s="29"/>
      <c r="F56" s="27">
        <v>14</v>
      </c>
      <c r="G56" s="29"/>
      <c r="H56" s="29"/>
      <c r="I56" s="29"/>
      <c r="J56" s="37" t="s">
        <v>92</v>
      </c>
    </row>
    <row r="57" ht="15" customHeight="1" spans="1:10">
      <c r="A57" s="28">
        <v>7</v>
      </c>
      <c r="B57" s="24" t="str">
        <f t="shared" si="18"/>
        <v>7 层板楼住宅         1栋</v>
      </c>
      <c r="C57" s="10" t="s">
        <v>88</v>
      </c>
      <c r="D57" s="42">
        <f t="shared" si="16"/>
        <v>2</v>
      </c>
      <c r="E57" s="29"/>
      <c r="F57" s="26"/>
      <c r="G57" s="42"/>
      <c r="H57" s="29">
        <f>1*2</f>
        <v>2</v>
      </c>
      <c r="I57" s="29"/>
      <c r="J57" s="37" t="s">
        <v>93</v>
      </c>
    </row>
    <row r="58" ht="17.25" customHeight="1" spans="1:10">
      <c r="A58" s="28">
        <v>8</v>
      </c>
      <c r="B58" s="24" t="str">
        <f t="shared" si="18"/>
        <v>9 层板楼住宅         1栋</v>
      </c>
      <c r="C58" s="10" t="s">
        <v>88</v>
      </c>
      <c r="D58" s="42">
        <f t="shared" si="16"/>
        <v>3</v>
      </c>
      <c r="E58" s="29"/>
      <c r="F58" s="27"/>
      <c r="G58" s="29"/>
      <c r="H58" s="29">
        <f>1*3</f>
        <v>3</v>
      </c>
      <c r="I58" s="29"/>
      <c r="J58" s="37" t="s">
        <v>92</v>
      </c>
    </row>
    <row r="59" spans="1:10">
      <c r="A59" s="28">
        <v>9</v>
      </c>
      <c r="B59" s="24" t="str">
        <f t="shared" si="18"/>
        <v>11层板楼住宅         3栋</v>
      </c>
      <c r="C59" s="10" t="s">
        <v>88</v>
      </c>
      <c r="D59" s="42">
        <f t="shared" si="16"/>
        <v>7</v>
      </c>
      <c r="E59" s="29"/>
      <c r="F59" s="27"/>
      <c r="G59" s="29"/>
      <c r="H59" s="29">
        <f>1*7</f>
        <v>7</v>
      </c>
      <c r="I59" s="29"/>
      <c r="J59" s="37" t="s">
        <v>94</v>
      </c>
    </row>
    <row r="60" spans="1:10">
      <c r="A60" s="28">
        <v>10</v>
      </c>
      <c r="B60" s="24" t="str">
        <f t="shared" si="18"/>
        <v>13~15层板楼住宅     1/3栋</v>
      </c>
      <c r="C60" s="10" t="s">
        <v>88</v>
      </c>
      <c r="D60" s="42">
        <f t="shared" si="16"/>
        <v>8</v>
      </c>
      <c r="E60" s="29"/>
      <c r="F60" s="27"/>
      <c r="G60" s="29"/>
      <c r="H60" s="29">
        <f>1*8</f>
        <v>8</v>
      </c>
      <c r="I60" s="29"/>
      <c r="J60" s="37" t="s">
        <v>95</v>
      </c>
    </row>
    <row r="61" spans="1:10">
      <c r="A61" s="28">
        <v>11</v>
      </c>
      <c r="B61" s="24" t="s">
        <v>96</v>
      </c>
      <c r="C61" s="10" t="s">
        <v>88</v>
      </c>
      <c r="D61" s="42">
        <f t="shared" si="16"/>
        <v>3</v>
      </c>
      <c r="E61" s="29"/>
      <c r="F61" s="27"/>
      <c r="G61" s="29">
        <f>1*3</f>
        <v>3</v>
      </c>
      <c r="H61" s="29"/>
      <c r="I61" s="29"/>
      <c r="J61" s="37" t="s">
        <v>97</v>
      </c>
    </row>
    <row r="62" ht="17.25" customHeight="1" spans="1:10">
      <c r="A62" s="28">
        <v>12</v>
      </c>
      <c r="B62" s="24" t="s">
        <v>98</v>
      </c>
      <c r="C62" s="10" t="s">
        <v>88</v>
      </c>
      <c r="D62" s="42">
        <f t="shared" si="16"/>
        <v>6</v>
      </c>
      <c r="E62" s="29"/>
      <c r="F62" s="27"/>
      <c r="G62" s="29"/>
      <c r="H62" s="29"/>
      <c r="I62" s="29">
        <f>2*3</f>
        <v>6</v>
      </c>
      <c r="J62" s="37" t="s">
        <v>99</v>
      </c>
    </row>
    <row r="63" s="3" customFormat="1" ht="12" spans="1:11">
      <c r="A63" s="20" t="s">
        <v>100</v>
      </c>
      <c r="B63" s="20" t="s">
        <v>101</v>
      </c>
      <c r="C63" s="31" t="s">
        <v>102</v>
      </c>
      <c r="D63" s="40">
        <f t="shared" ref="D63:I63" si="19">D64+D65+D66+D67+D70+D71+D72+D73+D68+D69</f>
        <v>1174</v>
      </c>
      <c r="E63" s="40">
        <f t="shared" si="19"/>
        <v>251</v>
      </c>
      <c r="F63" s="40">
        <f t="shared" si="19"/>
        <v>377</v>
      </c>
      <c r="G63" s="40">
        <f t="shared" si="19"/>
        <v>0</v>
      </c>
      <c r="H63" s="40">
        <f t="shared" si="19"/>
        <v>546</v>
      </c>
      <c r="I63" s="40">
        <f t="shared" si="19"/>
        <v>0</v>
      </c>
      <c r="J63" s="20"/>
      <c r="K63" s="20"/>
    </row>
    <row r="64" spans="1:10">
      <c r="A64" s="28">
        <v>1</v>
      </c>
      <c r="B64" s="24" t="str">
        <f t="shared" ref="B64:B73" si="20">B51</f>
        <v>5 层住宅(19#地块)    6栋</v>
      </c>
      <c r="C64" s="10" t="s">
        <v>102</v>
      </c>
      <c r="D64" s="42">
        <f t="shared" ref="D64:D74" si="21">E64+F64+G64+H64+I64</f>
        <v>30</v>
      </c>
      <c r="E64" s="29"/>
      <c r="F64" s="27">
        <v>30</v>
      </c>
      <c r="G64" s="29"/>
      <c r="H64" s="29"/>
      <c r="I64" s="29"/>
      <c r="J64" s="37"/>
    </row>
    <row r="65" spans="1:10">
      <c r="A65" s="28">
        <v>2</v>
      </c>
      <c r="B65" s="24" t="str">
        <f t="shared" si="20"/>
        <v>7 层住宅(19#地块)    5栋</v>
      </c>
      <c r="C65" s="10" t="s">
        <v>102</v>
      </c>
      <c r="D65" s="42">
        <f t="shared" si="21"/>
        <v>35</v>
      </c>
      <c r="E65" s="29"/>
      <c r="F65" s="27">
        <v>35</v>
      </c>
      <c r="G65" s="29"/>
      <c r="H65" s="29"/>
      <c r="I65" s="29"/>
      <c r="J65" s="37"/>
    </row>
    <row r="66" spans="1:10">
      <c r="A66" s="28">
        <v>3</v>
      </c>
      <c r="B66" s="24" t="str">
        <f t="shared" si="20"/>
        <v>8 层住宅(08#地块)    5栋</v>
      </c>
      <c r="C66" s="10" t="s">
        <v>102</v>
      </c>
      <c r="D66" s="42">
        <f t="shared" si="21"/>
        <v>107</v>
      </c>
      <c r="E66" s="29">
        <f>22+22+21+21+21</f>
        <v>107</v>
      </c>
      <c r="F66" s="27"/>
      <c r="G66" s="29"/>
      <c r="H66" s="29"/>
      <c r="I66" s="29"/>
      <c r="J66" s="37"/>
    </row>
    <row r="67" spans="1:10">
      <c r="A67" s="28">
        <v>4</v>
      </c>
      <c r="B67" s="24" t="str">
        <f t="shared" si="20"/>
        <v>9 层住宅(08#地块)    8栋</v>
      </c>
      <c r="C67" s="10" t="s">
        <v>102</v>
      </c>
      <c r="D67" s="42">
        <f t="shared" si="21"/>
        <v>144</v>
      </c>
      <c r="E67" s="29">
        <f>18+18+18+18+18+18+18+18</f>
        <v>144</v>
      </c>
      <c r="F67" s="27"/>
      <c r="G67" s="29"/>
      <c r="H67" s="29"/>
      <c r="I67" s="29"/>
      <c r="J67" s="37"/>
    </row>
    <row r="68" spans="1:10">
      <c r="A68" s="28">
        <v>5</v>
      </c>
      <c r="B68" s="24" t="str">
        <f t="shared" si="20"/>
        <v>8 层住宅(19#地块)    4栋</v>
      </c>
      <c r="C68" s="10" t="s">
        <v>102</v>
      </c>
      <c r="D68" s="42">
        <f t="shared" si="21"/>
        <v>60</v>
      </c>
      <c r="E68" s="29"/>
      <c r="F68" s="27">
        <f>14+14+16+16</f>
        <v>60</v>
      </c>
      <c r="G68" s="29"/>
      <c r="H68" s="29"/>
      <c r="I68" s="29"/>
      <c r="J68" s="37"/>
    </row>
    <row r="69" spans="1:10">
      <c r="A69" s="28">
        <v>6</v>
      </c>
      <c r="B69" s="24" t="str">
        <f t="shared" si="20"/>
        <v>9 层住宅(19#地块)    14栋</v>
      </c>
      <c r="C69" s="10" t="s">
        <v>102</v>
      </c>
      <c r="D69" s="42">
        <f t="shared" si="21"/>
        <v>252</v>
      </c>
      <c r="E69" s="29"/>
      <c r="F69" s="27">
        <f>18*8+18*4+18*2</f>
        <v>252</v>
      </c>
      <c r="G69" s="29"/>
      <c r="H69" s="29"/>
      <c r="I69" s="29"/>
      <c r="J69" s="37"/>
    </row>
    <row r="70" spans="1:10">
      <c r="A70" s="28">
        <v>7</v>
      </c>
      <c r="B70" s="24" t="str">
        <f t="shared" si="20"/>
        <v>7 层板楼住宅         1栋</v>
      </c>
      <c r="C70" s="10" t="s">
        <v>102</v>
      </c>
      <c r="D70" s="42">
        <f t="shared" si="21"/>
        <v>28</v>
      </c>
      <c r="E70" s="29"/>
      <c r="F70" s="27"/>
      <c r="G70" s="29"/>
      <c r="H70" s="29">
        <v>28</v>
      </c>
      <c r="I70" s="29"/>
      <c r="J70" s="37"/>
    </row>
    <row r="71" spans="1:10">
      <c r="A71" s="28">
        <v>8</v>
      </c>
      <c r="B71" s="24" t="str">
        <f t="shared" si="20"/>
        <v>9 层板楼住宅         1栋</v>
      </c>
      <c r="C71" s="10" t="s">
        <v>102</v>
      </c>
      <c r="D71" s="42">
        <f t="shared" si="21"/>
        <v>54</v>
      </c>
      <c r="E71" s="29"/>
      <c r="F71" s="27"/>
      <c r="G71" s="29"/>
      <c r="H71" s="29">
        <v>54</v>
      </c>
      <c r="I71" s="29"/>
      <c r="J71" s="37"/>
    </row>
    <row r="72" spans="1:10">
      <c r="A72" s="28">
        <v>9</v>
      </c>
      <c r="B72" s="24" t="str">
        <f t="shared" si="20"/>
        <v>11层板楼住宅         3栋</v>
      </c>
      <c r="C72" s="10" t="s">
        <v>102</v>
      </c>
      <c r="D72" s="42">
        <f t="shared" si="21"/>
        <v>150</v>
      </c>
      <c r="E72" s="29"/>
      <c r="F72" s="27"/>
      <c r="G72" s="29"/>
      <c r="H72" s="29">
        <f>60+40+50</f>
        <v>150</v>
      </c>
      <c r="I72" s="29"/>
      <c r="J72" s="37"/>
    </row>
    <row r="73" spans="1:10">
      <c r="A73" s="28">
        <v>10</v>
      </c>
      <c r="B73" s="24" t="str">
        <f t="shared" si="20"/>
        <v>13~15层板楼住宅     1/3栋</v>
      </c>
      <c r="C73" s="10" t="s">
        <v>102</v>
      </c>
      <c r="D73" s="42">
        <f t="shared" si="21"/>
        <v>314</v>
      </c>
      <c r="E73" s="29"/>
      <c r="F73" s="27"/>
      <c r="G73" s="29"/>
      <c r="H73" s="29">
        <f>56+30+60+60+30+78</f>
        <v>314</v>
      </c>
      <c r="I73" s="29"/>
      <c r="J73" s="37"/>
    </row>
    <row r="74" s="3" customFormat="1" ht="12" spans="1:11">
      <c r="A74" s="20" t="s">
        <v>103</v>
      </c>
      <c r="B74" s="20" t="s">
        <v>104</v>
      </c>
      <c r="C74" s="39" t="s">
        <v>105</v>
      </c>
      <c r="D74" s="36">
        <f t="shared" si="21"/>
        <v>8260</v>
      </c>
      <c r="E74" s="36">
        <f>2*500</f>
        <v>1000</v>
      </c>
      <c r="F74" s="36">
        <v>0</v>
      </c>
      <c r="G74" s="36">
        <f>2*1000</f>
        <v>2000</v>
      </c>
      <c r="H74" s="36">
        <f>2*630</f>
        <v>1260</v>
      </c>
      <c r="I74" s="36">
        <f>2000*2</f>
        <v>4000</v>
      </c>
      <c r="J74" s="20"/>
      <c r="K74" s="20"/>
    </row>
    <row r="75" spans="1:10">
      <c r="A75" s="28"/>
      <c r="B75" s="24"/>
      <c r="C75" s="10"/>
      <c r="D75" s="42"/>
      <c r="E75" s="29"/>
      <c r="F75" s="27"/>
      <c r="G75" s="29"/>
      <c r="H75" s="29"/>
      <c r="I75" s="29"/>
      <c r="J75" s="37"/>
    </row>
    <row r="76" spans="1:10">
      <c r="A76" s="28"/>
      <c r="B76" s="35"/>
      <c r="C76" s="10"/>
      <c r="D76" s="42"/>
      <c r="E76" s="42"/>
      <c r="F76" s="26"/>
      <c r="G76" s="42"/>
      <c r="H76" s="42"/>
      <c r="I76" s="42"/>
      <c r="J76" s="10"/>
    </row>
  </sheetData>
  <mergeCells count="7">
    <mergeCell ref="E1:I1"/>
    <mergeCell ref="A1:A2"/>
    <mergeCell ref="B1:B2"/>
    <mergeCell ref="C1:C2"/>
    <mergeCell ref="D1:D2"/>
    <mergeCell ref="J1:J2"/>
    <mergeCell ref="K1:K2"/>
  </mergeCells>
  <printOptions gridLines="1"/>
  <pageMargins left="0.551181102362205" right="0.551181102362205" top="0.78740157480315" bottom="0.511811023622047" header="0.31496062992126" footer="0.433070866141732"/>
  <pageSetup paperSize="9" orientation="landscape" horizontalDpi="600" verticalDpi="300"/>
  <headerFooter alignWithMargins="0" scaleWithDoc="0">
    <oddHeader>&amp;C&amp;"宋体,加粗"&amp;24茂华集团北京璟都馨园项目基础数据分析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基础数据分析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2024-02-05T17:07:10Z</dcterms:created>
  <dcterms:modified xsi:type="dcterms:W3CDTF">2024-02-05T17:07:10Z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76AA718F984741FC9811CB458CAE2DA2_11</vt:lpwstr>
  </property>
  <property fmtid="{D5CDD505-2E9C-101B-9397-08002B2CF9AE}" pid="3" name="KSOProductBuildVer">
    <vt:lpwstr>2052-12.1.0.16250</vt:lpwstr>
  </property>
</Properties>
</file>