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media/image10.svg" ContentType="image/svg+xml"/>
  <Override PartName="/xl/media/image12.svg" ContentType="image/svg+xml"/>
  <Override PartName="/xl/media/image14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<sst xmlns="http://schemas.openxmlformats.org/spreadsheetml/2006/main" count="70" uniqueCount="46">
  <si>
    <t>工程成本核算表</t>
  </si>
  <si>
    <t>基本信息</t>
  </si>
  <si>
    <t>项目费用支出</t>
  </si>
  <si>
    <t>项目毛利率</t>
  </si>
  <si>
    <t>当前年份</t>
  </si>
  <si>
    <t>序号</t>
  </si>
  <si>
    <t>项目名称</t>
  </si>
  <si>
    <t>开工日期</t>
  </si>
  <si>
    <t>合同金额</t>
  </si>
  <si>
    <t>材料费用</t>
  </si>
  <si>
    <t>设备费用</t>
  </si>
  <si>
    <t>运输费用</t>
  </si>
  <si>
    <t>人工费</t>
  </si>
  <si>
    <t>加工费</t>
  </si>
  <si>
    <t>差旅费</t>
  </si>
  <si>
    <t>其他费用</t>
  </si>
  <si>
    <t>合计费用</t>
  </si>
  <si>
    <t>月份</t>
  </si>
  <si>
    <t>合同数量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</si>
  <si>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</si>
  <si>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</si>
  <si>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</si>
  <si>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</si>
  <si>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</si>
  <si>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</si>
  <si>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</si>
  <si>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</si>
  <si>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</si>
  <si>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</si>
  <si>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</si>
  <si>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</si>
  <si>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</si>
  <si>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</si>
  <si>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项目费用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</si>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</sst>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&quot;年&quot;"/>
  </numFmts>
  <fonts count="24">
    <font>
      <sz val="11"/>
      <color theme="1"/>
      <name val="宋体"/>
      <charset val="134"/>
      <scheme val="minor"/>
    </font>
    <font>
      <sz val="12"/>
      <color theme="0"/>
      <name val="黑体"/>
      <charset val="134"/>
    </font>
    <font>
      <sz val="11"/>
      <color theme="1" tint="0.249977111117893"/>
      <name val="黑体"/>
      <charset val="134"/>
    </font>
    <font>
      <sz val="11"/>
      <color theme="0"/>
      <name val="黑体"/>
      <charset val="134"/>
    </font>
    <font>
      <sz val="22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452F7"/>
        <bgColor indexed="64"/>
      </patternFill>
    </fill>
    <fill>
      <patternFill patternType="solid">
        <fgColor rgb="FFF1F2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3" fontId="2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43" fontId="1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43" fontId="2" fillId="4" borderId="4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3" fontId="2" fillId="4" borderId="5" xfId="0" applyNumberFormat="1" applyFont="1" applyFill="1" applyBorder="1" applyAlignment="1">
      <alignment horizontal="center" vertical="center"/>
    </xf>
    <xf numFmtId="10" fontId="2" fillId="2" borderId="0" xfId="3" applyNumberFormat="1" applyFont="1" applyFill="1" applyAlignment="1">
      <alignment horizontal="center" vertical="center"/>
    </xf>
    <xf numFmtId="10" fontId="2" fillId="3" borderId="0" xfId="3" applyNumberFormat="1" applyFont="1" applyFill="1" applyAlignment="1">
      <alignment horizontal="center" vertical="center"/>
    </xf>
    <xf numFmtId="10" fontId="2" fillId="4" borderId="0" xfId="3" applyNumberFormat="1" applyFont="1" applyFill="1" applyAlignment="1">
      <alignment horizontal="center" vertical="center"/>
    </xf>
    <xf numFmtId="43" fontId="1" fillId="2" borderId="6" xfId="0" applyNumberFormat="1" applyFont="1" applyFill="1" applyBorder="1" applyAlignment="1">
      <alignment horizontal="center" vertical="center"/>
    </xf>
    <xf numFmtId="10" fontId="3" fillId="2" borderId="7" xfId="3" applyNumberFormat="1" applyFont="1" applyFill="1" applyBorder="1" applyAlignment="1">
      <alignment horizontal="center" vertical="center"/>
    </xf>
    <xf numFmtId="10" fontId="3" fillId="2" borderId="8" xfId="3" applyNumberFormat="1" applyFont="1" applyFill="1" applyBorder="1" applyAlignment="1">
      <alignment horizontal="center" vertical="center"/>
    </xf>
    <xf numFmtId="10" fontId="2" fillId="4" borderId="4" xfId="3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2" fillId="5" borderId="1" xfId="0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10" fontId="2" fillId="5" borderId="1" xfId="3" applyNumberFormat="1" applyFont="1" applyFill="1" applyBorder="1" applyAlignment="1">
      <alignment horizontal="right" vertical="center"/>
    </xf>
    <xf numFmtId="177" fontId="2" fillId="0" borderId="0" xfId="0" applyNumberFormat="1" applyFont="1" applyAlignment="1">
      <alignment horizontal="left" vertical="center"/>
    </xf>
    <xf numFmtId="10" fontId="3" fillId="0" borderId="0" xfId="3" applyNumberFormat="1" applyFont="1">
      <alignment vertical="center"/>
    </xf>
    <xf numFmtId="10" fontId="2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C86A"/>
      <color rgb="00E99B85"/>
      <color rgb="00F1F2F8"/>
      <color rgb="006452F7"/>
      <color rgb="00FAFAFF"/>
      <color rgb="00F9A468"/>
      <color rgb="00FAA973"/>
      <color rgb="009389FA"/>
      <color rgb="00A69FFB"/>
      <color rgb="008579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077343536485"/>
          <c:y val="0.039123630672926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2787663108"/>
          <c:y val="0.28972783143108"/>
          <c:w val="0.813760379596679"/>
          <c:h val="0.48024582967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Sheet1!$Y$14</c:f>
              <c:strCache>
                <c:ptCount val="1"/>
                <c:pt idx="0">
                  <c:v>合同数量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Sheet1!$Y$15:$Y$26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51963"/>
        <c:axId val="667908842"/>
      </c:barChart>
      <c:catAx>
        <c:axId val="278451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67908842"/>
        <c:crosses val="autoZero"/>
        <c:auto val="1"/>
        <c:lblAlgn val="ctr"/>
        <c:lblOffset val="100"/>
        <c:noMultiLvlLbl val="0"/>
      </c:catAx>
      <c:valAx>
        <c:axId val="66790884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78451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4852652259332"/>
          <c:y val="0.249634521882419"/>
          <c:w val="0.765283950617284"/>
          <c:h val="0.52633002705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Sheet1!$Z$14</c:f>
              <c:strCache>
                <c:ptCount val="1"/>
                <c:pt idx="0">
                  <c:v>合同金额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Sheet1!$Z$15:$Z$26</c:f>
              <c:numCache>
                <c:formatCode>_ * #,##0.00_ ;_ * \-#,##0.00_ ;_ * "-"??_ ;_ @_ </c:formatCode>
                <c:ptCount val="12"/>
                <c:pt idx="0">
                  <c:v>2000</c:v>
                </c:pt>
                <c:pt idx="1">
                  <c:v>1500</c:v>
                </c:pt>
                <c:pt idx="2">
                  <c:v>1700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1900</c:v>
                </c:pt>
                <c:pt idx="7">
                  <c:v>1100</c:v>
                </c:pt>
                <c:pt idx="8">
                  <c:v>1400</c:v>
                </c:pt>
                <c:pt idx="9">
                  <c:v>1600</c:v>
                </c:pt>
                <c:pt idx="10">
                  <c:v>1900</c:v>
                </c:pt>
                <c:pt idx="11">
                  <c:v>30105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21142"/>
        <c:axId val="889375630"/>
      </c:barChart>
      <c:catAx>
        <c:axId val="2449211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889375630"/>
        <c:crosses val="autoZero"/>
        <c:auto val="1"/>
        <c:lblAlgn val="ctr"/>
        <c:lblOffset val="100"/>
        <c:noMultiLvlLbl val="0"/>
      </c:catAx>
      <c:valAx>
        <c:axId val="889375630"/>
        <c:scaling>
          <c:orientation val="minMax"/>
        </c:scaling>
        <c:delete val="0"/>
        <c:axPos val="l"/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449211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6634973660542"/>
          <c:y val="0.193798449612403"/>
          <c:w val="0.845098291147372"/>
          <c:h val="0.586593707250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Sheet1!$Y$28</c:f>
              <c:strCache>
                <c:ptCount val="1"/>
                <c:pt idx="0">
                  <c:v>项目费用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Sheet1!$X$29:$X$35</c:f>
              <c:strCache>
                <c:ptCount val="7"/>
                <c:pt idx="0">
                  <c:v>材料费用</c:v>
                </c:pt>
                <c:pt idx="1">
                  <c:v>设备费用</c:v>
                </c:pt>
                <c:pt idx="2">
                  <c:v>运输费用</c:v>
                </c:pt>
                <c:pt idx="3">
                  <c:v>人工费</c:v>
                </c:pt>
                <c:pt idx="4">
                  <c:v>加工费</c:v>
                </c:pt>
                <c:pt idx="5">
                  <c:v>差旅费</c:v>
                </c:pt>
                <c:pt idx="6">
                  <c:v>其他费用</c:v>
                </c:pt>
              </c:strCache>
            </c:strRef>
          </c:cat>
          <c:val>
            <c:numRef>
              <c:f>Sheet1!$Y$29:$Y$35</c:f>
              <c:numCache>
                <c:formatCode>_ * #,##0.00_ ;_ * \-#,##0.00_ ;_ * "-"??_ ;_ @_ </c:formatCode>
                <c:ptCount val="7"/>
                <c:pt idx="0">
                  <c:v>4945</c:v>
                </c:pt>
                <c:pt idx="1">
                  <c:v>4655</c:v>
                </c:pt>
                <c:pt idx="2">
                  <c:v>4665</c:v>
                </c:pt>
                <c:pt idx="3">
                  <c:v>3405</c:v>
                </c:pt>
                <c:pt idx="4">
                  <c:v>5195</c:v>
                </c:pt>
                <c:pt idx="5">
                  <c:v>4365</c:v>
                </c:pt>
                <c:pt idx="6">
                  <c:v>3437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83138"/>
        <c:axId val="304340564"/>
      </c:barChart>
      <c:catAx>
        <c:axId val="1165831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304340564"/>
        <c:crosses val="autoZero"/>
        <c:auto val="1"/>
        <c:lblAlgn val="ctr"/>
        <c:lblOffset val="100"/>
        <c:noMultiLvlLbl val="0"/>
      </c:catAx>
      <c:valAx>
        <c:axId val="304340564"/>
        <c:scaling>
          <c:orientation val="minMax"/>
        </c:scaling>
        <c:delete val="0"/>
        <c:axPos val="l"/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1165831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8212949605163"/>
          <c:y val="0.2217090069284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0208889738085"/>
          <c:y val="0.395381062355658"/>
          <c:w val="0.695905252241776"/>
          <c:h val="0.590762124711316"/>
        </c:manualLayout>
      </c:layout>
      <c:doughnutChart>
        <c:varyColors val="1"/>
        <c:ser>
          <c:idx val="0"/>
          <c:order val="0"/>
          <c:tx>
            <c:strRef>
              <c:f>Sheet1!$X$38</c:f>
              <c:strCache>
                <c:ptCount val="1"/>
                <c:pt idx="0">
                  <c:v>加工费</c:v>
                </c:pt>
              </c:strCache>
            </c:strRef>
          </c:tx>
          <c:spPr>
            <a:ln w="9525">
              <a:solidFill>
                <a:schemeClr val="bg1"/>
              </a:solidFill>
            </a:ln>
            <a:sp3d contourW="9525"/>
          </c:spPr>
          <c:explosion val="0"/>
          <c:dPt>
            <c:idx val="0"/>
            <c:bubble3D val="0"/>
            <c:spPr>
              <a:solidFill>
                <a:srgbClr val="61C696"/>
              </a:solidFill>
              <a:ln w="9525">
                <a:solidFill>
                  <a:schemeClr val="bg1"/>
                </a:solidFill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FAFAFF"/>
              </a:solidFill>
              <a:ln w="9525">
                <a:solidFill>
                  <a:schemeClr val="bg1"/>
                </a:solidFill>
              </a:ln>
              <a:effectLst/>
              <a:sp3d contourW="9525"/>
            </c:spPr>
          </c:dPt>
          <c:dLbls>
            <c:delete val="1"/>
          </c:dLbls>
          <c:val>
            <c:numRef>
              <c:f>Sheet1!$Z$38:$AA$38</c:f>
              <c:numCache>
                <c:formatCode>0.00%</c:formatCode>
                <c:ptCount val="2"/>
                <c:pt idx="0">
                  <c:v>0.16940033260508</c:v>
                </c:pt>
                <c:pt idx="1">
                  <c:v>0.83059966739492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140102285473"/>
          <c:y val="0.2009237875288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1451594948029"/>
          <c:y val="0.390762124711316"/>
          <c:w val="0.693360144213724"/>
          <c:h val="0.590762124711316"/>
        </c:manualLayout>
      </c:layout>
      <c:doughnutChart>
        <c:varyColors val="1"/>
        <c:ser>
          <c:idx val="0"/>
          <c:order val="0"/>
          <c:tx>
            <c:strRef>
              <c:f>Sheet1!$X$39</c:f>
              <c:strCache>
                <c:ptCount val="1"/>
                <c:pt idx="0">
                  <c:v>材料费用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AA9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AFA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Sheet1!$Z$39:$AA$39</c:f>
              <c:numCache>
                <c:formatCode>0.00%</c:formatCode>
                <c:ptCount val="2"/>
                <c:pt idx="0">
                  <c:v>0.16124824730166</c:v>
                </c:pt>
                <c:pt idx="1">
                  <c:v>0.83875175269834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928988586198"/>
          <c:y val="0.2147806004618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53319927893138"/>
          <c:y val="0.395381062355658"/>
          <c:w val="0.693360144213724"/>
          <c:h val="0.590762124711316"/>
        </c:manualLayout>
      </c:layout>
      <c:doughnutChart>
        <c:varyColors val="1"/>
        <c:ser>
          <c:idx val="0"/>
          <c:order val="0"/>
          <c:tx>
            <c:strRef>
              <c:f>Sheet1!$X$40</c:f>
              <c:strCache>
                <c:ptCount val="1"/>
                <c:pt idx="0">
                  <c:v>运输费用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AC86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AFA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Sheet1!$Z$40:$AA$40</c:f>
              <c:numCache>
                <c:formatCode>0.00%</c:formatCode>
                <c:ptCount val="2"/>
                <c:pt idx="0">
                  <c:v>0.152117911761829</c:v>
                </c:pt>
                <c:pt idx="1">
                  <c:v>0.847882088238171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svg"/><Relationship Id="rId7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8" Type="http://schemas.openxmlformats.org/officeDocument/2006/relationships/image" Target="../media/image14.svg"/><Relationship Id="rId17" Type="http://schemas.openxmlformats.org/officeDocument/2006/relationships/image" Target="../media/image13.png"/><Relationship Id="rId16" Type="http://schemas.openxmlformats.org/officeDocument/2006/relationships/image" Target="../media/image12.svg"/><Relationship Id="rId15" Type="http://schemas.openxmlformats.org/officeDocument/2006/relationships/image" Target="../media/image11.png"/><Relationship Id="rId14" Type="http://schemas.openxmlformats.org/officeDocument/2006/relationships/image" Target="../media/image10.svg"/><Relationship Id="rId13" Type="http://schemas.openxmlformats.org/officeDocument/2006/relationships/image" Target="../media/image9.png"/><Relationship Id="rId12" Type="http://schemas.openxmlformats.org/officeDocument/2006/relationships/image" Target="../media/image8.svg"/><Relationship Id="rId11" Type="http://schemas.openxmlformats.org/officeDocument/2006/relationships/image" Target="../media/image7.png"/><Relationship Id="rId10" Type="http://schemas.openxmlformats.org/officeDocument/2006/relationships/image" Target="../media/image6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179705</xdr:colOff>
      <xdr:row>1</xdr:row>
      <xdr:rowOff>56515</xdr:rowOff>
    </xdr:from>
    <xdr:to>
      <xdr:col>2</xdr:col>
      <xdr:colOff>323850</xdr:colOff>
      <xdr:row>1</xdr:row>
      <xdr:rowOff>485775</xdr:rowOff>
    </xdr:to>
    <xdr:pic>
      <xdr:nvPicPr>
        <xdr:cNvPr id="5" name="图片 4" descr="333530363731353b333530363633343b5bf98d26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08330" y="182880"/>
          <a:ext cx="420370" cy="429260"/>
        </a:xfrm>
        <a:prstGeom prst="rect">
          <a:avLst/>
        </a:prstGeom>
      </xdr:spPr>
    </xdr:pic>
    <xdr:clientData/>
  </xdr:twoCellAnchor>
  <xdr:twoCellAnchor>
    <xdr:from>
      <xdr:col>17</xdr:col>
      <xdr:colOff>16510</xdr:colOff>
      <xdr:row>11</xdr:row>
      <xdr:rowOff>3175</xdr:rowOff>
    </xdr:from>
    <xdr:to>
      <xdr:col>21</xdr:col>
      <xdr:colOff>58420</xdr:colOff>
      <xdr:row>16</xdr:row>
      <xdr:rowOff>104775</xdr:rowOff>
    </xdr:to>
    <xdr:sp>
      <xdr:nvSpPr>
        <xdr:cNvPr id="6" name="圆角矩形 5"/>
        <xdr:cNvSpPr/>
      </xdr:nvSpPr>
      <xdr:spPr>
        <a:xfrm>
          <a:off x="11036935" y="2374900"/>
          <a:ext cx="2805430" cy="1685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14605</xdr:colOff>
      <xdr:row>16</xdr:row>
      <xdr:rowOff>146050</xdr:rowOff>
    </xdr:from>
    <xdr:to>
      <xdr:col>21</xdr:col>
      <xdr:colOff>56515</xdr:colOff>
      <xdr:row>21</xdr:row>
      <xdr:rowOff>247650</xdr:rowOff>
    </xdr:to>
    <xdr:sp>
      <xdr:nvSpPr>
        <xdr:cNvPr id="8" name="圆角矩形 7"/>
        <xdr:cNvSpPr/>
      </xdr:nvSpPr>
      <xdr:spPr>
        <a:xfrm>
          <a:off x="11035030" y="4102100"/>
          <a:ext cx="2805430" cy="1685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89535</xdr:colOff>
      <xdr:row>11</xdr:row>
      <xdr:rowOff>142875</xdr:rowOff>
    </xdr:from>
    <xdr:to>
      <xdr:col>21</xdr:col>
      <xdr:colOff>3810</xdr:colOff>
      <xdr:row>16</xdr:row>
      <xdr:rowOff>17780</xdr:rowOff>
    </xdr:to>
    <xdr:graphicFrame>
      <xdr:nvGraphicFramePr>
        <xdr:cNvPr id="9" name="图表 8"/>
        <xdr:cNvGraphicFramePr/>
      </xdr:nvGraphicFramePr>
      <xdr:xfrm>
        <a:off x="11109960" y="2514600"/>
        <a:ext cx="2677795" cy="145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50165</xdr:colOff>
      <xdr:row>16</xdr:row>
      <xdr:rowOff>306705</xdr:rowOff>
    </xdr:from>
    <xdr:to>
      <xdr:col>21</xdr:col>
      <xdr:colOff>16510</xdr:colOff>
      <xdr:row>21</xdr:row>
      <xdr:rowOff>132715</xdr:rowOff>
    </xdr:to>
    <xdr:graphicFrame>
      <xdr:nvGraphicFramePr>
        <xdr:cNvPr id="10" name="图表 9"/>
        <xdr:cNvGraphicFramePr/>
      </xdr:nvGraphicFramePr>
      <xdr:xfrm>
        <a:off x="11070590" y="4262755"/>
        <a:ext cx="2729865" cy="141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</xdr:row>
      <xdr:rowOff>28575</xdr:rowOff>
    </xdr:from>
    <xdr:to>
      <xdr:col>8</xdr:col>
      <xdr:colOff>121920</xdr:colOff>
      <xdr:row>10</xdr:row>
      <xdr:rowOff>57150</xdr:rowOff>
    </xdr:to>
    <xdr:sp>
      <xdr:nvSpPr>
        <xdr:cNvPr id="18" name="矩形 17"/>
        <xdr:cNvSpPr/>
      </xdr:nvSpPr>
      <xdr:spPr>
        <a:xfrm>
          <a:off x="5400675" y="803275"/>
          <a:ext cx="36195" cy="1560830"/>
        </a:xfrm>
        <a:prstGeom prst="rect">
          <a:avLst/>
        </a:prstGeom>
        <a:solidFill>
          <a:srgbClr val="F1F2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9525</xdr:colOff>
      <xdr:row>4</xdr:row>
      <xdr:rowOff>0</xdr:rowOff>
    </xdr:from>
    <xdr:to>
      <xdr:col>8</xdr:col>
      <xdr:colOff>85090</xdr:colOff>
      <xdr:row>10</xdr:row>
      <xdr:rowOff>11430</xdr:rowOff>
    </xdr:to>
    <xdr:grpSp>
      <xdr:nvGrpSpPr>
        <xdr:cNvPr id="17" name="组合 16"/>
        <xdr:cNvGrpSpPr/>
      </xdr:nvGrpSpPr>
      <xdr:grpSpPr>
        <a:xfrm>
          <a:off x="438150" y="862965"/>
          <a:ext cx="4961890" cy="1455420"/>
          <a:chOff x="675" y="1280"/>
          <a:chExt cx="7499" cy="2264"/>
        </a:xfrm>
      </xdr:grpSpPr>
      <xdr:sp>
        <xdr:nvSpPr>
          <xdr:cNvPr id="13" name="矩形 12"/>
          <xdr:cNvSpPr/>
        </xdr:nvSpPr>
        <xdr:spPr>
          <a:xfrm>
            <a:off x="675" y="1280"/>
            <a:ext cx="1845" cy="2265"/>
          </a:xfrm>
          <a:prstGeom prst="rect">
            <a:avLst/>
          </a:prstGeom>
          <a:solidFill>
            <a:srgbClr val="61C69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4" name="矩形 13"/>
          <xdr:cNvSpPr/>
        </xdr:nvSpPr>
        <xdr:spPr>
          <a:xfrm>
            <a:off x="2560" y="1280"/>
            <a:ext cx="1845" cy="2265"/>
          </a:xfrm>
          <a:prstGeom prst="rect">
            <a:avLst/>
          </a:prstGeom>
          <a:solidFill>
            <a:srgbClr val="FAC86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矩形 14"/>
          <xdr:cNvSpPr/>
        </xdr:nvSpPr>
        <xdr:spPr>
          <a:xfrm>
            <a:off x="4445" y="1280"/>
            <a:ext cx="1845" cy="2265"/>
          </a:xfrm>
          <a:prstGeom prst="rect">
            <a:avLst/>
          </a:prstGeom>
          <a:solidFill>
            <a:srgbClr val="8579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6" name="矩形 15"/>
          <xdr:cNvSpPr/>
        </xdr:nvSpPr>
        <xdr:spPr>
          <a:xfrm>
            <a:off x="6330" y="1280"/>
            <a:ext cx="1845" cy="2265"/>
          </a:xfrm>
          <a:prstGeom prst="rect">
            <a:avLst/>
          </a:prstGeom>
          <a:solidFill>
            <a:srgbClr val="FAA97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152400</xdr:colOff>
      <xdr:row>5</xdr:row>
      <xdr:rowOff>29210</xdr:rowOff>
    </xdr:from>
    <xdr:to>
      <xdr:col>2</xdr:col>
      <xdr:colOff>164465</xdr:colOff>
      <xdr:row>6</xdr:row>
      <xdr:rowOff>2540</xdr:rowOff>
    </xdr:to>
    <xdr:grpSp>
      <xdr:nvGrpSpPr>
        <xdr:cNvPr id="30" name="组合 29"/>
        <xdr:cNvGrpSpPr/>
      </xdr:nvGrpSpPr>
      <xdr:grpSpPr>
        <a:xfrm>
          <a:off x="581025" y="980440"/>
          <a:ext cx="288290" cy="290195"/>
          <a:chOff x="900" y="1502"/>
          <a:chExt cx="454" cy="458"/>
        </a:xfrm>
      </xdr:grpSpPr>
      <xdr:sp>
        <xdr:nvSpPr>
          <xdr:cNvPr id="22" name="椭圆 21"/>
          <xdr:cNvSpPr/>
        </xdr:nvSpPr>
        <xdr:spPr>
          <a:xfrm>
            <a:off x="900" y="1502"/>
            <a:ext cx="454" cy="459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23" name="图片 22" descr="333530363731343b333530363637373b987976ee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92" y="1596"/>
            <a:ext cx="270" cy="27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669925</xdr:colOff>
      <xdr:row>5</xdr:row>
      <xdr:rowOff>29210</xdr:rowOff>
    </xdr:from>
    <xdr:to>
      <xdr:col>4</xdr:col>
      <xdr:colOff>91440</xdr:colOff>
      <xdr:row>6</xdr:row>
      <xdr:rowOff>2540</xdr:rowOff>
    </xdr:to>
    <xdr:grpSp>
      <xdr:nvGrpSpPr>
        <xdr:cNvPr id="29" name="组合 28"/>
        <xdr:cNvGrpSpPr/>
      </xdr:nvGrpSpPr>
      <xdr:grpSpPr>
        <a:xfrm>
          <a:off x="1822450" y="980440"/>
          <a:ext cx="288290" cy="290195"/>
          <a:chOff x="2855" y="1500"/>
          <a:chExt cx="454" cy="458"/>
        </a:xfrm>
      </xdr:grpSpPr>
      <xdr:sp>
        <xdr:nvSpPr>
          <xdr:cNvPr id="21" name="椭圆 20"/>
          <xdr:cNvSpPr/>
        </xdr:nvSpPr>
        <xdr:spPr>
          <a:xfrm>
            <a:off x="2855" y="1500"/>
            <a:ext cx="454" cy="459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24" name="图片 23" descr="333530363731343b333530363637383b987976ee91d1989d"/>
          <xdr:cNvPicPr>
            <a:picLocks noChangeAspect="1"/>
          </xdr:cNvPicPr>
        </xdr:nvPicPr>
        <xdr:blipFill>
          <a:blip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962" y="1610"/>
            <a:ext cx="240" cy="23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111125</xdr:colOff>
      <xdr:row>5</xdr:row>
      <xdr:rowOff>29210</xdr:rowOff>
    </xdr:from>
    <xdr:to>
      <xdr:col>5</xdr:col>
      <xdr:colOff>399415</xdr:colOff>
      <xdr:row>6</xdr:row>
      <xdr:rowOff>2540</xdr:rowOff>
    </xdr:to>
    <xdr:grpSp>
      <xdr:nvGrpSpPr>
        <xdr:cNvPr id="28" name="组合 27"/>
        <xdr:cNvGrpSpPr/>
      </xdr:nvGrpSpPr>
      <xdr:grpSpPr>
        <a:xfrm>
          <a:off x="3063875" y="980440"/>
          <a:ext cx="288290" cy="290195"/>
          <a:chOff x="4810" y="1502"/>
          <a:chExt cx="454" cy="458"/>
        </a:xfrm>
      </xdr:grpSpPr>
      <xdr:sp>
        <xdr:nvSpPr>
          <xdr:cNvPr id="20" name="椭圆 19"/>
          <xdr:cNvSpPr/>
        </xdr:nvSpPr>
        <xdr:spPr>
          <a:xfrm>
            <a:off x="4810" y="1502"/>
            <a:ext cx="454" cy="459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25" name="图片 24" descr="343435333332333b333635383831333b56fe8868"/>
          <xdr:cNvPicPr>
            <a:picLocks noChangeAspect="1"/>
          </xdr:cNvPicPr>
        </xdr:nvPicPr>
        <xdr:blipFill>
          <a:blip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916" y="1611"/>
            <a:ext cx="241" cy="24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419100</xdr:colOff>
      <xdr:row>5</xdr:row>
      <xdr:rowOff>29210</xdr:rowOff>
    </xdr:from>
    <xdr:to>
      <xdr:col>6</xdr:col>
      <xdr:colOff>707390</xdr:colOff>
      <xdr:row>6</xdr:row>
      <xdr:rowOff>2540</xdr:rowOff>
    </xdr:to>
    <xdr:grpSp>
      <xdr:nvGrpSpPr>
        <xdr:cNvPr id="27" name="组合 26"/>
        <xdr:cNvGrpSpPr/>
      </xdr:nvGrpSpPr>
      <xdr:grpSpPr>
        <a:xfrm>
          <a:off x="4305300" y="980440"/>
          <a:ext cx="288290" cy="290195"/>
          <a:chOff x="6765" y="1502"/>
          <a:chExt cx="454" cy="458"/>
        </a:xfrm>
      </xdr:grpSpPr>
      <xdr:sp>
        <xdr:nvSpPr>
          <xdr:cNvPr id="19" name="椭圆 18"/>
          <xdr:cNvSpPr/>
        </xdr:nvSpPr>
        <xdr:spPr>
          <a:xfrm>
            <a:off x="6765" y="1502"/>
            <a:ext cx="454" cy="459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26" name="图片 25" descr="3b343132323533313b56fe8868"/>
          <xdr:cNvPicPr>
            <a:picLocks noChangeAspect="1"/>
          </xdr:cNvPicPr>
        </xdr:nvPicPr>
        <xdr:blipFill>
          <a:blip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6864" y="1603"/>
            <a:ext cx="256" cy="2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10160</xdr:colOff>
      <xdr:row>6</xdr:row>
      <xdr:rowOff>60325</xdr:rowOff>
    </xdr:from>
    <xdr:to>
      <xdr:col>3</xdr:col>
      <xdr:colOff>474345</xdr:colOff>
      <xdr:row>7</xdr:row>
      <xdr:rowOff>106045</xdr:rowOff>
    </xdr:to>
    <xdr:sp>
      <xdr:nvSpPr>
        <xdr:cNvPr id="31" name="文本框 30"/>
        <xdr:cNvSpPr txBox="1"/>
      </xdr:nvSpPr>
      <xdr:spPr>
        <a:xfrm>
          <a:off x="438785" y="1328420"/>
          <a:ext cx="11880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12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</a:rPr>
            <a:t>项目数量</a:t>
          </a:r>
          <a:endParaRPr lang="zh-CN" altLang="en-US" sz="1200">
            <a:solidFill>
              <a:schemeClr val="bg1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3</xdr:col>
      <xdr:colOff>534035</xdr:colOff>
      <xdr:row>6</xdr:row>
      <xdr:rowOff>60325</xdr:rowOff>
    </xdr:from>
    <xdr:to>
      <xdr:col>4</xdr:col>
      <xdr:colOff>855345</xdr:colOff>
      <xdr:row>7</xdr:row>
      <xdr:rowOff>106045</xdr:rowOff>
    </xdr:to>
    <xdr:sp>
      <xdr:nvSpPr>
        <xdr:cNvPr id="32" name="文本框 31"/>
        <xdr:cNvSpPr txBox="1"/>
      </xdr:nvSpPr>
      <xdr:spPr>
        <a:xfrm>
          <a:off x="1686560" y="1328420"/>
          <a:ext cx="11880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zh-CN" altLang="en-US" sz="12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</a:rPr>
            <a:t>合同金额</a:t>
          </a:r>
          <a:endParaRPr lang="zh-CN" altLang="en-US" sz="1200">
            <a:solidFill>
              <a:schemeClr val="bg1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4</xdr:col>
      <xdr:colOff>915035</xdr:colOff>
      <xdr:row>6</xdr:row>
      <xdr:rowOff>60325</xdr:rowOff>
    </xdr:from>
    <xdr:to>
      <xdr:col>6</xdr:col>
      <xdr:colOff>236220</xdr:colOff>
      <xdr:row>7</xdr:row>
      <xdr:rowOff>106045</xdr:rowOff>
    </xdr:to>
    <xdr:sp>
      <xdr:nvSpPr>
        <xdr:cNvPr id="33" name="文本框 32"/>
        <xdr:cNvSpPr txBox="1"/>
      </xdr:nvSpPr>
      <xdr:spPr>
        <a:xfrm>
          <a:off x="2934335" y="1328420"/>
          <a:ext cx="11880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zh-CN" altLang="en-US" sz="12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</a:rPr>
            <a:t>合计费用</a:t>
          </a:r>
          <a:endParaRPr lang="zh-CN" altLang="en-US" sz="1200">
            <a:solidFill>
              <a:schemeClr val="bg1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6</xdr:col>
      <xdr:colOff>295910</xdr:colOff>
      <xdr:row>6</xdr:row>
      <xdr:rowOff>60325</xdr:rowOff>
    </xdr:from>
    <xdr:to>
      <xdr:col>8</xdr:col>
      <xdr:colOff>55245</xdr:colOff>
      <xdr:row>7</xdr:row>
      <xdr:rowOff>106045</xdr:rowOff>
    </xdr:to>
    <xdr:sp>
      <xdr:nvSpPr>
        <xdr:cNvPr id="34" name="文本框 33"/>
        <xdr:cNvSpPr txBox="1"/>
      </xdr:nvSpPr>
      <xdr:spPr>
        <a:xfrm>
          <a:off x="4182110" y="1328420"/>
          <a:ext cx="11880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zh-CN" altLang="en-US" sz="12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</a:rPr>
            <a:t>项目毛利润</a:t>
          </a:r>
          <a:endParaRPr lang="zh-CN" altLang="en-US" sz="1200">
            <a:solidFill>
              <a:schemeClr val="bg1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8</xdr:col>
      <xdr:colOff>159385</xdr:colOff>
      <xdr:row>3</xdr:row>
      <xdr:rowOff>83820</xdr:rowOff>
    </xdr:from>
    <xdr:to>
      <xdr:col>14</xdr:col>
      <xdr:colOff>548005</xdr:colOff>
      <xdr:row>9</xdr:row>
      <xdr:rowOff>34290</xdr:rowOff>
    </xdr:to>
    <xdr:graphicFrame>
      <xdr:nvGraphicFramePr>
        <xdr:cNvPr id="35" name="图表 34"/>
        <xdr:cNvGraphicFramePr/>
      </xdr:nvGraphicFramePr>
      <xdr:xfrm>
        <a:off x="5474335" y="858520"/>
        <a:ext cx="4798695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326390</xdr:colOff>
      <xdr:row>2</xdr:row>
      <xdr:rowOff>42545</xdr:rowOff>
    </xdr:from>
    <xdr:to>
      <xdr:col>20</xdr:col>
      <xdr:colOff>167640</xdr:colOff>
      <xdr:row>9</xdr:row>
      <xdr:rowOff>35560</xdr:rowOff>
    </xdr:to>
    <xdr:grpSp>
      <xdr:nvGrpSpPr>
        <xdr:cNvPr id="44" name="组合 43"/>
        <xdr:cNvGrpSpPr/>
      </xdr:nvGrpSpPr>
      <xdr:grpSpPr>
        <a:xfrm>
          <a:off x="10051415" y="690880"/>
          <a:ext cx="3547745" cy="1563370"/>
          <a:chOff x="15754" y="1312"/>
          <a:chExt cx="5795" cy="2164"/>
        </a:xfrm>
      </xdr:grpSpPr>
      <xdr:graphicFrame>
        <xdr:nvGraphicFramePr>
          <xdr:cNvPr id="36" name="图表 35"/>
          <xdr:cNvGraphicFramePr/>
        </xdr:nvGraphicFramePr>
        <xdr:xfrm>
          <a:off x="15754" y="1312"/>
          <a:ext cx="1907" cy="2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>
        <xdr:nvGraphicFramePr>
          <xdr:cNvPr id="38" name="图表 37"/>
          <xdr:cNvGraphicFramePr/>
        </xdr:nvGraphicFramePr>
        <xdr:xfrm>
          <a:off x="17715" y="1312"/>
          <a:ext cx="1914" cy="2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>
        <xdr:nvGraphicFramePr>
          <xdr:cNvPr id="39" name="图表 38"/>
          <xdr:cNvGraphicFramePr/>
        </xdr:nvGraphicFramePr>
        <xdr:xfrm>
          <a:off x="19635" y="1312"/>
          <a:ext cx="1914" cy="2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447675</xdr:colOff>
      <xdr:row>7</xdr:row>
      <xdr:rowOff>6985</xdr:rowOff>
    </xdr:from>
    <xdr:to>
      <xdr:col>17</xdr:col>
      <xdr:colOff>88265</xdr:colOff>
      <xdr:row>7</xdr:row>
      <xdr:rowOff>314325</xdr:rowOff>
    </xdr:to>
    <xdr:sp textlink="$Z$38">
      <xdr:nvSpPr>
        <xdr:cNvPr id="3" name="文本框 2"/>
        <xdr:cNvSpPr txBox="1"/>
      </xdr:nvSpPr>
      <xdr:spPr>
        <a:xfrm>
          <a:off x="10172700" y="1591945"/>
          <a:ext cx="935990" cy="3073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zh-CN" altLang="en-US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猫啃网风雅宋" panose="02020700000000000000" charset="-122"/>
              <a:ea typeface="猫啃网风雅宋" panose="02020700000000000000" charset="-122"/>
            </a:rPr>
          </a:fld>
          <a:endParaRPr lang="zh-CN" altLang="en-US" b="0" i="0" u="none" strike="noStrike">
            <a:solidFill>
              <a:schemeClr val="tx1">
                <a:lumMod val="65000"/>
                <a:lumOff val="35000"/>
              </a:schemeClr>
            </a:solidFill>
            <a:latin typeface="猫啃网风雅宋" panose="02020700000000000000" charset="-122"/>
            <a:ea typeface="猫啃网风雅宋" panose="02020700000000000000" charset="-122"/>
          </a:endParaRPr>
        </a:p>
      </xdr:txBody>
    </xdr:sp>
    <xdr:clientData/>
  </xdr:twoCellAnchor>
  <xdr:twoCellAnchor>
    <xdr:from>
      <xdr:col>18</xdr:col>
      <xdr:colOff>57150</xdr:colOff>
      <xdr:row>7</xdr:row>
      <xdr:rowOff>10160</xdr:rowOff>
    </xdr:from>
    <xdr:to>
      <xdr:col>18</xdr:col>
      <xdr:colOff>993140</xdr:colOff>
      <xdr:row>8</xdr:row>
      <xdr:rowOff>1905</xdr:rowOff>
    </xdr:to>
    <xdr:sp textlink="$Z$39">
      <xdr:nvSpPr>
        <xdr:cNvPr id="4" name="文本框 3"/>
        <xdr:cNvSpPr txBox="1"/>
      </xdr:nvSpPr>
      <xdr:spPr>
        <a:xfrm>
          <a:off x="11430000" y="1595120"/>
          <a:ext cx="935990" cy="3086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zh-CN" alt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猫啃网风雅宋" panose="02020700000000000000" charset="-122"/>
              <a:ea typeface="猫啃网风雅宋" panose="02020700000000000000" charset="-122"/>
            </a:rPr>
          </a:fld>
          <a:endParaRPr lang="zh-CN" altLang="en-US" sz="1100" b="0" i="0" u="none" strike="noStrike">
            <a:solidFill>
              <a:schemeClr val="tx1">
                <a:lumMod val="65000"/>
                <a:lumOff val="35000"/>
              </a:schemeClr>
            </a:solidFill>
            <a:latin typeface="猫啃网风雅宋" panose="02020700000000000000" charset="-122"/>
            <a:ea typeface="猫啃网风雅宋" panose="02020700000000000000" charset="-122"/>
          </a:endParaRPr>
        </a:p>
      </xdr:txBody>
    </xdr:sp>
    <xdr:clientData/>
  </xdr:twoCellAnchor>
  <xdr:twoCellAnchor>
    <xdr:from>
      <xdr:col>19</xdr:col>
      <xdr:colOff>152400</xdr:colOff>
      <xdr:row>7</xdr:row>
      <xdr:rowOff>10160</xdr:rowOff>
    </xdr:from>
    <xdr:to>
      <xdr:col>20</xdr:col>
      <xdr:colOff>59690</xdr:colOff>
      <xdr:row>8</xdr:row>
      <xdr:rowOff>1905</xdr:rowOff>
    </xdr:to>
    <xdr:sp textlink="$Z$40">
      <xdr:nvSpPr>
        <xdr:cNvPr id="7" name="文本框 6"/>
        <xdr:cNvSpPr txBox="1"/>
      </xdr:nvSpPr>
      <xdr:spPr>
        <a:xfrm>
          <a:off x="12554585" y="1595120"/>
          <a:ext cx="936625" cy="3086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zh-CN" alt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猫啃网风雅宋" panose="02020700000000000000" charset="-122"/>
              <a:ea typeface="猫啃网风雅宋" panose="02020700000000000000" charset="-122"/>
            </a:rPr>
          </a:fld>
          <a:endParaRPr lang="zh-CN" altLang="en-US" sz="1100" b="0" i="0" u="none" strike="noStrike">
            <a:solidFill>
              <a:schemeClr val="tx1">
                <a:lumMod val="65000"/>
                <a:lumOff val="35000"/>
              </a:schemeClr>
            </a:solidFill>
            <a:latin typeface="猫啃网风雅宋" panose="02020700000000000000" charset="-122"/>
            <a:ea typeface="猫啃网风雅宋" panose="02020700000000000000" charset="-122"/>
          </a:endParaRPr>
        </a:p>
      </xdr:txBody>
    </xdr:sp>
    <xdr:clientData/>
  </xdr:twoCellAnchor>
  <xdr:twoCellAnchor>
    <xdr:from>
      <xdr:col>0</xdr:col>
      <xdr:colOff>314960</xdr:colOff>
      <xdr:row>7</xdr:row>
      <xdr:rowOff>185420</xdr:rowOff>
    </xdr:from>
    <xdr:to>
      <xdr:col>8</xdr:col>
      <xdr:colOff>187325</xdr:colOff>
      <xdr:row>9</xdr:row>
      <xdr:rowOff>63500</xdr:rowOff>
    </xdr:to>
    <xdr:grpSp>
      <xdr:nvGrpSpPr>
        <xdr:cNvPr id="45" name="组合 44"/>
        <xdr:cNvGrpSpPr/>
      </xdr:nvGrpSpPr>
      <xdr:grpSpPr>
        <a:xfrm>
          <a:off x="314960" y="1770380"/>
          <a:ext cx="5187315" cy="511810"/>
          <a:chOff x="481" y="2737"/>
          <a:chExt cx="8169" cy="798"/>
        </a:xfrm>
      </xdr:grpSpPr>
      <xdr:sp textlink="#REF!">
        <xdr:nvSpPr>
          <xdr:cNvPr id="37" name="文本框 36"/>
          <xdr:cNvSpPr txBox="1"/>
        </xdr:nvSpPr>
        <xdr:spPr>
          <a:xfrm>
            <a:off x="481" y="2739"/>
            <a:ext cx="2244" cy="7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zh-CN" altLang="en-US" sz="1600" b="0" i="0" u="none" strike="noStrike">
                <a:solidFill>
                  <a:schemeClr val="bg1"/>
                </a:solidFill>
                <a:latin typeface="猫啃网风雅宋" panose="02020700000000000000" charset="-122"/>
                <a:ea typeface="猫啃网风雅宋" panose="02020700000000000000" charset="-122"/>
              </a:rPr>
            </a:fld>
            <a:endParaRPr lang="zh-CN" altLang="en-US" sz="1600" b="0" i="0" u="none" strike="noStrike">
              <a:solidFill>
                <a:schemeClr val="bg1"/>
              </a:solidFill>
              <a:latin typeface="猫啃网风雅宋" panose="02020700000000000000" charset="-122"/>
              <a:ea typeface="猫啃网风雅宋" panose="02020700000000000000" charset="-122"/>
            </a:endParaRPr>
          </a:p>
        </xdr:txBody>
      </xdr:sp>
      <xdr:sp textlink="#REF!">
        <xdr:nvSpPr>
          <xdr:cNvPr id="40" name="文本框 39"/>
          <xdr:cNvSpPr txBox="1"/>
        </xdr:nvSpPr>
        <xdr:spPr>
          <a:xfrm>
            <a:off x="2430" y="2739"/>
            <a:ext cx="2306" cy="7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zh-CN" altLang="en-US" sz="1600" b="0" i="0" u="none" strike="noStrike">
                <a:solidFill>
                  <a:schemeClr val="bg1"/>
                </a:solidFill>
                <a:latin typeface="猫啃网风雅宋" panose="02020700000000000000" charset="-122"/>
                <a:ea typeface="猫啃网风雅宋" panose="02020700000000000000" charset="-122"/>
              </a:rPr>
            </a:fld>
            <a:endParaRPr lang="zh-CN" altLang="en-US" sz="1600" b="0" i="0" u="none" strike="noStrike">
              <a:solidFill>
                <a:schemeClr val="bg1"/>
              </a:solidFill>
              <a:latin typeface="猫啃网风雅宋" panose="02020700000000000000" charset="-122"/>
              <a:ea typeface="猫啃网风雅宋" panose="02020700000000000000" charset="-122"/>
            </a:endParaRPr>
          </a:p>
        </xdr:txBody>
      </xdr:sp>
      <xdr:sp textlink="#REF!">
        <xdr:nvSpPr>
          <xdr:cNvPr id="41" name="文本框 40"/>
          <xdr:cNvSpPr txBox="1"/>
        </xdr:nvSpPr>
        <xdr:spPr>
          <a:xfrm>
            <a:off x="4441" y="2737"/>
            <a:ext cx="2229" cy="798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zh-CN" altLang="en-US" sz="1600" b="0" i="0" u="none" strike="noStrike">
                <a:solidFill>
                  <a:schemeClr val="bg1"/>
                </a:solidFill>
                <a:latin typeface="猫啃网风雅宋" panose="02020700000000000000" charset="-122"/>
                <a:ea typeface="猫啃网风雅宋" panose="02020700000000000000" charset="-122"/>
              </a:rPr>
            </a:fld>
            <a:endParaRPr lang="zh-CN" altLang="en-US" sz="1600" b="0" i="0" u="none" strike="noStrike">
              <a:solidFill>
                <a:schemeClr val="bg1"/>
              </a:solidFill>
              <a:latin typeface="猫啃网风雅宋" panose="02020700000000000000" charset="-122"/>
              <a:ea typeface="猫啃网风雅宋" panose="02020700000000000000" charset="-122"/>
            </a:endParaRPr>
          </a:p>
        </xdr:txBody>
      </xdr:sp>
      <xdr:sp textlink="#REF!">
        <xdr:nvSpPr>
          <xdr:cNvPr id="42" name="文本框 41"/>
          <xdr:cNvSpPr txBox="1"/>
        </xdr:nvSpPr>
        <xdr:spPr>
          <a:xfrm>
            <a:off x="6406" y="2737"/>
            <a:ext cx="2244" cy="798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zh-CN" altLang="en-US" sz="1600" b="0" i="0" u="none" strike="noStrike">
                <a:solidFill>
                  <a:schemeClr val="bg1"/>
                </a:solidFill>
                <a:latin typeface="猫啃网风雅宋" panose="02020700000000000000" charset="-122"/>
                <a:ea typeface="猫啃网风雅宋" panose="02020700000000000000" charset="-122"/>
              </a:rPr>
            </a:fld>
            <a:endParaRPr lang="zh-CN" altLang="en-US" sz="1600" b="0" i="0" u="none" strike="noStrike">
              <a:solidFill>
                <a:schemeClr val="bg1"/>
              </a:solidFill>
              <a:latin typeface="猫啃网风雅宋" panose="02020700000000000000" charset="-122"/>
              <a:ea typeface="猫啃网风雅宋" panose="02020700000000000000" charset="-122"/>
            </a:endParaRPr>
          </a:p>
        </xdr:txBody>
      </xdr:sp>
    </xdr:grpSp>
    <xdr:clientData/>
  </xdr:twoCellAnchor>
  <xdr:twoCellAnchor>
    <xdr:from>
      <xdr:col>18</xdr:col>
      <xdr:colOff>125095</xdr:colOff>
      <xdr:row>22</xdr:row>
      <xdr:rowOff>173990</xdr:rowOff>
    </xdr:from>
    <xdr:to>
      <xdr:col>19</xdr:col>
      <xdr:colOff>937260</xdr:colOff>
      <xdr:row>23</xdr:row>
      <xdr:rowOff>228600</xdr:rowOff>
    </xdr:to>
    <xdr:grpSp>
      <xdr:nvGrpSpPr>
        <xdr:cNvPr id="43" name="组合 42"/>
        <xdr:cNvGrpSpPr/>
      </xdr:nvGrpSpPr>
      <xdr:grpSpPr>
        <a:xfrm>
          <a:off x="11497945" y="6031230"/>
          <a:ext cx="1841500" cy="371475"/>
          <a:chOff x="18017" y="9424"/>
          <a:chExt cx="2991" cy="581"/>
        </a:xfrm>
      </xdr:grpSpPr>
      <xdr:sp>
        <xdr:nvSpPr>
          <xdr:cNvPr id="11" name="圆角矩形 10"/>
          <xdr:cNvSpPr/>
        </xdr:nvSpPr>
        <xdr:spPr>
          <a:xfrm>
            <a:off x="18017" y="9424"/>
            <a:ext cx="2991" cy="581"/>
          </a:xfrm>
          <a:prstGeom prst="roundRect">
            <a:avLst/>
          </a:prstGeom>
          <a:solidFill>
            <a:srgbClr val="6452F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latin typeface="黑体" panose="02010609060101010101" charset="-122"/>
                <a:ea typeface="黑体" panose="02010609060101010101" charset="-122"/>
              </a:rPr>
              <a:t>工程查询表</a:t>
            </a:r>
            <a:endParaRPr lang="zh-CN" altLang="en-US" sz="1200">
              <a:latin typeface="黑体" panose="02010609060101010101" charset="-122"/>
              <a:ea typeface="黑体" panose="02010609060101010101" charset="-122"/>
            </a:endParaRPr>
          </a:p>
        </xdr:txBody>
      </xdr:sp>
      <xdr:pic>
        <xdr:nvPicPr>
          <xdr:cNvPr id="12" name="图片 11" descr="333437323739323b333530343835313b67e58be2"/>
          <xdr:cNvPicPr>
            <a:picLocks noChangeAspect="1"/>
          </xdr:cNvPicPr>
        </xdr:nvPicPr>
        <xdr:blipFill>
          <a:blip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18172" y="9512"/>
            <a:ext cx="423" cy="405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876300</xdr:colOff>
      <xdr:row>1</xdr:row>
      <xdr:rowOff>352425</xdr:rowOff>
    </xdr:from>
    <xdr:to>
      <xdr:col>20</xdr:col>
      <xdr:colOff>351790</xdr:colOff>
      <xdr:row>2</xdr:row>
      <xdr:rowOff>119380</xdr:rowOff>
    </xdr:to>
    <xdr:sp>
      <xdr:nvSpPr>
        <xdr:cNvPr id="46" name="文本框 45"/>
        <xdr:cNvSpPr txBox="1"/>
      </xdr:nvSpPr>
      <xdr:spPr>
        <a:xfrm>
          <a:off x="12249150" y="478790"/>
          <a:ext cx="1534160" cy="2889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费用支出</a:t>
          </a:r>
          <a:r>
            <a:rPr lang="en-US" altLang="zh-CN" sz="11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TOP.3▼</a:t>
          </a:r>
          <a:endParaRPr lang="en-US" altLang="zh-CN" sz="1100">
            <a:solidFill>
              <a:schemeClr val="bg1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showGridLines="0" tabSelected="1" workbookViewId="0">
      <selection activeCell="C14" sqref="C14:L14"/>
    </sheetView>
  </sheetViews>
  <sheetFormatPr defaultColWidth="9" defaultRowHeight="24.95" customHeight="1"/>
  <cols>
    <col min="1" max="1" width="5.625" style="2" customWidth="1"/>
    <col min="2" max="2" width="3.625" style="2" customWidth="1"/>
    <col min="3" max="3" width="5.875" style="3" customWidth="1"/>
    <col min="4" max="4" width="11.375" style="3" customWidth="1"/>
    <col min="5" max="5" width="12.25" style="3" customWidth="1"/>
    <col min="6" max="6" width="12.25" style="4" customWidth="1"/>
    <col min="7" max="13" width="9.375" style="4" customWidth="1"/>
    <col min="14" max="14" width="11" style="4" customWidth="1"/>
    <col min="15" max="15" width="12.625" style="5" customWidth="1"/>
    <col min="16" max="16" width="3.625" style="3" customWidth="1"/>
    <col min="17" max="17" width="0.75" style="3" customWidth="1"/>
    <col min="18" max="18" width="4.625" style="3" customWidth="1"/>
    <col min="19" max="20" width="13.5083333333333" style="3" customWidth="1"/>
    <col min="21" max="22" width="4.625" style="2" customWidth="1"/>
    <col min="23" max="23" width="5.50833333333333" style="6" customWidth="1"/>
    <col min="24" max="24" width="11" style="2" customWidth="1"/>
    <col min="25" max="27" width="11.375" style="2" customWidth="1"/>
    <col min="28" max="29" width="13.75" style="2" customWidth="1"/>
    <col min="30" max="16384" width="9" style="2"/>
  </cols>
  <sheetData>
    <row r="1" ht="9.95" customHeight="1" spans="1:22">
      <c r="A1" s="7"/>
      <c r="B1" s="7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30"/>
      <c r="P1" s="8"/>
      <c r="Q1" s="8"/>
      <c r="R1" s="8"/>
      <c r="S1" s="8"/>
      <c r="T1" s="8"/>
      <c r="U1" s="7"/>
      <c r="V1" s="7"/>
    </row>
    <row r="2" ht="41.1" customHeight="1" spans="1:22">
      <c r="A2" s="7"/>
      <c r="B2" s="7"/>
      <c r="C2" s="9"/>
      <c r="D2" s="10" t="s">
        <v>0</v>
      </c>
      <c r="E2" s="10"/>
      <c r="F2" s="10"/>
      <c r="G2" s="9"/>
      <c r="H2" s="9"/>
      <c r="I2" s="9"/>
      <c r="J2" s="9"/>
      <c r="K2" s="9"/>
      <c r="L2" s="9"/>
      <c r="M2" s="9"/>
      <c r="N2" s="9"/>
      <c r="O2" s="30"/>
      <c r="P2" s="8"/>
      <c r="Q2" s="8"/>
      <c r="R2" s="8"/>
      <c r="S2" s="8"/>
      <c r="T2" s="8"/>
      <c r="U2" s="7"/>
      <c r="V2" s="7"/>
    </row>
    <row r="3" ht="9.95" customHeight="1" spans="1:22">
      <c r="A3" s="7"/>
      <c r="B3" s="7"/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30"/>
      <c r="P3" s="8"/>
      <c r="Q3" s="8"/>
      <c r="R3" s="8"/>
      <c r="S3" s="8"/>
      <c r="T3" s="8"/>
      <c r="U3" s="7"/>
      <c r="V3" s="7"/>
    </row>
    <row r="4" ht="6.95" customHeight="1" spans="1:22">
      <c r="A4" s="11"/>
      <c r="B4" s="11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31"/>
      <c r="P4" s="12"/>
      <c r="Q4" s="12"/>
      <c r="R4" s="12"/>
      <c r="S4" s="12"/>
      <c r="T4" s="12"/>
      <c r="U4" s="11"/>
      <c r="V4" s="11"/>
    </row>
    <row r="5" ht="6.95" customHeight="1" spans="1:22">
      <c r="A5" s="11"/>
      <c r="B5" s="11"/>
      <c r="C5" s="11"/>
      <c r="D5" s="11"/>
      <c r="E5" s="11"/>
      <c r="F5" s="11"/>
      <c r="G5" s="11"/>
      <c r="H5" s="11"/>
      <c r="I5" s="14"/>
      <c r="J5" s="14"/>
      <c r="K5" s="16"/>
      <c r="L5" s="16"/>
      <c r="M5" s="16"/>
      <c r="N5" s="16"/>
      <c r="O5" s="32"/>
      <c r="P5" s="15"/>
      <c r="Q5" s="15"/>
      <c r="R5" s="15"/>
      <c r="S5" s="15"/>
      <c r="T5" s="15"/>
      <c r="U5" s="14"/>
      <c r="V5" s="11"/>
    </row>
    <row r="6" customHeight="1" spans="1:22">
      <c r="A6" s="11"/>
      <c r="B6" s="11"/>
      <c r="C6" s="11"/>
      <c r="D6" s="11"/>
      <c r="E6" s="11"/>
      <c r="F6" s="11"/>
      <c r="G6" s="11"/>
      <c r="H6" s="11"/>
      <c r="I6" s="14"/>
      <c r="J6" s="14"/>
      <c r="K6" s="16"/>
      <c r="L6" s="16"/>
      <c r="M6" s="16"/>
      <c r="N6" s="16"/>
      <c r="O6" s="32"/>
      <c r="P6" s="15"/>
      <c r="Q6" s="15"/>
      <c r="R6" s="15"/>
      <c r="S6" s="15"/>
      <c r="T6" s="15"/>
      <c r="U6" s="14"/>
      <c r="V6" s="11"/>
    </row>
    <row r="7" customHeight="1" spans="1:22">
      <c r="A7" s="11"/>
      <c r="B7" s="11"/>
      <c r="C7" s="11"/>
      <c r="D7" s="11"/>
      <c r="E7" s="11"/>
      <c r="F7" s="11"/>
      <c r="G7" s="11"/>
      <c r="H7" s="11"/>
      <c r="I7" s="14"/>
      <c r="J7" s="14"/>
      <c r="K7" s="16"/>
      <c r="L7" s="16"/>
      <c r="M7" s="16"/>
      <c r="N7" s="16"/>
      <c r="O7" s="32"/>
      <c r="P7" s="15"/>
      <c r="Q7" s="15"/>
      <c r="R7" s="15"/>
      <c r="S7" s="15"/>
      <c r="T7" s="15"/>
      <c r="U7" s="14"/>
      <c r="V7" s="11"/>
    </row>
    <row r="8" customHeight="1" spans="1:22">
      <c r="A8" s="11"/>
      <c r="B8" s="11"/>
      <c r="C8" s="11"/>
      <c r="D8" s="11"/>
      <c r="E8" s="11"/>
      <c r="F8" s="11"/>
      <c r="G8" s="11"/>
      <c r="H8" s="11"/>
      <c r="I8" s="14"/>
      <c r="J8" s="14"/>
      <c r="K8" s="16"/>
      <c r="L8" s="16"/>
      <c r="M8" s="16"/>
      <c r="N8" s="16"/>
      <c r="O8" s="32"/>
      <c r="P8" s="15"/>
      <c r="Q8" s="15"/>
      <c r="R8" s="15"/>
      <c r="S8" s="15"/>
      <c r="T8" s="15"/>
      <c r="U8" s="14"/>
      <c r="V8" s="11"/>
    </row>
    <row r="9" customHeight="1" spans="1:22">
      <c r="A9" s="11"/>
      <c r="B9" s="11"/>
      <c r="C9" s="11"/>
      <c r="D9" s="11"/>
      <c r="E9" s="11"/>
      <c r="F9" s="11"/>
      <c r="G9" s="11"/>
      <c r="H9" s="11"/>
      <c r="I9" s="14"/>
      <c r="J9" s="14"/>
      <c r="K9" s="16"/>
      <c r="L9" s="16"/>
      <c r="M9" s="16"/>
      <c r="N9" s="16"/>
      <c r="O9" s="32"/>
      <c r="P9" s="15"/>
      <c r="Q9" s="15"/>
      <c r="R9" s="15"/>
      <c r="S9" s="15"/>
      <c r="T9" s="15"/>
      <c r="U9" s="14"/>
      <c r="V9" s="11"/>
    </row>
    <row r="10" ht="6.95" customHeight="1" spans="1:22">
      <c r="A10" s="11"/>
      <c r="B10" s="11"/>
      <c r="C10" s="11"/>
      <c r="D10" s="11"/>
      <c r="E10" s="11"/>
      <c r="F10" s="11"/>
      <c r="G10" s="11"/>
      <c r="H10" s="11"/>
      <c r="I10" s="14"/>
      <c r="J10" s="14"/>
      <c r="K10" s="16"/>
      <c r="L10" s="16"/>
      <c r="M10" s="16"/>
      <c r="N10" s="16"/>
      <c r="O10" s="32"/>
      <c r="P10" s="15"/>
      <c r="Q10" s="15"/>
      <c r="R10" s="15"/>
      <c r="S10" s="15"/>
      <c r="T10" s="15"/>
      <c r="U10" s="14"/>
      <c r="V10" s="11"/>
    </row>
    <row r="11" ht="5.1" customHeight="1" spans="1:2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3"/>
      <c r="L11" s="13"/>
      <c r="M11" s="13"/>
      <c r="N11" s="13"/>
      <c r="O11" s="31"/>
      <c r="P11" s="12"/>
      <c r="Q11" s="12"/>
      <c r="R11" s="12"/>
      <c r="S11" s="12"/>
      <c r="T11" s="12"/>
      <c r="U11" s="11"/>
      <c r="V11" s="11"/>
    </row>
    <row r="12" customHeight="1" spans="1:22">
      <c r="A12" s="11"/>
      <c r="B12" s="14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32"/>
      <c r="P12" s="15"/>
      <c r="Q12" s="12"/>
      <c r="R12" s="11"/>
      <c r="S12" s="11"/>
      <c r="T12" s="11"/>
      <c r="U12" s="11"/>
      <c r="V12" s="11"/>
    </row>
    <row r="13" s="1" customFormat="1" customHeight="1" spans="1:26">
      <c r="A13" s="17"/>
      <c r="B13" s="18"/>
      <c r="C13" s="19" t="s">
        <v>1</v>
      </c>
      <c r="D13" s="19"/>
      <c r="E13" s="19"/>
      <c r="F13" s="20"/>
      <c r="G13" s="21" t="s">
        <v>2</v>
      </c>
      <c r="H13" s="22"/>
      <c r="I13" s="22"/>
      <c r="J13" s="22"/>
      <c r="K13" s="22"/>
      <c r="L13" s="22"/>
      <c r="M13" s="22"/>
      <c r="N13" s="33"/>
      <c r="O13" s="34" t="s">
        <v>3</v>
      </c>
      <c r="P13" s="18"/>
      <c r="Q13" s="17"/>
      <c r="R13" s="17"/>
      <c r="S13" s="17"/>
      <c r="T13" s="17"/>
      <c r="U13" s="17"/>
      <c r="V13" s="17"/>
      <c r="X13" s="3" t="s">
        <v>4</v>
      </c>
      <c r="Y13" s="41">
        <v>2023</v>
      </c>
      <c r="Z13" s="3"/>
    </row>
    <row r="14" s="1" customFormat="1" customHeight="1" spans="1:26">
      <c r="A14" s="17"/>
      <c r="B14" s="18"/>
      <c r="C14" s="23" t="s">
        <v>5</v>
      </c>
      <c r="D14" s="23" t="s">
        <v>6</v>
      </c>
      <c r="E14" s="23" t="s">
        <v>7</v>
      </c>
      <c r="F14" s="24" t="s">
        <v>8</v>
      </c>
      <c r="G14" s="24" t="s">
        <v>9</v>
      </c>
      <c r="H14" s="24" t="s">
        <v>10</v>
      </c>
      <c r="I14" s="24" t="s">
        <v>11</v>
      </c>
      <c r="J14" s="24" t="s">
        <v>12</v>
      </c>
      <c r="K14" s="24" t="s">
        <v>13</v>
      </c>
      <c r="L14" s="24" t="s">
        <v>14</v>
      </c>
      <c r="M14" s="24" t="s">
        <v>15</v>
      </c>
      <c r="N14" s="24" t="s">
        <v>16</v>
      </c>
      <c r="O14" s="35"/>
      <c r="P14" s="18"/>
      <c r="Q14" s="17"/>
      <c r="R14" s="17"/>
      <c r="S14" s="17"/>
      <c r="T14" s="17"/>
      <c r="U14" s="17"/>
      <c r="V14" s="17"/>
      <c r="X14" s="24" t="s">
        <v>17</v>
      </c>
      <c r="Y14" s="24" t="s">
        <v>18</v>
      </c>
      <c r="Z14" s="24" t="s">
        <v>8</v>
      </c>
    </row>
    <row r="15" customHeight="1" spans="1:26">
      <c r="A15" s="11"/>
      <c r="B15" s="14"/>
      <c r="C15" s="25">
        <v>1</v>
      </c>
      <c r="D15" s="25" t="s">
        <v>19</v>
      </c>
      <c r="E15" s="26">
        <v>44927</v>
      </c>
      <c r="F15" s="27">
        <v>2000</v>
      </c>
      <c r="G15" s="27">
        <v>70</v>
      </c>
      <c r="H15" s="27">
        <v>400</v>
      </c>
      <c r="I15" s="27">
        <v>200</v>
      </c>
      <c r="J15" s="27">
        <v>120</v>
      </c>
      <c r="K15" s="27">
        <v>200</v>
      </c>
      <c r="L15" s="27">
        <v>100</v>
      </c>
      <c r="M15" s="27">
        <v>100</v>
      </c>
      <c r="N15" s="27">
        <f>SUM(G15:M15)</f>
        <v>1190</v>
      </c>
      <c r="O15" s="36">
        <f>IF(D15="","",(F15-N15)/F15)</f>
        <v>0.405</v>
      </c>
      <c r="P15" s="15"/>
      <c r="Q15" s="12"/>
      <c r="R15" s="11"/>
      <c r="S15" s="11"/>
      <c r="T15" s="11"/>
      <c r="U15" s="11"/>
      <c r="V15" s="11"/>
      <c r="X15" s="25">
        <v>1</v>
      </c>
      <c r="Y15" s="25">
        <f>SUMPRODUCT((YEAR($E$15:$E$13766)=$Y$13)*(MONTH($E$15:$E$13766)=X15))</f>
        <v>1</v>
      </c>
      <c r="Z15" s="27">
        <f>SUMPRODUCT((YEAR($E$15:$E$13766)=$Y$13)*(MONTH($E$15:$E$13766)=X15)*($F$15:$F$13766))</f>
        <v>2000</v>
      </c>
    </row>
    <row r="16" customHeight="1" spans="1:26">
      <c r="A16" s="11"/>
      <c r="B16" s="14"/>
      <c r="C16" s="28">
        <v>2</v>
      </c>
      <c r="D16" s="25" t="s">
        <v>20</v>
      </c>
      <c r="E16" s="26">
        <v>44958</v>
      </c>
      <c r="F16" s="29">
        <v>1500</v>
      </c>
      <c r="G16" s="27">
        <v>60</v>
      </c>
      <c r="H16" s="27">
        <v>500</v>
      </c>
      <c r="I16" s="27">
        <v>250</v>
      </c>
      <c r="J16" s="27">
        <v>110</v>
      </c>
      <c r="K16" s="27">
        <v>190</v>
      </c>
      <c r="L16" s="27">
        <v>150</v>
      </c>
      <c r="M16" s="27">
        <v>130</v>
      </c>
      <c r="N16" s="27">
        <f t="shared" ref="N16:N27" si="0">SUM(G16:M16)</f>
        <v>1390</v>
      </c>
      <c r="O16" s="36">
        <f t="shared" ref="O16:O27" si="1">IF(D16="","",(F16-N16)/F16)</f>
        <v>0.0733333333333333</v>
      </c>
      <c r="P16" s="15"/>
      <c r="Q16" s="12"/>
      <c r="R16" s="11"/>
      <c r="S16" s="11"/>
      <c r="T16" s="11"/>
      <c r="U16" s="11"/>
      <c r="V16" s="11"/>
      <c r="X16" s="25">
        <v>2</v>
      </c>
      <c r="Y16" s="25">
        <f t="shared" ref="Y16:Y26" si="2">SUMPRODUCT((YEAR($E$15:$E$13766)=$Y$13)*(MONTH($E$15:$E$13766)=X16))</f>
        <v>1</v>
      </c>
      <c r="Z16" s="27">
        <f t="shared" ref="Z16:Z26" si="3">SUMPRODUCT((YEAR($E$15:$E$13766)=$Y$13)*(MONTH($E$15:$E$13766)=X16)*($F$15:$F$13766))</f>
        <v>1500</v>
      </c>
    </row>
    <row r="17" customHeight="1" spans="1:26">
      <c r="A17" s="11"/>
      <c r="B17" s="14"/>
      <c r="C17" s="25">
        <v>3</v>
      </c>
      <c r="D17" s="25" t="s">
        <v>21</v>
      </c>
      <c r="E17" s="26">
        <v>44986</v>
      </c>
      <c r="F17" s="29">
        <v>1700</v>
      </c>
      <c r="G17" s="27">
        <v>70</v>
      </c>
      <c r="H17" s="27">
        <v>600</v>
      </c>
      <c r="I17" s="27">
        <v>100</v>
      </c>
      <c r="J17" s="27">
        <v>150</v>
      </c>
      <c r="K17" s="27">
        <v>240</v>
      </c>
      <c r="L17" s="27">
        <v>200</v>
      </c>
      <c r="M17" s="27">
        <v>140</v>
      </c>
      <c r="N17" s="27">
        <f t="shared" si="0"/>
        <v>1500</v>
      </c>
      <c r="O17" s="36">
        <f t="shared" si="1"/>
        <v>0.117647058823529</v>
      </c>
      <c r="P17" s="15"/>
      <c r="Q17" s="12"/>
      <c r="R17" s="11"/>
      <c r="S17" s="11"/>
      <c r="T17" s="11"/>
      <c r="U17" s="11"/>
      <c r="V17" s="11"/>
      <c r="X17" s="25">
        <v>3</v>
      </c>
      <c r="Y17" s="25">
        <f t="shared" si="2"/>
        <v>1</v>
      </c>
      <c r="Z17" s="27">
        <f t="shared" si="3"/>
        <v>1700</v>
      </c>
    </row>
    <row r="18" customHeight="1" spans="1:26">
      <c r="A18" s="11"/>
      <c r="B18" s="14"/>
      <c r="C18" s="28">
        <v>4</v>
      </c>
      <c r="D18" s="25" t="s">
        <v>22</v>
      </c>
      <c r="E18" s="26">
        <v>45017</v>
      </c>
      <c r="F18" s="29">
        <v>2100</v>
      </c>
      <c r="G18" s="27">
        <v>90</v>
      </c>
      <c r="H18" s="27">
        <v>270</v>
      </c>
      <c r="I18" s="27">
        <v>120</v>
      </c>
      <c r="J18" s="27">
        <v>80</v>
      </c>
      <c r="K18" s="27">
        <v>200</v>
      </c>
      <c r="L18" s="27">
        <v>170</v>
      </c>
      <c r="M18" s="27">
        <v>125</v>
      </c>
      <c r="N18" s="27">
        <f t="shared" si="0"/>
        <v>1055</v>
      </c>
      <c r="O18" s="36">
        <f t="shared" si="1"/>
        <v>0.497619047619048</v>
      </c>
      <c r="P18" s="15"/>
      <c r="Q18" s="12"/>
      <c r="R18" s="11"/>
      <c r="S18" s="11"/>
      <c r="T18" s="11"/>
      <c r="U18" s="11"/>
      <c r="V18" s="11"/>
      <c r="X18" s="25">
        <v>4</v>
      </c>
      <c r="Y18" s="25">
        <f t="shared" si="2"/>
        <v>1</v>
      </c>
      <c r="Z18" s="27">
        <f t="shared" si="3"/>
        <v>2100</v>
      </c>
    </row>
    <row r="19" customHeight="1" spans="1:26">
      <c r="A19" s="11"/>
      <c r="B19" s="14"/>
      <c r="C19" s="25">
        <v>5</v>
      </c>
      <c r="D19" s="25" t="s">
        <v>23</v>
      </c>
      <c r="E19" s="26">
        <v>45047</v>
      </c>
      <c r="F19" s="29">
        <v>2300</v>
      </c>
      <c r="G19" s="27">
        <v>180</v>
      </c>
      <c r="H19" s="27">
        <v>190</v>
      </c>
      <c r="I19" s="27">
        <v>170</v>
      </c>
      <c r="J19" s="27">
        <v>170</v>
      </c>
      <c r="K19" s="27">
        <v>180</v>
      </c>
      <c r="L19" s="27">
        <v>200</v>
      </c>
      <c r="M19" s="27">
        <v>135</v>
      </c>
      <c r="N19" s="27">
        <f t="shared" si="0"/>
        <v>1225</v>
      </c>
      <c r="O19" s="36">
        <f t="shared" si="1"/>
        <v>0.467391304347826</v>
      </c>
      <c r="P19" s="15"/>
      <c r="Q19" s="12"/>
      <c r="R19" s="11"/>
      <c r="S19" s="11"/>
      <c r="T19" s="11"/>
      <c r="U19" s="11"/>
      <c r="V19" s="11"/>
      <c r="X19" s="25">
        <v>5</v>
      </c>
      <c r="Y19" s="25">
        <f t="shared" si="2"/>
        <v>1</v>
      </c>
      <c r="Z19" s="27">
        <f t="shared" si="3"/>
        <v>2300</v>
      </c>
    </row>
    <row r="20" customHeight="1" spans="1:26">
      <c r="A20" s="11"/>
      <c r="B20" s="14"/>
      <c r="C20" s="28">
        <v>6</v>
      </c>
      <c r="D20" s="25" t="s">
        <v>24</v>
      </c>
      <c r="E20" s="26">
        <v>45078</v>
      </c>
      <c r="F20" s="29">
        <v>2500</v>
      </c>
      <c r="G20" s="27">
        <v>340</v>
      </c>
      <c r="H20" s="27">
        <v>120</v>
      </c>
      <c r="I20" s="27">
        <v>100</v>
      </c>
      <c r="J20" s="27">
        <v>200</v>
      </c>
      <c r="K20" s="27">
        <v>230</v>
      </c>
      <c r="L20" s="27">
        <v>220</v>
      </c>
      <c r="M20" s="27">
        <v>145</v>
      </c>
      <c r="N20" s="27">
        <f t="shared" si="0"/>
        <v>1355</v>
      </c>
      <c r="O20" s="36">
        <f t="shared" si="1"/>
        <v>0.458</v>
      </c>
      <c r="P20" s="15"/>
      <c r="Q20" s="12"/>
      <c r="R20" s="11"/>
      <c r="S20" s="11"/>
      <c r="T20" s="11"/>
      <c r="U20" s="11"/>
      <c r="V20" s="11"/>
      <c r="X20" s="25">
        <v>6</v>
      </c>
      <c r="Y20" s="25">
        <f t="shared" si="2"/>
        <v>1</v>
      </c>
      <c r="Z20" s="27">
        <f t="shared" si="3"/>
        <v>2500</v>
      </c>
    </row>
    <row r="21" customHeight="1" spans="1:26">
      <c r="A21" s="11"/>
      <c r="B21" s="14"/>
      <c r="C21" s="25">
        <v>7</v>
      </c>
      <c r="D21" s="25" t="s">
        <v>25</v>
      </c>
      <c r="E21" s="26">
        <v>45108</v>
      </c>
      <c r="F21" s="29">
        <v>1900</v>
      </c>
      <c r="G21" s="27">
        <v>240</v>
      </c>
      <c r="H21" s="27">
        <v>140</v>
      </c>
      <c r="I21" s="27">
        <v>120</v>
      </c>
      <c r="J21" s="27">
        <v>190</v>
      </c>
      <c r="K21" s="27">
        <v>190</v>
      </c>
      <c r="L21" s="27">
        <v>240</v>
      </c>
      <c r="M21" s="27">
        <v>155</v>
      </c>
      <c r="N21" s="27">
        <f t="shared" si="0"/>
        <v>1275</v>
      </c>
      <c r="O21" s="36">
        <f t="shared" si="1"/>
        <v>0.328947368421053</v>
      </c>
      <c r="P21" s="15"/>
      <c r="Q21" s="12"/>
      <c r="R21" s="11"/>
      <c r="S21" s="11"/>
      <c r="T21" s="11"/>
      <c r="U21" s="11"/>
      <c r="V21" s="11"/>
      <c r="X21" s="25">
        <v>7</v>
      </c>
      <c r="Y21" s="25">
        <f t="shared" si="2"/>
        <v>1</v>
      </c>
      <c r="Z21" s="27">
        <f t="shared" si="3"/>
        <v>1900</v>
      </c>
    </row>
    <row r="22" customHeight="1" spans="1:26">
      <c r="A22" s="11"/>
      <c r="B22" s="14"/>
      <c r="C22" s="28">
        <v>8</v>
      </c>
      <c r="D22" s="25" t="s">
        <v>26</v>
      </c>
      <c r="E22" s="26">
        <v>45139</v>
      </c>
      <c r="F22" s="29">
        <v>1100</v>
      </c>
      <c r="G22" s="27">
        <v>350</v>
      </c>
      <c r="H22" s="27">
        <v>100</v>
      </c>
      <c r="I22" s="27">
        <v>110</v>
      </c>
      <c r="J22" s="27">
        <v>200</v>
      </c>
      <c r="K22" s="27">
        <v>150</v>
      </c>
      <c r="L22" s="27">
        <v>260</v>
      </c>
      <c r="M22" s="27">
        <v>142</v>
      </c>
      <c r="N22" s="27">
        <f t="shared" si="0"/>
        <v>1312</v>
      </c>
      <c r="O22" s="36">
        <f t="shared" si="1"/>
        <v>-0.192727272727273</v>
      </c>
      <c r="P22" s="15"/>
      <c r="Q22" s="12"/>
      <c r="R22" s="11"/>
      <c r="S22" s="11"/>
      <c r="T22" s="11"/>
      <c r="U22" s="11"/>
      <c r="V22" s="11"/>
      <c r="X22" s="25">
        <v>8</v>
      </c>
      <c r="Y22" s="25">
        <f t="shared" si="2"/>
        <v>1</v>
      </c>
      <c r="Z22" s="27">
        <f t="shared" si="3"/>
        <v>1100</v>
      </c>
    </row>
    <row r="23" customHeight="1" spans="1:26">
      <c r="A23" s="11"/>
      <c r="B23" s="14"/>
      <c r="C23" s="25">
        <v>9</v>
      </c>
      <c r="D23" s="25" t="s">
        <v>27</v>
      </c>
      <c r="E23" s="26">
        <v>45170</v>
      </c>
      <c r="F23" s="29">
        <v>1400</v>
      </c>
      <c r="G23" s="27">
        <v>170</v>
      </c>
      <c r="H23" s="27">
        <v>180</v>
      </c>
      <c r="I23" s="27">
        <v>100</v>
      </c>
      <c r="J23" s="27">
        <v>170</v>
      </c>
      <c r="K23" s="27">
        <v>220</v>
      </c>
      <c r="L23" s="27">
        <v>150</v>
      </c>
      <c r="M23" s="27">
        <v>135</v>
      </c>
      <c r="N23" s="27">
        <f t="shared" si="0"/>
        <v>1125</v>
      </c>
      <c r="O23" s="36">
        <f t="shared" si="1"/>
        <v>0.196428571428571</v>
      </c>
      <c r="P23" s="15"/>
      <c r="Q23" s="12"/>
      <c r="R23" s="15"/>
      <c r="S23" s="15"/>
      <c r="T23" s="15"/>
      <c r="U23" s="14"/>
      <c r="V23" s="11"/>
      <c r="X23" s="25">
        <v>9</v>
      </c>
      <c r="Y23" s="25">
        <f t="shared" si="2"/>
        <v>1</v>
      </c>
      <c r="Z23" s="27">
        <f t="shared" si="3"/>
        <v>1400</v>
      </c>
    </row>
    <row r="24" customHeight="1" spans="1:26">
      <c r="A24" s="11"/>
      <c r="B24" s="14"/>
      <c r="C24" s="28">
        <v>10</v>
      </c>
      <c r="D24" s="25" t="s">
        <v>28</v>
      </c>
      <c r="E24" s="26">
        <v>45200</v>
      </c>
      <c r="F24" s="29">
        <v>1600</v>
      </c>
      <c r="G24" s="27">
        <v>150</v>
      </c>
      <c r="H24" s="27">
        <v>220</v>
      </c>
      <c r="I24" s="27">
        <v>150</v>
      </c>
      <c r="J24" s="27">
        <v>140</v>
      </c>
      <c r="K24" s="27">
        <v>170</v>
      </c>
      <c r="L24" s="27">
        <v>150</v>
      </c>
      <c r="M24" s="27">
        <v>130</v>
      </c>
      <c r="N24" s="27">
        <f t="shared" si="0"/>
        <v>1110</v>
      </c>
      <c r="O24" s="36">
        <f t="shared" si="1"/>
        <v>0.30625</v>
      </c>
      <c r="P24" s="15"/>
      <c r="Q24" s="12"/>
      <c r="R24" s="15"/>
      <c r="S24" s="15"/>
      <c r="T24" s="15"/>
      <c r="U24" s="14"/>
      <c r="V24" s="11"/>
      <c r="X24" s="25">
        <v>10</v>
      </c>
      <c r="Y24" s="25">
        <f t="shared" si="2"/>
        <v>1</v>
      </c>
      <c r="Z24" s="27">
        <f t="shared" si="3"/>
        <v>1600</v>
      </c>
    </row>
    <row r="25" customHeight="1" spans="1:26">
      <c r="A25" s="11"/>
      <c r="B25" s="14"/>
      <c r="C25" s="25">
        <v>11</v>
      </c>
      <c r="D25" s="25" t="s">
        <v>29</v>
      </c>
      <c r="E25" s="26">
        <v>45231</v>
      </c>
      <c r="F25" s="29">
        <v>1900</v>
      </c>
      <c r="G25" s="27">
        <v>120</v>
      </c>
      <c r="H25" s="27">
        <v>105</v>
      </c>
      <c r="I25" s="27">
        <v>140</v>
      </c>
      <c r="J25" s="27">
        <v>120</v>
      </c>
      <c r="K25" s="27">
        <v>120</v>
      </c>
      <c r="L25" s="27">
        <v>170</v>
      </c>
      <c r="M25" s="27">
        <v>120</v>
      </c>
      <c r="N25" s="27">
        <f t="shared" si="0"/>
        <v>895</v>
      </c>
      <c r="O25" s="36">
        <f t="shared" si="1"/>
        <v>0.528947368421053</v>
      </c>
      <c r="P25" s="15"/>
      <c r="Q25" s="12"/>
      <c r="R25" s="15"/>
      <c r="S25" s="37" t="s">
        <v>6</v>
      </c>
      <c r="T25" s="38" t="s">
        <v>19</v>
      </c>
      <c r="U25" s="14"/>
      <c r="V25" s="11"/>
      <c r="X25" s="25">
        <v>11</v>
      </c>
      <c r="Y25" s="25">
        <f t="shared" si="2"/>
        <v>1</v>
      </c>
      <c r="Z25" s="27">
        <f t="shared" si="3"/>
        <v>1900</v>
      </c>
    </row>
    <row r="26" customHeight="1" spans="1:26">
      <c r="A26" s="11"/>
      <c r="B26" s="14"/>
      <c r="C26" s="28">
        <v>12</v>
      </c>
      <c r="D26" s="25" t="s">
        <v>30</v>
      </c>
      <c r="E26" s="26">
        <v>45261</v>
      </c>
      <c r="F26" s="29">
        <v>2000</v>
      </c>
      <c r="G26" s="27">
        <v>200</v>
      </c>
      <c r="H26" s="27">
        <v>115</v>
      </c>
      <c r="I26" s="27">
        <v>200</v>
      </c>
      <c r="J26" s="27">
        <v>110</v>
      </c>
      <c r="K26" s="27">
        <v>200</v>
      </c>
      <c r="L26" s="27">
        <v>150</v>
      </c>
      <c r="M26" s="27">
        <v>125</v>
      </c>
      <c r="N26" s="27">
        <f t="shared" si="0"/>
        <v>1100</v>
      </c>
      <c r="O26" s="36">
        <f t="shared" si="1"/>
        <v>0.45</v>
      </c>
      <c r="P26" s="15"/>
      <c r="Q26" s="12"/>
      <c r="R26" s="15"/>
      <c r="S26" s="37" t="s">
        <v>7</v>
      </c>
      <c r="T26" s="39">
        <f>IFERROR(VLOOKUP($T$25,$D$15:$O$13765,2,FALSE),"")</f>
        <v>44927</v>
      </c>
      <c r="U26" s="14"/>
      <c r="V26" s="11"/>
      <c r="X26" s="25">
        <v>12</v>
      </c>
      <c r="Y26" s="25">
        <f t="shared" si="2"/>
        <v>15</v>
      </c>
      <c r="Z26" s="27">
        <f t="shared" si="3"/>
        <v>30105</v>
      </c>
    </row>
    <row r="27" customHeight="1" spans="1:22">
      <c r="A27" s="11"/>
      <c r="B27" s="14"/>
      <c r="C27" s="28">
        <v>13</v>
      </c>
      <c r="D27" s="25" t="s">
        <v>31</v>
      </c>
      <c r="E27" s="26">
        <v>45262</v>
      </c>
      <c r="F27" s="29">
        <v>2001</v>
      </c>
      <c r="G27" s="27">
        <v>201</v>
      </c>
      <c r="H27" s="27">
        <v>116</v>
      </c>
      <c r="I27" s="27">
        <v>201</v>
      </c>
      <c r="J27" s="27">
        <v>111</v>
      </c>
      <c r="K27" s="27">
        <v>201</v>
      </c>
      <c r="L27" s="27">
        <v>151</v>
      </c>
      <c r="M27" s="27">
        <v>126</v>
      </c>
      <c r="N27" s="27">
        <f t="shared" ref="N27:N40" si="4">SUM(G27:M27)</f>
        <v>1107</v>
      </c>
      <c r="O27" s="36">
        <f t="shared" si="1"/>
        <v>0.446776611694153</v>
      </c>
      <c r="P27" s="15"/>
      <c r="Q27" s="12"/>
      <c r="R27" s="15"/>
      <c r="S27" s="37" t="s">
        <v>8</v>
      </c>
      <c r="T27" s="38">
        <f>IFERROR(VLOOKUP($T$25,$D$15:$O$13765,3,FALSE),"")</f>
        <v>2000</v>
      </c>
      <c r="U27" s="14"/>
      <c r="V27" s="11"/>
    </row>
    <row r="28" customHeight="1" spans="1:25">
      <c r="A28" s="11"/>
      <c r="B28" s="14"/>
      <c r="C28" s="28">
        <v>14</v>
      </c>
      <c r="D28" s="25" t="s">
        <v>32</v>
      </c>
      <c r="E28" s="26">
        <v>45263</v>
      </c>
      <c r="F28" s="29">
        <v>2002</v>
      </c>
      <c r="G28" s="27">
        <v>202</v>
      </c>
      <c r="H28" s="27">
        <v>117</v>
      </c>
      <c r="I28" s="27">
        <v>202</v>
      </c>
      <c r="J28" s="27">
        <v>112</v>
      </c>
      <c r="K28" s="27">
        <v>202</v>
      </c>
      <c r="L28" s="27">
        <v>152</v>
      </c>
      <c r="M28" s="27">
        <v>127</v>
      </c>
      <c r="N28" s="27">
        <f t="shared" si="4"/>
        <v>1114</v>
      </c>
      <c r="O28" s="36">
        <f t="shared" ref="O28:O91" si="5">IF(D28="","",(F28-N28)/F28)</f>
        <v>0.443556443556444</v>
      </c>
      <c r="P28" s="15"/>
      <c r="Q28" s="12"/>
      <c r="R28" s="15"/>
      <c r="S28" s="37" t="s">
        <v>9</v>
      </c>
      <c r="T28" s="38">
        <f>IFERROR(VLOOKUP($T$25,$D$15:$O$13765,4,FALSE),"")</f>
        <v>70</v>
      </c>
      <c r="U28" s="14"/>
      <c r="V28" s="11"/>
      <c r="X28" s="24" t="s">
        <v>6</v>
      </c>
      <c r="Y28" s="24" t="s">
        <v>33</v>
      </c>
    </row>
    <row r="29" customHeight="1" spans="1:25">
      <c r="A29" s="11"/>
      <c r="B29" s="14"/>
      <c r="C29" s="28">
        <v>15</v>
      </c>
      <c r="D29" s="25" t="s">
        <v>34</v>
      </c>
      <c r="E29" s="26">
        <v>45264</v>
      </c>
      <c r="F29" s="29">
        <v>2003</v>
      </c>
      <c r="G29" s="27">
        <v>203</v>
      </c>
      <c r="H29" s="27">
        <v>118</v>
      </c>
      <c r="I29" s="27">
        <v>203</v>
      </c>
      <c r="J29" s="27">
        <v>113</v>
      </c>
      <c r="K29" s="27">
        <v>203</v>
      </c>
      <c r="L29" s="27">
        <v>153</v>
      </c>
      <c r="M29" s="27">
        <v>128</v>
      </c>
      <c r="N29" s="27">
        <f t="shared" si="4"/>
        <v>1121</v>
      </c>
      <c r="O29" s="36">
        <f t="shared" si="5"/>
        <v>0.440339490763854</v>
      </c>
      <c r="P29" s="15"/>
      <c r="Q29" s="12"/>
      <c r="R29" s="15"/>
      <c r="S29" s="37" t="s">
        <v>10</v>
      </c>
      <c r="T29" s="38">
        <f>IFERROR(VLOOKUP($T$25,$D$15:$O$13765,5,FALSE),"")</f>
        <v>400</v>
      </c>
      <c r="U29" s="14"/>
      <c r="V29" s="11"/>
      <c r="W29" s="6">
        <f>IF(X29="","",RANK(Y29,$Y$29:$Y$35,0))</f>
        <v>2</v>
      </c>
      <c r="X29" s="25" t="s">
        <v>9</v>
      </c>
      <c r="Y29" s="27">
        <f>SUM(G15:G13765)</f>
        <v>4945</v>
      </c>
    </row>
    <row r="30" customHeight="1" spans="1:25">
      <c r="A30" s="11"/>
      <c r="B30" s="14"/>
      <c r="C30" s="28">
        <v>16</v>
      </c>
      <c r="D30" s="25" t="s">
        <v>35</v>
      </c>
      <c r="E30" s="26">
        <v>45265</v>
      </c>
      <c r="F30" s="29">
        <v>2004</v>
      </c>
      <c r="G30" s="27">
        <v>204</v>
      </c>
      <c r="H30" s="27">
        <v>119</v>
      </c>
      <c r="I30" s="27">
        <v>204</v>
      </c>
      <c r="J30" s="27">
        <v>114</v>
      </c>
      <c r="K30" s="27">
        <v>204</v>
      </c>
      <c r="L30" s="27">
        <v>154</v>
      </c>
      <c r="M30" s="27">
        <v>129</v>
      </c>
      <c r="N30" s="27">
        <f t="shared" si="4"/>
        <v>1128</v>
      </c>
      <c r="O30" s="36">
        <f t="shared" si="5"/>
        <v>0.437125748502994</v>
      </c>
      <c r="P30" s="15"/>
      <c r="Q30" s="12"/>
      <c r="R30" s="15"/>
      <c r="S30" s="37" t="s">
        <v>11</v>
      </c>
      <c r="T30" s="38">
        <f>IFERROR(VLOOKUP($T$25,$D$15:$O$13765,6,FALSE),"")</f>
        <v>200</v>
      </c>
      <c r="U30" s="14"/>
      <c r="V30" s="11"/>
      <c r="W30" s="6">
        <f t="shared" ref="W30:W35" si="6">IF(X30="","",RANK(Y30,$Y$29:$Y$35,0))</f>
        <v>4</v>
      </c>
      <c r="X30" s="25" t="s">
        <v>10</v>
      </c>
      <c r="Y30" s="27">
        <f>SUM(H15:H40)</f>
        <v>4655</v>
      </c>
    </row>
    <row r="31" customHeight="1" spans="1:25">
      <c r="A31" s="11"/>
      <c r="B31" s="14"/>
      <c r="C31" s="28">
        <v>17</v>
      </c>
      <c r="D31" s="25" t="s">
        <v>36</v>
      </c>
      <c r="E31" s="26">
        <v>45266</v>
      </c>
      <c r="F31" s="29">
        <v>2005</v>
      </c>
      <c r="G31" s="27">
        <v>205</v>
      </c>
      <c r="H31" s="27">
        <v>120</v>
      </c>
      <c r="I31" s="27">
        <v>205</v>
      </c>
      <c r="J31" s="27">
        <v>115</v>
      </c>
      <c r="K31" s="27">
        <v>205</v>
      </c>
      <c r="L31" s="27">
        <v>155</v>
      </c>
      <c r="M31" s="27">
        <v>130</v>
      </c>
      <c r="N31" s="27">
        <f t="shared" si="4"/>
        <v>1135</v>
      </c>
      <c r="O31" s="36">
        <f t="shared" si="5"/>
        <v>0.433915211970075</v>
      </c>
      <c r="P31" s="15"/>
      <c r="Q31" s="12"/>
      <c r="R31" s="15"/>
      <c r="S31" s="37" t="s">
        <v>12</v>
      </c>
      <c r="T31" s="38">
        <f>IFERROR(VLOOKUP($T$25,$D$15:$O$13765,7,FALSE),"")</f>
        <v>120</v>
      </c>
      <c r="U31" s="14"/>
      <c r="V31" s="11"/>
      <c r="W31" s="6">
        <f t="shared" si="6"/>
        <v>3</v>
      </c>
      <c r="X31" s="25" t="s">
        <v>11</v>
      </c>
      <c r="Y31" s="27">
        <f>SUM(I15:I13765)</f>
        <v>4665</v>
      </c>
    </row>
    <row r="32" customHeight="1" spans="1:25">
      <c r="A32" s="11"/>
      <c r="B32" s="14"/>
      <c r="C32" s="28">
        <v>18</v>
      </c>
      <c r="D32" s="25" t="s">
        <v>37</v>
      </c>
      <c r="E32" s="26">
        <v>45267</v>
      </c>
      <c r="F32" s="29">
        <v>2006</v>
      </c>
      <c r="G32" s="27">
        <v>206</v>
      </c>
      <c r="H32" s="27">
        <v>121</v>
      </c>
      <c r="I32" s="27">
        <v>206</v>
      </c>
      <c r="J32" s="27">
        <v>116</v>
      </c>
      <c r="K32" s="27">
        <v>206</v>
      </c>
      <c r="L32" s="27">
        <v>156</v>
      </c>
      <c r="M32" s="27">
        <v>131</v>
      </c>
      <c r="N32" s="27">
        <f t="shared" si="4"/>
        <v>1142</v>
      </c>
      <c r="O32" s="36">
        <f t="shared" si="5"/>
        <v>0.430707876370887</v>
      </c>
      <c r="P32" s="15"/>
      <c r="Q32" s="12"/>
      <c r="R32" s="15"/>
      <c r="S32" s="37" t="s">
        <v>13</v>
      </c>
      <c r="T32" s="38">
        <f>IFERROR(VLOOKUP($T$25,$D$15:$O$13765,8,FALSE),"")</f>
        <v>200</v>
      </c>
      <c r="U32" s="14"/>
      <c r="V32" s="11"/>
      <c r="W32" s="6">
        <f t="shared" si="6"/>
        <v>7</v>
      </c>
      <c r="X32" s="25" t="s">
        <v>12</v>
      </c>
      <c r="Y32" s="27">
        <f>SUM(J15:J13765)</f>
        <v>3405</v>
      </c>
    </row>
    <row r="33" customHeight="1" spans="1:25">
      <c r="A33" s="11"/>
      <c r="B33" s="14"/>
      <c r="C33" s="28">
        <v>19</v>
      </c>
      <c r="D33" s="25" t="s">
        <v>38</v>
      </c>
      <c r="E33" s="26">
        <v>45268</v>
      </c>
      <c r="F33" s="29">
        <v>2007</v>
      </c>
      <c r="G33" s="27">
        <v>207</v>
      </c>
      <c r="H33" s="27">
        <v>122</v>
      </c>
      <c r="I33" s="27">
        <v>207</v>
      </c>
      <c r="J33" s="27">
        <v>117</v>
      </c>
      <c r="K33" s="27">
        <v>207</v>
      </c>
      <c r="L33" s="27">
        <v>157</v>
      </c>
      <c r="M33" s="27">
        <v>132</v>
      </c>
      <c r="N33" s="27">
        <f t="shared" si="4"/>
        <v>1149</v>
      </c>
      <c r="O33" s="36">
        <f t="shared" si="5"/>
        <v>0.427503736920777</v>
      </c>
      <c r="P33" s="15"/>
      <c r="Q33" s="12"/>
      <c r="R33" s="15"/>
      <c r="S33" s="37" t="s">
        <v>14</v>
      </c>
      <c r="T33" s="38">
        <f>IFERROR(VLOOKUP($T$25,$D$15:$O$13765,9,FALSE),"")</f>
        <v>100</v>
      </c>
      <c r="U33" s="14"/>
      <c r="V33" s="11"/>
      <c r="W33" s="6">
        <f t="shared" si="6"/>
        <v>1</v>
      </c>
      <c r="X33" s="25" t="s">
        <v>13</v>
      </c>
      <c r="Y33" s="27">
        <f>SUM(K15:K13765)</f>
        <v>5195</v>
      </c>
    </row>
    <row r="34" customHeight="1" spans="1:25">
      <c r="A34" s="11"/>
      <c r="B34" s="14"/>
      <c r="C34" s="28">
        <v>20</v>
      </c>
      <c r="D34" s="25" t="s">
        <v>39</v>
      </c>
      <c r="E34" s="26">
        <v>45269</v>
      </c>
      <c r="F34" s="29">
        <v>2008</v>
      </c>
      <c r="G34" s="27">
        <v>208</v>
      </c>
      <c r="H34" s="27">
        <v>123</v>
      </c>
      <c r="I34" s="27">
        <v>208</v>
      </c>
      <c r="J34" s="27">
        <v>118</v>
      </c>
      <c r="K34" s="27">
        <v>208</v>
      </c>
      <c r="L34" s="27">
        <v>158</v>
      </c>
      <c r="M34" s="27">
        <v>133</v>
      </c>
      <c r="N34" s="27">
        <f t="shared" si="4"/>
        <v>1156</v>
      </c>
      <c r="O34" s="36">
        <f t="shared" si="5"/>
        <v>0.424302788844622</v>
      </c>
      <c r="P34" s="15"/>
      <c r="Q34" s="12"/>
      <c r="R34" s="15"/>
      <c r="S34" s="37" t="s">
        <v>15</v>
      </c>
      <c r="T34" s="38">
        <f>IFERROR(VLOOKUP($T$25,$D$15:$O$13765,10,FALSE),"")</f>
        <v>100</v>
      </c>
      <c r="U34" s="14"/>
      <c r="V34" s="11"/>
      <c r="W34" s="6">
        <f t="shared" si="6"/>
        <v>5</v>
      </c>
      <c r="X34" s="25" t="s">
        <v>14</v>
      </c>
      <c r="Y34" s="27">
        <f>SUM(L15:L13765)</f>
        <v>4365</v>
      </c>
    </row>
    <row r="35" customHeight="1" spans="1:25">
      <c r="A35" s="11"/>
      <c r="B35" s="14"/>
      <c r="C35" s="28">
        <v>21</v>
      </c>
      <c r="D35" s="25" t="s">
        <v>40</v>
      </c>
      <c r="E35" s="26">
        <v>45270</v>
      </c>
      <c r="F35" s="29">
        <v>2009</v>
      </c>
      <c r="G35" s="27">
        <v>209</v>
      </c>
      <c r="H35" s="27">
        <v>124</v>
      </c>
      <c r="I35" s="27">
        <v>209</v>
      </c>
      <c r="J35" s="27">
        <v>119</v>
      </c>
      <c r="K35" s="27">
        <v>209</v>
      </c>
      <c r="L35" s="27">
        <v>159</v>
      </c>
      <c r="M35" s="27">
        <v>134</v>
      </c>
      <c r="N35" s="27">
        <f t="shared" si="4"/>
        <v>1163</v>
      </c>
      <c r="O35" s="36">
        <f t="shared" si="5"/>
        <v>0.421105027376804</v>
      </c>
      <c r="P35" s="15"/>
      <c r="Q35" s="12"/>
      <c r="R35" s="15"/>
      <c r="S35" s="37" t="s">
        <v>16</v>
      </c>
      <c r="T35" s="38">
        <f>IFERROR(VLOOKUP($T$25,$D$15:$O$13765,11,FALSE),"")</f>
        <v>1190</v>
      </c>
      <c r="U35" s="14"/>
      <c r="V35" s="11"/>
      <c r="W35" s="6">
        <f t="shared" si="6"/>
        <v>6</v>
      </c>
      <c r="X35" s="25" t="s">
        <v>15</v>
      </c>
      <c r="Y35" s="27">
        <f>SUM(M15:M13765)</f>
        <v>3437</v>
      </c>
    </row>
    <row r="36" customHeight="1" spans="1:22">
      <c r="A36" s="11"/>
      <c r="B36" s="14"/>
      <c r="C36" s="28">
        <v>22</v>
      </c>
      <c r="D36" s="25" t="s">
        <v>41</v>
      </c>
      <c r="E36" s="26">
        <v>45271</v>
      </c>
      <c r="F36" s="29">
        <v>2010</v>
      </c>
      <c r="G36" s="27">
        <v>210</v>
      </c>
      <c r="H36" s="27">
        <v>125</v>
      </c>
      <c r="I36" s="27">
        <v>210</v>
      </c>
      <c r="J36" s="27">
        <v>120</v>
      </c>
      <c r="K36" s="27">
        <v>210</v>
      </c>
      <c r="L36" s="27">
        <v>160</v>
      </c>
      <c r="M36" s="27">
        <v>135</v>
      </c>
      <c r="N36" s="27">
        <f t="shared" si="4"/>
        <v>1170</v>
      </c>
      <c r="O36" s="36">
        <f t="shared" si="5"/>
        <v>0.417910447761194</v>
      </c>
      <c r="P36" s="15"/>
      <c r="Q36" s="12"/>
      <c r="R36" s="15"/>
      <c r="S36" s="37" t="s">
        <v>3</v>
      </c>
      <c r="T36" s="40">
        <f>IFERROR(VLOOKUP($T$25,$D$15:$O$13765,12,FALSE),"")</f>
        <v>0.405</v>
      </c>
      <c r="U36" s="14"/>
      <c r="V36" s="11"/>
    </row>
    <row r="37" customHeight="1" spans="1:25">
      <c r="A37" s="11"/>
      <c r="B37" s="14"/>
      <c r="C37" s="28">
        <v>23</v>
      </c>
      <c r="D37" s="25" t="s">
        <v>42</v>
      </c>
      <c r="E37" s="26">
        <v>45272</v>
      </c>
      <c r="F37" s="29">
        <v>2011</v>
      </c>
      <c r="G37" s="27">
        <v>211</v>
      </c>
      <c r="H37" s="27">
        <v>126</v>
      </c>
      <c r="I37" s="27">
        <v>211</v>
      </c>
      <c r="J37" s="27">
        <v>121</v>
      </c>
      <c r="K37" s="27">
        <v>211</v>
      </c>
      <c r="L37" s="27">
        <v>161</v>
      </c>
      <c r="M37" s="27">
        <v>136</v>
      </c>
      <c r="N37" s="27">
        <f t="shared" si="4"/>
        <v>1177</v>
      </c>
      <c r="O37" s="36">
        <f t="shared" si="5"/>
        <v>0.414719045251119</v>
      </c>
      <c r="P37" s="15"/>
      <c r="Q37" s="12"/>
      <c r="R37" s="15"/>
      <c r="S37" s="15"/>
      <c r="T37" s="15"/>
      <c r="U37" s="14"/>
      <c r="V37" s="11"/>
      <c r="X37" s="24" t="s">
        <v>6</v>
      </c>
      <c r="Y37" s="24" t="s">
        <v>33</v>
      </c>
    </row>
    <row r="38" customHeight="1" spans="1:27">
      <c r="A38" s="11"/>
      <c r="B38" s="14"/>
      <c r="C38" s="28">
        <v>24</v>
      </c>
      <c r="D38" s="25" t="s">
        <v>43</v>
      </c>
      <c r="E38" s="26">
        <v>45273</v>
      </c>
      <c r="F38" s="29">
        <v>2012</v>
      </c>
      <c r="G38" s="27">
        <v>212</v>
      </c>
      <c r="H38" s="27">
        <v>127</v>
      </c>
      <c r="I38" s="27">
        <v>212</v>
      </c>
      <c r="J38" s="27">
        <v>122</v>
      </c>
      <c r="K38" s="27">
        <v>212</v>
      </c>
      <c r="L38" s="27">
        <v>162</v>
      </c>
      <c r="M38" s="27">
        <v>137</v>
      </c>
      <c r="N38" s="27">
        <f t="shared" si="4"/>
        <v>1184</v>
      </c>
      <c r="O38" s="36">
        <f t="shared" si="5"/>
        <v>0.411530815109344</v>
      </c>
      <c r="P38" s="15"/>
      <c r="Q38" s="12"/>
      <c r="R38" s="15"/>
      <c r="S38" s="15"/>
      <c r="T38" s="15"/>
      <c r="U38" s="14"/>
      <c r="V38" s="11"/>
      <c r="X38" s="25" t="str">
        <f>IFERROR(VLOOKUP(1,$W$29:$X$35,2,0),"")</f>
        <v>加工费</v>
      </c>
      <c r="Y38" s="27">
        <f>IFERROR(VLOOKUP(X38,$X$29:$Y$35,2,0),"")</f>
        <v>5195</v>
      </c>
      <c r="Z38" s="42">
        <f>Y38/SUM($Y$29:$Y$35)</f>
        <v>0.16940033260508</v>
      </c>
      <c r="AA38" s="43">
        <f>1-Z38</f>
        <v>0.83059966739492</v>
      </c>
    </row>
    <row r="39" customHeight="1" spans="1:27">
      <c r="A39" s="11"/>
      <c r="B39" s="14"/>
      <c r="C39" s="28">
        <v>25</v>
      </c>
      <c r="D39" s="25" t="s">
        <v>44</v>
      </c>
      <c r="E39" s="26">
        <v>45274</v>
      </c>
      <c r="F39" s="29">
        <v>2013</v>
      </c>
      <c r="G39" s="27">
        <v>213</v>
      </c>
      <c r="H39" s="27">
        <v>128</v>
      </c>
      <c r="I39" s="27">
        <v>213</v>
      </c>
      <c r="J39" s="27">
        <v>123</v>
      </c>
      <c r="K39" s="27">
        <v>213</v>
      </c>
      <c r="L39" s="27">
        <v>163</v>
      </c>
      <c r="M39" s="27">
        <v>138</v>
      </c>
      <c r="N39" s="27">
        <f t="shared" si="4"/>
        <v>1191</v>
      </c>
      <c r="O39" s="36">
        <f t="shared" si="5"/>
        <v>0.408345752608048</v>
      </c>
      <c r="P39" s="15"/>
      <c r="Q39" s="12"/>
      <c r="R39" s="15"/>
      <c r="S39" s="15"/>
      <c r="T39" s="15"/>
      <c r="U39" s="14"/>
      <c r="V39" s="11"/>
      <c r="X39" s="25" t="str">
        <f>IFERROR(VLOOKUP(2,$W$29:$X$35,2,0),"")</f>
        <v>材料费用</v>
      </c>
      <c r="Y39" s="27">
        <f>IFERROR(VLOOKUP(X39,$X$29:$Y$35,2,0),"")</f>
        <v>4945</v>
      </c>
      <c r="Z39" s="42">
        <f>Y39/SUM($Y$29:$Y$35)</f>
        <v>0.16124824730166</v>
      </c>
      <c r="AA39" s="43">
        <f>1-Z39</f>
        <v>0.83875175269834</v>
      </c>
    </row>
    <row r="40" customHeight="1" spans="1:27">
      <c r="A40" s="11"/>
      <c r="B40" s="14"/>
      <c r="C40" s="28">
        <v>26</v>
      </c>
      <c r="D40" s="25" t="s">
        <v>45</v>
      </c>
      <c r="E40" s="26">
        <v>45275</v>
      </c>
      <c r="F40" s="29">
        <v>2014</v>
      </c>
      <c r="G40" s="27">
        <v>214</v>
      </c>
      <c r="H40" s="27">
        <v>129</v>
      </c>
      <c r="I40" s="27">
        <v>214</v>
      </c>
      <c r="J40" s="27">
        <v>124</v>
      </c>
      <c r="K40" s="27">
        <v>214</v>
      </c>
      <c r="L40" s="27">
        <v>164</v>
      </c>
      <c r="M40" s="27">
        <v>139</v>
      </c>
      <c r="N40" s="27">
        <f t="shared" si="4"/>
        <v>1198</v>
      </c>
      <c r="O40" s="36">
        <f t="shared" si="5"/>
        <v>0.405163853028798</v>
      </c>
      <c r="P40" s="15"/>
      <c r="Q40" s="12"/>
      <c r="R40" s="15"/>
      <c r="S40" s="15"/>
      <c r="T40" s="15"/>
      <c r="U40" s="14"/>
      <c r="V40" s="11"/>
      <c r="X40" s="25" t="str">
        <f>IFERROR(VLOOKUP(3,$W$29:$X$35,2,0),"")</f>
        <v>运输费用</v>
      </c>
      <c r="Y40" s="27">
        <f>IFERROR(VLOOKUP(X40,$X$29:$Y$35,2,0),"")</f>
        <v>4665</v>
      </c>
      <c r="Z40" s="42">
        <f>Y40/SUM($Y$29:$Y$35)</f>
        <v>0.152117911761829</v>
      </c>
      <c r="AA40" s="43">
        <f>1-Z40</f>
        <v>0.847882088238171</v>
      </c>
    </row>
  </sheetData>
  <mergeCells count="4">
    <mergeCell ref="D2:F2"/>
    <mergeCell ref="C13:F13"/>
    <mergeCell ref="G13:N13"/>
    <mergeCell ref="O13:O14"/>
  </mergeCells>
  <pageMargins left="0.75" right="0.75" top="1" bottom="1" header="0.5" footer="0.5"/>
  <headerFooter/>
  <ignoredErrors>
    <ignoredError sqref="N15:N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陈娜娜</dc:creator>
  <cp:lastModifiedBy>UMBRA~</cp:lastModifiedBy>
  <dcterms:created xsi:type="dcterms:W3CDTF">2023-07-03T16:26:00Z</dcterms:created>
  <dcterms:modified xsi:type="dcterms:W3CDTF">2024-02-24T10:28:46Z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599C083E55DF4F46BFFDE5BDAAD3C605_11</vt:lpwstr>
  </property>
  <property fmtid="{D5CDD505-2E9C-101B-9397-08002B2CF9AE}" pid="3" name="KSOProductBuildVer">
    <vt:lpwstr>2052-12.1.0.16388</vt:lpwstr>
  </property>
</Properties>
</file>