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辅助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<sst xmlns="http://schemas.openxmlformats.org/spreadsheetml/2006/main" count="53" uniqueCount="46">
  <si>
    <t>工程项目收入成本财务数据统计分析表</t>
  </si>
  <si>
    <t>序号</t>
  </si>
  <si>
    <t>项目名称</t>
  </si>
  <si>
    <t>项目工程量</t>
  </si>
  <si>
    <t>开工日期</t>
  </si>
  <si>
    <t>截止日期</t>
  </si>
  <si>
    <t>收入金额</t>
  </si>
  <si>
    <t>成本金额</t>
  </si>
  <si>
    <t>其他支出</t>
  </si>
  <si>
    <t>当前利润</t>
  </si>
  <si>
    <t>利润率</t>
  </si>
  <si>
    <t>完成工程量</t>
  </si>
  <si>
    <t>完成进度</t>
  </si>
  <si>
    <t>项目_1</t>
  </si>
  <si>
    <t>项目_2</t>
  </si>
  <si>
    <t>项目_3</t>
  </si>
  <si>
    <t>项目_4</t>
  </si>
  <si>
    <t>项目_5</t>
  </si>
  <si>
    <t>项目_6</t>
  </si>
  <si>
    <t>项目_7</t>
  </si>
  <si>
    <t>项目_8</t>
  </si>
  <si>
    <t>项目_9</t>
  </si>
  <si>
    <t>项目_10</t>
  </si>
  <si>
    <t>项目_11</t>
  </si>
  <si>
    <t>项目_12</t>
  </si>
  <si>
    <t>项目_13</t>
  </si>
  <si>
    <t>项目_14</t>
  </si>
  <si>
    <t>月度发生项目</t>
  </si>
  <si>
    <t>月份</t>
  </si>
  <si>
    <t>发生项目</t>
  </si>
  <si>
    <t>项目数量</t>
  </si>
  <si>
    <t>利润金额</t>
  </si>
  <si>
    <t>1月</t>
  </si>
  <si>
    <t>2月</t>
  </si>
  <si>
    <t>3月</t>
  </si>
  <si>
    <t>4月</t>
  </si>
  <si>
    <t>支出金额</t>
  </si>
  <si>
    <t>5月</t>
  </si>
  <si>
    <t>6月</t>
  </si>
  <si>
    <t>7月</t>
  </si>
  <si>
    <t>8月</t>
  </si>
  <si>
    <t>完成率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</si>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</sst>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个&quot;"/>
    <numFmt numFmtId="177" formatCode="0&quot;年&quot;"/>
    <numFmt numFmtId="178" formatCode="m"/>
  </numFmts>
  <fonts count="26">
    <font>
      <sz val="11"/>
      <color theme="1"/>
      <name val="宋体"/>
      <charset val="134"/>
      <scheme val="minor"/>
    </font>
    <font>
      <sz val="11"/>
      <color theme="1" tint="0.249977111117893"/>
      <name val="黑体"/>
      <charset val="134"/>
    </font>
    <font>
      <sz val="12"/>
      <color theme="0"/>
      <name val="黑体"/>
      <charset val="134"/>
    </font>
    <font>
      <sz val="12"/>
      <color theme="1" tint="0.249977111117893"/>
      <name val="黑体"/>
      <charset val="134"/>
    </font>
    <font>
      <sz val="11"/>
      <color theme="0"/>
      <name val="黑体"/>
      <charset val="134"/>
    </font>
    <font>
      <sz val="24"/>
      <color theme="0"/>
      <name val="黑体"/>
      <charset val="134"/>
    </font>
    <font>
      <sz val="22"/>
      <color theme="0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886F4"/>
        <bgColor indexed="64"/>
      </patternFill>
    </fill>
    <fill>
      <patternFill patternType="solid">
        <fgColor rgb="FFF5F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"/>
      </left>
      <right style="thin">
        <color theme="0" tint="-0.149998474074526"/>
      </right>
      <top/>
      <bottom style="thin">
        <color theme="0" tint="-0.14999847407452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 tint="-0.149998474074526"/>
      </right>
      <top/>
      <bottom style="thin">
        <color theme="0" tint="-0.149998474074526"/>
      </bottom>
      <diagonal/>
    </border>
    <border>
      <left/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2" xfId="0" applyFont="1" applyBorder="1" applyAlignment="1">
      <alignment horizontal="center" vertical="center"/>
    </xf>
    <xf numFmtId="43" fontId="1" fillId="0" borderId="0" xfId="0" applyNumberFormat="1" applyFont="1">
      <alignment vertical="center"/>
    </xf>
    <xf numFmtId="10" fontId="1" fillId="0" borderId="0" xfId="3" applyNumberFormat="1" applyFont="1">
      <alignment vertical="center"/>
    </xf>
    <xf numFmtId="0" fontId="2" fillId="2" borderId="3" xfId="0" applyFont="1" applyFill="1" applyBorder="1" applyAlignment="1">
      <alignment horizontal="center" vertical="center"/>
    </xf>
    <xf numFmtId="43" fontId="1" fillId="0" borderId="4" xfId="0" applyNumberFormat="1" applyFont="1" applyBorder="1">
      <alignment vertical="center"/>
    </xf>
    <xf numFmtId="43" fontId="1" fillId="0" borderId="5" xfId="0" applyNumberFormat="1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3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2" fillId="4" borderId="0" xfId="0" applyFont="1" applyFill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43" fontId="4" fillId="2" borderId="0" xfId="0" applyNumberFormat="1" applyFont="1" applyFill="1" applyAlignment="1">
      <alignment horizontal="center" vertical="center"/>
    </xf>
    <xf numFmtId="10" fontId="4" fillId="2" borderId="0" xfId="3" applyNumberFormat="1" applyFont="1" applyFill="1" applyAlignment="1">
      <alignment horizontal="center" vertical="center"/>
    </xf>
    <xf numFmtId="43" fontId="6" fillId="2" borderId="0" xfId="0" applyNumberFormat="1" applyFont="1" applyFill="1">
      <alignment vertical="center"/>
    </xf>
    <xf numFmtId="10" fontId="6" fillId="2" borderId="0" xfId="3" applyNumberFormat="1" applyFont="1" applyFill="1" applyAlignment="1">
      <alignment vertical="center"/>
    </xf>
    <xf numFmtId="43" fontId="1" fillId="3" borderId="0" xfId="0" applyNumberFormat="1" applyFont="1" applyFill="1" applyAlignment="1">
      <alignment horizontal="center" vertical="center"/>
    </xf>
    <xf numFmtId="10" fontId="1" fillId="3" borderId="0" xfId="3" applyNumberFormat="1" applyFont="1" applyFill="1" applyAlignment="1">
      <alignment horizontal="center" vertical="center"/>
    </xf>
    <xf numFmtId="43" fontId="1" fillId="4" borderId="0" xfId="0" applyNumberFormat="1" applyFont="1" applyFill="1" applyAlignment="1">
      <alignment horizontal="center" vertical="center"/>
    </xf>
    <xf numFmtId="10" fontId="1" fillId="4" borderId="0" xfId="3" applyNumberFormat="1" applyFont="1" applyFill="1" applyAlignment="1">
      <alignment horizontal="center" vertical="center"/>
    </xf>
    <xf numFmtId="43" fontId="2" fillId="2" borderId="1" xfId="0" applyNumberFormat="1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43" fontId="1" fillId="4" borderId="2" xfId="0" applyNumberFormat="1" applyFont="1" applyFill="1" applyBorder="1" applyAlignment="1">
      <alignment horizontal="center" vertical="center"/>
    </xf>
    <xf numFmtId="10" fontId="1" fillId="4" borderId="2" xfId="3" applyNumberFormat="1" applyFont="1" applyFill="1" applyBorder="1" applyAlignment="1">
      <alignment horizontal="center" vertical="center"/>
    </xf>
    <xf numFmtId="43" fontId="1" fillId="4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EDEEFF"/>
      </font>
    </dxf>
    <dxf>
      <fill>
        <gradientFill degree="90">
          <stop position="0">
            <color rgb="FFEDEEFF"/>
          </stop>
          <stop position="1">
            <color rgb="FFEDEEFF"/>
          </stop>
        </gradient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00EBE7F9"/>
      <color rgb="00ADB2F2"/>
      <color rgb="009298F7"/>
      <color rgb="00666DF5"/>
      <color rgb="00F98952"/>
      <color rgb="00F8B89C"/>
      <color rgb="00FBE3D1"/>
      <color rgb="00F6AC8A"/>
      <color rgb="00F59E78"/>
      <color rgb="00F5F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5" Type="http://schemas.microsoft.com/office/2011/relationships/chartColorStyle" Target="colors4.xml"/><Relationship Id="rId4" Type="http://schemas.microsoft.com/office/2011/relationships/chartStyle" Target="style4.xml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 lang="zh-CN" altLang="en-US" sz="1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月度发生项目</a:t>
            </a:r>
            <a:endParaRPr lang="zh-CN" altLang="en-US" sz="1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708840656432"/>
          <c:y val="0.171459774299235"/>
          <c:w val="0.902779248279513"/>
          <c:h val="0.663269020749909"/>
        </c:manualLayout>
      </c:layout>
      <c:areaChart>
        <c:grouping val="standard"/>
        <c:varyColors val="0"/>
        <c:ser>
          <c:idx val="0"/>
          <c:order val="0"/>
          <c:tx>
            <c:strRef>
              <c:f>辅助列!$C$3</c:f>
              <c:strCache>
                <c:ptCount val="1"/>
                <c:pt idx="0">
                  <c:v>发生项目</c:v>
                </c:pt>
              </c:strCache>
            </c:strRef>
          </c:tx>
          <c:spPr>
            <a:gradFill>
              <a:gsLst>
                <a:gs pos="92000">
                  <a:srgbClr val="8C8BF2">
                    <a:alpha val="100000"/>
                  </a:srgbClr>
                </a:gs>
                <a:gs pos="0">
                  <a:srgbClr val="B2B6F8"/>
                </a:gs>
                <a:gs pos="37000">
                  <a:srgbClr val="A7A8F8"/>
                </a:gs>
                <a:gs pos="100000">
                  <a:srgbClr val="807CED"/>
                </a:gs>
              </a:gsLst>
              <a:lin ang="16200000" scaled="0"/>
            </a:gradFill>
            <a:ln>
              <a:noFill/>
            </a:ln>
            <a:effectLst/>
          </c:spPr>
          <c:dLbls>
            <c:delete val="1"/>
          </c:dLbls>
          <c:cat>
            <c:strRef>
              <c:f>辅助列!$B$4:$B$15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辅助列!$C$4:$C$15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43289"/>
        <c:axId val="555830231"/>
      </c:areaChart>
      <c:catAx>
        <c:axId val="4595432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555830231"/>
        <c:crosses val="autoZero"/>
        <c:auto val="1"/>
        <c:lblAlgn val="ctr"/>
        <c:lblOffset val="100"/>
        <c:noMultiLvlLbl val="0"/>
      </c:catAx>
      <c:valAx>
        <c:axId val="55583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4595432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186747938612"/>
          <c:y val="0.2447265007525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47631555823353"/>
          <c:y val="0.0132450331125828"/>
          <c:w val="0.93219696969697"/>
          <c:h val="0.976199920666402"/>
        </c:manualLayout>
      </c:layout>
      <c:doughnutChart>
        <c:varyColors val="1"/>
        <c:ser>
          <c:idx val="0"/>
          <c:order val="0"/>
          <c:tx>
            <c:strRef>
              <c:f>辅助列!$E$9</c:f>
              <c:strCache>
                <c:ptCount val="1"/>
                <c:pt idx="0">
                  <c:v>利润率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9298F7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5F6FF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辅助列!$F$9:$G$9</c:f>
              <c:numCache>
                <c:formatCode>0.00%</c:formatCode>
                <c:ptCount val="2"/>
                <c:pt idx="0">
                  <c:v>0.575984251968504</c:v>
                </c:pt>
                <c:pt idx="1">
                  <c:v>0.424015748031496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759241724859"/>
          <c:y val="0.2712165669776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37121212121212"/>
          <c:y val="0.0119000396667989"/>
          <c:w val="0.93219696969697"/>
          <c:h val="0.976199920666402"/>
        </c:manualLayout>
      </c:layout>
      <c:doughnutChart>
        <c:varyColors val="1"/>
        <c:ser>
          <c:idx val="0"/>
          <c:order val="0"/>
          <c:tx>
            <c:strRef>
              <c:f>辅助列!$E$11</c:f>
              <c:strCache>
                <c:ptCount val="1"/>
                <c:pt idx="0">
                  <c:v>完成率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59E78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BE3D1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辅助列!$F$11:$G$11</c:f>
              <c:numCache>
                <c:formatCode>0.00%</c:formatCode>
                <c:ptCount val="2"/>
                <c:pt idx="0">
                  <c:v>0.807332293291732</c:v>
                </c:pt>
                <c:pt idx="1">
                  <c:v>0.192667706708268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 lang="zh-CN" altLang="en-US" sz="1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项目利润金额</a:t>
            </a:r>
            <a:r>
              <a:rPr lang="en-US" altLang="zh-CN" sz="1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TOP.3</a:t>
            </a:r>
            <a:endParaRPr lang="en-US" altLang="zh-CN" sz="1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>
        <c:manualLayout>
          <c:xMode val="edge"/>
          <c:yMode val="edge"/>
          <c:x val="0.284192269573836"/>
          <c:y val="0.02758367046708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0114942528736"/>
          <c:y val="0.196735256109283"/>
          <c:w val="0.562828475871954"/>
          <c:h val="0.7554247885251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辅助列!$J$3</c:f>
              <c:strCache>
                <c:ptCount val="1"/>
                <c:pt idx="0">
                  <c:v>利润金额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689791873142"/>
                      <c:h val="0.180948878264068"/>
                    </c:manualLayout>
                  </c15:layout>
                </c:ext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547076313181"/>
                      <c:h val="0.180948878264068"/>
                    </c:manualLayout>
                  </c15:layout>
                </c:ext>
              </c:extLst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538156590684"/>
                      <c:h val="0.18094887826406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辅助列!$I$4:$I$6</c:f>
              <c:strCache>
                <c:ptCount val="3"/>
                <c:pt idx="0">
                  <c:v>项目_7</c:v>
                </c:pt>
                <c:pt idx="1">
                  <c:v>项目_13</c:v>
                </c:pt>
                <c:pt idx="2">
                  <c:v>项目_5</c:v>
                </c:pt>
              </c:strCache>
            </c:strRef>
          </c:cat>
          <c:val>
            <c:numRef>
              <c:f>辅助列!$J$4:$J$6</c:f>
              <c:numCache>
                <c:formatCode>_ * #,##0.00_ ;_ * \-#,##0.00_ ;_ * "-"??_ ;_ @_ </c:formatCode>
                <c:ptCount val="3"/>
                <c:pt idx="0">
                  <c:v>1800</c:v>
                </c:pt>
                <c:pt idx="1">
                  <c:v>1500</c:v>
                </c:pt>
                <c:pt idx="2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axId val="651066395"/>
        <c:axId val="220295495"/>
      </c:barChart>
      <c:catAx>
        <c:axId val="651066395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220295495"/>
        <c:crosses val="autoZero"/>
        <c:auto val="1"/>
        <c:lblAlgn val="ctr"/>
        <c:lblOffset val="100"/>
        <c:noMultiLvlLbl val="0"/>
      </c:catAx>
      <c:valAx>
        <c:axId val="220295495"/>
        <c:scaling>
          <c:orientation val="minMax"/>
        </c:scaling>
        <c:delete val="1"/>
        <c:axPos val="t"/>
        <c:numFmt formatCode="_ * #,##0.00_ ;_ * \-#,##0.0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6510663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523875</xdr:colOff>
      <xdr:row>3</xdr:row>
      <xdr:rowOff>25400</xdr:rowOff>
    </xdr:from>
    <xdr:to>
      <xdr:col>23</xdr:col>
      <xdr:colOff>35560</xdr:colOff>
      <xdr:row>11</xdr:row>
      <xdr:rowOff>12700</xdr:rowOff>
    </xdr:to>
    <xdr:sp>
      <xdr:nvSpPr>
        <xdr:cNvPr id="9" name="矩形 8"/>
        <xdr:cNvSpPr/>
      </xdr:nvSpPr>
      <xdr:spPr>
        <a:xfrm>
          <a:off x="12030075" y="901700"/>
          <a:ext cx="549910" cy="1962150"/>
        </a:xfrm>
        <a:prstGeom prst="rect">
          <a:avLst/>
        </a:prstGeom>
        <a:solidFill>
          <a:srgbClr val="F5F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548005</xdr:colOff>
      <xdr:row>3</xdr:row>
      <xdr:rowOff>47625</xdr:rowOff>
    </xdr:from>
    <xdr:to>
      <xdr:col>27</xdr:col>
      <xdr:colOff>16510</xdr:colOff>
      <xdr:row>11</xdr:row>
      <xdr:rowOff>12700</xdr:rowOff>
    </xdr:to>
    <xdr:grpSp>
      <xdr:nvGrpSpPr>
        <xdr:cNvPr id="32" name="组合 31"/>
        <xdr:cNvGrpSpPr/>
      </xdr:nvGrpSpPr>
      <xdr:grpSpPr>
        <a:xfrm>
          <a:off x="12054205" y="923925"/>
          <a:ext cx="3973830" cy="1939925"/>
          <a:chOff x="18833" y="1440"/>
          <a:chExt cx="4908" cy="2360"/>
        </a:xfrm>
      </xdr:grpSpPr>
      <xdr:grpSp>
        <xdr:nvGrpSpPr>
          <xdr:cNvPr id="14" name="组合 13"/>
          <xdr:cNvGrpSpPr/>
        </xdr:nvGrpSpPr>
        <xdr:grpSpPr>
          <a:xfrm>
            <a:off x="18833" y="1440"/>
            <a:ext cx="4908" cy="738"/>
            <a:chOff x="12481" y="5040"/>
            <a:chExt cx="4908" cy="766"/>
          </a:xfrm>
        </xdr:grpSpPr>
        <xdr:sp>
          <xdr:nvSpPr>
            <xdr:cNvPr id="17" name="矩形 16"/>
            <xdr:cNvSpPr/>
          </xdr:nvSpPr>
          <xdr:spPr>
            <a:xfrm>
              <a:off x="12481" y="5040"/>
              <a:ext cx="4908" cy="76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12595" y="5114"/>
              <a:ext cx="1511" cy="619"/>
            </a:xfrm>
            <a:prstGeom prst="rect">
              <a:avLst/>
            </a:prstGeom>
            <a:gradFill>
              <a:gsLst>
                <a:gs pos="43000">
                  <a:srgbClr val="9298F7"/>
                </a:gs>
                <a:gs pos="100000">
                  <a:srgbClr val="666DF5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wrap="square" numCol="1" spcCol="0" rtlCol="0" fromWordArt="0" anchor="ctr" anchorCtr="0" forceAA="0" compatLnSpc="1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buClrTx/>
                <a:buSzTx/>
                <a:buFontTx/>
              </a:pPr>
              <a:r>
                <a:rPr lang="zh-CN" altLang="en-US" sz="1200">
                  <a:latin typeface="黑体" panose="02010609060101010101" charset="-122"/>
                  <a:ea typeface="黑体" panose="02010609060101010101" charset="-122"/>
                </a:rPr>
                <a:t>收入金额</a:t>
              </a:r>
              <a:endParaRPr lang="zh-CN" altLang="en-US" sz="1200">
                <a:latin typeface="黑体" panose="02010609060101010101" charset="-122"/>
                <a:ea typeface="黑体" panose="02010609060101010101" charset="-122"/>
              </a:endParaRPr>
            </a:p>
          </xdr:txBody>
        </xdr:sp>
      </xdr:grpSp>
      <xdr:grpSp>
        <xdr:nvGrpSpPr>
          <xdr:cNvPr id="15" name="组合 14"/>
          <xdr:cNvGrpSpPr/>
        </xdr:nvGrpSpPr>
        <xdr:grpSpPr>
          <a:xfrm>
            <a:off x="18833" y="2241"/>
            <a:ext cx="4908" cy="754"/>
            <a:chOff x="12481" y="5040"/>
            <a:chExt cx="4908" cy="766"/>
          </a:xfrm>
        </xdr:grpSpPr>
        <xdr:sp>
          <xdr:nvSpPr>
            <xdr:cNvPr id="16" name="矩形 15"/>
            <xdr:cNvSpPr/>
          </xdr:nvSpPr>
          <xdr:spPr>
            <a:xfrm>
              <a:off x="12481" y="5040"/>
              <a:ext cx="4908" cy="76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28" name="矩形 27"/>
            <xdr:cNvSpPr/>
          </xdr:nvSpPr>
          <xdr:spPr>
            <a:xfrm>
              <a:off x="12595" y="5114"/>
              <a:ext cx="1511" cy="619"/>
            </a:xfrm>
            <a:prstGeom prst="rect">
              <a:avLst/>
            </a:prstGeom>
            <a:gradFill>
              <a:gsLst>
                <a:gs pos="59000">
                  <a:srgbClr val="F59E78"/>
                </a:gs>
                <a:gs pos="100000">
                  <a:srgbClr val="F98952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wrap="square" numCol="1" spcCol="0" rtlCol="0" fromWordArt="0" anchor="ctr" anchorCtr="0" forceAA="0" compatLnSpc="1">
              <a:no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buClrTx/>
                <a:buSzTx/>
                <a:buFontTx/>
              </a:pPr>
              <a:r>
                <a:rPr lang="zh-CN" altLang="en-US" sz="1200">
                  <a:latin typeface="黑体" panose="02010609060101010101" charset="-122"/>
                  <a:ea typeface="黑体" panose="02010609060101010101" charset="-122"/>
                </a:rPr>
                <a:t>成本金额</a:t>
              </a:r>
              <a:endParaRPr lang="zh-CN" altLang="en-US" sz="1200">
                <a:latin typeface="黑体" panose="02010609060101010101" charset="-122"/>
                <a:ea typeface="黑体" panose="02010609060101010101" charset="-122"/>
              </a:endParaRPr>
            </a:p>
          </xdr:txBody>
        </xdr:sp>
      </xdr:grpSp>
      <xdr:grpSp>
        <xdr:nvGrpSpPr>
          <xdr:cNvPr id="29" name="组合 28"/>
          <xdr:cNvGrpSpPr/>
        </xdr:nvGrpSpPr>
        <xdr:grpSpPr>
          <a:xfrm>
            <a:off x="18833" y="3058"/>
            <a:ext cx="4908" cy="742"/>
            <a:chOff x="12481" y="5040"/>
            <a:chExt cx="4908" cy="766"/>
          </a:xfrm>
        </xdr:grpSpPr>
        <xdr:sp>
          <xdr:nvSpPr>
            <xdr:cNvPr id="30" name="矩形 29"/>
            <xdr:cNvSpPr/>
          </xdr:nvSpPr>
          <xdr:spPr>
            <a:xfrm>
              <a:off x="12481" y="5040"/>
              <a:ext cx="4908" cy="76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>
          <xdr:nvSpPr>
            <xdr:cNvPr id="31" name="矩形 30"/>
            <xdr:cNvSpPr/>
          </xdr:nvSpPr>
          <xdr:spPr>
            <a:xfrm>
              <a:off x="12595" y="5114"/>
              <a:ext cx="1511" cy="619"/>
            </a:xfrm>
            <a:prstGeom prst="rect">
              <a:avLst/>
            </a:prstGeom>
            <a:gradFill>
              <a:gsLst>
                <a:gs pos="42000">
                  <a:srgbClr val="88CBCC"/>
                </a:gs>
                <a:gs pos="100000">
                  <a:srgbClr val="62BBBB"/>
                </a:gs>
              </a:gsLst>
              <a:lin ang="0" scaled="1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wrap="square" numCol="1" spcCol="0" rtlCol="0" fromWordArt="0" anchor="ctr" anchorCtr="0" forceAA="0" compatLnSpc="1">
              <a:noAutofit/>
            </a:bodyPr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buClrTx/>
                <a:buSzTx/>
                <a:buFontTx/>
              </a:pPr>
              <a:r>
                <a:rPr lang="zh-CN" altLang="en-US" sz="1200">
                  <a:latin typeface="黑体" panose="02010609060101010101" charset="-122"/>
                  <a:ea typeface="黑体" panose="02010609060101010101" charset="-122"/>
                </a:rPr>
                <a:t>支出金额</a:t>
              </a:r>
              <a:endParaRPr lang="zh-CN" altLang="en-US" sz="1200">
                <a:latin typeface="黑体" panose="02010609060101010101" charset="-122"/>
                <a:ea typeface="黑体" panose="02010609060101010101" charset="-122"/>
              </a:endParaRPr>
            </a:p>
          </xdr:txBody>
        </xdr:sp>
      </xdr:grpSp>
    </xdr:grpSp>
    <xdr:clientData/>
  </xdr:twoCellAnchor>
  <xdr:twoCellAnchor>
    <xdr:from>
      <xdr:col>0</xdr:col>
      <xdr:colOff>437515</xdr:colOff>
      <xdr:row>1</xdr:row>
      <xdr:rowOff>95250</xdr:rowOff>
    </xdr:from>
    <xdr:to>
      <xdr:col>2</xdr:col>
      <xdr:colOff>76200</xdr:colOff>
      <xdr:row>2</xdr:row>
      <xdr:rowOff>28575</xdr:rowOff>
    </xdr:to>
    <xdr:sp>
      <xdr:nvSpPr>
        <xdr:cNvPr id="5" name="立方体 4"/>
        <xdr:cNvSpPr/>
      </xdr:nvSpPr>
      <xdr:spPr>
        <a:xfrm>
          <a:off x="437515" y="247650"/>
          <a:ext cx="505460" cy="428625"/>
        </a:xfrm>
        <a:prstGeom prst="cub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125095</xdr:colOff>
      <xdr:row>4</xdr:row>
      <xdr:rowOff>120015</xdr:rowOff>
    </xdr:from>
    <xdr:to>
      <xdr:col>6</xdr:col>
      <xdr:colOff>875030</xdr:colOff>
      <xdr:row>10</xdr:row>
      <xdr:rowOff>83185</xdr:rowOff>
    </xdr:to>
    <xdr:graphicFrame>
      <xdr:nvGraphicFramePr>
        <xdr:cNvPr id="6" name="图表 5"/>
        <xdr:cNvGraphicFramePr/>
      </xdr:nvGraphicFramePr>
      <xdr:xfrm>
        <a:off x="639445" y="1061085"/>
        <a:ext cx="4617085" cy="1746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1010285</xdr:colOff>
      <xdr:row>3</xdr:row>
      <xdr:rowOff>19050</xdr:rowOff>
    </xdr:from>
    <xdr:to>
      <xdr:col>7</xdr:col>
      <xdr:colOff>8255</xdr:colOff>
      <xdr:row>12</xdr:row>
      <xdr:rowOff>3175</xdr:rowOff>
    </xdr:to>
    <xdr:sp>
      <xdr:nvSpPr>
        <xdr:cNvPr id="7" name="矩形 6"/>
        <xdr:cNvSpPr/>
      </xdr:nvSpPr>
      <xdr:spPr>
        <a:xfrm>
          <a:off x="5391785" y="895350"/>
          <a:ext cx="36195" cy="2023745"/>
        </a:xfrm>
        <a:prstGeom prst="rect">
          <a:avLst/>
        </a:prstGeom>
        <a:solidFill>
          <a:srgbClr val="F5F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571500</xdr:colOff>
      <xdr:row>3</xdr:row>
      <xdr:rowOff>22225</xdr:rowOff>
    </xdr:from>
    <xdr:to>
      <xdr:col>19</xdr:col>
      <xdr:colOff>607695</xdr:colOff>
      <xdr:row>11</xdr:row>
      <xdr:rowOff>41910</xdr:rowOff>
    </xdr:to>
    <xdr:sp>
      <xdr:nvSpPr>
        <xdr:cNvPr id="8" name="矩形 7"/>
        <xdr:cNvSpPr/>
      </xdr:nvSpPr>
      <xdr:spPr>
        <a:xfrm>
          <a:off x="8963025" y="898525"/>
          <a:ext cx="36195" cy="1994535"/>
        </a:xfrm>
        <a:prstGeom prst="rect">
          <a:avLst/>
        </a:prstGeom>
        <a:solidFill>
          <a:srgbClr val="F5F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133350</xdr:colOff>
      <xdr:row>5</xdr:row>
      <xdr:rowOff>118745</xdr:rowOff>
    </xdr:from>
    <xdr:to>
      <xdr:col>13</xdr:col>
      <xdr:colOff>180340</xdr:colOff>
      <xdr:row>9</xdr:row>
      <xdr:rowOff>261620</xdr:rowOff>
    </xdr:to>
    <xdr:graphicFrame>
      <xdr:nvGraphicFramePr>
        <xdr:cNvPr id="10" name="图表 9"/>
        <xdr:cNvGraphicFramePr/>
      </xdr:nvGraphicFramePr>
      <xdr:xfrm>
        <a:off x="5553075" y="1186180"/>
        <a:ext cx="1532890" cy="146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5</xdr:row>
      <xdr:rowOff>118745</xdr:rowOff>
    </xdr:from>
    <xdr:to>
      <xdr:col>19</xdr:col>
      <xdr:colOff>370840</xdr:colOff>
      <xdr:row>9</xdr:row>
      <xdr:rowOff>261620</xdr:rowOff>
    </xdr:to>
    <xdr:graphicFrame>
      <xdr:nvGraphicFramePr>
        <xdr:cNvPr id="11" name="图表 10"/>
        <xdr:cNvGraphicFramePr/>
      </xdr:nvGraphicFramePr>
      <xdr:xfrm>
        <a:off x="7229475" y="1186180"/>
        <a:ext cx="1532890" cy="146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715010</xdr:colOff>
      <xdr:row>4</xdr:row>
      <xdr:rowOff>80010</xdr:rowOff>
    </xdr:from>
    <xdr:to>
      <xdr:col>22</xdr:col>
      <xdr:colOff>362585</xdr:colOff>
      <xdr:row>10</xdr:row>
      <xdr:rowOff>72390</xdr:rowOff>
    </xdr:to>
    <xdr:graphicFrame>
      <xdr:nvGraphicFramePr>
        <xdr:cNvPr id="13" name="图表 12"/>
        <xdr:cNvGraphicFramePr/>
      </xdr:nvGraphicFramePr>
      <xdr:xfrm>
        <a:off x="9106535" y="1021080"/>
        <a:ext cx="2762250" cy="1776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219075</xdr:colOff>
      <xdr:row>7</xdr:row>
      <xdr:rowOff>66675</xdr:rowOff>
    </xdr:from>
    <xdr:to>
      <xdr:col>12</xdr:col>
      <xdr:colOff>219075</xdr:colOff>
      <xdr:row>8</xdr:row>
      <xdr:rowOff>174625</xdr:rowOff>
    </xdr:to>
    <xdr:sp textlink="辅助列!F9">
      <xdr:nvSpPr>
        <xdr:cNvPr id="3" name="文本框 2"/>
        <xdr:cNvSpPr txBox="1"/>
      </xdr:nvSpPr>
      <xdr:spPr>
        <a:xfrm>
          <a:off x="5886450" y="1797050"/>
          <a:ext cx="990600" cy="43942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fld id="{306E7811-E448-46EE-80A2-AA5A3143B9FD}" type="TxLink">
            <a:rPr lang="en-US" alt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金山云技术体" charset="-122"/>
              <a:ea typeface="金山云技术体" charset="-122"/>
            </a:rPr>
          </a:fld>
          <a:endParaRPr lang="en-US" altLang="en-US" sz="1200" b="0" i="0" u="none" strike="noStrike">
            <a:solidFill>
              <a:schemeClr val="tx1">
                <a:lumMod val="65000"/>
                <a:lumOff val="35000"/>
              </a:schemeClr>
            </a:solidFill>
            <a:latin typeface="金山云技术体" charset="-122"/>
            <a:ea typeface="金山云技术体" charset="-122"/>
          </a:endParaRPr>
        </a:p>
      </xdr:txBody>
    </xdr:sp>
    <xdr:clientData/>
  </xdr:twoCellAnchor>
  <xdr:twoCellAnchor>
    <xdr:from>
      <xdr:col>15</xdr:col>
      <xdr:colOff>152400</xdr:colOff>
      <xdr:row>7</xdr:row>
      <xdr:rowOff>104775</xdr:rowOff>
    </xdr:from>
    <xdr:to>
      <xdr:col>19</xdr:col>
      <xdr:colOff>151765</xdr:colOff>
      <xdr:row>8</xdr:row>
      <xdr:rowOff>212725</xdr:rowOff>
    </xdr:to>
    <xdr:sp textlink="辅助列!F11">
      <xdr:nvSpPr>
        <xdr:cNvPr id="4" name="文本框 3"/>
        <xdr:cNvSpPr txBox="1"/>
      </xdr:nvSpPr>
      <xdr:spPr>
        <a:xfrm>
          <a:off x="7553325" y="1835150"/>
          <a:ext cx="989965" cy="43942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fld id="{BB962C8B-B14F-4D97-AF65-F5344CB8AC3E}" type="TxLink">
            <a:rPr lang="en-US" alt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金山云技术体" charset="-122"/>
              <a:ea typeface="金山云技术体" charset="-122"/>
            </a:rPr>
          </a:fld>
          <a:endParaRPr lang="en-US" altLang="en-US" sz="1200" b="0" i="0" u="none" strike="noStrike">
            <a:solidFill>
              <a:schemeClr val="tx1">
                <a:lumMod val="65000"/>
                <a:lumOff val="35000"/>
              </a:schemeClr>
            </a:solidFill>
            <a:latin typeface="金山云技术体" charset="-122"/>
            <a:ea typeface="金山云技术体" charset="-122"/>
          </a:endParaRPr>
        </a:p>
      </xdr:txBody>
    </xdr:sp>
    <xdr:clientData/>
  </xdr:twoCellAnchor>
  <xdr:twoCellAnchor>
    <xdr:from>
      <xdr:col>23</xdr:col>
      <xdr:colOff>866775</xdr:colOff>
      <xdr:row>4</xdr:row>
      <xdr:rowOff>29845</xdr:rowOff>
    </xdr:from>
    <xdr:to>
      <xdr:col>25</xdr:col>
      <xdr:colOff>517525</xdr:colOff>
      <xdr:row>10</xdr:row>
      <xdr:rowOff>116840</xdr:rowOff>
    </xdr:to>
    <xdr:grpSp>
      <xdr:nvGrpSpPr>
        <xdr:cNvPr id="33" name="组合 32"/>
        <xdr:cNvGrpSpPr/>
      </xdr:nvGrpSpPr>
      <xdr:grpSpPr>
        <a:xfrm>
          <a:off x="13411200" y="970915"/>
          <a:ext cx="1727200" cy="1870710"/>
          <a:chOff x="21105" y="1502"/>
          <a:chExt cx="2720" cy="2882"/>
        </a:xfrm>
      </xdr:grpSpPr>
      <xdr:sp textlink="辅助列!F6">
        <xdr:nvSpPr>
          <xdr:cNvPr id="24" name="文本框 23"/>
          <xdr:cNvSpPr txBox="1"/>
        </xdr:nvSpPr>
        <xdr:spPr>
          <a:xfrm>
            <a:off x="21105" y="2544"/>
            <a:ext cx="2721" cy="79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en-US" alt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金山云技术体" charset="-122"/>
                <a:ea typeface="金山云技术体" charset="-122"/>
              </a:rPr>
            </a:fld>
            <a:endParaRPr lang="en-US" alt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金山云技术体" charset="-122"/>
              <a:ea typeface="金山云技术体" charset="-122"/>
            </a:endParaRPr>
          </a:p>
        </xdr:txBody>
      </xdr:sp>
      <xdr:sp textlink="辅助列!F7">
        <xdr:nvSpPr>
          <xdr:cNvPr id="26" name="文本框 25"/>
          <xdr:cNvSpPr txBox="1"/>
        </xdr:nvSpPr>
        <xdr:spPr>
          <a:xfrm>
            <a:off x="21105" y="3586"/>
            <a:ext cx="2721" cy="798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en-US" alt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金山云技术体" charset="-122"/>
                <a:ea typeface="金山云技术体" charset="-122"/>
              </a:rPr>
            </a:fld>
            <a:endParaRPr lang="en-US" alt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金山云技术体" charset="-122"/>
              <a:ea typeface="金山云技术体" charset="-122"/>
            </a:endParaRPr>
          </a:p>
        </xdr:txBody>
      </xdr:sp>
      <xdr:sp textlink="辅助列!F5">
        <xdr:nvSpPr>
          <xdr:cNvPr id="20" name="文本框 19"/>
          <xdr:cNvSpPr txBox="1"/>
        </xdr:nvSpPr>
        <xdr:spPr>
          <a:xfrm>
            <a:off x="21105" y="1502"/>
            <a:ext cx="2721" cy="79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/>
          <a:p>
            <a:pPr algn="ctr">
              <a:buClrTx/>
              <a:buSzTx/>
              <a:buFontTx/>
            </a:pPr>
            <a:fld id="{BB962C8B-B14F-4D97-AF65-F5344CB8AC3E}" type="TxLink">
              <a:rPr lang="en-US" alt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金山云技术体" charset="-122"/>
                <a:ea typeface="金山云技术体" charset="-122"/>
              </a:rPr>
            </a:fld>
            <a:endParaRPr lang="en-US" alt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金山云技术体" charset="-122"/>
              <a:ea typeface="金山云技术体" charset="-122"/>
            </a:endParaRPr>
          </a:p>
        </xdr:txBody>
      </xdr:sp>
    </xdr:grpSp>
    <xdr:clientData/>
  </xdr:twoCellAnchor>
  <xdr:twoCellAnchor>
    <xdr:from>
      <xdr:col>25</xdr:col>
      <xdr:colOff>871220</xdr:colOff>
      <xdr:row>5</xdr:row>
      <xdr:rowOff>76200</xdr:rowOff>
    </xdr:from>
    <xdr:to>
      <xdr:col>26</xdr:col>
      <xdr:colOff>70485</xdr:colOff>
      <xdr:row>9</xdr:row>
      <xdr:rowOff>303530</xdr:rowOff>
    </xdr:to>
    <xdr:grpSp>
      <xdr:nvGrpSpPr>
        <xdr:cNvPr id="38" name="组合 37"/>
        <xdr:cNvGrpSpPr/>
      </xdr:nvGrpSpPr>
      <xdr:grpSpPr>
        <a:xfrm>
          <a:off x="15492095" y="1143635"/>
          <a:ext cx="237490" cy="1553210"/>
          <a:chOff x="24382" y="1770"/>
          <a:chExt cx="374" cy="2398"/>
        </a:xfrm>
      </xdr:grpSpPr>
      <xdr:sp>
        <xdr:nvSpPr>
          <xdr:cNvPr id="34" name="禁止符 33"/>
          <xdr:cNvSpPr/>
        </xdr:nvSpPr>
        <xdr:spPr>
          <a:xfrm>
            <a:off x="24382" y="1770"/>
            <a:ext cx="375" cy="360"/>
          </a:xfrm>
          <a:prstGeom prst="noSmoking">
            <a:avLst/>
          </a:prstGeom>
          <a:gradFill>
            <a:gsLst>
              <a:gs pos="16000">
                <a:srgbClr val="ADB2F2"/>
              </a:gs>
              <a:gs pos="43000">
                <a:srgbClr val="9298F7"/>
              </a:gs>
              <a:gs pos="100000">
                <a:srgbClr val="666DF5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endParaRPr lang="zh-CN" altLang="en-US" sz="1200">
              <a:latin typeface="黑体" panose="02010609060101010101" charset="-122"/>
              <a:ea typeface="黑体" panose="02010609060101010101" charset="-122"/>
            </a:endParaRPr>
          </a:p>
        </xdr:txBody>
      </xdr:sp>
      <xdr:sp>
        <xdr:nvSpPr>
          <xdr:cNvPr id="35" name="禁止符 34"/>
          <xdr:cNvSpPr/>
        </xdr:nvSpPr>
        <xdr:spPr>
          <a:xfrm>
            <a:off x="24382" y="2789"/>
            <a:ext cx="375" cy="360"/>
          </a:xfrm>
          <a:prstGeom prst="noSmoking">
            <a:avLst/>
          </a:prstGeom>
          <a:gradFill>
            <a:gsLst>
              <a:gs pos="59000">
                <a:srgbClr val="F59E78"/>
              </a:gs>
              <a:gs pos="23000">
                <a:srgbClr val="F8B89C"/>
              </a:gs>
              <a:gs pos="100000">
                <a:srgbClr val="F98952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endParaRPr lang="zh-CN" altLang="en-US" sz="1200">
              <a:latin typeface="黑体" panose="02010609060101010101" charset="-122"/>
              <a:ea typeface="黑体" panose="02010609060101010101" charset="-122"/>
            </a:endParaRPr>
          </a:p>
        </xdr:txBody>
      </xdr:sp>
      <xdr:sp>
        <xdr:nvSpPr>
          <xdr:cNvPr id="36" name="禁止符 35"/>
          <xdr:cNvSpPr/>
        </xdr:nvSpPr>
        <xdr:spPr>
          <a:xfrm>
            <a:off x="24382" y="3808"/>
            <a:ext cx="375" cy="360"/>
          </a:xfrm>
          <a:prstGeom prst="noSmoking">
            <a:avLst/>
          </a:prstGeom>
          <a:gradFill>
            <a:gsLst>
              <a:gs pos="42000">
                <a:srgbClr val="88CBCC"/>
              </a:gs>
              <a:gs pos="0">
                <a:srgbClr val="ADDBDC"/>
              </a:gs>
              <a:gs pos="100000">
                <a:srgbClr val="62BBBB"/>
              </a:gs>
            </a:gsLst>
            <a:lin ang="0" scaled="1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wrap="square" numCol="1" spcCol="0" rtlCol="0" fromWordArt="0" anchor="ctr" anchorCtr="0" forceAA="0" compatLnSpc="1">
            <a:noAutofit/>
          </a:bodyPr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endParaRPr lang="zh-CN" altLang="en-US" sz="1200">
              <a:latin typeface="黑体" panose="02010609060101010101" charset="-122"/>
              <a:ea typeface="黑体" panose="02010609060101010101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showGridLines="0" tabSelected="1" workbookViewId="0">
      <selection activeCell="V36" sqref="V36"/>
    </sheetView>
  </sheetViews>
  <sheetFormatPr defaultColWidth="9" defaultRowHeight="24.95" customHeight="1"/>
  <cols>
    <col min="1" max="1" width="6.75" style="1" customWidth="1"/>
    <col min="2" max="2" width="4.625" style="13" customWidth="1"/>
    <col min="3" max="3" width="5.25" style="2" customWidth="1"/>
    <col min="4" max="7" width="13.625" style="2" customWidth="1"/>
    <col min="8" max="19" width="3.25" style="2" customWidth="1"/>
    <col min="20" max="23" width="13.625" style="14" customWidth="1"/>
    <col min="24" max="24" width="13.625" style="15" customWidth="1"/>
    <col min="25" max="25" width="13.625" style="2" customWidth="1"/>
    <col min="26" max="26" width="13.625" style="15" customWidth="1"/>
    <col min="27" max="27" width="4.625" style="2" customWidth="1"/>
    <col min="28" max="28" width="5.625" style="1" customWidth="1"/>
    <col min="29" max="40" width="15.375" style="1" customWidth="1"/>
    <col min="41" max="16384" width="9" style="1"/>
  </cols>
  <sheetData>
    <row r="1" ht="12" customHeight="1" spans="1:28">
      <c r="A1" s="16"/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33"/>
      <c r="U1" s="33"/>
      <c r="V1" s="33"/>
      <c r="W1" s="33"/>
      <c r="X1" s="34"/>
      <c r="Y1" s="17"/>
      <c r="Z1" s="34"/>
      <c r="AA1" s="17"/>
      <c r="AB1" s="16"/>
    </row>
    <row r="2" ht="39" customHeight="1" spans="1:28">
      <c r="A2" s="16"/>
      <c r="B2" s="16"/>
      <c r="C2" s="18" t="s">
        <v>0</v>
      </c>
      <c r="D2" s="18"/>
      <c r="E2" s="18"/>
      <c r="F2" s="18"/>
      <c r="G2" s="18"/>
      <c r="H2" s="18"/>
      <c r="I2" s="18"/>
      <c r="J2" s="18"/>
      <c r="K2" s="18"/>
      <c r="L2" s="32"/>
      <c r="M2" s="32"/>
      <c r="N2" s="32"/>
      <c r="O2" s="32"/>
      <c r="P2" s="32"/>
      <c r="Q2" s="32"/>
      <c r="R2" s="32"/>
      <c r="S2" s="32"/>
      <c r="T2" s="35"/>
      <c r="U2" s="35"/>
      <c r="V2" s="35"/>
      <c r="W2" s="35"/>
      <c r="X2" s="36"/>
      <c r="Y2" s="32"/>
      <c r="Z2" s="36"/>
      <c r="AA2" s="32"/>
      <c r="AB2" s="16"/>
    </row>
    <row r="3" ht="18" customHeight="1" spans="1:28">
      <c r="A3" s="16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33"/>
      <c r="U3" s="33"/>
      <c r="V3" s="33"/>
      <c r="W3" s="33"/>
      <c r="X3" s="34"/>
      <c r="Y3" s="17"/>
      <c r="Z3" s="34"/>
      <c r="AA3" s="17"/>
      <c r="AB3" s="16"/>
    </row>
    <row r="4" ht="5.1" customHeight="1" spans="1:28">
      <c r="A4" s="19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37"/>
      <c r="U4" s="37"/>
      <c r="V4" s="37"/>
      <c r="W4" s="37"/>
      <c r="X4" s="38"/>
      <c r="Y4" s="21"/>
      <c r="Z4" s="38"/>
      <c r="AA4" s="21"/>
      <c r="AB4" s="19"/>
    </row>
    <row r="5" ht="9.95" customHeight="1" spans="1:28">
      <c r="A5" s="19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39"/>
      <c r="U5" s="39"/>
      <c r="V5" s="39"/>
      <c r="W5" s="39"/>
      <c r="X5" s="19"/>
      <c r="Y5" s="19"/>
      <c r="Z5" s="19"/>
      <c r="AA5" s="19"/>
      <c r="AB5" s="19"/>
    </row>
    <row r="6" ht="26.1" customHeight="1" spans="1:28">
      <c r="A6" s="19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39"/>
      <c r="U6" s="39"/>
      <c r="V6" s="39"/>
      <c r="W6" s="39"/>
      <c r="X6" s="19"/>
      <c r="Y6" s="19"/>
      <c r="Z6" s="19"/>
      <c r="AA6" s="19"/>
      <c r="AB6" s="19"/>
    </row>
    <row r="7" ht="26.1" customHeight="1" spans="1:28">
      <c r="A7" s="19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39"/>
      <c r="U7" s="39"/>
      <c r="V7" s="39"/>
      <c r="W7" s="39"/>
      <c r="X7" s="19"/>
      <c r="Y7" s="19"/>
      <c r="Z7" s="19"/>
      <c r="AA7" s="19"/>
      <c r="AB7" s="19"/>
    </row>
    <row r="8" ht="26.1" customHeight="1" spans="1:28">
      <c r="A8" s="19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39"/>
      <c r="U8" s="39"/>
      <c r="V8" s="39"/>
      <c r="W8" s="39"/>
      <c r="X8" s="19"/>
      <c r="Y8" s="19"/>
      <c r="Z8" s="19"/>
      <c r="AA8" s="19"/>
      <c r="AB8" s="19"/>
    </row>
    <row r="9" ht="26.1" customHeight="1" spans="1:28">
      <c r="A9" s="19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39"/>
      <c r="U9" s="39"/>
      <c r="V9" s="39"/>
      <c r="W9" s="39"/>
      <c r="X9" s="19"/>
      <c r="Y9" s="19"/>
      <c r="Z9" s="19"/>
      <c r="AA9" s="19"/>
      <c r="AB9" s="19"/>
    </row>
    <row r="10" ht="26.1" customHeight="1" spans="1:28">
      <c r="A10" s="19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39"/>
      <c r="U10" s="39"/>
      <c r="V10" s="39"/>
      <c r="W10" s="39"/>
      <c r="X10" s="19"/>
      <c r="Y10" s="19"/>
      <c r="Z10" s="19"/>
      <c r="AA10" s="19"/>
      <c r="AB10" s="19"/>
    </row>
    <row r="11" ht="9.95" customHeight="1" spans="1:28">
      <c r="A11" s="19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39"/>
      <c r="U11" s="39"/>
      <c r="V11" s="39"/>
      <c r="W11" s="39"/>
      <c r="X11" s="19"/>
      <c r="Y11" s="19"/>
      <c r="Z11" s="19"/>
      <c r="AA11" s="19"/>
      <c r="AB11" s="19"/>
    </row>
    <row r="12" ht="5.1" customHeight="1" spans="1:28">
      <c r="A12" s="19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37"/>
      <c r="U12" s="37"/>
      <c r="V12" s="37"/>
      <c r="W12" s="37"/>
      <c r="X12" s="38"/>
      <c r="Y12" s="21"/>
      <c r="Z12" s="38"/>
      <c r="AA12" s="21"/>
      <c r="AB12" s="19"/>
    </row>
    <row r="13" customHeight="1" spans="1:28">
      <c r="A13" s="19"/>
      <c r="B13" s="22"/>
      <c r="C13" s="23"/>
      <c r="D13" s="23"/>
      <c r="E13" s="23"/>
      <c r="F13" s="23"/>
      <c r="G13" s="23"/>
      <c r="H13" s="24">
        <f>EOMONTH(H15,0)</f>
        <v>44957</v>
      </c>
      <c r="I13" s="24">
        <f t="shared" ref="I13:S13" si="0">EOMONTH(I15,0)</f>
        <v>44985</v>
      </c>
      <c r="J13" s="24">
        <f t="shared" si="0"/>
        <v>45016</v>
      </c>
      <c r="K13" s="24">
        <f t="shared" si="0"/>
        <v>45046</v>
      </c>
      <c r="L13" s="24">
        <f t="shared" si="0"/>
        <v>45077</v>
      </c>
      <c r="M13" s="24">
        <f t="shared" si="0"/>
        <v>45107</v>
      </c>
      <c r="N13" s="24">
        <f t="shared" si="0"/>
        <v>45138</v>
      </c>
      <c r="O13" s="24">
        <f t="shared" si="0"/>
        <v>45169</v>
      </c>
      <c r="P13" s="24">
        <f t="shared" si="0"/>
        <v>45199</v>
      </c>
      <c r="Q13" s="24">
        <f t="shared" si="0"/>
        <v>45230</v>
      </c>
      <c r="R13" s="24">
        <f t="shared" si="0"/>
        <v>45260</v>
      </c>
      <c r="S13" s="24">
        <f t="shared" si="0"/>
        <v>45291</v>
      </c>
      <c r="T13" s="39"/>
      <c r="U13" s="39"/>
      <c r="V13" s="39"/>
      <c r="W13" s="39"/>
      <c r="X13" s="40"/>
      <c r="Y13" s="23"/>
      <c r="Z13" s="40"/>
      <c r="AA13" s="23"/>
      <c r="AB13" s="19"/>
    </row>
    <row r="14" s="12" customFormat="1" ht="21" customHeight="1" spans="1:28">
      <c r="A14" s="25"/>
      <c r="B14" s="26"/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27">
        <v>2023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41" t="s">
        <v>6</v>
      </c>
      <c r="U14" s="41" t="s">
        <v>7</v>
      </c>
      <c r="V14" s="41" t="s">
        <v>8</v>
      </c>
      <c r="W14" s="41" t="s">
        <v>9</v>
      </c>
      <c r="X14" s="42" t="s">
        <v>10</v>
      </c>
      <c r="Y14" s="4" t="s">
        <v>11</v>
      </c>
      <c r="Z14" s="42" t="s">
        <v>12</v>
      </c>
      <c r="AA14" s="23"/>
      <c r="AB14" s="25"/>
    </row>
    <row r="15" s="12" customFormat="1" ht="21" customHeight="1" spans="1:28">
      <c r="A15" s="25"/>
      <c r="B15" s="26"/>
      <c r="C15" s="4"/>
      <c r="D15" s="4"/>
      <c r="E15" s="4"/>
      <c r="F15" s="4"/>
      <c r="G15" s="4"/>
      <c r="H15" s="28">
        <f>DATE($H$14,1,1)</f>
        <v>44927</v>
      </c>
      <c r="I15" s="28">
        <f>DATE($H$14,2,1)</f>
        <v>44958</v>
      </c>
      <c r="J15" s="28">
        <f>DATE($H$14,3,1)</f>
        <v>44986</v>
      </c>
      <c r="K15" s="28">
        <f>DATE($H$14,4,1)</f>
        <v>45017</v>
      </c>
      <c r="L15" s="28">
        <f>DATE($H$14,5,1)</f>
        <v>45047</v>
      </c>
      <c r="M15" s="28">
        <f>DATE($H$14,6,1)</f>
        <v>45078</v>
      </c>
      <c r="N15" s="28">
        <f>DATE($H$14,7,1)</f>
        <v>45108</v>
      </c>
      <c r="O15" s="28">
        <f>DATE($H$14,8,1)</f>
        <v>45139</v>
      </c>
      <c r="P15" s="28">
        <f>DATE($H$14,9,1)</f>
        <v>45170</v>
      </c>
      <c r="Q15" s="28">
        <f>DATE($H$14,10,1)</f>
        <v>45200</v>
      </c>
      <c r="R15" s="28">
        <f>DATE($H$14,11,1)</f>
        <v>45231</v>
      </c>
      <c r="S15" s="28">
        <f>DATE($H$14,12,1)</f>
        <v>45261</v>
      </c>
      <c r="T15" s="41"/>
      <c r="U15" s="41"/>
      <c r="V15" s="41"/>
      <c r="W15" s="41"/>
      <c r="X15" s="42"/>
      <c r="Y15" s="4"/>
      <c r="Z15" s="42"/>
      <c r="AA15" s="23"/>
      <c r="AB15" s="25"/>
    </row>
    <row r="16" customHeight="1" spans="1:28">
      <c r="A16" s="19"/>
      <c r="B16" s="22">
        <f>IF(D16="","",RANK(W16,$W$16:$W$16962,0))</f>
        <v>14</v>
      </c>
      <c r="C16" s="29">
        <v>1</v>
      </c>
      <c r="D16" s="29" t="s">
        <v>13</v>
      </c>
      <c r="E16" s="29">
        <v>234</v>
      </c>
      <c r="F16" s="30">
        <v>44927</v>
      </c>
      <c r="G16" s="30">
        <v>45078</v>
      </c>
      <c r="H16" s="29">
        <f>IF(AND($H$13&gt;=$F16,$H$15&lt;=$G16),1,"")</f>
        <v>1</v>
      </c>
      <c r="I16" s="29">
        <f>IF(AND($I$13&gt;=$F16,$I$15&lt;=$G16),1,"")</f>
        <v>1</v>
      </c>
      <c r="J16" s="29">
        <f>IF(AND($J$13&gt;=$F16,$J$15&lt;=$G16),1,"")</f>
        <v>1</v>
      </c>
      <c r="K16" s="29">
        <f>IF(AND($K$13&gt;=$F16,$K$15&lt;=$G16),1,"")</f>
        <v>1</v>
      </c>
      <c r="L16" s="29">
        <f>IF(AND($L$13&gt;=$F16,$L$15&lt;=$G16),1,"")</f>
        <v>1</v>
      </c>
      <c r="M16" s="29">
        <f>IF(AND($M$13&gt;=$F16,$M$15&lt;=$G16),1,"")</f>
        <v>1</v>
      </c>
      <c r="N16" s="29" t="str">
        <f>IF(AND($N$13&gt;=$F16,$N$15&lt;=$G16),1,"")</f>
        <v/>
      </c>
      <c r="O16" s="29" t="str">
        <f>IF(AND($O$13&gt;=$F16,$O$15&lt;=$G16),1,"")</f>
        <v/>
      </c>
      <c r="P16" s="29" t="str">
        <f>IF(AND($P$13&gt;=$F16,$P$15&lt;=$G16),1,"")</f>
        <v/>
      </c>
      <c r="Q16" s="29" t="str">
        <f>IF(AND($Q$13&gt;=$F16,$Q$15&lt;=$G16),1,"")</f>
        <v/>
      </c>
      <c r="R16" s="29" t="str">
        <f>IF(AND($R$13&gt;=$F16,$R$15&lt;=$G16),1,"")</f>
        <v/>
      </c>
      <c r="S16" s="29" t="str">
        <f>IF(AND($S$13&gt;=$F16,$S$15&lt;=$G16),1,"")</f>
        <v/>
      </c>
      <c r="T16" s="43">
        <v>1200</v>
      </c>
      <c r="U16" s="43">
        <v>500</v>
      </c>
      <c r="V16" s="43">
        <v>200</v>
      </c>
      <c r="W16" s="43">
        <f>T16-U16-V16</f>
        <v>500</v>
      </c>
      <c r="X16" s="44">
        <f>IF(D16="","",W16/T16)</f>
        <v>0.416666666666667</v>
      </c>
      <c r="Y16" s="29">
        <v>100</v>
      </c>
      <c r="Z16" s="44">
        <f>IF(D16="","",Y16/E16)</f>
        <v>0.427350427350427</v>
      </c>
      <c r="AA16" s="23"/>
      <c r="AB16" s="19"/>
    </row>
    <row r="17" customHeight="1" spans="1:28">
      <c r="A17" s="19"/>
      <c r="B17" s="22">
        <f t="shared" ref="B17:B80" si="1">IF(D17="","",RANK(W17,$W$16:$W$16962,0))</f>
        <v>7</v>
      </c>
      <c r="C17" s="29">
        <v>2</v>
      </c>
      <c r="D17" s="29" t="s">
        <v>14</v>
      </c>
      <c r="E17" s="31">
        <v>150</v>
      </c>
      <c r="F17" s="30">
        <v>44987</v>
      </c>
      <c r="G17" s="30">
        <v>45262</v>
      </c>
      <c r="H17" s="29" t="str">
        <f t="shared" ref="H17:H33" si="2">IF(AND($H$13&gt;=$F17,$H$15&lt;=$G17),1,"")</f>
        <v/>
      </c>
      <c r="I17" s="29" t="str">
        <f t="shared" ref="I17:I33" si="3">IF(AND($I$13&gt;=$F17,$I$15&lt;=$G17),1,"")</f>
        <v/>
      </c>
      <c r="J17" s="29">
        <f t="shared" ref="J17:J33" si="4">IF(AND($J$13&gt;=$F17,$J$15&lt;=$G17),1,"")</f>
        <v>1</v>
      </c>
      <c r="K17" s="29">
        <f t="shared" ref="K17:K33" si="5">IF(AND($K$13&gt;=$F17,$K$15&lt;=$G17),1,"")</f>
        <v>1</v>
      </c>
      <c r="L17" s="29">
        <f t="shared" ref="L17:L33" si="6">IF(AND($L$13&gt;=$F17,$L$15&lt;=$G17),1,"")</f>
        <v>1</v>
      </c>
      <c r="M17" s="29">
        <f t="shared" ref="M17:M33" si="7">IF(AND($M$13&gt;=$F17,$M$15&lt;=$G17),1,"")</f>
        <v>1</v>
      </c>
      <c r="N17" s="29">
        <f t="shared" ref="N17:N33" si="8">IF(AND($N$13&gt;=$F17,$N$15&lt;=$G17),1,"")</f>
        <v>1</v>
      </c>
      <c r="O17" s="29">
        <f t="shared" ref="O17:O33" si="9">IF(AND($O$13&gt;=$F17,$O$15&lt;=$G17),1,"")</f>
        <v>1</v>
      </c>
      <c r="P17" s="29">
        <f t="shared" ref="P17:P33" si="10">IF(AND($P$13&gt;=$F17,$P$15&lt;=$G17),1,"")</f>
        <v>1</v>
      </c>
      <c r="Q17" s="29">
        <f t="shared" ref="Q17:Q33" si="11">IF(AND($Q$13&gt;=$F17,$Q$15&lt;=$G17),1,"")</f>
        <v>1</v>
      </c>
      <c r="R17" s="29">
        <f t="shared" ref="R17:R33" si="12">IF(AND($R$13&gt;=$F17,$R$15&lt;=$G17),1,"")</f>
        <v>1</v>
      </c>
      <c r="S17" s="29">
        <f t="shared" ref="S17:S33" si="13">IF(AND($S$13&gt;=$F17,$S$15&lt;=$G17),1,"")</f>
        <v>1</v>
      </c>
      <c r="T17" s="45">
        <v>1800</v>
      </c>
      <c r="U17" s="43">
        <v>600</v>
      </c>
      <c r="V17" s="43">
        <v>100</v>
      </c>
      <c r="W17" s="43">
        <f t="shared" ref="W17:W26" si="14">T17-U17-V17</f>
        <v>1100</v>
      </c>
      <c r="X17" s="44">
        <f t="shared" ref="X17:X33" si="15">IF(D17="","",W17/T17)</f>
        <v>0.611111111111111</v>
      </c>
      <c r="Y17" s="31">
        <v>100</v>
      </c>
      <c r="Z17" s="44">
        <f t="shared" ref="Z17:Z33" si="16">IF(D17="","",Y17/E17)</f>
        <v>0.666666666666667</v>
      </c>
      <c r="AA17" s="23"/>
      <c r="AB17" s="19"/>
    </row>
    <row r="18" customHeight="1" spans="1:28">
      <c r="A18" s="19"/>
      <c r="B18" s="22">
        <f t="shared" si="1"/>
        <v>10</v>
      </c>
      <c r="C18" s="29">
        <v>3</v>
      </c>
      <c r="D18" s="29" t="s">
        <v>15</v>
      </c>
      <c r="E18" s="31">
        <v>280</v>
      </c>
      <c r="F18" s="30">
        <v>44929</v>
      </c>
      <c r="G18" s="30">
        <v>45049</v>
      </c>
      <c r="H18" s="29">
        <f t="shared" si="2"/>
        <v>1</v>
      </c>
      <c r="I18" s="29">
        <f t="shared" si="3"/>
        <v>1</v>
      </c>
      <c r="J18" s="29">
        <f t="shared" si="4"/>
        <v>1</v>
      </c>
      <c r="K18" s="29">
        <f t="shared" si="5"/>
        <v>1</v>
      </c>
      <c r="L18" s="29">
        <f t="shared" si="6"/>
        <v>1</v>
      </c>
      <c r="M18" s="29" t="str">
        <f t="shared" si="7"/>
        <v/>
      </c>
      <c r="N18" s="29" t="str">
        <f t="shared" si="8"/>
        <v/>
      </c>
      <c r="O18" s="29" t="str">
        <f t="shared" si="9"/>
        <v/>
      </c>
      <c r="P18" s="29" t="str">
        <f t="shared" si="10"/>
        <v/>
      </c>
      <c r="Q18" s="29" t="str">
        <f t="shared" si="11"/>
        <v/>
      </c>
      <c r="R18" s="29" t="str">
        <f t="shared" si="12"/>
        <v/>
      </c>
      <c r="S18" s="29" t="str">
        <f t="shared" si="13"/>
        <v/>
      </c>
      <c r="T18" s="45">
        <v>1700</v>
      </c>
      <c r="U18" s="43">
        <v>800</v>
      </c>
      <c r="V18" s="43">
        <v>150</v>
      </c>
      <c r="W18" s="43">
        <f t="shared" si="14"/>
        <v>750</v>
      </c>
      <c r="X18" s="44">
        <f t="shared" si="15"/>
        <v>0.441176470588235</v>
      </c>
      <c r="Y18" s="31">
        <v>240</v>
      </c>
      <c r="Z18" s="44">
        <f t="shared" si="16"/>
        <v>0.857142857142857</v>
      </c>
      <c r="AA18" s="23"/>
      <c r="AB18" s="19"/>
    </row>
    <row r="19" customHeight="1" spans="1:28">
      <c r="A19" s="19"/>
      <c r="B19" s="22">
        <f t="shared" si="1"/>
        <v>12</v>
      </c>
      <c r="C19" s="29">
        <v>4</v>
      </c>
      <c r="D19" s="29" t="s">
        <v>16</v>
      </c>
      <c r="E19" s="31">
        <v>190</v>
      </c>
      <c r="F19" s="30">
        <v>45081</v>
      </c>
      <c r="G19" s="30">
        <v>45234</v>
      </c>
      <c r="H19" s="29" t="str">
        <f t="shared" si="2"/>
        <v/>
      </c>
      <c r="I19" s="29" t="str">
        <f t="shared" si="3"/>
        <v/>
      </c>
      <c r="J19" s="29" t="str">
        <f t="shared" si="4"/>
        <v/>
      </c>
      <c r="K19" s="29" t="str">
        <f t="shared" si="5"/>
        <v/>
      </c>
      <c r="L19" s="29" t="str">
        <f t="shared" si="6"/>
        <v/>
      </c>
      <c r="M19" s="29">
        <f t="shared" si="7"/>
        <v>1</v>
      </c>
      <c r="N19" s="29">
        <f t="shared" si="8"/>
        <v>1</v>
      </c>
      <c r="O19" s="29">
        <f t="shared" si="9"/>
        <v>1</v>
      </c>
      <c r="P19" s="29">
        <f t="shared" si="10"/>
        <v>1</v>
      </c>
      <c r="Q19" s="29">
        <f t="shared" si="11"/>
        <v>1</v>
      </c>
      <c r="R19" s="29">
        <f t="shared" si="12"/>
        <v>1</v>
      </c>
      <c r="S19" s="29" t="str">
        <f t="shared" si="13"/>
        <v/>
      </c>
      <c r="T19" s="45">
        <v>1400</v>
      </c>
      <c r="U19" s="43">
        <v>500</v>
      </c>
      <c r="V19" s="43">
        <v>170</v>
      </c>
      <c r="W19" s="43">
        <f t="shared" si="14"/>
        <v>730</v>
      </c>
      <c r="X19" s="44">
        <f t="shared" si="15"/>
        <v>0.521428571428571</v>
      </c>
      <c r="Y19" s="31">
        <v>170</v>
      </c>
      <c r="Z19" s="44">
        <f t="shared" si="16"/>
        <v>0.894736842105263</v>
      </c>
      <c r="AA19" s="23"/>
      <c r="AB19" s="19"/>
    </row>
    <row r="20" customHeight="1" spans="1:28">
      <c r="A20" s="19"/>
      <c r="B20" s="22">
        <f t="shared" si="1"/>
        <v>3</v>
      </c>
      <c r="C20" s="29">
        <v>5</v>
      </c>
      <c r="D20" s="29" t="s">
        <v>17</v>
      </c>
      <c r="E20" s="31">
        <v>120</v>
      </c>
      <c r="F20" s="30">
        <v>44931</v>
      </c>
      <c r="G20" s="30">
        <v>45082</v>
      </c>
      <c r="H20" s="29">
        <f t="shared" si="2"/>
        <v>1</v>
      </c>
      <c r="I20" s="29">
        <f t="shared" si="3"/>
        <v>1</v>
      </c>
      <c r="J20" s="29">
        <f t="shared" si="4"/>
        <v>1</v>
      </c>
      <c r="K20" s="29">
        <f t="shared" si="5"/>
        <v>1</v>
      </c>
      <c r="L20" s="29">
        <f t="shared" si="6"/>
        <v>1</v>
      </c>
      <c r="M20" s="29">
        <f t="shared" si="7"/>
        <v>1</v>
      </c>
      <c r="N20" s="29" t="str">
        <f t="shared" si="8"/>
        <v/>
      </c>
      <c r="O20" s="29" t="str">
        <f t="shared" si="9"/>
        <v/>
      </c>
      <c r="P20" s="29" t="str">
        <f t="shared" si="10"/>
        <v/>
      </c>
      <c r="Q20" s="29" t="str">
        <f t="shared" si="11"/>
        <v/>
      </c>
      <c r="R20" s="29" t="str">
        <f t="shared" si="12"/>
        <v/>
      </c>
      <c r="S20" s="29" t="str">
        <f t="shared" si="13"/>
        <v/>
      </c>
      <c r="T20" s="45">
        <v>2000</v>
      </c>
      <c r="U20" s="43">
        <v>400</v>
      </c>
      <c r="V20" s="43">
        <v>200</v>
      </c>
      <c r="W20" s="43">
        <f t="shared" si="14"/>
        <v>1400</v>
      </c>
      <c r="X20" s="44">
        <f t="shared" si="15"/>
        <v>0.7</v>
      </c>
      <c r="Y20" s="31">
        <v>110</v>
      </c>
      <c r="Z20" s="44">
        <f t="shared" si="16"/>
        <v>0.916666666666667</v>
      </c>
      <c r="AA20" s="23"/>
      <c r="AB20" s="19"/>
    </row>
    <row r="21" customHeight="1" spans="1:28">
      <c r="A21" s="19"/>
      <c r="B21" s="22">
        <f t="shared" si="1"/>
        <v>5</v>
      </c>
      <c r="C21" s="29">
        <v>6</v>
      </c>
      <c r="D21" s="29" t="s">
        <v>18</v>
      </c>
      <c r="E21" s="31">
        <v>140</v>
      </c>
      <c r="F21" s="30">
        <v>44935</v>
      </c>
      <c r="G21" s="30">
        <v>45175</v>
      </c>
      <c r="H21" s="29">
        <f t="shared" si="2"/>
        <v>1</v>
      </c>
      <c r="I21" s="29">
        <f t="shared" si="3"/>
        <v>1</v>
      </c>
      <c r="J21" s="29">
        <f t="shared" si="4"/>
        <v>1</v>
      </c>
      <c r="K21" s="29">
        <f t="shared" si="5"/>
        <v>1</v>
      </c>
      <c r="L21" s="29">
        <f t="shared" si="6"/>
        <v>1</v>
      </c>
      <c r="M21" s="29">
        <f t="shared" si="7"/>
        <v>1</v>
      </c>
      <c r="N21" s="29">
        <f t="shared" si="8"/>
        <v>1</v>
      </c>
      <c r="O21" s="29">
        <f t="shared" si="9"/>
        <v>1</v>
      </c>
      <c r="P21" s="29">
        <f t="shared" si="10"/>
        <v>1</v>
      </c>
      <c r="Q21" s="29" t="str">
        <f t="shared" si="11"/>
        <v/>
      </c>
      <c r="R21" s="29" t="str">
        <f t="shared" si="12"/>
        <v/>
      </c>
      <c r="S21" s="29" t="str">
        <f t="shared" si="13"/>
        <v/>
      </c>
      <c r="T21" s="45">
        <v>1700</v>
      </c>
      <c r="U21" s="43">
        <v>300</v>
      </c>
      <c r="V21" s="43">
        <v>140</v>
      </c>
      <c r="W21" s="43">
        <f t="shared" si="14"/>
        <v>1260</v>
      </c>
      <c r="X21" s="44">
        <f t="shared" si="15"/>
        <v>0.741176470588235</v>
      </c>
      <c r="Y21" s="31">
        <v>120</v>
      </c>
      <c r="Z21" s="44">
        <f t="shared" si="16"/>
        <v>0.857142857142857</v>
      </c>
      <c r="AA21" s="23"/>
      <c r="AB21" s="19"/>
    </row>
    <row r="22" customHeight="1" spans="1:28">
      <c r="A22" s="19"/>
      <c r="B22" s="22">
        <f t="shared" si="1"/>
        <v>1</v>
      </c>
      <c r="C22" s="29">
        <v>7</v>
      </c>
      <c r="D22" s="29" t="s">
        <v>19</v>
      </c>
      <c r="E22" s="31">
        <v>170</v>
      </c>
      <c r="F22" s="30">
        <v>45145</v>
      </c>
      <c r="G22" s="30">
        <v>45267</v>
      </c>
      <c r="H22" s="29" t="str">
        <f t="shared" si="2"/>
        <v/>
      </c>
      <c r="I22" s="29" t="str">
        <f t="shared" si="3"/>
        <v/>
      </c>
      <c r="J22" s="29" t="str">
        <f t="shared" si="4"/>
        <v/>
      </c>
      <c r="K22" s="29" t="str">
        <f t="shared" si="5"/>
        <v/>
      </c>
      <c r="L22" s="29" t="str">
        <f t="shared" si="6"/>
        <v/>
      </c>
      <c r="M22" s="29" t="str">
        <f t="shared" si="7"/>
        <v/>
      </c>
      <c r="N22" s="29" t="str">
        <f t="shared" si="8"/>
        <v/>
      </c>
      <c r="O22" s="29">
        <f t="shared" si="9"/>
        <v>1</v>
      </c>
      <c r="P22" s="29">
        <f t="shared" si="10"/>
        <v>1</v>
      </c>
      <c r="Q22" s="29">
        <f t="shared" si="11"/>
        <v>1</v>
      </c>
      <c r="R22" s="29">
        <f t="shared" si="12"/>
        <v>1</v>
      </c>
      <c r="S22" s="29">
        <f t="shared" si="13"/>
        <v>1</v>
      </c>
      <c r="T22" s="45">
        <v>2700</v>
      </c>
      <c r="U22" s="43">
        <v>700</v>
      </c>
      <c r="V22" s="43">
        <v>200</v>
      </c>
      <c r="W22" s="43">
        <f t="shared" si="14"/>
        <v>1800</v>
      </c>
      <c r="X22" s="44">
        <f t="shared" si="15"/>
        <v>0.666666666666667</v>
      </c>
      <c r="Y22" s="31">
        <v>150</v>
      </c>
      <c r="Z22" s="44">
        <f t="shared" si="16"/>
        <v>0.882352941176471</v>
      </c>
      <c r="AA22" s="23"/>
      <c r="AB22" s="19"/>
    </row>
    <row r="23" customHeight="1" spans="1:28">
      <c r="A23" s="19"/>
      <c r="B23" s="22">
        <f t="shared" si="1"/>
        <v>6</v>
      </c>
      <c r="C23" s="29">
        <v>8</v>
      </c>
      <c r="D23" s="29" t="s">
        <v>20</v>
      </c>
      <c r="E23" s="31">
        <v>220</v>
      </c>
      <c r="F23" s="30">
        <v>44934</v>
      </c>
      <c r="G23" s="30">
        <v>45085</v>
      </c>
      <c r="H23" s="29">
        <f t="shared" si="2"/>
        <v>1</v>
      </c>
      <c r="I23" s="29">
        <f t="shared" si="3"/>
        <v>1</v>
      </c>
      <c r="J23" s="29">
        <f t="shared" si="4"/>
        <v>1</v>
      </c>
      <c r="K23" s="29">
        <f t="shared" si="5"/>
        <v>1</v>
      </c>
      <c r="L23" s="29">
        <f t="shared" si="6"/>
        <v>1</v>
      </c>
      <c r="M23" s="29">
        <f t="shared" si="7"/>
        <v>1</v>
      </c>
      <c r="N23" s="29" t="str">
        <f t="shared" si="8"/>
        <v/>
      </c>
      <c r="O23" s="29" t="str">
        <f t="shared" si="9"/>
        <v/>
      </c>
      <c r="P23" s="29" t="str">
        <f t="shared" si="10"/>
        <v/>
      </c>
      <c r="Q23" s="29" t="str">
        <f t="shared" si="11"/>
        <v/>
      </c>
      <c r="R23" s="29" t="str">
        <f t="shared" si="12"/>
        <v/>
      </c>
      <c r="S23" s="29" t="str">
        <f t="shared" si="13"/>
        <v/>
      </c>
      <c r="T23" s="45">
        <v>1900</v>
      </c>
      <c r="U23" s="43">
        <v>500</v>
      </c>
      <c r="V23" s="43">
        <v>240</v>
      </c>
      <c r="W23" s="43">
        <f t="shared" si="14"/>
        <v>1160</v>
      </c>
      <c r="X23" s="44">
        <f t="shared" si="15"/>
        <v>0.610526315789474</v>
      </c>
      <c r="Y23" s="31">
        <v>200</v>
      </c>
      <c r="Z23" s="44">
        <f t="shared" si="16"/>
        <v>0.909090909090909</v>
      </c>
      <c r="AA23" s="23"/>
      <c r="AB23" s="19"/>
    </row>
    <row r="24" customHeight="1" spans="1:28">
      <c r="A24" s="19"/>
      <c r="B24" s="22">
        <f t="shared" si="1"/>
        <v>10</v>
      </c>
      <c r="C24" s="29">
        <v>9</v>
      </c>
      <c r="D24" s="29" t="s">
        <v>21</v>
      </c>
      <c r="E24" s="31">
        <v>190</v>
      </c>
      <c r="F24" s="30">
        <v>44987</v>
      </c>
      <c r="G24" s="30">
        <v>45079</v>
      </c>
      <c r="H24" s="29" t="str">
        <f t="shared" si="2"/>
        <v/>
      </c>
      <c r="I24" s="29" t="str">
        <f t="shared" si="3"/>
        <v/>
      </c>
      <c r="J24" s="29">
        <f t="shared" si="4"/>
        <v>1</v>
      </c>
      <c r="K24" s="29">
        <f t="shared" si="5"/>
        <v>1</v>
      </c>
      <c r="L24" s="29">
        <f t="shared" si="6"/>
        <v>1</v>
      </c>
      <c r="M24" s="29">
        <f t="shared" si="7"/>
        <v>1</v>
      </c>
      <c r="N24" s="29" t="str">
        <f t="shared" si="8"/>
        <v/>
      </c>
      <c r="O24" s="29" t="str">
        <f t="shared" si="9"/>
        <v/>
      </c>
      <c r="P24" s="29" t="str">
        <f t="shared" si="10"/>
        <v/>
      </c>
      <c r="Q24" s="29" t="str">
        <f t="shared" si="11"/>
        <v/>
      </c>
      <c r="R24" s="29" t="str">
        <f t="shared" si="12"/>
        <v/>
      </c>
      <c r="S24" s="29" t="str">
        <f t="shared" si="13"/>
        <v/>
      </c>
      <c r="T24" s="45">
        <v>1200</v>
      </c>
      <c r="U24" s="43">
        <v>300</v>
      </c>
      <c r="V24" s="43">
        <v>150</v>
      </c>
      <c r="W24" s="43">
        <f t="shared" si="14"/>
        <v>750</v>
      </c>
      <c r="X24" s="44">
        <f t="shared" si="15"/>
        <v>0.625</v>
      </c>
      <c r="Y24" s="31">
        <v>170</v>
      </c>
      <c r="Z24" s="44">
        <f t="shared" si="16"/>
        <v>0.894736842105263</v>
      </c>
      <c r="AA24" s="23"/>
      <c r="AB24" s="19"/>
    </row>
    <row r="25" customHeight="1" spans="1:28">
      <c r="A25" s="19"/>
      <c r="B25" s="22">
        <f t="shared" si="1"/>
        <v>9</v>
      </c>
      <c r="C25" s="29">
        <v>10</v>
      </c>
      <c r="D25" s="29" t="s">
        <v>22</v>
      </c>
      <c r="E25" s="31">
        <v>180</v>
      </c>
      <c r="F25" s="30">
        <v>45019</v>
      </c>
      <c r="G25" s="30">
        <v>45263</v>
      </c>
      <c r="H25" s="29" t="str">
        <f t="shared" si="2"/>
        <v/>
      </c>
      <c r="I25" s="29" t="str">
        <f t="shared" si="3"/>
        <v/>
      </c>
      <c r="J25" s="29" t="str">
        <f t="shared" si="4"/>
        <v/>
      </c>
      <c r="K25" s="29">
        <f t="shared" si="5"/>
        <v>1</v>
      </c>
      <c r="L25" s="29">
        <f t="shared" si="6"/>
        <v>1</v>
      </c>
      <c r="M25" s="29">
        <f t="shared" si="7"/>
        <v>1</v>
      </c>
      <c r="N25" s="29">
        <f t="shared" si="8"/>
        <v>1</v>
      </c>
      <c r="O25" s="29">
        <f t="shared" si="9"/>
        <v>1</v>
      </c>
      <c r="P25" s="29">
        <f t="shared" si="10"/>
        <v>1</v>
      </c>
      <c r="Q25" s="29">
        <f t="shared" si="11"/>
        <v>1</v>
      </c>
      <c r="R25" s="29">
        <f t="shared" si="12"/>
        <v>1</v>
      </c>
      <c r="S25" s="29">
        <f t="shared" si="13"/>
        <v>1</v>
      </c>
      <c r="T25" s="45">
        <v>1700</v>
      </c>
      <c r="U25" s="43">
        <v>700</v>
      </c>
      <c r="V25" s="43">
        <v>200</v>
      </c>
      <c r="W25" s="43">
        <f t="shared" si="14"/>
        <v>800</v>
      </c>
      <c r="X25" s="44">
        <f t="shared" si="15"/>
        <v>0.470588235294118</v>
      </c>
      <c r="Y25" s="31">
        <v>160</v>
      </c>
      <c r="Z25" s="44">
        <f t="shared" si="16"/>
        <v>0.888888888888889</v>
      </c>
      <c r="AA25" s="23"/>
      <c r="AB25" s="19"/>
    </row>
    <row r="26" customHeight="1" spans="1:28">
      <c r="A26" s="19"/>
      <c r="B26" s="22">
        <f t="shared" si="1"/>
        <v>8</v>
      </c>
      <c r="C26" s="29">
        <v>11</v>
      </c>
      <c r="D26" s="29" t="s">
        <v>23</v>
      </c>
      <c r="E26" s="31">
        <v>200</v>
      </c>
      <c r="F26" s="30">
        <v>45142</v>
      </c>
      <c r="G26" s="30">
        <v>45264</v>
      </c>
      <c r="H26" s="29" t="str">
        <f t="shared" si="2"/>
        <v/>
      </c>
      <c r="I26" s="29" t="str">
        <f t="shared" si="3"/>
        <v/>
      </c>
      <c r="J26" s="29" t="str">
        <f t="shared" si="4"/>
        <v/>
      </c>
      <c r="K26" s="29" t="str">
        <f t="shared" si="5"/>
        <v/>
      </c>
      <c r="L26" s="29" t="str">
        <f t="shared" si="6"/>
        <v/>
      </c>
      <c r="M26" s="29" t="str">
        <f t="shared" si="7"/>
        <v/>
      </c>
      <c r="N26" s="29" t="str">
        <f t="shared" si="8"/>
        <v/>
      </c>
      <c r="O26" s="29">
        <f t="shared" si="9"/>
        <v>1</v>
      </c>
      <c r="P26" s="29">
        <f t="shared" si="10"/>
        <v>1</v>
      </c>
      <c r="Q26" s="29">
        <f t="shared" si="11"/>
        <v>1</v>
      </c>
      <c r="R26" s="29">
        <f t="shared" si="12"/>
        <v>1</v>
      </c>
      <c r="S26" s="29">
        <f t="shared" si="13"/>
        <v>1</v>
      </c>
      <c r="T26" s="45">
        <v>1900</v>
      </c>
      <c r="U26" s="43">
        <v>800</v>
      </c>
      <c r="V26" s="43">
        <v>170</v>
      </c>
      <c r="W26" s="43">
        <f t="shared" si="14"/>
        <v>930</v>
      </c>
      <c r="X26" s="44">
        <f t="shared" si="15"/>
        <v>0.489473684210526</v>
      </c>
      <c r="Y26" s="31">
        <v>180</v>
      </c>
      <c r="Z26" s="44">
        <f t="shared" si="16"/>
        <v>0.9</v>
      </c>
      <c r="AA26" s="23"/>
      <c r="AB26" s="19"/>
    </row>
    <row r="27" customHeight="1" spans="1:28">
      <c r="A27" s="19"/>
      <c r="B27" s="22">
        <f t="shared" si="1"/>
        <v>4</v>
      </c>
      <c r="C27" s="29">
        <v>12</v>
      </c>
      <c r="D27" s="29" t="s">
        <v>24</v>
      </c>
      <c r="E27" s="31">
        <v>140</v>
      </c>
      <c r="F27" s="30">
        <v>44931</v>
      </c>
      <c r="G27" s="30">
        <v>45051</v>
      </c>
      <c r="H27" s="29">
        <f t="shared" si="2"/>
        <v>1</v>
      </c>
      <c r="I27" s="29">
        <f t="shared" si="3"/>
        <v>1</v>
      </c>
      <c r="J27" s="29">
        <f t="shared" si="4"/>
        <v>1</v>
      </c>
      <c r="K27" s="29">
        <f t="shared" si="5"/>
        <v>1</v>
      </c>
      <c r="L27" s="29">
        <f t="shared" si="6"/>
        <v>1</v>
      </c>
      <c r="M27" s="29" t="str">
        <f t="shared" si="7"/>
        <v/>
      </c>
      <c r="N27" s="29" t="str">
        <f t="shared" si="8"/>
        <v/>
      </c>
      <c r="O27" s="29" t="str">
        <f t="shared" si="9"/>
        <v/>
      </c>
      <c r="P27" s="29" t="str">
        <f t="shared" si="10"/>
        <v/>
      </c>
      <c r="Q27" s="29" t="str">
        <f t="shared" si="11"/>
        <v/>
      </c>
      <c r="R27" s="29" t="str">
        <f t="shared" si="12"/>
        <v/>
      </c>
      <c r="S27" s="29" t="str">
        <f t="shared" si="13"/>
        <v/>
      </c>
      <c r="T27" s="45">
        <v>2500</v>
      </c>
      <c r="U27" s="43">
        <v>1000</v>
      </c>
      <c r="V27" s="43">
        <v>200</v>
      </c>
      <c r="W27" s="43">
        <f>T27-U27-V27</f>
        <v>1300</v>
      </c>
      <c r="X27" s="44">
        <f t="shared" si="15"/>
        <v>0.52</v>
      </c>
      <c r="Y27" s="31">
        <v>100</v>
      </c>
      <c r="Z27" s="44">
        <f t="shared" si="16"/>
        <v>0.714285714285714</v>
      </c>
      <c r="AA27" s="23"/>
      <c r="AB27" s="19"/>
    </row>
    <row r="28" customHeight="1" spans="1:28">
      <c r="A28" s="19"/>
      <c r="B28" s="22">
        <f t="shared" si="1"/>
        <v>2</v>
      </c>
      <c r="C28" s="29">
        <v>13</v>
      </c>
      <c r="D28" s="29" t="s">
        <v>25</v>
      </c>
      <c r="E28" s="31">
        <v>150</v>
      </c>
      <c r="F28" s="30">
        <v>44998</v>
      </c>
      <c r="G28" s="30">
        <v>45151</v>
      </c>
      <c r="H28" s="29" t="str">
        <f t="shared" si="2"/>
        <v/>
      </c>
      <c r="I28" s="29" t="str">
        <f t="shared" si="3"/>
        <v/>
      </c>
      <c r="J28" s="29">
        <f t="shared" si="4"/>
        <v>1</v>
      </c>
      <c r="K28" s="29">
        <f t="shared" si="5"/>
        <v>1</v>
      </c>
      <c r="L28" s="29">
        <f t="shared" si="6"/>
        <v>1</v>
      </c>
      <c r="M28" s="29">
        <f t="shared" si="7"/>
        <v>1</v>
      </c>
      <c r="N28" s="29">
        <f t="shared" si="8"/>
        <v>1</v>
      </c>
      <c r="O28" s="29">
        <f t="shared" si="9"/>
        <v>1</v>
      </c>
      <c r="P28" s="29" t="str">
        <f t="shared" si="10"/>
        <v/>
      </c>
      <c r="Q28" s="29" t="str">
        <f t="shared" si="11"/>
        <v/>
      </c>
      <c r="R28" s="29" t="str">
        <f t="shared" si="12"/>
        <v/>
      </c>
      <c r="S28" s="29" t="str">
        <f t="shared" si="13"/>
        <v/>
      </c>
      <c r="T28" s="45">
        <v>2400</v>
      </c>
      <c r="U28" s="43">
        <v>600</v>
      </c>
      <c r="V28" s="43">
        <v>300</v>
      </c>
      <c r="W28" s="43">
        <f>T28-U28-V28</f>
        <v>1500</v>
      </c>
      <c r="X28" s="44">
        <f t="shared" si="15"/>
        <v>0.625</v>
      </c>
      <c r="Y28" s="31">
        <v>120</v>
      </c>
      <c r="Z28" s="44">
        <f t="shared" si="16"/>
        <v>0.8</v>
      </c>
      <c r="AA28" s="23"/>
      <c r="AB28" s="19"/>
    </row>
    <row r="29" customHeight="1" spans="1:28">
      <c r="A29" s="19"/>
      <c r="B29" s="22">
        <f t="shared" si="1"/>
        <v>13</v>
      </c>
      <c r="C29" s="29">
        <v>14</v>
      </c>
      <c r="D29" s="29" t="s">
        <v>26</v>
      </c>
      <c r="E29" s="31">
        <v>200</v>
      </c>
      <c r="F29" s="30">
        <v>45121</v>
      </c>
      <c r="G29" s="30">
        <v>45274</v>
      </c>
      <c r="H29" s="29" t="str">
        <f t="shared" si="2"/>
        <v/>
      </c>
      <c r="I29" s="29" t="str">
        <f t="shared" si="3"/>
        <v/>
      </c>
      <c r="J29" s="29" t="str">
        <f t="shared" si="4"/>
        <v/>
      </c>
      <c r="K29" s="29" t="str">
        <f t="shared" si="5"/>
        <v/>
      </c>
      <c r="L29" s="29" t="str">
        <f t="shared" si="6"/>
        <v/>
      </c>
      <c r="M29" s="29" t="str">
        <f t="shared" si="7"/>
        <v/>
      </c>
      <c r="N29" s="29">
        <f t="shared" si="8"/>
        <v>1</v>
      </c>
      <c r="O29" s="29">
        <f t="shared" si="9"/>
        <v>1</v>
      </c>
      <c r="P29" s="29">
        <f t="shared" si="10"/>
        <v>1</v>
      </c>
      <c r="Q29" s="29">
        <f t="shared" si="11"/>
        <v>1</v>
      </c>
      <c r="R29" s="29">
        <f t="shared" si="12"/>
        <v>1</v>
      </c>
      <c r="S29" s="29">
        <f t="shared" si="13"/>
        <v>1</v>
      </c>
      <c r="T29" s="45">
        <v>1300</v>
      </c>
      <c r="U29" s="43">
        <v>500</v>
      </c>
      <c r="V29" s="43">
        <v>150</v>
      </c>
      <c r="W29" s="43">
        <f>T29-U29-V29</f>
        <v>650</v>
      </c>
      <c r="X29" s="44">
        <f t="shared" si="15"/>
        <v>0.5</v>
      </c>
      <c r="Y29" s="31">
        <v>150</v>
      </c>
      <c r="Z29" s="44">
        <f t="shared" si="16"/>
        <v>0.75</v>
      </c>
      <c r="AA29" s="23"/>
      <c r="AB29" s="19"/>
    </row>
  </sheetData>
  <mergeCells count="14">
    <mergeCell ref="C2:K2"/>
    <mergeCell ref="H14:S14"/>
    <mergeCell ref="C14:C15"/>
    <mergeCell ref="D14:D15"/>
    <mergeCell ref="E14:E15"/>
    <mergeCell ref="F14:F15"/>
    <mergeCell ref="G14:G15"/>
    <mergeCell ref="T14:T15"/>
    <mergeCell ref="U14:U15"/>
    <mergeCell ref="V14:V15"/>
    <mergeCell ref="W14:W15"/>
    <mergeCell ref="X14:X15"/>
    <mergeCell ref="Y14:Y15"/>
    <mergeCell ref="Z14:Z15"/>
  </mergeCells>
  <conditionalFormatting sqref="H$1:S$1048576">
    <cfRule type="cellIs" dxfId="0" priority="1" operator="equal">
      <formula>1</formula>
    </cfRule>
  </conditionalFormatting>
  <conditionalFormatting sqref="H16:T16 H17:S29">
    <cfRule type="expression" dxfId="1" priority="4">
      <formula>AND(H$13&gt;=$F16,H$15&lt;=$G16)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5"/>
  <sheetViews>
    <sheetView showGridLines="0" workbookViewId="0">
      <selection activeCell="F7" sqref="F7"/>
    </sheetView>
  </sheetViews>
  <sheetFormatPr defaultColWidth="11" defaultRowHeight="24.95" customHeight="1"/>
  <cols>
    <col min="1" max="1" width="11" style="1" customWidth="1"/>
    <col min="2" max="2" width="9.375" style="2" customWidth="1"/>
    <col min="3" max="3" width="12.5083333333333" style="2" customWidth="1"/>
    <col min="4" max="4" width="2.625" style="1" customWidth="1"/>
    <col min="5" max="5" width="11" style="1" customWidth="1"/>
    <col min="6" max="6" width="12" style="1" customWidth="1"/>
    <col min="7" max="7" width="11" style="1" customWidth="1"/>
    <col min="8" max="8" width="3.375" style="1" customWidth="1"/>
    <col min="9" max="10" width="13.125" style="1" customWidth="1"/>
    <col min="11" max="11" width="11" style="1" customWidth="1"/>
    <col min="12" max="16384" width="11" style="1"/>
  </cols>
  <sheetData>
    <row r="2" customHeight="1" spans="2:3">
      <c r="B2" s="3" t="s">
        <v>27</v>
      </c>
      <c r="C2" s="3"/>
    </row>
    <row r="3" customHeight="1" spans="2:10">
      <c r="B3" s="4" t="s">
        <v>28</v>
      </c>
      <c r="C3" s="4" t="s">
        <v>29</v>
      </c>
      <c r="E3" s="1" t="s">
        <v>30</v>
      </c>
      <c r="F3" s="5">
        <f>COUNTA(Sheet1!$D$16:$D$16962)</f>
        <v>14</v>
      </c>
      <c r="I3" s="4" t="s">
        <v>2</v>
      </c>
      <c r="J3" s="9" t="s">
        <v>31</v>
      </c>
    </row>
    <row r="4" customHeight="1" spans="2:10">
      <c r="B4" s="6" t="s">
        <v>32</v>
      </c>
      <c r="C4" s="6">
        <f>SUM(Sheet1!$H$16:$H$16962)</f>
        <v>6</v>
      </c>
      <c r="E4" s="1" t="s">
        <v>3</v>
      </c>
      <c r="F4" s="1">
        <f>SUM(Sheet1!$E$16:$E$16962)</f>
        <v>2564</v>
      </c>
      <c r="I4" s="6" t="str">
        <f>IFERROR(VLOOKUP(1,Sheet1!B:D,3,FALSE),"")</f>
        <v>项目_7</v>
      </c>
      <c r="J4" s="10">
        <f>IFERROR(VLOOKUP(I4,Sheet1!D:W,20,FALSE),"")</f>
        <v>1800</v>
      </c>
    </row>
    <row r="5" customHeight="1" spans="2:10">
      <c r="B5" s="6" t="s">
        <v>33</v>
      </c>
      <c r="C5" s="6">
        <f>SUM(Sheet1!$I$16:$I$16962)</f>
        <v>6</v>
      </c>
      <c r="E5" s="1" t="s">
        <v>6</v>
      </c>
      <c r="F5" s="7">
        <f>SUM(Sheet1!$T$16:$T$16962)</f>
        <v>25400</v>
      </c>
      <c r="I5" s="6" t="str">
        <f>IFERROR(VLOOKUP(2,Sheet1!B:D,3,FALSE),"")</f>
        <v>项目_13</v>
      </c>
      <c r="J5" s="11">
        <f>IFERROR(VLOOKUP(I5,Sheet1!D:W,20,FALSE),"")</f>
        <v>1500</v>
      </c>
    </row>
    <row r="6" customHeight="1" spans="2:10">
      <c r="B6" s="6" t="s">
        <v>34</v>
      </c>
      <c r="C6" s="6">
        <f>SUM(Sheet1!$J$16:$J$16962)</f>
        <v>9</v>
      </c>
      <c r="E6" s="1" t="s">
        <v>7</v>
      </c>
      <c r="F6" s="7">
        <f>SUM(Sheet1!$U$16:$U$16962)</f>
        <v>8200</v>
      </c>
      <c r="I6" s="6" t="str">
        <f>IFERROR(VLOOKUP(3,Sheet1!B:D,3,FALSE),"")</f>
        <v>项目_5</v>
      </c>
      <c r="J6" s="11">
        <f>IFERROR(VLOOKUP(I6,Sheet1!D:W,20,FALSE),"")</f>
        <v>1400</v>
      </c>
    </row>
    <row r="7" customHeight="1" spans="2:6">
      <c r="B7" s="6" t="s">
        <v>35</v>
      </c>
      <c r="C7" s="6">
        <f>SUM(Sheet1!$K$16:$K$16962)</f>
        <v>10</v>
      </c>
      <c r="E7" s="1" t="s">
        <v>36</v>
      </c>
      <c r="F7" s="7">
        <f>SUM(Sheet1!$V$16:$V$16962)</f>
        <v>2570</v>
      </c>
    </row>
    <row r="8" customHeight="1" spans="2:6">
      <c r="B8" s="6" t="s">
        <v>37</v>
      </c>
      <c r="C8" s="6">
        <f>SUM(Sheet1!$L$16:$L$16962)</f>
        <v>10</v>
      </c>
      <c r="E8" s="1" t="s">
        <v>31</v>
      </c>
      <c r="F8" s="7">
        <f>F5-F6-F7</f>
        <v>14630</v>
      </c>
    </row>
    <row r="9" customHeight="1" spans="2:7">
      <c r="B9" s="6" t="s">
        <v>38</v>
      </c>
      <c r="C9" s="6">
        <f>SUM(Sheet1!$M$16:$M$16962)</f>
        <v>9</v>
      </c>
      <c r="E9" s="1" t="s">
        <v>10</v>
      </c>
      <c r="F9" s="8">
        <f>F8/F5</f>
        <v>0.575984251968504</v>
      </c>
      <c r="G9" s="8">
        <f>1-F9</f>
        <v>0.424015748031496</v>
      </c>
    </row>
    <row r="10" customHeight="1" spans="2:6">
      <c r="B10" s="6" t="s">
        <v>39</v>
      </c>
      <c r="C10" s="6">
        <f>SUM(Sheet1!$N$16:$N$16962)</f>
        <v>6</v>
      </c>
      <c r="E10" s="1" t="s">
        <v>11</v>
      </c>
      <c r="F10" s="1">
        <f>SUM(Sheet1!$Y$16:$Y$16962)</f>
        <v>2070</v>
      </c>
    </row>
    <row r="11" customHeight="1" spans="2:7">
      <c r="B11" s="6" t="s">
        <v>40</v>
      </c>
      <c r="C11" s="6">
        <f>SUM(Sheet1!$O$16:$O$16962)</f>
        <v>8</v>
      </c>
      <c r="E11" s="1" t="s">
        <v>41</v>
      </c>
      <c r="F11" s="8">
        <f>F10/F4</f>
        <v>0.807332293291732</v>
      </c>
      <c r="G11" s="8">
        <f>1-F11</f>
        <v>0.192667706708268</v>
      </c>
    </row>
    <row r="12" customHeight="1" spans="2:3">
      <c r="B12" s="6" t="s">
        <v>42</v>
      </c>
      <c r="C12" s="6">
        <f>SUM(Sheet1!$P$16:$P$16962)</f>
        <v>7</v>
      </c>
    </row>
    <row r="13" customHeight="1" spans="2:3">
      <c r="B13" s="6" t="s">
        <v>43</v>
      </c>
      <c r="C13" s="6">
        <f>SUM(Sheet1!$Q$16:$Q$16962)</f>
        <v>6</v>
      </c>
    </row>
    <row r="14" customHeight="1" spans="2:3">
      <c r="B14" s="6" t="s">
        <v>44</v>
      </c>
      <c r="C14" s="6">
        <f>SUM(Sheet1!$R$16:$R$16962)</f>
        <v>6</v>
      </c>
    </row>
    <row r="15" customHeight="1" spans="2:3">
      <c r="B15" s="6" t="s">
        <v>45</v>
      </c>
      <c r="C15" s="6">
        <f>SUM(Sheet1!$S$16:$S$16962)</f>
        <v>5</v>
      </c>
    </row>
  </sheetData>
  <mergeCells count="1">
    <mergeCell ref="B2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陈娜娜</dc:creator>
  <cp:lastModifiedBy>UMBRA~</cp:lastModifiedBy>
  <dcterms:created xsi:type="dcterms:W3CDTF">2023-09-21T06:42:00Z</dcterms:created>
  <dcterms:modified xsi:type="dcterms:W3CDTF">2024-02-24T10:29:21Z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475C1C58FD6C4D86B12D46A269D9A110_11</vt:lpwstr>
  </property>
  <property fmtid="{D5CDD505-2E9C-101B-9397-08002B2CF9AE}" pid="3" name="KSOProductBuildVer">
    <vt:lpwstr>2052-12.1.0.16388</vt:lpwstr>
  </property>
</Properties>
</file>