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Team Draft Board" sheetId="1" r:id="rId4"/>
    <sheet state="visible" name="Family Leauge Draft Board" sheetId="2" r:id="rId5"/>
    <sheet state="visible" name="Final Ranking Data Sheet" sheetId="3" r:id="rId6"/>
    <sheet state="visible" name="Player Codes" sheetId="4" r:id="rId7"/>
    <sheet state="visible" name="VORP SCORE" sheetId="5" r:id="rId8"/>
    <sheet state="visible" name="Risk Score" sheetId="6" r:id="rId9"/>
    <sheet state="visible" name="FLEX" sheetId="7" r:id="rId10"/>
    <sheet state="visible" name="Player Ages" sheetId="8" r:id="rId11"/>
    <sheet state="visible" name="ESPN FF Rankings" sheetId="9" r:id="rId12"/>
    <sheet state="visible" name="Injury Risk Score_RB" sheetId="10" r:id="rId13"/>
    <sheet state="visible" name="Injury Risk Score_WR" sheetId="11" r:id="rId14"/>
    <sheet state="visible" name="Injury Risk Score_TE" sheetId="12" r:id="rId15"/>
    <sheet state="visible" name="Injury Risk Score_QB" sheetId="13" r:id="rId16"/>
    <sheet state="visible" name="IR_RB" sheetId="14" r:id="rId17"/>
    <sheet state="visible" name="IR_WR" sheetId="15" r:id="rId18"/>
    <sheet state="visible" name="IR_TE" sheetId="16" r:id="rId19"/>
    <sheet state="visible" name="IR_QB" sheetId="17" r:id="rId20"/>
    <sheet state="visible" name="Scoring system" sheetId="18" r:id="rId21"/>
    <sheet state="visible" name="proj_fantasy_pts" sheetId="19" r:id="rId22"/>
  </sheets>
  <definedNames>
    <definedName hidden="1" localSheetId="18" name="_xlnm._FilterDatabase">proj_fantasy_pts!$E$5:$E$304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">
      <text>
        <t xml:space="preserve">=vlookup(A285,'Risk Score'!$A$4:$H$350,8,)
	-Jason Hill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used: =(301-G2)/300*0.3
	-Jason Hill</t>
      </text>
    </comment>
    <comment authorId="0" ref="H1">
      <text>
        <t xml:space="preserve">decided to just use vorp as the only metric
	-Jason Hill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20-25 / 26-30 / 30+ // 1-2-3 points.
	-Jason Hill
----
This play accounts for what percentage of the offence? 50%+ / 20-40% / 0-20% // 1-2-3 points.
	-Jason Hill
----
how to calculate with reward score
	-Jason Hill
----
Total projected fantasy points vs risk score: below avg for position, average for position, above average for position: 1-2-3 points.
	-Jason Hill
----
Total risk score, the lower the better.
	-Jason Hill
----
Performance Consistency; percentage of deviation from career average of total fantasy points from last 3-5 years: 10% / 30% / 50% // 1-2-3 points.
	-Jason Hill
----
Contract disputes and hold outs. 0 / 1 / 2+ // 1-2-3 points.
	-Jason Hill
----
0-2 / 2-3 / 3+ // 1-2-3 points
	-Jason Hill</t>
      </text>
    </comment>
    <comment authorId="0" ref="F3">
      <text>
        <t xml:space="preserve">20-25 / 26-30 / 30+ // 1-2-3 points.
	-Jason Hill</t>
      </text>
    </comment>
    <comment authorId="0" ref="E3">
      <text>
        <t xml:space="preserve">Based on probability to get injured in the coming season, 0-30%, 30-60%, 60-99% // 1, 2, 3.
	-Jason Hill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used this:=(F2/4)*0.25 , divided all possible scores by result, then multiplied by .25 (weighted percentage.
	-Jason Hill</t>
      </text>
    </comment>
    <comment authorId="0" ref="E1">
      <text>
        <t xml:space="preserve">solved with =left(B2,2)
	-Jason Hill</t>
      </text>
    </comment>
    <comment authorId="0" ref="F1">
      <text>
        <t xml:space="preserve">Solved with =IF(AND(E2="DS"),
	-Jason Hill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92">
      <text>
        <t xml:space="preserve">not found on points sheet, Cameron Dicker listed as starter.
	-Jason Hill</t>
      </text>
    </comment>
    <comment authorId="0" ref="E187">
      <text>
        <t xml:space="preserve">not found on points sheet
	-Jason Hill</t>
      </text>
    </comment>
    <comment authorId="0" ref="E83">
      <text>
        <t xml:space="preserve">spelled "Brian Robinson Jr." on points sheet
	-Jason Hill</t>
      </text>
    </comment>
    <comment authorId="0" ref="E140">
      <text>
        <t xml:space="preserve">spelled "Devon Achane" on points sheet
	-Jason Hill</t>
      </text>
    </comment>
  </commentList>
</comments>
</file>

<file path=xl/sharedStrings.xml><?xml version="1.0" encoding="utf-8"?>
<sst xmlns="http://schemas.openxmlformats.org/spreadsheetml/2006/main" count="12931" uniqueCount="2346">
  <si>
    <t>Sort order</t>
  </si>
  <si>
    <t>Player code</t>
  </si>
  <si>
    <t>Final Rank</t>
  </si>
  <si>
    <t>Position</t>
  </si>
  <si>
    <t>Player Name</t>
  </si>
  <si>
    <t>Rank weighted score</t>
  </si>
  <si>
    <t>VORP Weighted score</t>
  </si>
  <si>
    <t>Flex Weighted Score</t>
  </si>
  <si>
    <t>Risk weighted score</t>
  </si>
  <si>
    <t>Final score</t>
  </si>
  <si>
    <t>19</t>
  </si>
  <si>
    <t>0055</t>
  </si>
  <si>
    <t>1</t>
  </si>
  <si>
    <t>RB</t>
  </si>
  <si>
    <t>Christian McCaffrey</t>
  </si>
  <si>
    <t>26</t>
  </si>
  <si>
    <t>0018</t>
  </si>
  <si>
    <t>2</t>
  </si>
  <si>
    <t>Austin Ekeler</t>
  </si>
  <si>
    <t>38</t>
  </si>
  <si>
    <t>0228</t>
  </si>
  <si>
    <t>3</t>
  </si>
  <si>
    <t>Nick Chubb</t>
  </si>
  <si>
    <t>45</t>
  </si>
  <si>
    <t>0259</t>
  </si>
  <si>
    <t>4</t>
  </si>
  <si>
    <t>Saquon Barkley</t>
  </si>
  <si>
    <t>20</t>
  </si>
  <si>
    <t>0291</t>
  </si>
  <si>
    <t>5</t>
  </si>
  <si>
    <t>WR</t>
  </si>
  <si>
    <t>Tyreek Hill</t>
  </si>
  <si>
    <t>39</t>
  </si>
  <si>
    <t>0274</t>
  </si>
  <si>
    <t>6</t>
  </si>
  <si>
    <t>Tony Pollard</t>
  </si>
  <si>
    <t>43</t>
  </si>
  <si>
    <t>0089</t>
  </si>
  <si>
    <t>7</t>
  </si>
  <si>
    <t>Derrick Henry</t>
  </si>
  <si>
    <t>48</t>
  </si>
  <si>
    <t>0168</t>
  </si>
  <si>
    <t>8</t>
  </si>
  <si>
    <t>Josh Jacobs</t>
  </si>
  <si>
    <t>32</t>
  </si>
  <si>
    <t>0021</t>
  </si>
  <si>
    <t>9</t>
  </si>
  <si>
    <t>Bijan Robinson</t>
  </si>
  <si>
    <t>52</t>
  </si>
  <si>
    <t>0164</t>
  </si>
  <si>
    <t>10</t>
  </si>
  <si>
    <t>Jonathan Taylor</t>
  </si>
  <si>
    <t>71</t>
  </si>
  <si>
    <t>0160</t>
  </si>
  <si>
    <t>11</t>
  </si>
  <si>
    <t>Joe Mixon</t>
  </si>
  <si>
    <t>73</t>
  </si>
  <si>
    <t>0002</t>
  </si>
  <si>
    <t>12</t>
  </si>
  <si>
    <t>Aaron Jones</t>
  </si>
  <si>
    <t>56</t>
  </si>
  <si>
    <t>0246</t>
  </si>
  <si>
    <t>13</t>
  </si>
  <si>
    <t>Rhamondre Stevenson</t>
  </si>
  <si>
    <t>22</t>
  </si>
  <si>
    <t>0132</t>
  </si>
  <si>
    <t>14</t>
  </si>
  <si>
    <t>Ja'Marr Chase</t>
  </si>
  <si>
    <t>23</t>
  </si>
  <si>
    <t>0063</t>
  </si>
  <si>
    <t>15</t>
  </si>
  <si>
    <t>Cooper Kupp</t>
  </si>
  <si>
    <t>58</t>
  </si>
  <si>
    <t>0223</t>
  </si>
  <si>
    <t>16</t>
  </si>
  <si>
    <t>Najee Harris</t>
  </si>
  <si>
    <t>61</t>
  </si>
  <si>
    <t>0026</t>
  </si>
  <si>
    <t>17</t>
  </si>
  <si>
    <t>Breece Hall</t>
  </si>
  <si>
    <t>80</t>
  </si>
  <si>
    <t>0221</t>
  </si>
  <si>
    <t>18</t>
  </si>
  <si>
    <t>Miles Sanders</t>
  </si>
  <si>
    <t>47</t>
  </si>
  <si>
    <t>0081</t>
  </si>
  <si>
    <t>Davante Adams</t>
  </si>
  <si>
    <t>30</t>
  </si>
  <si>
    <t>0263</t>
  </si>
  <si>
    <t>Stefon Diggs</t>
  </si>
  <si>
    <t>35</t>
  </si>
  <si>
    <t>0001</t>
  </si>
  <si>
    <t>21</t>
  </si>
  <si>
    <t>A.J. Brown</t>
  </si>
  <si>
    <t>0174</t>
  </si>
  <si>
    <t>Justin Jefferson</t>
  </si>
  <si>
    <t>91</t>
  </si>
  <si>
    <t>0143</t>
  </si>
  <si>
    <t>James Conner</t>
  </si>
  <si>
    <t>77</t>
  </si>
  <si>
    <t>0085</t>
  </si>
  <si>
    <t>24</t>
  </si>
  <si>
    <t>DeAndre Hopkins</t>
  </si>
  <si>
    <t>42</t>
  </si>
  <si>
    <t>0042</t>
  </si>
  <si>
    <t>25</t>
  </si>
  <si>
    <t>CeeDee Lamb</t>
  </si>
  <si>
    <t>95</t>
  </si>
  <si>
    <t>0082</t>
  </si>
  <si>
    <t>David Montgomery</t>
  </si>
  <si>
    <t>59</t>
  </si>
  <si>
    <t>0135</t>
  </si>
  <si>
    <t>27</t>
  </si>
  <si>
    <t>Jahmyr Gibbs</t>
  </si>
  <si>
    <t>63</t>
  </si>
  <si>
    <t>0086</t>
  </si>
  <si>
    <t>28</t>
  </si>
  <si>
    <t>Deebo Samuel</t>
  </si>
  <si>
    <t>49</t>
  </si>
  <si>
    <t>0053</t>
  </si>
  <si>
    <t>29</t>
  </si>
  <si>
    <t>Chris Olave</t>
  </si>
  <si>
    <t>68</t>
  </si>
  <si>
    <t>0273</t>
  </si>
  <si>
    <t>Terry McLaurin</t>
  </si>
  <si>
    <t>66</t>
  </si>
  <si>
    <t>0186</t>
  </si>
  <si>
    <t>31</t>
  </si>
  <si>
    <t>Kenneth Walker III</t>
  </si>
  <si>
    <t>51</t>
  </si>
  <si>
    <t>0270</t>
  </si>
  <si>
    <t>Tee Higgins</t>
  </si>
  <si>
    <t>69</t>
  </si>
  <si>
    <t>0007</t>
  </si>
  <si>
    <t>33</t>
  </si>
  <si>
    <t>Alexander Mattison</t>
  </si>
  <si>
    <t>72</t>
  </si>
  <si>
    <t>0182</t>
  </si>
  <si>
    <t>34</t>
  </si>
  <si>
    <t>Keenan Allen</t>
  </si>
  <si>
    <t>89</t>
  </si>
  <si>
    <t>0130</t>
  </si>
  <si>
    <t>Isiah Pacheco</t>
  </si>
  <si>
    <t>55</t>
  </si>
  <si>
    <t>0096</t>
  </si>
  <si>
    <t>36</t>
  </si>
  <si>
    <t>DeVonta Smith</t>
  </si>
  <si>
    <t>37</t>
  </si>
  <si>
    <t>0111</t>
  </si>
  <si>
    <t>Garrett Wilson</t>
  </si>
  <si>
    <t>57</t>
  </si>
  <si>
    <t>0037</t>
  </si>
  <si>
    <t>Calvin Ridley</t>
  </si>
  <si>
    <t>76</t>
  </si>
  <si>
    <t>0220</t>
  </si>
  <si>
    <t>Mike Williams</t>
  </si>
  <si>
    <t>74</t>
  </si>
  <si>
    <t>0275</t>
  </si>
  <si>
    <t>40</t>
  </si>
  <si>
    <t>Travis Etienne Jr.</t>
  </si>
  <si>
    <t>75</t>
  </si>
  <si>
    <t>0074</t>
  </si>
  <si>
    <t>41</t>
  </si>
  <si>
    <t>Dameon Pierce</t>
  </si>
  <si>
    <t>78</t>
  </si>
  <si>
    <t>0052</t>
  </si>
  <si>
    <t>Chris Godwin</t>
  </si>
  <si>
    <t>60</t>
  </si>
  <si>
    <t>0056</t>
  </si>
  <si>
    <t>Christian Watson</t>
  </si>
  <si>
    <t>0077</t>
  </si>
  <si>
    <t>44</t>
  </si>
  <si>
    <t>QB</t>
  </si>
  <si>
    <t>Daniel Jones</t>
  </si>
  <si>
    <t>0012</t>
  </si>
  <si>
    <t>Amon-Ra St. Brown</t>
  </si>
  <si>
    <t>81</t>
  </si>
  <si>
    <t>0289</t>
  </si>
  <si>
    <t>46</t>
  </si>
  <si>
    <t>Tyler Lockett</t>
  </si>
  <si>
    <t>64</t>
  </si>
  <si>
    <t>0011</t>
  </si>
  <si>
    <t>Amari Cooper</t>
  </si>
  <si>
    <t>83</t>
  </si>
  <si>
    <t>0218</t>
  </si>
  <si>
    <t>Mike Evans</t>
  </si>
  <si>
    <t>65</t>
  </si>
  <si>
    <t>0100</t>
  </si>
  <si>
    <t>D.J. Moore</t>
  </si>
  <si>
    <t>0276</t>
  </si>
  <si>
    <t>50</t>
  </si>
  <si>
    <t>TE</t>
  </si>
  <si>
    <t>Travis Kelce</t>
  </si>
  <si>
    <t>0158</t>
  </si>
  <si>
    <t>Jimmy Garoppolo</t>
  </si>
  <si>
    <t>0003</t>
  </si>
  <si>
    <t>Aaron Rodgers</t>
  </si>
  <si>
    <t>0253</t>
  </si>
  <si>
    <t>53</t>
  </si>
  <si>
    <t>Russell Wilson</t>
  </si>
  <si>
    <t>0152</t>
  </si>
  <si>
    <t>54</t>
  </si>
  <si>
    <t>Jaylen Waddle</t>
  </si>
  <si>
    <t>124</t>
  </si>
  <si>
    <t>0010</t>
  </si>
  <si>
    <t>Alvin Kamara</t>
  </si>
  <si>
    <t>0159</t>
  </si>
  <si>
    <t>Joe Burrow</t>
  </si>
  <si>
    <t>0101</t>
  </si>
  <si>
    <t>D.K. Metcalf</t>
  </si>
  <si>
    <t>0195</t>
  </si>
  <si>
    <t>Lamar Jackson</t>
  </si>
  <si>
    <t>92</t>
  </si>
  <si>
    <t>0204</t>
  </si>
  <si>
    <t>Marquise Brown</t>
  </si>
  <si>
    <t>90</t>
  </si>
  <si>
    <t>0131</t>
  </si>
  <si>
    <t>J.K. Dobbins</t>
  </si>
  <si>
    <t>0173</t>
  </si>
  <si>
    <t>Justin Herbert</t>
  </si>
  <si>
    <t>0172</t>
  </si>
  <si>
    <t>62</t>
  </si>
  <si>
    <t>Justin FielD/ST</t>
  </si>
  <si>
    <t>111</t>
  </si>
  <si>
    <t>0188</t>
  </si>
  <si>
    <t>Khalil Herbert</t>
  </si>
  <si>
    <t>0112</t>
  </si>
  <si>
    <t>Geno Smith</t>
  </si>
  <si>
    <t>0068</t>
  </si>
  <si>
    <t>Dak Prescott</t>
  </si>
  <si>
    <t>0280</t>
  </si>
  <si>
    <t>Tua Tagovailoa</t>
  </si>
  <si>
    <t>98</t>
  </si>
  <si>
    <t>0038</t>
  </si>
  <si>
    <t>67</t>
  </si>
  <si>
    <t>Cam Akers</t>
  </si>
  <si>
    <t>0190</t>
  </si>
  <si>
    <t>Kirk Cousins</t>
  </si>
  <si>
    <t>0210</t>
  </si>
  <si>
    <t>Matthew Stafford</t>
  </si>
  <si>
    <t>84</t>
  </si>
  <si>
    <t>0054</t>
  </si>
  <si>
    <t>70</t>
  </si>
  <si>
    <t>Christian Kirk</t>
  </si>
  <si>
    <t>86</t>
  </si>
  <si>
    <t>0157</t>
  </si>
  <si>
    <t>Jerry Jeudy</t>
  </si>
  <si>
    <t>102</t>
  </si>
  <si>
    <t>0144</t>
  </si>
  <si>
    <t>James Cook</t>
  </si>
  <si>
    <t>0167</t>
  </si>
  <si>
    <t>Josh Allen</t>
  </si>
  <si>
    <t>122</t>
  </si>
  <si>
    <t>0240</t>
  </si>
  <si>
    <t>Rachaad White</t>
  </si>
  <si>
    <t>88</t>
  </si>
  <si>
    <t>0098</t>
  </si>
  <si>
    <t>Diontae Johnson</t>
  </si>
  <si>
    <t>104</t>
  </si>
  <si>
    <t>0149</t>
  </si>
  <si>
    <t>Javonte Williams</t>
  </si>
  <si>
    <t>0103</t>
  </si>
  <si>
    <t>Drake London</t>
  </si>
  <si>
    <t>0140</t>
  </si>
  <si>
    <t>Jalen Hurts</t>
  </si>
  <si>
    <t>0235</t>
  </si>
  <si>
    <t>79</t>
  </si>
  <si>
    <t>Patrick Mahomes</t>
  </si>
  <si>
    <t>0088</t>
  </si>
  <si>
    <t>Derek Carr</t>
  </si>
  <si>
    <t>129</t>
  </si>
  <si>
    <t>0067</t>
  </si>
  <si>
    <t>D'Andre Swift</t>
  </si>
  <si>
    <t>0090</t>
  </si>
  <si>
    <t>82</t>
  </si>
  <si>
    <t>Deshaun Watson</t>
  </si>
  <si>
    <t>0202</t>
  </si>
  <si>
    <t>Mark Andrews</t>
  </si>
  <si>
    <t>0023</t>
  </si>
  <si>
    <t>Brandon Aiyuk</t>
  </si>
  <si>
    <t>151</t>
  </si>
  <si>
    <t>0073</t>
  </si>
  <si>
    <t>85</t>
  </si>
  <si>
    <t>Dalvin Cook</t>
  </si>
  <si>
    <t>0215</t>
  </si>
  <si>
    <t>Michael Pittman Jr.</t>
  </si>
  <si>
    <t>0014</t>
  </si>
  <si>
    <t>87</t>
  </si>
  <si>
    <t>Anthony RicharD/STon</t>
  </si>
  <si>
    <t>0146</t>
  </si>
  <si>
    <t>Jared Goff</t>
  </si>
  <si>
    <t>0114</t>
  </si>
  <si>
    <t>George Pickens</t>
  </si>
  <si>
    <t>138</t>
  </si>
  <si>
    <t>0015</t>
  </si>
  <si>
    <t>Antonio Gibson</t>
  </si>
  <si>
    <t>120</t>
  </si>
  <si>
    <t>0028</t>
  </si>
  <si>
    <t>Brian Robinson</t>
  </si>
  <si>
    <t>0110</t>
  </si>
  <si>
    <t>Gabe Davis</t>
  </si>
  <si>
    <t>0277</t>
  </si>
  <si>
    <t>93</t>
  </si>
  <si>
    <t>Trevor Lawrence</t>
  </si>
  <si>
    <t>0030</t>
  </si>
  <si>
    <t>94</t>
  </si>
  <si>
    <t>Bryce Young</t>
  </si>
  <si>
    <t>132</t>
  </si>
  <si>
    <t>0005</t>
  </si>
  <si>
    <t>A.J. Dillon</t>
  </si>
  <si>
    <t>118</t>
  </si>
  <si>
    <t>0106</t>
  </si>
  <si>
    <t>96</t>
  </si>
  <si>
    <t>Elijah Moore</t>
  </si>
  <si>
    <t>100</t>
  </si>
  <si>
    <t>0165</t>
  </si>
  <si>
    <t>97</t>
  </si>
  <si>
    <t>Jordan Addison</t>
  </si>
  <si>
    <t>0254</t>
  </si>
  <si>
    <t>Ryan Tannehill</t>
  </si>
  <si>
    <t>0255</t>
  </si>
  <si>
    <t>99</t>
  </si>
  <si>
    <t>Sam Howell</t>
  </si>
  <si>
    <t>107</t>
  </si>
  <si>
    <t>0080</t>
  </si>
  <si>
    <t>Darren Waller</t>
  </si>
  <si>
    <t>110</t>
  </si>
  <si>
    <t>0113</t>
  </si>
  <si>
    <t>101</t>
  </si>
  <si>
    <t>George Kittle</t>
  </si>
  <si>
    <t>0200</t>
  </si>
  <si>
    <t>Mac Jones</t>
  </si>
  <si>
    <t>0187</t>
  </si>
  <si>
    <t>103</t>
  </si>
  <si>
    <t>Kenny Pickett</t>
  </si>
  <si>
    <t>112</t>
  </si>
  <si>
    <t>0279</t>
  </si>
  <si>
    <t>Treylon Burks</t>
  </si>
  <si>
    <t>164</t>
  </si>
  <si>
    <t>0257</t>
  </si>
  <si>
    <t>105</t>
  </si>
  <si>
    <t>Samaje Perine</t>
  </si>
  <si>
    <t>0166</t>
  </si>
  <si>
    <t>106</t>
  </si>
  <si>
    <t>Jordan Love</t>
  </si>
  <si>
    <t>0032</t>
  </si>
  <si>
    <t>C.J. Stroud</t>
  </si>
  <si>
    <t>0264</t>
  </si>
  <si>
    <t>108</t>
  </si>
  <si>
    <t>T.J. Hockenson</t>
  </si>
  <si>
    <t>0193</t>
  </si>
  <si>
    <t>109</t>
  </si>
  <si>
    <t>Kyler Murray</t>
  </si>
  <si>
    <t>140</t>
  </si>
  <si>
    <t>0065</t>
  </si>
  <si>
    <t>Courtland Sutton</t>
  </si>
  <si>
    <t>162</t>
  </si>
  <si>
    <t>0171</t>
  </si>
  <si>
    <t>JuJu Smith-Schuster</t>
  </si>
  <si>
    <t>144</t>
  </si>
  <si>
    <t>0008</t>
  </si>
  <si>
    <t>Allen Lazard</t>
  </si>
  <si>
    <t>0091</t>
  </si>
  <si>
    <t>113</t>
  </si>
  <si>
    <t>Desmond Ridder</t>
  </si>
  <si>
    <t>163</t>
  </si>
  <si>
    <t>0296</t>
  </si>
  <si>
    <t>114</t>
  </si>
  <si>
    <t>Zach Charbonnet</t>
  </si>
  <si>
    <t>167</t>
  </si>
  <si>
    <t>0216</t>
  </si>
  <si>
    <t>115</t>
  </si>
  <si>
    <t>Michael Thomas</t>
  </si>
  <si>
    <t>150</t>
  </si>
  <si>
    <t>0022</t>
  </si>
  <si>
    <t>116</t>
  </si>
  <si>
    <t>Brandin Cooks</t>
  </si>
  <si>
    <t>133</t>
  </si>
  <si>
    <t>0239</t>
  </si>
  <si>
    <t>117</t>
  </si>
  <si>
    <t>Quentin Johnston</t>
  </si>
  <si>
    <t>0029</t>
  </si>
  <si>
    <t>Brock Purdy</t>
  </si>
  <si>
    <t>153</t>
  </si>
  <si>
    <t>0179</t>
  </si>
  <si>
    <t>119</t>
  </si>
  <si>
    <t>Kadarius Toney</t>
  </si>
  <si>
    <t>135</t>
  </si>
  <si>
    <t>0134</t>
  </si>
  <si>
    <t>Jahan Dotson</t>
  </si>
  <si>
    <t>226</t>
  </si>
  <si>
    <t>0241</t>
  </si>
  <si>
    <t>121</t>
  </si>
  <si>
    <t>Raheem Mostert</t>
  </si>
  <si>
    <t>214</t>
  </si>
  <si>
    <t>0109</t>
  </si>
  <si>
    <t>Ezekiel Elliott</t>
  </si>
  <si>
    <t>215</t>
  </si>
  <si>
    <t>0242</t>
  </si>
  <si>
    <t>123</t>
  </si>
  <si>
    <t>Rashaad Penny</t>
  </si>
  <si>
    <t>145</t>
  </si>
  <si>
    <t>0150</t>
  </si>
  <si>
    <t>Jaxon Smith-Njigba</t>
  </si>
  <si>
    <t>204</t>
  </si>
  <si>
    <t>0105</t>
  </si>
  <si>
    <t>125</t>
  </si>
  <si>
    <t>Elijah Mitchell</t>
  </si>
  <si>
    <t>155</t>
  </si>
  <si>
    <t>0070</t>
  </si>
  <si>
    <t>126</t>
  </si>
  <si>
    <t>Dallas Goedert</t>
  </si>
  <si>
    <t>172</t>
  </si>
  <si>
    <t>0139</t>
  </si>
  <si>
    <t>127</t>
  </si>
  <si>
    <t>Jakobi Meyers</t>
  </si>
  <si>
    <t>154</t>
  </si>
  <si>
    <t>0245</t>
  </si>
  <si>
    <t>128</t>
  </si>
  <si>
    <t>Rashod Bateman</t>
  </si>
  <si>
    <t>189</t>
  </si>
  <si>
    <t>0153</t>
  </si>
  <si>
    <t>Jaylen Warren</t>
  </si>
  <si>
    <t>208</t>
  </si>
  <si>
    <t>0155</t>
  </si>
  <si>
    <t>130</t>
  </si>
  <si>
    <t>Jerick McKinnon</t>
  </si>
  <si>
    <t>194</t>
  </si>
  <si>
    <t>0232</t>
  </si>
  <si>
    <t>131</t>
  </si>
  <si>
    <t>Odell Beckham Jr.</t>
  </si>
  <si>
    <t>142</t>
  </si>
  <si>
    <t>0191</t>
  </si>
  <si>
    <t>Kyle Pitts</t>
  </si>
  <si>
    <t>177</t>
  </si>
  <si>
    <t>0230</t>
  </si>
  <si>
    <t>Nico Collins</t>
  </si>
  <si>
    <t>229</t>
  </si>
  <si>
    <t>0154</t>
  </si>
  <si>
    <t>134</t>
  </si>
  <si>
    <t>Jeff Wilson Jr.</t>
  </si>
  <si>
    <t>178</t>
  </si>
  <si>
    <t>0262</t>
  </si>
  <si>
    <t>Skyy Moore</t>
  </si>
  <si>
    <t>195</t>
  </si>
  <si>
    <t>0252</t>
  </si>
  <si>
    <t>136</t>
  </si>
  <si>
    <t>Roschon Johnson</t>
  </si>
  <si>
    <t>179</t>
  </si>
  <si>
    <t>0266</t>
  </si>
  <si>
    <t>137</t>
  </si>
  <si>
    <t>Tank Bigsby</t>
  </si>
  <si>
    <t>184</t>
  </si>
  <si>
    <t>0300</t>
  </si>
  <si>
    <t>Zay Jones</t>
  </si>
  <si>
    <t>200</t>
  </si>
  <si>
    <t>0194</t>
  </si>
  <si>
    <t>139</t>
  </si>
  <si>
    <t>Kyren Williams</t>
  </si>
  <si>
    <t>202</t>
  </si>
  <si>
    <t>0284</t>
  </si>
  <si>
    <t>Tyler Allgeier</t>
  </si>
  <si>
    <t>207</t>
  </si>
  <si>
    <t>0004</t>
  </si>
  <si>
    <t>141</t>
  </si>
  <si>
    <t>Adam Thielen</t>
  </si>
  <si>
    <t>241</t>
  </si>
  <si>
    <t>0142</t>
  </si>
  <si>
    <t>Jamaal Williams</t>
  </si>
  <si>
    <t>190</t>
  </si>
  <si>
    <t>0213</t>
  </si>
  <si>
    <t>143</t>
  </si>
  <si>
    <t>Michael Gallup</t>
  </si>
  <si>
    <t>158</t>
  </si>
  <si>
    <t>0234</t>
  </si>
  <si>
    <t>Pat Freiermuth</t>
  </si>
  <si>
    <t>246</t>
  </si>
  <si>
    <t>0075</t>
  </si>
  <si>
    <t>Damien Harris</t>
  </si>
  <si>
    <t>216</t>
  </si>
  <si>
    <t>0066</t>
  </si>
  <si>
    <t>146</t>
  </si>
  <si>
    <t>Curtis Samuel</t>
  </si>
  <si>
    <t>198</t>
  </si>
  <si>
    <t>0286</t>
  </si>
  <si>
    <t>147</t>
  </si>
  <si>
    <t>Tyler Boyd</t>
  </si>
  <si>
    <t>201</t>
  </si>
  <si>
    <t>0292</t>
  </si>
  <si>
    <t>148</t>
  </si>
  <si>
    <t>Van Jefferson</t>
  </si>
  <si>
    <t>221</t>
  </si>
  <si>
    <t>0093</t>
  </si>
  <si>
    <t>149</t>
  </si>
  <si>
    <t>DeVante Parker</t>
  </si>
  <si>
    <t>168</t>
  </si>
  <si>
    <t>0250</t>
  </si>
  <si>
    <t>Romeo Doubs</t>
  </si>
  <si>
    <t>222</t>
  </si>
  <si>
    <t>0095</t>
  </si>
  <si>
    <t>Devon Achane</t>
  </si>
  <si>
    <t>191</t>
  </si>
  <si>
    <t>0099</t>
  </si>
  <si>
    <t>152</t>
  </si>
  <si>
    <t>DJ Chark Jr.</t>
  </si>
  <si>
    <t>176</t>
  </si>
  <si>
    <t>0107</t>
  </si>
  <si>
    <t>Evan Engram</t>
  </si>
  <si>
    <t>209</t>
  </si>
  <si>
    <t>0185</t>
  </si>
  <si>
    <t>Kenneth Gainwell</t>
  </si>
  <si>
    <t>227</t>
  </si>
  <si>
    <t>0094</t>
  </si>
  <si>
    <t>Devin Singletary</t>
  </si>
  <si>
    <t>0175</t>
  </si>
  <si>
    <t>156</t>
  </si>
  <si>
    <t>K</t>
  </si>
  <si>
    <t>Justin Tucker</t>
  </si>
  <si>
    <t>0147</t>
  </si>
  <si>
    <t>157</t>
  </si>
  <si>
    <t>Jason Myers</t>
  </si>
  <si>
    <t>0039</t>
  </si>
  <si>
    <t>Cameron Dicker</t>
  </si>
  <si>
    <t>180</t>
  </si>
  <si>
    <t>0299</t>
  </si>
  <si>
    <t>159</t>
  </si>
  <si>
    <t>Zay Flowers</t>
  </si>
  <si>
    <t>233</t>
  </si>
  <si>
    <t>0183</t>
  </si>
  <si>
    <t>160</t>
  </si>
  <si>
    <t>Kendre Miller</t>
  </si>
  <si>
    <t>0122</t>
  </si>
  <si>
    <t>161</t>
  </si>
  <si>
    <t>Harrison Butker</t>
  </si>
  <si>
    <t>218</t>
  </si>
  <si>
    <t>0177</t>
  </si>
  <si>
    <t>K.J. Osborn</t>
  </si>
  <si>
    <t>183</t>
  </si>
  <si>
    <t>0163</t>
  </si>
  <si>
    <t>Jonathan Mingo</t>
  </si>
  <si>
    <t>0120</t>
  </si>
  <si>
    <t>Greg Zuerlein</t>
  </si>
  <si>
    <t>205</t>
  </si>
  <si>
    <t>0145</t>
  </si>
  <si>
    <t>165</t>
  </si>
  <si>
    <t>Jameson Williams</t>
  </si>
  <si>
    <t>0148</t>
  </si>
  <si>
    <t>166</t>
  </si>
  <si>
    <t>Jason Sanders</t>
  </si>
  <si>
    <t>225</t>
  </si>
  <si>
    <t>0251</t>
  </si>
  <si>
    <t>Rondale Moore</t>
  </si>
  <si>
    <t>0108</t>
  </si>
  <si>
    <t>K7</t>
  </si>
  <si>
    <t>Evan McPherson</t>
  </si>
  <si>
    <t>242</t>
  </si>
  <si>
    <t>0156</t>
  </si>
  <si>
    <t>169</t>
  </si>
  <si>
    <t>Jerome Ford</t>
  </si>
  <si>
    <t>0119</t>
  </si>
  <si>
    <t>170</t>
  </si>
  <si>
    <t>Greg Joseph</t>
  </si>
  <si>
    <t>0019</t>
  </si>
  <si>
    <t>171</t>
  </si>
  <si>
    <t>Baker Mayfield</t>
  </si>
  <si>
    <t>298</t>
  </si>
  <si>
    <t>0064</t>
  </si>
  <si>
    <t>Cordarrelle Patterson</t>
  </si>
  <si>
    <t>228</t>
  </si>
  <si>
    <t>0079</t>
  </si>
  <si>
    <t>173</t>
  </si>
  <si>
    <t>Darnell Mooney</t>
  </si>
  <si>
    <t>0285</t>
  </si>
  <si>
    <t>174</t>
  </si>
  <si>
    <t>Tyler Bass</t>
  </si>
  <si>
    <t>0024</t>
  </si>
  <si>
    <t>175</t>
  </si>
  <si>
    <t>Brandon Aubrey</t>
  </si>
  <si>
    <t>196</t>
  </si>
  <si>
    <t>0083</t>
  </si>
  <si>
    <t>David Njoku</t>
  </si>
  <si>
    <t>0248</t>
  </si>
  <si>
    <t>Riley Patterson</t>
  </si>
  <si>
    <t>232</t>
  </si>
  <si>
    <t>0283</t>
  </si>
  <si>
    <t>Tyjae Spears</t>
  </si>
  <si>
    <t>0138</t>
  </si>
  <si>
    <t>Jake Moody</t>
  </si>
  <si>
    <t>219</t>
  </si>
  <si>
    <t>0288</t>
  </si>
  <si>
    <t>Tyler Higbee</t>
  </si>
  <si>
    <t>269</t>
  </si>
  <si>
    <t>0207</t>
  </si>
  <si>
    <t>181</t>
  </si>
  <si>
    <t>Matt Breida</t>
  </si>
  <si>
    <t>0025</t>
  </si>
  <si>
    <t>182</t>
  </si>
  <si>
    <t>Brandon McManus</t>
  </si>
  <si>
    <t>0076</t>
  </si>
  <si>
    <t>K1</t>
  </si>
  <si>
    <t>Daniel Carlson</t>
  </si>
  <si>
    <t>203</t>
  </si>
  <si>
    <t>0072</t>
  </si>
  <si>
    <t>Dalton Schultz</t>
  </si>
  <si>
    <t>0229</t>
  </si>
  <si>
    <t>185</t>
  </si>
  <si>
    <t>Nick Folk</t>
  </si>
  <si>
    <t>0136</t>
  </si>
  <si>
    <t>186</t>
  </si>
  <si>
    <t>Jake Elliott</t>
  </si>
  <si>
    <t>0295</t>
  </si>
  <si>
    <t>187</t>
  </si>
  <si>
    <t>Younghoe Koo</t>
  </si>
  <si>
    <t>0294</t>
  </si>
  <si>
    <t>188</t>
  </si>
  <si>
    <t>Wil Lutz</t>
  </si>
  <si>
    <t>0034</t>
  </si>
  <si>
    <t>Cade York</t>
  </si>
  <si>
    <t>261</t>
  </si>
  <si>
    <t>0057</t>
  </si>
  <si>
    <t>Chuba Hubbard</t>
  </si>
  <si>
    <t>0069</t>
  </si>
  <si>
    <t>D/</t>
  </si>
  <si>
    <t>Cowboys D/ST</t>
  </si>
  <si>
    <t>265</t>
  </si>
  <si>
    <t>0249</t>
  </si>
  <si>
    <t>192</t>
  </si>
  <si>
    <t>Robert WooD/ST</t>
  </si>
  <si>
    <t>263</t>
  </si>
  <si>
    <t>0260</t>
  </si>
  <si>
    <t>193</t>
  </si>
  <si>
    <t>Sean Tucker</t>
  </si>
  <si>
    <t>0027</t>
  </si>
  <si>
    <t>Brett Maher</t>
  </si>
  <si>
    <t>0046</t>
  </si>
  <si>
    <t>Chase McLaughlin</t>
  </si>
  <si>
    <t>0268</t>
  </si>
  <si>
    <t>Tanner Brown</t>
  </si>
  <si>
    <t>0258</t>
  </si>
  <si>
    <t>197</t>
  </si>
  <si>
    <t>49ers D/ST</t>
  </si>
  <si>
    <t>252</t>
  </si>
  <si>
    <t>0233</t>
  </si>
  <si>
    <t>Parris Campbell</t>
  </si>
  <si>
    <t>0048</t>
  </si>
  <si>
    <t>199</t>
  </si>
  <si>
    <t>Chigoziem Okonkwo</t>
  </si>
  <si>
    <t>235</t>
  </si>
  <si>
    <t>0102</t>
  </si>
  <si>
    <t>Donovan Peoples-Jones</t>
  </si>
  <si>
    <t>217</t>
  </si>
  <si>
    <t>0244</t>
  </si>
  <si>
    <t>Rashid Shaheed</t>
  </si>
  <si>
    <t>236</t>
  </si>
  <si>
    <t>0189</t>
  </si>
  <si>
    <t>Khalil Shakir</t>
  </si>
  <si>
    <t>0104</t>
  </si>
  <si>
    <t>Eddy Pineiro</t>
  </si>
  <si>
    <t>220</t>
  </si>
  <si>
    <t>0243</t>
  </si>
  <si>
    <t>Rashee Rice</t>
  </si>
  <si>
    <t>0236</t>
  </si>
  <si>
    <t>Eagles D/ST</t>
  </si>
  <si>
    <t>0161</t>
  </si>
  <si>
    <t>206</t>
  </si>
  <si>
    <t>Joey Slye</t>
  </si>
  <si>
    <t>293</t>
  </si>
  <si>
    <t>0060</t>
  </si>
  <si>
    <t>Clyde EdwarD/ST-Helaire</t>
  </si>
  <si>
    <t>0178</t>
  </si>
  <si>
    <t>Ka'imi Fairbairn</t>
  </si>
  <si>
    <t>295</t>
  </si>
  <si>
    <t>0121</t>
  </si>
  <si>
    <t>Gus EdwarD/ST</t>
  </si>
  <si>
    <t>0050</t>
  </si>
  <si>
    <t>210</t>
  </si>
  <si>
    <t>Chris Boswell</t>
  </si>
  <si>
    <t>262</t>
  </si>
  <si>
    <t>0151</t>
  </si>
  <si>
    <t>211</t>
  </si>
  <si>
    <t>Jayden Reed</t>
  </si>
  <si>
    <t>0020</t>
  </si>
  <si>
    <t>212</t>
  </si>
  <si>
    <t>Ravens D/ST</t>
  </si>
  <si>
    <t>0013</t>
  </si>
  <si>
    <t>213</t>
  </si>
  <si>
    <t>Anders Carlson</t>
  </si>
  <si>
    <t>0116</t>
  </si>
  <si>
    <t>Graham Gano</t>
  </si>
  <si>
    <t>0208</t>
  </si>
  <si>
    <t>Matt Gay</t>
  </si>
  <si>
    <t>250</t>
  </si>
  <si>
    <t>0272</t>
  </si>
  <si>
    <t>Terrace Marshall Jr.</t>
  </si>
  <si>
    <t>267</t>
  </si>
  <si>
    <t>0282</t>
  </si>
  <si>
    <t>Ty Chandler</t>
  </si>
  <si>
    <t>0035</t>
  </si>
  <si>
    <t>K3</t>
  </si>
  <si>
    <t>Cairo Santos</t>
  </si>
  <si>
    <t>289</t>
  </si>
  <si>
    <t>0078</t>
  </si>
  <si>
    <t>Darius Slayton</t>
  </si>
  <si>
    <t>237</t>
  </si>
  <si>
    <t>0118</t>
  </si>
  <si>
    <t>Greg Dulcich</t>
  </si>
  <si>
    <t>253</t>
  </si>
  <si>
    <t>0162</t>
  </si>
  <si>
    <t>John Metchie III</t>
  </si>
  <si>
    <t>254</t>
  </si>
  <si>
    <t>0205</t>
  </si>
  <si>
    <t>Marvin Jones Jr.</t>
  </si>
  <si>
    <t>0224</t>
  </si>
  <si>
    <t>223</t>
  </si>
  <si>
    <t>Patriots D/ST</t>
  </si>
  <si>
    <t>273</t>
  </si>
  <si>
    <t>0203</t>
  </si>
  <si>
    <t>224</t>
  </si>
  <si>
    <t>Marquez Valdes-Scantling</t>
  </si>
  <si>
    <t>255</t>
  </si>
  <si>
    <t>0006</t>
  </si>
  <si>
    <t>Alec Pierce</t>
  </si>
  <si>
    <t>256</t>
  </si>
  <si>
    <t>0211</t>
  </si>
  <si>
    <t>Mecole Hardman Jr.</t>
  </si>
  <si>
    <t>292</t>
  </si>
  <si>
    <t>0181</t>
  </si>
  <si>
    <t>Keaontay Ingram</t>
  </si>
  <si>
    <t>258</t>
  </si>
  <si>
    <t>0267</t>
  </si>
  <si>
    <t>Tank Dell</t>
  </si>
  <si>
    <t>0256</t>
  </si>
  <si>
    <t>Sam LaPorta</t>
  </si>
  <si>
    <t>240</t>
  </si>
  <si>
    <t>0206</t>
  </si>
  <si>
    <t>230</t>
  </si>
  <si>
    <t>Marvin Mims Jr.</t>
  </si>
  <si>
    <t>0031</t>
  </si>
  <si>
    <t>231</t>
  </si>
  <si>
    <t>Bills D/ST</t>
  </si>
  <si>
    <t>279</t>
  </si>
  <si>
    <t>0269</t>
  </si>
  <si>
    <t>Taysom Hill</t>
  </si>
  <si>
    <t>277</t>
  </si>
  <si>
    <t>0126</t>
  </si>
  <si>
    <t>Hunter Renfrow</t>
  </si>
  <si>
    <t>0036</t>
  </si>
  <si>
    <t>234</t>
  </si>
  <si>
    <t>Caleb Shudak</t>
  </si>
  <si>
    <t>260</t>
  </si>
  <si>
    <t>0238</t>
  </si>
  <si>
    <t>Puka Nacua</t>
  </si>
  <si>
    <t>294</t>
  </si>
  <si>
    <t>0051</t>
  </si>
  <si>
    <t>Chris Evans</t>
  </si>
  <si>
    <t>245</t>
  </si>
  <si>
    <t>0176</t>
  </si>
  <si>
    <t>Juwan Johnson</t>
  </si>
  <si>
    <t>0209</t>
  </si>
  <si>
    <t>238</t>
  </si>
  <si>
    <t>Matt Prater</t>
  </si>
  <si>
    <t>297</t>
  </si>
  <si>
    <t>0097</t>
  </si>
  <si>
    <t>239</t>
  </si>
  <si>
    <t>DeWayne McBride</t>
  </si>
  <si>
    <t>0040</t>
  </si>
  <si>
    <t>Panthers D/ST</t>
  </si>
  <si>
    <t>0071</t>
  </si>
  <si>
    <t>Dalton Kincaid</t>
  </si>
  <si>
    <t>299</t>
  </si>
  <si>
    <t>0044</t>
  </si>
  <si>
    <t>Chase Brown</t>
  </si>
  <si>
    <t>300</t>
  </si>
  <si>
    <t>0247</t>
  </si>
  <si>
    <t>243</t>
  </si>
  <si>
    <t>Rico Dowdle</t>
  </si>
  <si>
    <t>249</t>
  </si>
  <si>
    <t>0141</t>
  </si>
  <si>
    <t>244</t>
  </si>
  <si>
    <t>Jalin Hyatt</t>
  </si>
  <si>
    <t>0180</t>
  </si>
  <si>
    <t>Chiefs D/ST</t>
  </si>
  <si>
    <t>0128</t>
  </si>
  <si>
    <t>Irv Smith Jr.</t>
  </si>
  <si>
    <t>0059</t>
  </si>
  <si>
    <t>247</t>
  </si>
  <si>
    <t>Browns D/ST</t>
  </si>
  <si>
    <t>285</t>
  </si>
  <si>
    <t>0298</t>
  </si>
  <si>
    <t>248</t>
  </si>
  <si>
    <t>Zamir White</t>
  </si>
  <si>
    <t>291</t>
  </si>
  <si>
    <t>0297</t>
  </si>
  <si>
    <t>Zach Ertz</t>
  </si>
  <si>
    <t>0226</t>
  </si>
  <si>
    <t>Giants D/ST</t>
  </si>
  <si>
    <t>0133</t>
  </si>
  <si>
    <t>251</t>
  </si>
  <si>
    <t>Jaguars D/ST</t>
  </si>
  <si>
    <t>290</t>
  </si>
  <si>
    <t>0049</t>
  </si>
  <si>
    <t>Chosen Anderson</t>
  </si>
  <si>
    <t>0287</t>
  </si>
  <si>
    <t>Tyler Conklin</t>
  </si>
  <si>
    <t>0115</t>
  </si>
  <si>
    <t>Gerald Everett</t>
  </si>
  <si>
    <t>0058</t>
  </si>
  <si>
    <t>Bengals D/ST</t>
  </si>
  <si>
    <t>274</t>
  </si>
  <si>
    <t>0184</t>
  </si>
  <si>
    <t>Kendrick Bourne</t>
  </si>
  <si>
    <t>259</t>
  </si>
  <si>
    <t>0084</t>
  </si>
  <si>
    <t>257</t>
  </si>
  <si>
    <t>Dawson Knox</t>
  </si>
  <si>
    <t>275</t>
  </si>
  <si>
    <t>0169</t>
  </si>
  <si>
    <t>Josh ReynolD/ST</t>
  </si>
  <si>
    <t>0227</t>
  </si>
  <si>
    <t>Jets D/ST</t>
  </si>
  <si>
    <t>0061</t>
  </si>
  <si>
    <t>Cole Kmet</t>
  </si>
  <si>
    <t>0225</t>
  </si>
  <si>
    <t>Saints D/ST</t>
  </si>
  <si>
    <t>0237</t>
  </si>
  <si>
    <t>Steelers D/ST</t>
  </si>
  <si>
    <t>278</t>
  </si>
  <si>
    <t>0045</t>
  </si>
  <si>
    <t>Chase Claypool</t>
  </si>
  <si>
    <t>281</t>
  </si>
  <si>
    <t>0201</t>
  </si>
  <si>
    <t>264</t>
  </si>
  <si>
    <t>Mack Hollins</t>
  </si>
  <si>
    <t>0214</t>
  </si>
  <si>
    <t>Michael Mayer</t>
  </si>
  <si>
    <t>266</t>
  </si>
  <si>
    <t>0123</t>
  </si>
  <si>
    <t>Hayden Hurst</t>
  </si>
  <si>
    <t>282</t>
  </si>
  <si>
    <t>0043</t>
  </si>
  <si>
    <t>Charlie Jones</t>
  </si>
  <si>
    <t>0125</t>
  </si>
  <si>
    <t>268</t>
  </si>
  <si>
    <t>Hunter Henry</t>
  </si>
  <si>
    <t>283</t>
  </si>
  <si>
    <t>0170</t>
  </si>
  <si>
    <t>Joshua Palmer</t>
  </si>
  <si>
    <t>0261</t>
  </si>
  <si>
    <t>270</t>
  </si>
  <si>
    <t>Seahawks D/ST</t>
  </si>
  <si>
    <t>0281</t>
  </si>
  <si>
    <t>271</t>
  </si>
  <si>
    <t>Tutu Atwell</t>
  </si>
  <si>
    <t>286</t>
  </si>
  <si>
    <t>0009</t>
  </si>
  <si>
    <t>272</t>
  </si>
  <si>
    <t>Allen Robinson II</t>
  </si>
  <si>
    <t>0127</t>
  </si>
  <si>
    <t>Colts D/ST</t>
  </si>
  <si>
    <t>0129</t>
  </si>
  <si>
    <t>Isaiah Hodgins</t>
  </si>
  <si>
    <t>0092</t>
  </si>
  <si>
    <t>Lions D/ST</t>
  </si>
  <si>
    <t>0197</t>
  </si>
  <si>
    <t>276</t>
  </si>
  <si>
    <t>Chargers D/ST</t>
  </si>
  <si>
    <t>0265</t>
  </si>
  <si>
    <t>Buccaneers D/ST</t>
  </si>
  <si>
    <t>0033</t>
  </si>
  <si>
    <t>Cade Otton</t>
  </si>
  <si>
    <t>0217</t>
  </si>
  <si>
    <t>Michael Wilson</t>
  </si>
  <si>
    <t>0222</t>
  </si>
  <si>
    <t>280</t>
  </si>
  <si>
    <t>Vikings D/ST</t>
  </si>
  <si>
    <t>0117</t>
  </si>
  <si>
    <t>Packers D/ST</t>
  </si>
  <si>
    <t>0192</t>
  </si>
  <si>
    <t>Kyle Trask</t>
  </si>
  <si>
    <t>0087</t>
  </si>
  <si>
    <t>Broncos D/ST</t>
  </si>
  <si>
    <t>0293</t>
  </si>
  <si>
    <t>284</t>
  </si>
  <si>
    <t>Commanders D/ST</t>
  </si>
  <si>
    <t>0231</t>
  </si>
  <si>
    <t>Noah Fant</t>
  </si>
  <si>
    <t>287</t>
  </si>
  <si>
    <t>0041</t>
  </si>
  <si>
    <t>Cedric Tillman</t>
  </si>
  <si>
    <t>0137</t>
  </si>
  <si>
    <t>Jake Ferguson</t>
  </si>
  <si>
    <t>288</t>
  </si>
  <si>
    <t>0290</t>
  </si>
  <si>
    <t>Tyquan Thornton</t>
  </si>
  <si>
    <t>0271</t>
  </si>
  <si>
    <t>Titans D/ST</t>
  </si>
  <si>
    <t>0212</t>
  </si>
  <si>
    <t>Dolphins D/ST</t>
  </si>
  <si>
    <t>0219</t>
  </si>
  <si>
    <t>Mike Gesicki</t>
  </si>
  <si>
    <t>0017</t>
  </si>
  <si>
    <t>Falcons D/ST</t>
  </si>
  <si>
    <t>0199</t>
  </si>
  <si>
    <t>Luke Musgrave</t>
  </si>
  <si>
    <t>0278</t>
  </si>
  <si>
    <t>Trey McBride</t>
  </si>
  <si>
    <t>296</t>
  </si>
  <si>
    <t>0062</t>
  </si>
  <si>
    <t>Cole Turner</t>
  </si>
  <si>
    <t>0124</t>
  </si>
  <si>
    <t>Texans D/ST</t>
  </si>
  <si>
    <t>0198</t>
  </si>
  <si>
    <t>Rams D/ST</t>
  </si>
  <si>
    <t>0016</t>
  </si>
  <si>
    <t>Cardinals D/ST</t>
  </si>
  <si>
    <t>0047</t>
  </si>
  <si>
    <t>Bears D/ST</t>
  </si>
  <si>
    <t>0196</t>
  </si>
  <si>
    <t>Raiders D/ST</t>
  </si>
  <si>
    <t>Player</t>
  </si>
  <si>
    <t>Pos</t>
  </si>
  <si>
    <t>Team</t>
  </si>
  <si>
    <t>Bye</t>
  </si>
  <si>
    <t>FPts</t>
  </si>
  <si>
    <t>Rank</t>
  </si>
  <si>
    <t>VORP Score</t>
  </si>
  <si>
    <t>Risk Score</t>
  </si>
  <si>
    <t>Flex</t>
  </si>
  <si>
    <t>QB1</t>
  </si>
  <si>
    <t>BUF</t>
  </si>
  <si>
    <t>QB2</t>
  </si>
  <si>
    <t>PHI</t>
  </si>
  <si>
    <t>QB3</t>
  </si>
  <si>
    <t>KC</t>
  </si>
  <si>
    <t>QB4</t>
  </si>
  <si>
    <t>CIN</t>
  </si>
  <si>
    <t>QB5</t>
  </si>
  <si>
    <t>QB6</t>
  </si>
  <si>
    <t>LAC</t>
  </si>
  <si>
    <t>QB7</t>
  </si>
  <si>
    <t>CHI</t>
  </si>
  <si>
    <t>QB8</t>
  </si>
  <si>
    <t>JAC</t>
  </si>
  <si>
    <t>QB9</t>
  </si>
  <si>
    <t>CLE</t>
  </si>
  <si>
    <t>QB10</t>
  </si>
  <si>
    <t>SEA</t>
  </si>
  <si>
    <t>QB11</t>
  </si>
  <si>
    <t>NYG</t>
  </si>
  <si>
    <t>WR1</t>
  </si>
  <si>
    <t>MIN</t>
  </si>
  <si>
    <t>QB12</t>
  </si>
  <si>
    <t>DAL</t>
  </si>
  <si>
    <t>WR2</t>
  </si>
  <si>
    <t>MIA</t>
  </si>
  <si>
    <t>QB13</t>
  </si>
  <si>
    <t>WR3</t>
  </si>
  <si>
    <t>WR4</t>
  </si>
  <si>
    <t>LAR</t>
  </si>
  <si>
    <t>QB14</t>
  </si>
  <si>
    <t>QB15</t>
  </si>
  <si>
    <t>IND</t>
  </si>
  <si>
    <t>RB1</t>
  </si>
  <si>
    <t>SF</t>
  </si>
  <si>
    <t>QB16</t>
  </si>
  <si>
    <t>DET</t>
  </si>
  <si>
    <t>QB17</t>
  </si>
  <si>
    <t>NYJ</t>
  </si>
  <si>
    <t>TE1</t>
  </si>
  <si>
    <t>WR5</t>
  </si>
  <si>
    <t>RB2</t>
  </si>
  <si>
    <t>WR6</t>
  </si>
  <si>
    <t>WR7</t>
  </si>
  <si>
    <t>RB3</t>
  </si>
  <si>
    <t>ATL</t>
  </si>
  <si>
    <t>QB18</t>
  </si>
  <si>
    <t>DEN</t>
  </si>
  <si>
    <t>WR8</t>
  </si>
  <si>
    <t>WR9</t>
  </si>
  <si>
    <t>WR10</t>
  </si>
  <si>
    <t>LV</t>
  </si>
  <si>
    <t>RB4</t>
  </si>
  <si>
    <t>QB19</t>
  </si>
  <si>
    <t>NO</t>
  </si>
  <si>
    <t>QB20</t>
  </si>
  <si>
    <t>PIT</t>
  </si>
  <si>
    <t>RB5</t>
  </si>
  <si>
    <t>QB21</t>
  </si>
  <si>
    <t>GB</t>
  </si>
  <si>
    <t>RB6</t>
  </si>
  <si>
    <t>TEN</t>
  </si>
  <si>
    <t>QB22</t>
  </si>
  <si>
    <t>HOU</t>
  </si>
  <si>
    <t>RB7</t>
  </si>
  <si>
    <t>WR11</t>
  </si>
  <si>
    <t>QB23</t>
  </si>
  <si>
    <t>CAR</t>
  </si>
  <si>
    <t>WR12</t>
  </si>
  <si>
    <t>QB24</t>
  </si>
  <si>
    <t>RB8</t>
  </si>
  <si>
    <t>WR13</t>
  </si>
  <si>
    <t>WR14</t>
  </si>
  <si>
    <t>QB25</t>
  </si>
  <si>
    <t>WR15</t>
  </si>
  <si>
    <t>RB9</t>
  </si>
  <si>
    <t>WR16</t>
  </si>
  <si>
    <t>TE2</t>
  </si>
  <si>
    <t>BAL</t>
  </si>
  <si>
    <t>RB10</t>
  </si>
  <si>
    <t>NE</t>
  </si>
  <si>
    <t>WR17</t>
  </si>
  <si>
    <t>WR18</t>
  </si>
  <si>
    <t>WR19</t>
  </si>
  <si>
    <t>WR20</t>
  </si>
  <si>
    <t>RB11</t>
  </si>
  <si>
    <t>WR21</t>
  </si>
  <si>
    <t>WAS</t>
  </si>
  <si>
    <t>WR22</t>
  </si>
  <si>
    <t>RB12</t>
  </si>
  <si>
    <t>WR23</t>
  </si>
  <si>
    <t>RB13</t>
  </si>
  <si>
    <t>WR24</t>
  </si>
  <si>
    <t>RB14</t>
  </si>
  <si>
    <t>WR25</t>
  </si>
  <si>
    <t>TB</t>
  </si>
  <si>
    <t>WR27</t>
  </si>
  <si>
    <t>RB15</t>
  </si>
  <si>
    <t>RB16</t>
  </si>
  <si>
    <t>WR28</t>
  </si>
  <si>
    <t>WR29</t>
  </si>
  <si>
    <t>WR30</t>
  </si>
  <si>
    <t>WR31</t>
  </si>
  <si>
    <t>RB17</t>
  </si>
  <si>
    <t>WR32</t>
  </si>
  <si>
    <t>WR33</t>
  </si>
  <si>
    <t>RB18</t>
  </si>
  <si>
    <t>WR34</t>
  </si>
  <si>
    <t>RB19</t>
  </si>
  <si>
    <t>WR35</t>
  </si>
  <si>
    <t>WR36</t>
  </si>
  <si>
    <t>ARI</t>
  </si>
  <si>
    <t>TE3</t>
  </si>
  <si>
    <t>RB20</t>
  </si>
  <si>
    <t>WR37</t>
  </si>
  <si>
    <t>TE4</t>
  </si>
  <si>
    <t>TE5</t>
  </si>
  <si>
    <t>QB31</t>
  </si>
  <si>
    <t>RB21</t>
  </si>
  <si>
    <t>WR38</t>
  </si>
  <si>
    <t>RB22</t>
  </si>
  <si>
    <t>RB23</t>
  </si>
  <si>
    <t>WR39</t>
  </si>
  <si>
    <t>RB24</t>
  </si>
  <si>
    <t>RB25</t>
  </si>
  <si>
    <t>WR40</t>
  </si>
  <si>
    <t>WR41</t>
  </si>
  <si>
    <t>TE6</t>
  </si>
  <si>
    <t>RB26</t>
  </si>
  <si>
    <t>WR42</t>
  </si>
  <si>
    <t>RB27</t>
  </si>
  <si>
    <t>WR43</t>
  </si>
  <si>
    <t>RB28</t>
  </si>
  <si>
    <t>WR45</t>
  </si>
  <si>
    <t>TE7</t>
  </si>
  <si>
    <t>WR46</t>
  </si>
  <si>
    <t>TE8</t>
  </si>
  <si>
    <t>WR47</t>
  </si>
  <si>
    <t>RB29</t>
  </si>
  <si>
    <t>RB30</t>
  </si>
  <si>
    <t>RB31</t>
  </si>
  <si>
    <t>RB32</t>
  </si>
  <si>
    <t>RB33</t>
  </si>
  <si>
    <t>WR48</t>
  </si>
  <si>
    <t>RB34</t>
  </si>
  <si>
    <t>WR49</t>
  </si>
  <si>
    <t>D/STT1</t>
  </si>
  <si>
    <t>TE9</t>
  </si>
  <si>
    <t>WR51</t>
  </si>
  <si>
    <t>D/STT2</t>
  </si>
  <si>
    <t>D/STT3</t>
  </si>
  <si>
    <t>WR52</t>
  </si>
  <si>
    <t>TE10</t>
  </si>
  <si>
    <t>WR53</t>
  </si>
  <si>
    <t>RB35</t>
  </si>
  <si>
    <t>WR54</t>
  </si>
  <si>
    <t>D/STT4</t>
  </si>
  <si>
    <t>WR56</t>
  </si>
  <si>
    <t>RB36</t>
  </si>
  <si>
    <t>RB37</t>
  </si>
  <si>
    <t>WR57</t>
  </si>
  <si>
    <t>WR58</t>
  </si>
  <si>
    <t>TE11</t>
  </si>
  <si>
    <t>D/STT6</t>
  </si>
  <si>
    <t>WR59</t>
  </si>
  <si>
    <t>TE12</t>
  </si>
  <si>
    <t>WR60</t>
  </si>
  <si>
    <t>TE13</t>
  </si>
  <si>
    <t>RB38</t>
  </si>
  <si>
    <t>WR62</t>
  </si>
  <si>
    <t>TE14</t>
  </si>
  <si>
    <t>WR63</t>
  </si>
  <si>
    <t>D/STT12</t>
  </si>
  <si>
    <t>TE15</t>
  </si>
  <si>
    <t>D/STT13</t>
  </si>
  <si>
    <t>D/STT14</t>
  </si>
  <si>
    <t>TE16</t>
  </si>
  <si>
    <t>WR64</t>
  </si>
  <si>
    <t>WR66</t>
  </si>
  <si>
    <t>WR69</t>
  </si>
  <si>
    <t>WR70</t>
  </si>
  <si>
    <t>K2</t>
  </si>
  <si>
    <t>TE17</t>
  </si>
  <si>
    <t>RB39</t>
  </si>
  <si>
    <t>K4</t>
  </si>
  <si>
    <t>TE18</t>
  </si>
  <si>
    <t>TE20</t>
  </si>
  <si>
    <t>TE21</t>
  </si>
  <si>
    <t>K6</t>
  </si>
  <si>
    <t>RB41</t>
  </si>
  <si>
    <t>RB42</t>
  </si>
  <si>
    <t>RB43</t>
  </si>
  <si>
    <t>K9</t>
  </si>
  <si>
    <t>RB44</t>
  </si>
  <si>
    <t>RB46</t>
  </si>
  <si>
    <t>D/STT23</t>
  </si>
  <si>
    <t>K14</t>
  </si>
  <si>
    <t>TE25</t>
  </si>
  <si>
    <t>RB49</t>
  </si>
  <si>
    <t>RB50</t>
  </si>
  <si>
    <t>K16</t>
  </si>
  <si>
    <t>K17</t>
  </si>
  <si>
    <t>TE27</t>
  </si>
  <si>
    <t>D/STT26</t>
  </si>
  <si>
    <t>RB51</t>
  </si>
  <si>
    <t>WR84</t>
  </si>
  <si>
    <t>TE28</t>
  </si>
  <si>
    <t>RB53</t>
  </si>
  <si>
    <t>WR87</t>
  </si>
  <si>
    <t>RB54</t>
  </si>
  <si>
    <t>RB56</t>
  </si>
  <si>
    <t>TE31</t>
  </si>
  <si>
    <t>WR91</t>
  </si>
  <si>
    <t>K28</t>
  </si>
  <si>
    <t>TE32</t>
  </si>
  <si>
    <t>RB57</t>
  </si>
  <si>
    <t>TE33</t>
  </si>
  <si>
    <t>RB55</t>
  </si>
  <si>
    <t>RB63</t>
  </si>
  <si>
    <t>RB65</t>
  </si>
  <si>
    <t>RB67</t>
  </si>
  <si>
    <t>QB26</t>
  </si>
  <si>
    <t>QB27</t>
  </si>
  <si>
    <t>QB29</t>
  </si>
  <si>
    <t>QB30</t>
  </si>
  <si>
    <t>K5</t>
  </si>
  <si>
    <t>K8</t>
  </si>
  <si>
    <t>K10</t>
  </si>
  <si>
    <t>K11</t>
  </si>
  <si>
    <t>K12</t>
  </si>
  <si>
    <t>K13</t>
  </si>
  <si>
    <t>K15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</si>
  <si>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</si>
  <si>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</si>
  <si>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</si>
  <si>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</si>
  <si>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</si>
  <si>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</si>
  <si>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</si>
  <si>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</si>
  <si>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</si>
  <si>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</si>
  <si>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K30</t>
  </si>
  <si>
    <t>D/STT5</t>
  </si>
  <si>
    <t>K31</t>
  </si>
  <si>
    <t>QB32</t>
  </si>
  <si>
    <t>K32</t>
  </si>
  <si>
    <t>D/STT7</t>
  </si>
  <si>
    <t>D/STT8</t>
  </si>
  <si>
    <t>D/STT9</t>
  </si>
  <si>
    <t>WR50</t>
  </si>
  <si>
    <t>D/STT10</t>
  </si>
  <si>
    <t>D/STT15</t>
  </si>
  <si>
    <t>D/STT16</t>
  </si>
  <si>
    <t>WR55</t>
  </si>
  <si>
    <t>D/STT17</t>
  </si>
  <si>
    <t>D/STT18</t>
  </si>
  <si>
    <t>D/STT19</t>
  </si>
  <si>
    <t>D/STT20</t>
  </si>
  <si>
    <t>D/STT21</t>
  </si>
  <si>
    <t>D/STT22</t>
  </si>
  <si>
    <t>RB40</t>
  </si>
  <si>
    <t>D/STT24</t>
  </si>
  <si>
    <t>WR61</t>
  </si>
  <si>
    <t>D/STT25</t>
  </si>
  <si>
    <t>D/STT27</t>
  </si>
  <si>
    <t>QB33</t>
  </si>
  <si>
    <t>WR65</t>
  </si>
  <si>
    <t>WR67</t>
  </si>
  <si>
    <t>WR68</t>
  </si>
  <si>
    <t>RB48</t>
  </si>
  <si>
    <t>D/STT28</t>
  </si>
  <si>
    <t>D/STT29</t>
  </si>
  <si>
    <t>RB52</t>
  </si>
  <si>
    <t>WR71</t>
  </si>
  <si>
    <t>WR72</t>
  </si>
  <si>
    <t>TE19</t>
  </si>
  <si>
    <t>WR73</t>
  </si>
  <si>
    <t>D/STT30</t>
  </si>
  <si>
    <t>D/STT31</t>
  </si>
  <si>
    <t>TE22</t>
  </si>
  <si>
    <t>TE23</t>
  </si>
  <si>
    <t>WR74</t>
  </si>
  <si>
    <t>WR75</t>
  </si>
  <si>
    <t>D/STT32</t>
  </si>
  <si>
    <t>WR76</t>
  </si>
  <si>
    <t>WR77</t>
  </si>
  <si>
    <t>WR78</t>
  </si>
  <si>
    <t>WR79</t>
  </si>
  <si>
    <t>WR80</t>
  </si>
  <si>
    <t>TE24</t>
  </si>
  <si>
    <t>WR81</t>
  </si>
  <si>
    <t>WR82</t>
  </si>
  <si>
    <t>WR83</t>
  </si>
  <si>
    <t>RB58</t>
  </si>
  <si>
    <t>TE26</t>
  </si>
  <si>
    <t>RB59</t>
  </si>
  <si>
    <t>WR85</t>
  </si>
  <si>
    <t>RB60</t>
  </si>
  <si>
    <t>WR86</t>
  </si>
  <si>
    <t>TE29</t>
  </si>
  <si>
    <t>WR88</t>
  </si>
  <si>
    <t>WR89</t>
  </si>
  <si>
    <t>WR90</t>
  </si>
  <si>
    <t>WR92</t>
  </si>
  <si>
    <t>TE30</t>
  </si>
  <si>
    <t>WR93</t>
  </si>
  <si>
    <t>WR94</t>
  </si>
  <si>
    <t>WR95</t>
  </si>
  <si>
    <t>RB61</t>
  </si>
  <si>
    <t>WR96</t>
  </si>
  <si>
    <t>WR97</t>
  </si>
  <si>
    <t>WR98</t>
  </si>
  <si>
    <t>WR99</t>
  </si>
  <si>
    <t>WR100</t>
  </si>
  <si>
    <t>RB62</t>
  </si>
  <si>
    <t>RB64</t>
  </si>
  <si>
    <t>TE34</t>
  </si>
  <si>
    <t>RB66</t>
  </si>
  <si>
    <t>RB68</t>
  </si>
  <si>
    <t>RB69</t>
  </si>
  <si>
    <t>Player Code</t>
  </si>
  <si>
    <t>Rank Score</t>
  </si>
  <si>
    <t>Potential points Rank</t>
  </si>
  <si>
    <t>ESPN Rank</t>
  </si>
  <si>
    <t>Composite Rank</t>
  </si>
  <si>
    <t>VORP</t>
  </si>
  <si>
    <t>001</t>
  </si>
  <si>
    <t>002</t>
  </si>
  <si>
    <t>003</t>
  </si>
  <si>
    <t>004</t>
  </si>
  <si>
    <t>005</t>
  </si>
  <si>
    <t>AJ Dillon</t>
  </si>
  <si>
    <t>Adam Trautman</t>
  </si>
  <si>
    <t>006</t>
  </si>
  <si>
    <t>Albert Okwuegbunam</t>
  </si>
  <si>
    <t>007</t>
  </si>
  <si>
    <t>008</t>
  </si>
  <si>
    <t>009</t>
  </si>
  <si>
    <t>Braxton Berrios</t>
  </si>
  <si>
    <t>010</t>
  </si>
  <si>
    <t>Breshad Perriman</t>
  </si>
  <si>
    <t>Allen Robinson</t>
  </si>
  <si>
    <t>011</t>
  </si>
  <si>
    <t>Bryan EdwarD/ST</t>
  </si>
  <si>
    <t>012</t>
  </si>
  <si>
    <t>Calvin Austin</t>
  </si>
  <si>
    <t>013</t>
  </si>
  <si>
    <t>Ameer Abdullah</t>
  </si>
  <si>
    <t>014</t>
  </si>
  <si>
    <t>015</t>
  </si>
  <si>
    <t>Cedrick Wilson</t>
  </si>
  <si>
    <t>Andy Dalton</t>
  </si>
  <si>
    <t>016</t>
  </si>
  <si>
    <t>Arizona Cardinals</t>
  </si>
  <si>
    <t>017</t>
  </si>
  <si>
    <t>Atlanta Falcons</t>
  </si>
  <si>
    <t>018</t>
  </si>
  <si>
    <t>019</t>
  </si>
  <si>
    <t>Chris Conley</t>
  </si>
  <si>
    <t>Austin Hooper</t>
  </si>
  <si>
    <t>020</t>
  </si>
  <si>
    <t>Baltimore Ravens</t>
  </si>
  <si>
    <t>021</t>
  </si>
  <si>
    <t>022</t>
  </si>
  <si>
    <t>Blaine Gabbert</t>
  </si>
  <si>
    <t>023</t>
  </si>
  <si>
    <t>024</t>
  </si>
  <si>
    <t>Cole Beasley</t>
  </si>
  <si>
    <t>025</t>
  </si>
  <si>
    <t>026</t>
  </si>
  <si>
    <t>027</t>
  </si>
  <si>
    <t>Brenton Strange</t>
  </si>
  <si>
    <t>028</t>
  </si>
  <si>
    <t>D.J. Chark</t>
  </si>
  <si>
    <t>029</t>
  </si>
  <si>
    <t>Brevin Jordan</t>
  </si>
  <si>
    <t>030</t>
  </si>
  <si>
    <t>031</t>
  </si>
  <si>
    <t>Buffalo Bills</t>
  </si>
  <si>
    <t>D'Wayne Eskridge</t>
  </si>
  <si>
    <t>032</t>
  </si>
  <si>
    <t>Danny Gray</t>
  </si>
  <si>
    <t>033</t>
  </si>
  <si>
    <t>Dante Pettis</t>
  </si>
  <si>
    <t>034</t>
  </si>
  <si>
    <t>Brycen Hopkins</t>
  </si>
  <si>
    <t>035</t>
  </si>
  <si>
    <t>036</t>
  </si>
  <si>
    <t>C.J. Uzomah</t>
  </si>
  <si>
    <t>037</t>
  </si>
  <si>
    <t>038</t>
  </si>
  <si>
    <t>039</t>
  </si>
  <si>
    <t>Demetric Felton</t>
  </si>
  <si>
    <t>040</t>
  </si>
  <si>
    <t>Carolina Panthers</t>
  </si>
  <si>
    <t>Denzel Mims</t>
  </si>
  <si>
    <t>041</t>
  </si>
  <si>
    <t>Carson Wentz</t>
  </si>
  <si>
    <t>042</t>
  </si>
  <si>
    <t>Devin Duvernay</t>
  </si>
  <si>
    <t>043</t>
  </si>
  <si>
    <t>044</t>
  </si>
  <si>
    <t>045</t>
  </si>
  <si>
    <t>046</t>
  </si>
  <si>
    <t>Chase EdmonD/ST</t>
  </si>
  <si>
    <t>047</t>
  </si>
  <si>
    <t>Chicago Bears</t>
  </si>
  <si>
    <t>Dyami Brown</t>
  </si>
  <si>
    <t>048</t>
  </si>
  <si>
    <t>049</t>
  </si>
  <si>
    <t>Equanimeous St. Brown</t>
  </si>
  <si>
    <t>050</t>
  </si>
  <si>
    <t>Gabriel Davis</t>
  </si>
  <si>
    <t>051</t>
  </si>
  <si>
    <t>052</t>
  </si>
  <si>
    <t>053</t>
  </si>
  <si>
    <t>Greg Dortch</t>
  </si>
  <si>
    <t>054</t>
  </si>
  <si>
    <t>055</t>
  </si>
  <si>
    <t>056</t>
  </si>
  <si>
    <t>Isaiah McKenzie</t>
  </si>
  <si>
    <t>057</t>
  </si>
  <si>
    <t>058</t>
  </si>
  <si>
    <t>Cincinnati Bengals</t>
  </si>
  <si>
    <t>059</t>
  </si>
  <si>
    <t>Cleveland Browns</t>
  </si>
  <si>
    <t>Colt McCoy</t>
  </si>
  <si>
    <t>060</t>
  </si>
  <si>
    <t>Jalen Reagor</t>
  </si>
  <si>
    <t>061</t>
  </si>
  <si>
    <t>062</t>
  </si>
  <si>
    <t>063</t>
  </si>
  <si>
    <t>Jamison Crowder</t>
  </si>
  <si>
    <t>064</t>
  </si>
  <si>
    <t>Jarvis Landry</t>
  </si>
  <si>
    <t>065</t>
  </si>
  <si>
    <t>Jauan Jennings</t>
  </si>
  <si>
    <t>066</t>
  </si>
  <si>
    <t>067</t>
  </si>
  <si>
    <t>068</t>
  </si>
  <si>
    <t>D'onta Foreman</t>
  </si>
  <si>
    <t>069</t>
  </si>
  <si>
    <t>Dallas Cowboys</t>
  </si>
  <si>
    <t>070</t>
  </si>
  <si>
    <t>John Metchie</t>
  </si>
  <si>
    <t>071</t>
  </si>
  <si>
    <t>072</t>
  </si>
  <si>
    <t>073</t>
  </si>
  <si>
    <t>Josh Downs</t>
  </si>
  <si>
    <t>074</t>
  </si>
  <si>
    <t>Josh Palmer</t>
  </si>
  <si>
    <t>075</t>
  </si>
  <si>
    <t>076</t>
  </si>
  <si>
    <t>077</t>
  </si>
  <si>
    <t>Damien Williams</t>
  </si>
  <si>
    <t>078</t>
  </si>
  <si>
    <t>Justin Watson</t>
  </si>
  <si>
    <t>Daniel Bellinger</t>
  </si>
  <si>
    <t>079</t>
  </si>
  <si>
    <t>K.J. Hamler</t>
  </si>
  <si>
    <t>080</t>
  </si>
  <si>
    <t>081</t>
  </si>
  <si>
    <t>082</t>
  </si>
  <si>
    <t>Kalif Raymond</t>
  </si>
  <si>
    <t>083</t>
  </si>
  <si>
    <t>Keelan Cole</t>
  </si>
  <si>
    <t>084</t>
  </si>
  <si>
    <t>Darnell Washington</t>
  </si>
  <si>
    <t>085</t>
  </si>
  <si>
    <t>Darrell Henderson</t>
  </si>
  <si>
    <t>086</t>
  </si>
  <si>
    <t>Kenny Golladay</t>
  </si>
  <si>
    <t>087</t>
  </si>
  <si>
    <t>Denver Broncos</t>
  </si>
  <si>
    <t>088</t>
  </si>
  <si>
    <t>Laviska Shenault</t>
  </si>
  <si>
    <t>089</t>
  </si>
  <si>
    <t>090</t>
  </si>
  <si>
    <t>Marquez Callaway</t>
  </si>
  <si>
    <t>Davis Mills</t>
  </si>
  <si>
    <t>091</t>
  </si>
  <si>
    <t>092</t>
  </si>
  <si>
    <t>Detroit Lions</t>
  </si>
  <si>
    <t>De'Von Achane</t>
  </si>
  <si>
    <t>093</t>
  </si>
  <si>
    <t>Marquise Goodwin</t>
  </si>
  <si>
    <t>094</t>
  </si>
  <si>
    <t>Marvin Jones</t>
  </si>
  <si>
    <t>095</t>
  </si>
  <si>
    <t>096</t>
  </si>
  <si>
    <t>Mecole Hardman</t>
  </si>
  <si>
    <t>097</t>
  </si>
  <si>
    <t>098</t>
  </si>
  <si>
    <t>Michael Pittman</t>
  </si>
  <si>
    <t>099</t>
  </si>
  <si>
    <t>DJ Moore</t>
  </si>
  <si>
    <t>DK Metcalf</t>
  </si>
  <si>
    <t>Devin Asiasi</t>
  </si>
  <si>
    <t>N'Keal Harry</t>
  </si>
  <si>
    <t>Nathaniel Dell</t>
  </si>
  <si>
    <t>Nelson Agholor</t>
  </si>
  <si>
    <t>Olamide Zaccheaus</t>
  </si>
  <si>
    <t>Drew Lock</t>
  </si>
  <si>
    <t>Phillip Dorsett</t>
  </si>
  <si>
    <t>Durham Smythe</t>
  </si>
  <si>
    <t>Quez Watkins</t>
  </si>
  <si>
    <t>Randall Cobb</t>
  </si>
  <si>
    <t>Green Bay Packers</t>
  </si>
  <si>
    <t>Richie James</t>
  </si>
  <si>
    <t>Foster Moreau</t>
  </si>
  <si>
    <t>Gardner Minshew</t>
  </si>
  <si>
    <t>Russell Gage</t>
  </si>
  <si>
    <t>Sammy Watkins</t>
  </si>
  <si>
    <t>Houston Texans</t>
  </si>
  <si>
    <t>Sterling Shepard</t>
  </si>
  <si>
    <t>Indianapolis Colts</t>
  </si>
  <si>
    <t>Terrace Marshall</t>
  </si>
  <si>
    <t>Harrison Bryant</t>
  </si>
  <si>
    <t>Donta Foreman</t>
  </si>
  <si>
    <t>Tim Patrick</t>
  </si>
  <si>
    <t>Hassan Haskins</t>
  </si>
  <si>
    <t>Tre'Quan Smith</t>
  </si>
  <si>
    <t>Hendon Hooker</t>
  </si>
  <si>
    <t>Jacksonville Jaguars</t>
  </si>
  <si>
    <t>Tylan Wallace</t>
  </si>
  <si>
    <t>Hunter Long</t>
  </si>
  <si>
    <t>Irv Smith</t>
  </si>
  <si>
    <t>Isaiah Likely</t>
  </si>
  <si>
    <t>Velus Jones</t>
  </si>
  <si>
    <t>Isaiah Spiller</t>
  </si>
  <si>
    <t>Wan'Dale Robinson</t>
  </si>
  <si>
    <t>Jacoby Brissett</t>
  </si>
  <si>
    <t>D.J. Chark Jr.</t>
  </si>
  <si>
    <t>James Robinson</t>
  </si>
  <si>
    <t>Jelani WooD/ST</t>
  </si>
  <si>
    <t>Jimmy Graham</t>
  </si>
  <si>
    <t>John Kelly</t>
  </si>
  <si>
    <t>Jonnu Smith</t>
  </si>
  <si>
    <t>Kansas City Chiefs</t>
  </si>
  <si>
    <t>Jordan Akin</t>
  </si>
  <si>
    <t>Jordan Mason</t>
  </si>
  <si>
    <t>Michael Carter</t>
  </si>
  <si>
    <t>Josh Oliver</t>
  </si>
  <si>
    <t>Joshua Kelley</t>
  </si>
  <si>
    <t>Josiah Deguara</t>
  </si>
  <si>
    <t>Justice Hill</t>
  </si>
  <si>
    <t>Kareem Hunt</t>
  </si>
  <si>
    <t>Ke'Shawn Vaughn</t>
  </si>
  <si>
    <t>Las Vegas Raiders</t>
  </si>
  <si>
    <t>Los Angeles Chargers</t>
  </si>
  <si>
    <t>Kene Nwangwu</t>
  </si>
  <si>
    <t>Los Angeles Rams</t>
  </si>
  <si>
    <t>Kenneth Walker</t>
  </si>
  <si>
    <t>Kenyan Drake</t>
  </si>
  <si>
    <t>Kevin Harris</t>
  </si>
  <si>
    <t>Latavius Murray</t>
  </si>
  <si>
    <t>Leonard Fournette</t>
  </si>
  <si>
    <t>Melvin Gordon</t>
  </si>
  <si>
    <t>Miami Dolphins</t>
  </si>
  <si>
    <t>Nyheim Hines</t>
  </si>
  <si>
    <t>Pierre Strong Jr.</t>
  </si>
  <si>
    <t>Ronald Jones</t>
  </si>
  <si>
    <t>Kylen Granson</t>
  </si>
  <si>
    <t>Minnesota Vikings</t>
  </si>
  <si>
    <t>Travis Etienne</t>
  </si>
  <si>
    <t>New England Patriots</t>
  </si>
  <si>
    <t>Trayveon Williams</t>
  </si>
  <si>
    <t>New Orleans Saints</t>
  </si>
  <si>
    <t>Trey Sermon</t>
  </si>
  <si>
    <t>New York Giants</t>
  </si>
  <si>
    <t>New York Jets</t>
  </si>
  <si>
    <t>Ty Montgomery</t>
  </si>
  <si>
    <t>Logan Thomas</t>
  </si>
  <si>
    <t>Luke Schoonmaker</t>
  </si>
  <si>
    <t>Tyrion Davis-Price</t>
  </si>
  <si>
    <t>Zack Moss</t>
  </si>
  <si>
    <t>Malik Willis</t>
  </si>
  <si>
    <t>Marcus Mariota</t>
  </si>
  <si>
    <t>Zonovan Knight</t>
  </si>
  <si>
    <t>Philadelphia Eagles</t>
  </si>
  <si>
    <t>Pittsburgh Steelers</t>
  </si>
  <si>
    <t>Mo Alie-Cox</t>
  </si>
  <si>
    <t>San Francisco 49ers</t>
  </si>
  <si>
    <t>Seattle Seahawks</t>
  </si>
  <si>
    <t>Tampa Bay Buccaneers</t>
  </si>
  <si>
    <t>Tennessee Titans</t>
  </si>
  <si>
    <t>Sam Darnold</t>
  </si>
  <si>
    <t>Taylor Heinicke</t>
  </si>
  <si>
    <t>Teddy Bridgewater</t>
  </si>
  <si>
    <t>Trey Lance</t>
  </si>
  <si>
    <t>Robert Tonyan</t>
  </si>
  <si>
    <t>Tyrod Taylor</t>
  </si>
  <si>
    <t>Will Levis</t>
  </si>
  <si>
    <t>Zach Wilson</t>
  </si>
  <si>
    <t>Washington Commanders</t>
  </si>
  <si>
    <t>Tucker Kraft</t>
  </si>
  <si>
    <t>Will Dissly</t>
  </si>
  <si>
    <t>D'Onta Foreman</t>
  </si>
  <si>
    <t>0301</t>
  </si>
  <si>
    <t>0302</t>
  </si>
  <si>
    <t>0303</t>
  </si>
  <si>
    <t>0304</t>
  </si>
  <si>
    <t>PFFP</t>
  </si>
  <si>
    <t>VORP Rank</t>
  </si>
  <si>
    <t>Final Weight</t>
  </si>
  <si>
    <t>Lowest TPFP by position</t>
  </si>
  <si>
    <t>D/ST</t>
  </si>
  <si>
    <t>RegExtract name</t>
  </si>
  <si>
    <t>Inj Probablity Score</t>
  </si>
  <si>
    <t>Injury Score</t>
  </si>
  <si>
    <t>Age</t>
  </si>
  <si>
    <t>Age Score:</t>
  </si>
  <si>
    <t>Risk Score:</t>
  </si>
  <si>
    <t>total player list</t>
  </si>
  <si>
    <t>age</t>
  </si>
  <si>
    <t>Weighted Risk Score</t>
  </si>
  <si>
    <t>A.J. Brown, WR PHI</t>
  </si>
  <si>
    <t>Adam Thielen, WR CAR</t>
  </si>
  <si>
    <t>Alec Pierce, WR IND</t>
  </si>
  <si>
    <t>Allen Lazard, WR NYJ</t>
  </si>
  <si>
    <t>Allen Robinson, WR PIT</t>
  </si>
  <si>
    <t>Amari Cooper, WR CLE</t>
  </si>
  <si>
    <t>Amon-Ra St. Brown, WR DET</t>
  </si>
  <si>
    <t>Brandin Cooks, WR DAL</t>
  </si>
  <si>
    <t>Brandon Aiyuk, WR SF</t>
  </si>
  <si>
    <t>Braxton Berrios, WR MIA</t>
  </si>
  <si>
    <t>00000</t>
  </si>
  <si>
    <t>Breshad Perriman, WR IND</t>
  </si>
  <si>
    <t>Bryan EdwarD/ST, WR UNS</t>
  </si>
  <si>
    <t>Calvin Austin, WR PIT</t>
  </si>
  <si>
    <t>Calvin Ridley, WR JAC</t>
  </si>
  <si>
    <t>Cedric Tillman, WR CLE</t>
  </si>
  <si>
    <t>Cedrick Wilson, WR MIA</t>
  </si>
  <si>
    <t>CeeDee Lamb, WR DAL</t>
  </si>
  <si>
    <t>Chase Claypool, WR CHI</t>
  </si>
  <si>
    <t>Chosen Anderson, WR MIA</t>
  </si>
  <si>
    <t>Chris Conley, WR SF</t>
  </si>
  <si>
    <t>Chris Godwin, WR TB</t>
  </si>
  <si>
    <t>Chris Olave, WR NO</t>
  </si>
  <si>
    <t>Christian Kirk, WR JAC</t>
  </si>
  <si>
    <t>Christian Watson, WR GB</t>
  </si>
  <si>
    <t>Cole Beasley, WR NYG</t>
  </si>
  <si>
    <t>Cooper Kupp, WR LAR</t>
  </si>
  <si>
    <t xml:space="preserve">Jaylen Waddle </t>
  </si>
  <si>
    <t>Courtland Sutton, WR DEN</t>
  </si>
  <si>
    <t>Curtis Samuel, WR WAS</t>
  </si>
  <si>
    <t>D.J. Chark, WR CAR</t>
  </si>
  <si>
    <t>D.J. Moore, WR CHI</t>
  </si>
  <si>
    <t>D.K. Metcalf, WR SEA</t>
  </si>
  <si>
    <t>D'Wayne Eskridge, WR SEA</t>
  </si>
  <si>
    <t>Danny Gray, WR SF</t>
  </si>
  <si>
    <t>Dante Pettis, WR CHI</t>
  </si>
  <si>
    <t>Darius Slayton, WR NYG</t>
  </si>
  <si>
    <t>Darnell Mooney, WR CHI</t>
  </si>
  <si>
    <t>Davante Adams, WR LVR</t>
  </si>
  <si>
    <t>DeAndre Hopkins, WR TEN</t>
  </si>
  <si>
    <t>Deebo Samuel, WR SF</t>
  </si>
  <si>
    <t>Demetric Felton, WR CLE</t>
  </si>
  <si>
    <t>Patrick Mahomes II</t>
  </si>
  <si>
    <t>Denzel Mims, WR UNS</t>
  </si>
  <si>
    <t>DeVante Parker, WR NE</t>
  </si>
  <si>
    <t>Devin Duvernay, WR BAL</t>
  </si>
  <si>
    <t>DeVonta Smith, WR PHI</t>
  </si>
  <si>
    <t>Diontae Johnson, WR PIT</t>
  </si>
  <si>
    <t>Donovan Peoples-Jones, WR CLE</t>
  </si>
  <si>
    <t>Drake London, WR ATL</t>
  </si>
  <si>
    <t>Dyami Brown, WR WAS</t>
  </si>
  <si>
    <t>Elijah Moore, WR CLE</t>
  </si>
  <si>
    <t>Equanimeous St. Brown, WR CHI</t>
  </si>
  <si>
    <t>Gabriel Davis, WR BUF</t>
  </si>
  <si>
    <t>Garrett Wilson, WR NYJ</t>
  </si>
  <si>
    <t>George Pickens, WR PIT</t>
  </si>
  <si>
    <t>Greg Dortch, WR ARI</t>
  </si>
  <si>
    <t>Hunter Renfrow, WR LVR</t>
  </si>
  <si>
    <t>Isaiah Hodgins, WR NYG</t>
  </si>
  <si>
    <t>Isaiah McKenzie, WR IND</t>
  </si>
  <si>
    <t>Ja'Marr Chase, WR CIN</t>
  </si>
  <si>
    <t>Jahan Dotson, WR WAS</t>
  </si>
  <si>
    <t>Jakobi Meyers, WR LVR</t>
  </si>
  <si>
    <t>Jalen Reagor, WR MIN</t>
  </si>
  <si>
    <t>Jalin Hyatt, WR NYG</t>
  </si>
  <si>
    <t>Jameson Williams, WR DET</t>
  </si>
  <si>
    <t>Jamison Crowder, WR NYG</t>
  </si>
  <si>
    <t>Jarvis Landry, WR UNS</t>
  </si>
  <si>
    <t>Jauan Jennings, WR SF</t>
  </si>
  <si>
    <t>Jaxon Smith-Njigba, WR SEA</t>
  </si>
  <si>
    <t>Jayden Reed, WR GB</t>
  </si>
  <si>
    <t>Jaylen Waddle, WR MIA</t>
  </si>
  <si>
    <t>Jerry Jeudy, WR DEN</t>
  </si>
  <si>
    <t>John Metchie, WR HOU</t>
  </si>
  <si>
    <t>Jonathan Mingo, WR CAR</t>
  </si>
  <si>
    <t>Jordan Addison, WR MIN</t>
  </si>
  <si>
    <t>Josh Downs, WR IND</t>
  </si>
  <si>
    <t>Josh Palmer, WR LAC</t>
  </si>
  <si>
    <t>Josh ReynolD/ST, WR DET</t>
  </si>
  <si>
    <t>JuJu Smith-Schuster, WR NE</t>
  </si>
  <si>
    <t>Justin Jefferson, WR MIN</t>
  </si>
  <si>
    <t>Justin Watson, WR KC</t>
  </si>
  <si>
    <t>K.J. Hamler, WR DEN</t>
  </si>
  <si>
    <t>K.J. Osborn, WR MIN</t>
  </si>
  <si>
    <t>Brian Robinson Jr.</t>
  </si>
  <si>
    <t>Kadarius Toney, WR KC</t>
  </si>
  <si>
    <t>Kalif Raymond, WR DET</t>
  </si>
  <si>
    <t>Keelan Cole, WR LVR</t>
  </si>
  <si>
    <t>Keenan Allen, WR LAC</t>
  </si>
  <si>
    <t>Kendrick Bourne, WR NE</t>
  </si>
  <si>
    <t>Kenny Golladay, WR UNS</t>
  </si>
  <si>
    <t>Khalil Shakir, WR BUF</t>
  </si>
  <si>
    <t>Laviska Shenault, WR CAR</t>
  </si>
  <si>
    <t>Mack Hollins, WR ATL</t>
  </si>
  <si>
    <t>Marquez Callaway, WR DEN</t>
  </si>
  <si>
    <t>Marquez Valdes-Scantling, WR KC</t>
  </si>
  <si>
    <t>Marquise Brown, WR ARI</t>
  </si>
  <si>
    <t>Marquise Goodwin, WR CLE</t>
  </si>
  <si>
    <t>Marvin Jones, WR DET</t>
  </si>
  <si>
    <t>Marvin Mims Jr., WR DEN</t>
  </si>
  <si>
    <t>Mecole Hardman, WR NYJ</t>
  </si>
  <si>
    <t>Michael Gallup, WR DAL</t>
  </si>
  <si>
    <t>Michael Pittman, WR IND</t>
  </si>
  <si>
    <t>Michael Thomas, WR NO</t>
  </si>
  <si>
    <t>Michael Wilson, WR ARI</t>
  </si>
  <si>
    <t>Mike Evans, WR TB</t>
  </si>
  <si>
    <t>Mike Williams, WR LAC</t>
  </si>
  <si>
    <t>N'Keal Harry, WR UNS</t>
  </si>
  <si>
    <t>Nathaniel Dell, WR HOU</t>
  </si>
  <si>
    <t>Nelson Agholor, WR BAL</t>
  </si>
  <si>
    <t>Nico Collins, WR HOU</t>
  </si>
  <si>
    <t>Odell Beckham Jr., WR BAL</t>
  </si>
  <si>
    <t>Olamide Zaccheaus, WR PHI</t>
  </si>
  <si>
    <t>Parris Campbell, WR NYG</t>
  </si>
  <si>
    <t>Phillip Dorsett, WR LVR</t>
  </si>
  <si>
    <t>Quentin Johnston, WR LAC</t>
  </si>
  <si>
    <t>Quez Watkins, WR PHI</t>
  </si>
  <si>
    <t>Randall Cobb, WR NYJ</t>
  </si>
  <si>
    <t>Rashee Rice, WR KC</t>
  </si>
  <si>
    <t>Rashid Shaheed, WR NO</t>
  </si>
  <si>
    <t>Rashod Bateman, WR BAL</t>
  </si>
  <si>
    <t>Richie James, WR KC</t>
  </si>
  <si>
    <t>Robert WooD/ST, WR HOU</t>
  </si>
  <si>
    <t>Romeo Doubs, WR GB</t>
  </si>
  <si>
    <t>Rondale Moore, WR ARI</t>
  </si>
  <si>
    <t>Russell Gage, WR TB</t>
  </si>
  <si>
    <t>Sammy Watkins, WR UNS</t>
  </si>
  <si>
    <t>Skyy Moore, WR KC</t>
  </si>
  <si>
    <t>Stefon Diggs, WR BUF</t>
  </si>
  <si>
    <t>Sterling Shepard, WR NYG</t>
  </si>
  <si>
    <t>Tee Higgins, WR CIN</t>
  </si>
  <si>
    <t>Terrace Marshall, WR CAR</t>
  </si>
  <si>
    <t>Terry McLaurin, WR WAS</t>
  </si>
  <si>
    <t>Tim Patrick, WR DEN</t>
  </si>
  <si>
    <t>Tre'Quan Smith, WR NO</t>
  </si>
  <si>
    <t>Treylon Burks, WR TEN</t>
  </si>
  <si>
    <t>Tutu Atwell, WR LAR</t>
  </si>
  <si>
    <t>Tylan Wallace, WR BAL</t>
  </si>
  <si>
    <t>Tyler Boyd, WR CIN</t>
  </si>
  <si>
    <t>Tyler Lockett, WR SEA</t>
  </si>
  <si>
    <t>Tyquan Thornton, WR NE</t>
  </si>
  <si>
    <t>Tyreek Hill, WR MIA</t>
  </si>
  <si>
    <t>Van Jefferson, WR LAR</t>
  </si>
  <si>
    <t>Velus Jones, WR CHI</t>
  </si>
  <si>
    <t>Wan'Dale Robinson, WR NYG</t>
  </si>
  <si>
    <t>Zay Flowers, WR BAL</t>
  </si>
  <si>
    <t>Zay Jones, WR JAC</t>
  </si>
  <si>
    <t>A.J. Dillon, RB GB</t>
  </si>
  <si>
    <t>Aaron Jones, RB GB</t>
  </si>
  <si>
    <t>Alexander Mattison, RB MIN</t>
  </si>
  <si>
    <t>Alvin Kamara, RB NO</t>
  </si>
  <si>
    <t>Ameer Abdullah, RB LVR</t>
  </si>
  <si>
    <t>Antonio Gibson, RB WAS</t>
  </si>
  <si>
    <t>Austin Ekeler, RB LAC</t>
  </si>
  <si>
    <t>Bijan Robinson, RB ATL</t>
  </si>
  <si>
    <t>Breece Hall, RB NYJ</t>
  </si>
  <si>
    <t>Brian Robinson, RB WAS</t>
  </si>
  <si>
    <t>Cam Akers, RB LAR</t>
  </si>
  <si>
    <t>Chase EdmonD/ST, RB TB</t>
  </si>
  <si>
    <t>Christian McCaffrey, RB SF</t>
  </si>
  <si>
    <t>Chuba Hubbard, RB CAR</t>
  </si>
  <si>
    <t>Clyde EdwarD/ST-Helaire, RB KC</t>
  </si>
  <si>
    <t>Cordarrelle Patterson, RB ATL</t>
  </si>
  <si>
    <t>D'Andre Swift, RB PHI</t>
  </si>
  <si>
    <t>D'Onta Foreman, RB CHI</t>
  </si>
  <si>
    <t>Dalvin Cook, RB NYJ</t>
  </si>
  <si>
    <t>Dameon Pierce, RB HOU</t>
  </si>
  <si>
    <t>Damien Harris, RB BUF</t>
  </si>
  <si>
    <t>Damien Williams, RB LVR</t>
  </si>
  <si>
    <t>Darrell Henderson, RB UNS</t>
  </si>
  <si>
    <t>David Montgomery, RB DET</t>
  </si>
  <si>
    <t>De'Von Achane, RB MIA</t>
  </si>
  <si>
    <t>Derrick Henry, RB TEN</t>
  </si>
  <si>
    <t>Devin Singletary, RB HOU</t>
  </si>
  <si>
    <t>D'Ernest Johnson</t>
  </si>
  <si>
    <t>Elijah Mitchell, RB SF</t>
  </si>
  <si>
    <t>Ezekiel Elliott, RB NE</t>
  </si>
  <si>
    <t>Gus EdwarD/ST, RB BAL</t>
  </si>
  <si>
    <t>Hassan Haskins, RB TEN</t>
  </si>
  <si>
    <t>Isaiah Spiller, RB LAC</t>
  </si>
  <si>
    <t>Isiah Pacheco, RB KC</t>
  </si>
  <si>
    <t>J.K. Dobbins, RB BAL</t>
  </si>
  <si>
    <t>Jahmyr Gibbs, RB DET</t>
  </si>
  <si>
    <t>Jamaal Williams, RB NO</t>
  </si>
  <si>
    <t>James Conner, RB ARI</t>
  </si>
  <si>
    <t>James Cook, RB BUF</t>
  </si>
  <si>
    <t>James Robinson, RB NYG</t>
  </si>
  <si>
    <t>Javonte Williams, RB DEN</t>
  </si>
  <si>
    <t>Jaylen Warren, RB PIT</t>
  </si>
  <si>
    <t>Jeff Wilson Jr., RB MIA</t>
  </si>
  <si>
    <t>Jerick McKinnon, RB KC</t>
  </si>
  <si>
    <t>Jerome Ford, RB CLE</t>
  </si>
  <si>
    <t>Joe Mixon, RB CIN</t>
  </si>
  <si>
    <t>John Kelly, RB CLE</t>
  </si>
  <si>
    <t>Jonathan Taylor, RB IND</t>
  </si>
  <si>
    <t>Jordan Mason, RB SF</t>
  </si>
  <si>
    <t>David Bell</t>
  </si>
  <si>
    <t>Josh Jacobs, RB LVR</t>
  </si>
  <si>
    <t>Joshua Kelley, RB LAC</t>
  </si>
  <si>
    <t>Corey Davis</t>
  </si>
  <si>
    <t>Justice Hill, RB BAL</t>
  </si>
  <si>
    <t>Kareem Hunt, RB UNS</t>
  </si>
  <si>
    <t>Ke'Shawn Vaughn, RB TB</t>
  </si>
  <si>
    <t>Kendre Miller, RB NO</t>
  </si>
  <si>
    <t>Kene Nwangwu, RB MIN</t>
  </si>
  <si>
    <t>Kenneth Gainwell, RB PHI</t>
  </si>
  <si>
    <t>Kenneth Walker, RB SEA</t>
  </si>
  <si>
    <t>Kenyan Drake, RB IND</t>
  </si>
  <si>
    <t>Kevin Harris, RB NE</t>
  </si>
  <si>
    <t>Ryan Succop</t>
  </si>
  <si>
    <t>Khalil Herbert, RB CHI</t>
  </si>
  <si>
    <t>Kyren Williams, RB LAR</t>
  </si>
  <si>
    <t>J.D. McKissic</t>
  </si>
  <si>
    <t>Latavius Murray, RB BUF</t>
  </si>
  <si>
    <t>Leonard Fournette, RB UNS</t>
  </si>
  <si>
    <t>Matt Breida, RB NYG</t>
  </si>
  <si>
    <t>Melvin Gordon, RB BAL</t>
  </si>
  <si>
    <t>Michael Carter, RB NYJ</t>
  </si>
  <si>
    <t>Robbie Gould</t>
  </si>
  <si>
    <t>Miles Sanders, RB CAR</t>
  </si>
  <si>
    <t>Najee Harris, RB PIT</t>
  </si>
  <si>
    <t>Nick Chubb, RB CLE</t>
  </si>
  <si>
    <t>Melvin Gordon III</t>
  </si>
  <si>
    <t>Nyheim Hines, RB BUF</t>
  </si>
  <si>
    <t>Pierre Strong Jr., RB NE</t>
  </si>
  <si>
    <t>Rachaad White, RB TB</t>
  </si>
  <si>
    <t>Raheem Mostert, RB MIA</t>
  </si>
  <si>
    <t>Julio Jones</t>
  </si>
  <si>
    <t>Rashaad Penny, RB PHI</t>
  </si>
  <si>
    <t>Rhamondre Stevenson, RB NE</t>
  </si>
  <si>
    <t>Ronald Jones, RB DAL</t>
  </si>
  <si>
    <t>Samaje Perine, RB DEN</t>
  </si>
  <si>
    <t>Saquon Barkley, RB NYG</t>
  </si>
  <si>
    <t>Tank Bigsby, RB JAC</t>
  </si>
  <si>
    <t>Tony Pollard, RB DAL</t>
  </si>
  <si>
    <t>Travis Etienne, RB JAC</t>
  </si>
  <si>
    <t>Trayveon Williams, RB CIN</t>
  </si>
  <si>
    <t>Trey Sermon, RB PHI</t>
  </si>
  <si>
    <t>Ty Chandler, RB MIN</t>
  </si>
  <si>
    <t>Ty Montgomery, RB NE</t>
  </si>
  <si>
    <t>Tyjae Spears, RB TEN</t>
  </si>
  <si>
    <t>Tom Brady</t>
  </si>
  <si>
    <t>Tyler Allgeier, RB ATL</t>
  </si>
  <si>
    <t>Tyrion Davis-Price, RB SF</t>
  </si>
  <si>
    <t>Zach Charbonnet, RB SEA</t>
  </si>
  <si>
    <t>JaMycal Hasty</t>
  </si>
  <si>
    <t>Zack Moss, RB IND</t>
  </si>
  <si>
    <t>KJ Hamler</t>
  </si>
  <si>
    <t>Zamir White, RB LVR</t>
  </si>
  <si>
    <t>Zonovan Knight, RB NYJ</t>
  </si>
  <si>
    <t>Aaron Rodgers, QB NYJ</t>
  </si>
  <si>
    <t>Andy Dalton, QB CAR</t>
  </si>
  <si>
    <t>Anthony RicharD/STon, QB IND</t>
  </si>
  <si>
    <t>Baker Mayfield, QB TB</t>
  </si>
  <si>
    <t>Blaine Gabbert, QB KC</t>
  </si>
  <si>
    <t>Brock Purdy, QB SF</t>
  </si>
  <si>
    <t>Bryce Young, QB CAR</t>
  </si>
  <si>
    <t>C.J. Stroud, QB HOU</t>
  </si>
  <si>
    <t>Carson Wentz, QB UNS</t>
  </si>
  <si>
    <t>Colt McCoy, QB ARI</t>
  </si>
  <si>
    <t>Robbie Anderson</t>
  </si>
  <si>
    <t>Dak Prescott, QB DAL</t>
  </si>
  <si>
    <t>Daniel Jones, QB NYG</t>
  </si>
  <si>
    <t>Davis Mills, QB HOU</t>
  </si>
  <si>
    <t>Derek Carr, QB NO</t>
  </si>
  <si>
    <t>Deshaun Watson, QB CLE</t>
  </si>
  <si>
    <t>Eno Benjamin</t>
  </si>
  <si>
    <t>Desmond Ridder, QB ATL</t>
  </si>
  <si>
    <t>Drew Lock, QB SEA</t>
  </si>
  <si>
    <t>Gardner Minshew, QB IND</t>
  </si>
  <si>
    <t>Geno Smith, QB SEA</t>
  </si>
  <si>
    <t>Hendon Hooker, QB DET</t>
  </si>
  <si>
    <t>Richie James Jr.</t>
  </si>
  <si>
    <t>Jacoby Brissett, QB WAS</t>
  </si>
  <si>
    <t>Laviska Shenault Jr.</t>
  </si>
  <si>
    <t>Jalen Hurts, QB PHI</t>
  </si>
  <si>
    <t>Jared Goff, QB DET</t>
  </si>
  <si>
    <t>Dustin Hopkins</t>
  </si>
  <si>
    <t>Jimmy Garoppolo, QB LVR</t>
  </si>
  <si>
    <t>Joe Burrow, QB CIN</t>
  </si>
  <si>
    <t>Darrell Henderson Jr.</t>
  </si>
  <si>
    <t>Jordan Love, QB GB</t>
  </si>
  <si>
    <t>Josh Allen, QB BUF</t>
  </si>
  <si>
    <t>Justin FielD/ST, QB CHI</t>
  </si>
  <si>
    <t>Justin Herbert, QB LAC</t>
  </si>
  <si>
    <t>Kenny Pickett, QB PIT</t>
  </si>
  <si>
    <t>Boston Scott</t>
  </si>
  <si>
    <t>Kirk Cousins, QB MIN</t>
  </si>
  <si>
    <t>Kyle Trask, QB TB</t>
  </si>
  <si>
    <t>Kyler Murray, QB ARI</t>
  </si>
  <si>
    <t>Lamar Jackson, QB BAL</t>
  </si>
  <si>
    <t>Rodrigo Blankenship</t>
  </si>
  <si>
    <t>Mac Jones, QB NE</t>
  </si>
  <si>
    <t>Malik Willis, QB TEN</t>
  </si>
  <si>
    <t>Zach Evans</t>
  </si>
  <si>
    <t>Marcus Mariota, QB PHI</t>
  </si>
  <si>
    <t>Matthew Stafford, QB LAR</t>
  </si>
  <si>
    <t>Patrick Mahomes, QB KC</t>
  </si>
  <si>
    <t>Russell Wilson, QB DEN</t>
  </si>
  <si>
    <t>Mason Crosby</t>
  </si>
  <si>
    <t>Ryan Tannehill, QB TEN</t>
  </si>
  <si>
    <t>Rex Burkhead</t>
  </si>
  <si>
    <t>Sam Darnold, QB SF</t>
  </si>
  <si>
    <t>Sam Howell, QB WAS</t>
  </si>
  <si>
    <t>Taylor Heinicke, QB ATL</t>
  </si>
  <si>
    <t>Teddy Bridgewater, QB DET</t>
  </si>
  <si>
    <t>Darrel Williams</t>
  </si>
  <si>
    <t>Trevor Lawrence, QB JAC</t>
  </si>
  <si>
    <t>Israel Abanikanda</t>
  </si>
  <si>
    <t>Trey Lance, QB DAL</t>
  </si>
  <si>
    <t>Tua Tagovailoa, QB MIA</t>
  </si>
  <si>
    <t>Tyrod Taylor, QB NYG</t>
  </si>
  <si>
    <t>Justin Jackson</t>
  </si>
  <si>
    <t>Will Levis, QB TEN</t>
  </si>
  <si>
    <t>Zach Wilson, QB NYJ</t>
  </si>
  <si>
    <t>Nick Westbrook-Ikhine</t>
  </si>
  <si>
    <t>Adam Trautman, TE DEN</t>
  </si>
  <si>
    <t>Albert Okwuegbunam, TE DEN</t>
  </si>
  <si>
    <t>Austin Hooper, TE LVR</t>
  </si>
  <si>
    <t>Kayshon Boutte</t>
  </si>
  <si>
    <t>Brenton Strange, TE JAC</t>
  </si>
  <si>
    <t>Mark Ingram II</t>
  </si>
  <si>
    <t>Brevin Jordan, TE HOU</t>
  </si>
  <si>
    <t>Jameis Winston</t>
  </si>
  <si>
    <t>Brycen Hopkins, TE LAR</t>
  </si>
  <si>
    <t>C.J. Uzomah, TE NYJ</t>
  </si>
  <si>
    <t>Cade Otton, TE TB</t>
  </si>
  <si>
    <t>Dontrell Hilliard</t>
  </si>
  <si>
    <t>Chigoziem Okonkwo, TE TEN</t>
  </si>
  <si>
    <t>Jalen Tolbert</t>
  </si>
  <si>
    <t>Cole Kmet, TE CHI</t>
  </si>
  <si>
    <t>Dallas Goedert, TE PHI</t>
  </si>
  <si>
    <t>Dalton Kincaid, TE BUF</t>
  </si>
  <si>
    <t>Dalton Schultz, TE HOU</t>
  </si>
  <si>
    <t>A.J. Green</t>
  </si>
  <si>
    <t>Daniel Bellinger, TE NYG</t>
  </si>
  <si>
    <t>Darnell Washington, TE PIT</t>
  </si>
  <si>
    <t>Tyler Davis</t>
  </si>
  <si>
    <t>Darren Waller, TE NYG</t>
  </si>
  <si>
    <t>Randy Bullock</t>
  </si>
  <si>
    <t>David Njoku, TE CLE</t>
  </si>
  <si>
    <t>Salvon Ahmed</t>
  </si>
  <si>
    <t>Dawson Knox, TE BUF</t>
  </si>
  <si>
    <t>Devin Asiasi, TE CIN</t>
  </si>
  <si>
    <t>Marlon Mack</t>
  </si>
  <si>
    <t>Durham Smythe, TE MIA</t>
  </si>
  <si>
    <t>Myles Gaskin</t>
  </si>
  <si>
    <t>Evan Engram, TE JAC</t>
  </si>
  <si>
    <t>Foster Moreau, TE NO</t>
  </si>
  <si>
    <t>George Kittle, TE SF</t>
  </si>
  <si>
    <t>Gerald Everett, TE LAC</t>
  </si>
  <si>
    <t>Ty Johnson</t>
  </si>
  <si>
    <t>Greg Dulcich, TE DEN</t>
  </si>
  <si>
    <t>Harrison Bryant, TE CLE</t>
  </si>
  <si>
    <t>Matt Ryan</t>
  </si>
  <si>
    <t>Hayden Hurst, TE CAR</t>
  </si>
  <si>
    <t>Hunter Henry, TE NE</t>
  </si>
  <si>
    <t>Hunter Long, TE LAR</t>
  </si>
  <si>
    <t>DeeJay Dallas</t>
  </si>
  <si>
    <t>Irv Smith, TE CIN</t>
  </si>
  <si>
    <t>Isaiah Likely, TE BAL</t>
  </si>
  <si>
    <t>Jake Ferguson, TE DAL</t>
  </si>
  <si>
    <t>Ronald Jones II</t>
  </si>
  <si>
    <t>Jelani WooD/ST, TE IND</t>
  </si>
  <si>
    <t>Jimmy Graham, TE NO</t>
  </si>
  <si>
    <t>Byron Pringle</t>
  </si>
  <si>
    <t>Jonnu Smith, TE ATL</t>
  </si>
  <si>
    <t>Jordan Akins, TE CLE</t>
  </si>
  <si>
    <t>Josh Oliver, TE MIN</t>
  </si>
  <si>
    <t>Josiah Deguara, TE GB</t>
  </si>
  <si>
    <t>Juwan Johnson, TE NO</t>
  </si>
  <si>
    <t>Kyle Pitts, TE ATL</t>
  </si>
  <si>
    <t>Noah Brown</t>
  </si>
  <si>
    <t>Kylen Granson, TE IND</t>
  </si>
  <si>
    <t>Marvin Mims</t>
  </si>
  <si>
    <t>Logan Thomas, TE WAS</t>
  </si>
  <si>
    <t>Luke Musgrave, TE GB</t>
  </si>
  <si>
    <t>Luke Schoonmaker, TE DAL</t>
  </si>
  <si>
    <t>Mark Andrews, TE BAL</t>
  </si>
  <si>
    <t>Chris Moore</t>
  </si>
  <si>
    <t>Michael Mayer, TE LVR</t>
  </si>
  <si>
    <t>Deuce Vaughn</t>
  </si>
  <si>
    <t>Mike Gesicki, TE NE</t>
  </si>
  <si>
    <t>Mo Alie-Cox, TE IND</t>
  </si>
  <si>
    <t>Noah Fant, TE SEA</t>
  </si>
  <si>
    <t>Mike Davis</t>
  </si>
  <si>
    <t>Pat Freiermuth, TE PIT</t>
  </si>
  <si>
    <t>Kenny McIntosh</t>
  </si>
  <si>
    <t>Robert Tonyan, TE CHI</t>
  </si>
  <si>
    <t>Kyle Philips</t>
  </si>
  <si>
    <t>Sam LaPorta, TE DET</t>
  </si>
  <si>
    <t>T.J. Hockenson, TE MIN</t>
  </si>
  <si>
    <t>Taysom Hill, TE NO</t>
  </si>
  <si>
    <t>Travis Kelce, TE KC</t>
  </si>
  <si>
    <t>Ben Skowronek</t>
  </si>
  <si>
    <t>Trey McBride, TE ARI</t>
  </si>
  <si>
    <t>Tucker Kraft, TE GB</t>
  </si>
  <si>
    <t>Tyler Conklin, TE NYJ</t>
  </si>
  <si>
    <t>Tyler Higbee, TE LAR</t>
  </si>
  <si>
    <t>Will Dissly, TE SEA</t>
  </si>
  <si>
    <t>Mike White</t>
  </si>
  <si>
    <t>Zach Ertz, TE ARI</t>
  </si>
  <si>
    <t>Sony Michel</t>
  </si>
  <si>
    <t>Velus Jones Jr.</t>
  </si>
  <si>
    <t>Cameron Brate</t>
  </si>
  <si>
    <t>Trent Sherfield</t>
  </si>
  <si>
    <t>Parker Washington</t>
  </si>
  <si>
    <t>Eric Gray</t>
  </si>
  <si>
    <t>Cedrick Wilson Jr.</t>
  </si>
  <si>
    <t>Noah Gray</t>
  </si>
  <si>
    <t>Giovani Bernard</t>
  </si>
  <si>
    <t>T.Y. Hilton</t>
  </si>
  <si>
    <t>Malik Davis</t>
  </si>
  <si>
    <t>Travis Homer</t>
  </si>
  <si>
    <t>Demarcus Robinson</t>
  </si>
  <si>
    <t>Jordan Akins</t>
  </si>
  <si>
    <t>Jarrett Stidham</t>
  </si>
  <si>
    <t>Deon Jackson</t>
  </si>
  <si>
    <t>Caleb Huntley</t>
  </si>
  <si>
    <t>Snoop Conner</t>
  </si>
  <si>
    <t>Trestan Ebner</t>
  </si>
  <si>
    <t>Kyle Rudolph</t>
  </si>
  <si>
    <t>Quintez Cephus</t>
  </si>
  <si>
    <t>DeAndre Carter</t>
  </si>
  <si>
    <t>Dan Arnold</t>
  </si>
  <si>
    <t>Darrynton Evans</t>
  </si>
  <si>
    <t>Malcolm Brown</t>
  </si>
  <si>
    <t>Tommy Tremble</t>
  </si>
  <si>
    <t>James Mitchell</t>
  </si>
  <si>
    <t>Tyler Huntley</t>
  </si>
  <si>
    <t>Brock Wright</t>
  </si>
  <si>
    <t>Raheem Blackshear</t>
  </si>
  <si>
    <t>Donald Parham Jr.</t>
  </si>
  <si>
    <t>Duke Johnson Jr.</t>
  </si>
  <si>
    <t>Jaret Patterson</t>
  </si>
  <si>
    <t>Tre' McKitty</t>
  </si>
  <si>
    <t>Michael Badgley</t>
  </si>
  <si>
    <t>Calvin Austin III</t>
  </si>
  <si>
    <t>Jeremy Ruckert</t>
  </si>
  <si>
    <t>Amari Rodgers</t>
  </si>
  <si>
    <t>Xavier Hutchinson</t>
  </si>
  <si>
    <t>Craig ReynolD/ST</t>
  </si>
  <si>
    <t>Tyler Badie</t>
  </si>
  <si>
    <t>Bailey Zappe</t>
  </si>
  <si>
    <t>Mike Boone</t>
  </si>
  <si>
    <t>Charlie Kolar</t>
  </si>
  <si>
    <t>Mohamed Ibrahim</t>
  </si>
  <si>
    <t>Matt Corral</t>
  </si>
  <si>
    <t>James Washington</t>
  </si>
  <si>
    <t>Andrei Iosivas</t>
  </si>
  <si>
    <t>Anthony Schwartz</t>
  </si>
  <si>
    <t>Justyn Ross</t>
  </si>
  <si>
    <t>Camerun Peoples</t>
  </si>
  <si>
    <t>Gardner Minshew II</t>
  </si>
  <si>
    <t>Erik Ezukanma</t>
  </si>
  <si>
    <t>O.J. Howard</t>
  </si>
  <si>
    <t>Ashton Dulin</t>
  </si>
  <si>
    <t>Rakim Jarrett</t>
  </si>
  <si>
    <t>A.T. Perry</t>
  </si>
  <si>
    <t>Dee Eskridge</t>
  </si>
  <si>
    <t>Chris Rodriguez Jr.</t>
  </si>
  <si>
    <t>John Bates</t>
  </si>
  <si>
    <t>Trey Palmer</t>
  </si>
  <si>
    <t>Skylar Thompson</t>
  </si>
  <si>
    <t>Jashaun Corbin</t>
  </si>
  <si>
    <t>Tevin Coleman</t>
  </si>
  <si>
    <t>Peyton Hendershot</t>
  </si>
  <si>
    <t>Ihmir Smith-Marsette</t>
  </si>
  <si>
    <t>Samori Toure</t>
  </si>
  <si>
    <t>Sam Ehlinger</t>
  </si>
  <si>
    <t>Laquon Treadwell</t>
  </si>
  <si>
    <t>Dare Ogunbowale</t>
  </si>
  <si>
    <t>William Fuller V</t>
  </si>
  <si>
    <t>Gary Brightwell</t>
  </si>
  <si>
    <t>Jamal Agnew</t>
  </si>
  <si>
    <t>Benny Snell Jr.</t>
  </si>
  <si>
    <t>Grant Calcaterra</t>
  </si>
  <si>
    <t>Brandon Bolden</t>
  </si>
  <si>
    <t>Sam Laporta</t>
  </si>
  <si>
    <t>James Proche II</t>
  </si>
  <si>
    <t>Mitch Trubisky</t>
  </si>
  <si>
    <t>Rashard Higgins</t>
  </si>
  <si>
    <t>Julius Chestnut</t>
  </si>
  <si>
    <t>Ian Thomas</t>
  </si>
  <si>
    <t>Royce Freeman</t>
  </si>
  <si>
    <t>Jaelon Darden</t>
  </si>
  <si>
    <t>Montrell Washington</t>
  </si>
  <si>
    <t>Kennedy Brooks</t>
  </si>
  <si>
    <t>Dareke Young</t>
  </si>
  <si>
    <t>Shi Smith</t>
  </si>
  <si>
    <t>Colby Parkinson</t>
  </si>
  <si>
    <t>Quintin Morris</t>
  </si>
  <si>
    <t>J.J. Taylor</t>
  </si>
  <si>
    <t>Avery Williams</t>
  </si>
  <si>
    <t>Lance McCutcheon</t>
  </si>
  <si>
    <t>KaVontae Turpin</t>
  </si>
  <si>
    <t>Flex-Position</t>
  </si>
  <si>
    <t>Flex-Score</t>
  </si>
  <si>
    <t>Weighted total score</t>
  </si>
  <si>
    <t>player</t>
  </si>
  <si>
    <t>position</t>
  </si>
  <si>
    <t>team</t>
  </si>
  <si>
    <t>birthday</t>
  </si>
  <si>
    <t>FA</t>
  </si>
  <si>
    <t>Name</t>
  </si>
  <si>
    <t>ESPN Position Rank</t>
  </si>
  <si>
    <t>Bye Week(s)</t>
  </si>
  <si>
    <t>Projected Points</t>
  </si>
  <si>
    <t>1. Justin Jefferson, WR, Vikings, WR1</t>
  </si>
  <si>
    <t>2. Ja'Marr Chase, WR, Bengals, WR2</t>
  </si>
  <si>
    <t>3. Christian McCaffrey, RB, 49ers, RB1</t>
  </si>
  <si>
    <t>4. Austin Ekeler, RB, Chargers, RB2</t>
  </si>
  <si>
    <t>5. Saquon Barkley, RB, Giants, RB3</t>
  </si>
  <si>
    <t>6. Cooper Kupp, WR, Rams, WR3</t>
  </si>
  <si>
    <t>7. Bijan Robinson, RB, Falcons, RB4</t>
  </si>
  <si>
    <t>8. Travis Kelce, TE, Chiefs, TE1</t>
  </si>
  <si>
    <t>9. Tyreek Hill, WR, Dolphins, WR4</t>
  </si>
  <si>
    <t>10. Jonathan Taylor, RB, Colts, RB5</t>
  </si>
  <si>
    <t>11. Derrick Henry, RB, Titans, RB6</t>
  </si>
  <si>
    <t>12. Tony Pollard, RB, Cowboys, RB7</t>
  </si>
  <si>
    <t>13. Josh Jacobs, RB, Raiders, RB8</t>
  </si>
  <si>
    <t>14. Stefon Diggs, WR, Bills, WR5</t>
  </si>
  <si>
    <t>15. Nick Chubb, RB, Browns, RB9</t>
  </si>
  <si>
    <t>16. Davante Adams, WR, Raiders, WR6</t>
  </si>
  <si>
    <t>17. Travis Etienne Jr., RB, Jaguars, RB10</t>
  </si>
  <si>
    <t>18. CeeDee Lamb, WR, Cowboys, WR7</t>
  </si>
  <si>
    <t>19. Garrett Wilson, WR, Jets, WR8</t>
  </si>
  <si>
    <t>20. Mark Andrews, TE, Ravens, TE2</t>
  </si>
  <si>
    <t>21. Joe Mixon, RB, Bengals, RB11</t>
  </si>
  <si>
    <t>22. A.J. Brown, WR, Eagles, WR9</t>
  </si>
  <si>
    <t>23. Aaron Jones, RB, Packers, RB12</t>
  </si>
  <si>
    <t>24. Najee Harris, RB, Steelers, RB13</t>
  </si>
  <si>
    <t>25. Rhamondre Stevenson, RB, Patriots, RB14</t>
  </si>
  <si>
    <t>26. T.J. Hockenson, TE, Vikings, TE3</t>
  </si>
  <si>
    <t>27. Amon-Ra St. Brown, WR, Lions, WR10</t>
  </si>
  <si>
    <t>28. Jahmyr Gibbs, RB, Lions, RB15</t>
  </si>
  <si>
    <t>29. Jaylen Waddle, WR, Dolphins, WR11</t>
  </si>
  <si>
    <t>30. Patrick Mahomes, QB, Chiefs, QB1</t>
  </si>
  <si>
    <t>31. Kenneth Walker III, RB, Seahawks, RB16</t>
  </si>
  <si>
    <t>32. Tee Higgins, WR, Bengals, WR12</t>
  </si>
  <si>
    <t>33. Dameon Pierce, RB, Texans, RB17</t>
  </si>
  <si>
    <t>34. DeVonta Smith, WR, Eagles, WR13</t>
  </si>
  <si>
    <t>35. James Conner, RB, Cardinals, RB18</t>
  </si>
  <si>
    <t>36. DK Metcalf, WR, Seahawks, WR14</t>
  </si>
  <si>
    <t>37. Rachaad White, RB, Buccaneers, RB19</t>
  </si>
  <si>
    <t>38. Josh Allen, QB, Bills, QB2</t>
  </si>
  <si>
    <t>39. Chris Olave, WR, Saints, WR15</t>
  </si>
  <si>
    <t>40. Keenan Allen, WR, Chargers, WR16</t>
  </si>
  <si>
    <t>41. Deebo Samuel, WR, 49ers, WR17</t>
  </si>
  <si>
    <t>42. Jalen Hurts, QB, Eagles, QB3</t>
  </si>
  <si>
    <t>43. Calvin Ridley, WR, Jaguars, WR18</t>
  </si>
  <si>
    <t>44. Darren Waller, TE, Giants, TE4</t>
  </si>
  <si>
    <t>45. Amari Cooper, WR, Browns, WR19</t>
  </si>
  <si>
    <t>46. Breece Hall, RB, Jets, RB20</t>
  </si>
  <si>
    <t>47. Chris Godwin, WR, Buccaneers, WR20</t>
  </si>
  <si>
    <t>48. Kyle Pitts, TE, Falcons, TE5</t>
  </si>
  <si>
    <t>49. DeAndre Hopkins, WR, Titans, WR21</t>
  </si>
  <si>
    <t>50. Jerry Jeudy, WR, Broncos, WR22</t>
  </si>
  <si>
    <t>51. Miles Sanders, RB, Panthers, RB21</t>
  </si>
  <si>
    <t>52. Alexander Mattison, RB, Vikings, RB22</t>
  </si>
  <si>
    <t>53. DJ Moore, WR, Bears, WR23</t>
  </si>
  <si>
    <t>54. Cam Akers, RB, Rams, RB23</t>
  </si>
  <si>
    <t>55. Drake London, WR, Falcons, WR24</t>
  </si>
  <si>
    <t>56. Lamar Jackson, QB, Ravens, QB4</t>
  </si>
  <si>
    <t>57. Christian Watson, WR, Packers, WR25</t>
  </si>
  <si>
    <t>58. George Kittle, TE, 49ers, TE6</t>
  </si>
  <si>
    <t>59. Joe Burrow, QB, Bengals, QB5</t>
  </si>
  <si>
    <t>60. J.K. Dobbins, RB, Ravens, RB24</t>
  </si>
  <si>
    <t>61. Alvin Kamara, RB, Saints, RB25</t>
  </si>
  <si>
    <t>62. Javonte Williams, RB, Broncos, RB26</t>
  </si>
  <si>
    <t>63. James Cook, RB, Bills, RB27</t>
  </si>
  <si>
    <t>64. Dallas Goedert, TE, Eagles, TE7</t>
  </si>
  <si>
    <t>65. Isiah Pacheco, RB, Chiefs, RB28</t>
  </si>
  <si>
    <t>66. Mike Evans, WR, Buccaneers, WR26</t>
  </si>
  <si>
    <t>67. Justin FielD/ST, QB, Bears, QB6</t>
  </si>
  <si>
    <t>68. Terry McLaurin, WR, Commanders, WR27</t>
  </si>
  <si>
    <t>69. Diontae Johnson, WR, Steelers, WR28</t>
  </si>
  <si>
    <t>70. D'Andre Swift, RB, Eagles, RB29</t>
  </si>
  <si>
    <t>71. Michael Pittman Jr., WR, Colts, WR29</t>
  </si>
  <si>
    <t>72. Tyler Lockett, WR, Seahawks, WR30</t>
  </si>
  <si>
    <t>73. David Montgomery, RB, Lions, RB30</t>
  </si>
  <si>
    <t>74. Trevor Lawrence, QB, Jaguars, QB7</t>
  </si>
  <si>
    <t>75. Mike Williams, WR, Chargers, WR31</t>
  </si>
  <si>
    <t>76. Brandon Aiyuk, WR, 49ers, WR32</t>
  </si>
  <si>
    <t>77. Christian Kirk, WR, Jaguars, WR33</t>
  </si>
  <si>
    <t>78. Justin Herbert, QB, Chargers, QB8</t>
  </si>
  <si>
    <t>79. Dalvin Cook, RB, Jets, RB31</t>
  </si>
  <si>
    <t>80. Evan Engram, TE, Jaguars, TE8</t>
  </si>
  <si>
    <t>81. AJ Dillon, RB, Packers, RB32</t>
  </si>
  <si>
    <t>82. Brian Robinson Jr., RB, Commanders, RB33</t>
  </si>
  <si>
    <t>83. Marquise Brown, WR, Cardinals, WR34</t>
  </si>
  <si>
    <t>84. Deshaun Watson, QB, Browns, QB9</t>
  </si>
  <si>
    <t>85. Jahan Dotson, WR, Commanders, WR35</t>
  </si>
  <si>
    <t>86. Antonio Gibson, RB, Commanders, RB34</t>
  </si>
  <si>
    <t>87. George Pickens, WR, Steelers, WR36</t>
  </si>
  <si>
    <t>88. Rashaad Penny, RB, Eagles, RB35</t>
  </si>
  <si>
    <t>89. Treylon Burks, WR, Titans, WR37</t>
  </si>
  <si>
    <t>90. Khalil Herbert, RB, Bears, RB36</t>
  </si>
  <si>
    <t>91. Samaje Perine, RB, Broncos, RB37</t>
  </si>
  <si>
    <t>92. Dak Prescott, QB, Cowboys, QB10</t>
  </si>
  <si>
    <t>93. Pat Freiermuth, TE, Steelers, TE9</t>
  </si>
  <si>
    <t>94. David Njoku, TE, Browns, TE10</t>
  </si>
  <si>
    <t>95. Courtland Sutton, WR, Broncos, WR38</t>
  </si>
  <si>
    <t>96. Dalton Schultz, TE, Texans, TE11</t>
  </si>
  <si>
    <t>97. Brandin Cooks, WR, Cowboys, WR39</t>
  </si>
  <si>
    <t>98. Tua Tagovailoa, QB, Dolphins, QB11</t>
  </si>
  <si>
    <t>99. Jordan Addison, WR, Vikings, WR40</t>
  </si>
  <si>
    <t>100. Kirk Cousins, QB, Vikings, QB12</t>
  </si>
  <si>
    <t>101. Jamaal Williams, RB, Saints, RB38</t>
  </si>
  <si>
    <t>102. Jaxon Smith-Njigba, WR, Seahawks, WR41</t>
  </si>
  <si>
    <t>103. Zach Charbonnet, RB, Seahawks, RB39</t>
  </si>
  <si>
    <t>104. Michael Thomas, WR, Saints, WR42</t>
  </si>
  <si>
    <t>105. Tyler Higbee, TE, Rams, TE12</t>
  </si>
  <si>
    <t>106. Aaron Rodgers, QB, Jets, QB13</t>
  </si>
  <si>
    <t>107. JuJu Smith-Schuster, WR, Patriots, WR43</t>
  </si>
  <si>
    <t>108. Jeff Wilson Jr., RB, Dolphins, RB40</t>
  </si>
  <si>
    <t>109. Gabe Davis, WR, Bills, WR44</t>
  </si>
  <si>
    <t>110. Daniel Jones, QB, Giants, QB14</t>
  </si>
  <si>
    <t>111. Cole Kmet, TE, Bears, TE13</t>
  </si>
  <si>
    <t>112. Greg Dulcich, TE, Broncos, TE14</t>
  </si>
  <si>
    <t>113. Jerick McKinnon, RB, Chiefs, RB41</t>
  </si>
  <si>
    <t>114. Jakobi Meyers, WR, Raiders, WR45</t>
  </si>
  <si>
    <t>115. Kadarius Toney, WR, Chiefs, WR46</t>
  </si>
  <si>
    <t>116. Damien Harris, RB, Bills, RB42</t>
  </si>
  <si>
    <t>117. Devin Singletary, RB, Texans, RB43</t>
  </si>
  <si>
    <t>118. Nico Collins, WR, Texans, WR47</t>
  </si>
  <si>
    <t>119. Russell Wilson, QB, Broncos, QB15</t>
  </si>
  <si>
    <t>120. Elijah Mitchell, RB, 49ers, RB44</t>
  </si>
  <si>
    <t>121. Tyler Allgeier, RB, Falcons, RB45</t>
  </si>
  <si>
    <t>122. Geno Smith, QB, Seahawks, QB16</t>
  </si>
  <si>
    <t>123. Chigoziem Okonkwo, TE, Titans, TE15</t>
  </si>
  <si>
    <t>124. Quentin Johnston, WR, Chargers, WR48</t>
  </si>
  <si>
    <t>125. Jaylen Warren, RB, Steelers, RB46</t>
  </si>
  <si>
    <t>126. Rashod Bateman, WR, Ravens, WR49</t>
  </si>
  <si>
    <t>127. Rondale Moore, WR, Cardinals, WR50</t>
  </si>
  <si>
    <t>128. Anthony RicharD/STon, QB, Colts, QB17</t>
  </si>
  <si>
    <t>129. Zach Ertz, TE, Cardinals, TE16</t>
  </si>
  <si>
    <t>130. D'Onta Foreman, RB, Bears, RB47</t>
  </si>
  <si>
    <t>131. Raheem Mostert, RB, Dolphins, RB48</t>
  </si>
  <si>
    <t>132. Jared Goff, QB, Lions, QB18</t>
  </si>
  <si>
    <t>133. Matthew Stafford, QB, Rams, QB19</t>
  </si>
  <si>
    <t>134. Dalton Kincaid, TE, Bills, TE17</t>
  </si>
  <si>
    <t>135. Ezekiel Elliott, RB, Patriots, RB49</t>
  </si>
  <si>
    <t>136. Elijah Moore, WR, Browns, WR51</t>
  </si>
  <si>
    <t>137. Darnell Mooney, WR, Bears, WR52</t>
  </si>
  <si>
    <t>138. Justin Tucker, K, Ravens, K1</t>
  </si>
  <si>
    <t>139. De'Von Achane, RB, Dolphins, RB50</t>
  </si>
  <si>
    <t>140. Kyler Murray, QB, Cardinals, QB20</t>
  </si>
  <si>
    <t>141. Gerald Everett, TE, Chargers, TE18</t>
  </si>
  <si>
    <t>142. Allen Lazard, WR, Jets, WR53</t>
  </si>
  <si>
    <t>143. Jerome Ford, RB, Browns, RB51</t>
  </si>
  <si>
    <t>144. Mike Gesicki, TE, Patriots, TE19</t>
  </si>
  <si>
    <t>145. Evan McPherson, K, Bengals, K2</t>
  </si>
  <si>
    <t>146. Irv Smith Jr., TE, Bengals, TE20</t>
  </si>
  <si>
    <t>147. Zay Flowers, WR, Ravens, WR54</t>
  </si>
  <si>
    <t>148. Juwan Johnson, TE, Saints, TE21</t>
  </si>
  <si>
    <t>149. 49ers D/ST, D/ST, 49ers, D/STT1</t>
  </si>
  <si>
    <t>150. DJ Chark Jr., WR, Panthers, WR55</t>
  </si>
  <si>
    <t>151. Hayden Hurst, TE, Panthers, TE22</t>
  </si>
  <si>
    <t>152. Dawson Knox, TE, Bills, TE23</t>
  </si>
  <si>
    <t>153. Skyy Moore, WR, Chiefs, WR56</t>
  </si>
  <si>
    <t>154. Bills D/ST, D/ST, Bills, D/STT2</t>
  </si>
  <si>
    <t>155. Kendre Miller, RB, Saints, RB52</t>
  </si>
  <si>
    <t>156. Michael Gallup, WR, Cowboys, WR57</t>
  </si>
  <si>
    <t>157. Daniel Carlson, K, Raiders, K3</t>
  </si>
  <si>
    <t>158. Jameson Williams, WR, Lions, WR58</t>
  </si>
  <si>
    <t>159. Cowboys D/ST, D/ST, Cowboys, D/STT3</t>
  </si>
  <si>
    <t>160. Chuba Hubbard, RB, Panthers, RB53</t>
  </si>
  <si>
    <t>161. Tyler Bass, K, Bills, K4</t>
  </si>
  <si>
    <t>162. Eagles D/ST, D/ST, Eagles, D/STT4</t>
  </si>
  <si>
    <t>163. Tyler Boyd, WR, Bengals, WR59</t>
  </si>
  <si>
    <t>164. Zay Jones, WR, Jaguars, WR60</t>
  </si>
  <si>
    <t>165. Kenny Pickett, QB, Steelers, QB21</t>
  </si>
  <si>
    <t>166. Tank Bigsby, RB, Jaguars, RB54</t>
  </si>
  <si>
    <t>167. Harrison Butker, K, Chiefs, K5</t>
  </si>
  <si>
    <t>168. Derek Carr, QB, Saints, QB22</t>
  </si>
  <si>
    <t>169. Odell Beckham Jr., WR, Ravens, WR61</t>
  </si>
  <si>
    <t>170. Jordan Love, QB, Packers, QB23</t>
  </si>
  <si>
    <t>171. Ravens D/ST, D/ST, Ravens, D/STT5</t>
  </si>
  <si>
    <t>172. Kenneth Gainwell, RB, Eagles, RB55</t>
  </si>
  <si>
    <t>173. Jason Sanders, K, Dolphins, K6</t>
  </si>
  <si>
    <t>174. Adam Thielen, WR, Panthers, WR62</t>
  </si>
  <si>
    <t>175. Jake Elliott, K, Eagles, K7</t>
  </si>
  <si>
    <t>176. Sam LaPorta, TE, Lions, TE24</t>
  </si>
  <si>
    <t>177. Saints D/ST, D/ST, Saints, D/STT6</t>
  </si>
  <si>
    <t>178. Cordarrelle Patterson, RB, Falcons, RB56</t>
  </si>
  <si>
    <t>179. Marquez Valdes-Scantling, WR, Chiefs, WR63</t>
  </si>
  <si>
    <t>180. Trey McBride, TE, Cardinals, TE25</t>
  </si>
  <si>
    <t>181. Noah Fant, TE, Seahawks, TE26</t>
  </si>
  <si>
    <t>182. Gus EdwarD/ST, RB, Ravens, RB57</t>
  </si>
  <si>
    <t>183. Bengals D/ST, D/ST, Bengals, D/STT7</t>
  </si>
  <si>
    <t>184. K.J. Osborn, WR, Vikings, WR64</t>
  </si>
  <si>
    <t>185. Bryce Young, QB, Panthers, QB24</t>
  </si>
  <si>
    <t>186. Michael Carter, RB, Jets, RB58</t>
  </si>
  <si>
    <t>187. Younghoe Koo, K, Falcons, K8</t>
  </si>
  <si>
    <t>188. Broncos D/ST, D/ST, Broncos, D/STT8</t>
  </si>
  <si>
    <t>189. Hunter Renfrow, WR, Raiders, WR65</t>
  </si>
  <si>
    <t>190. Graham Gano, K, Giants, K9</t>
  </si>
  <si>
    <t>191. Joshua Kelley, RB, Chargers, RB59</t>
  </si>
  <si>
    <t>192. C.J. Stroud, QB, Texans, QB25</t>
  </si>
  <si>
    <t>193. Jets D/ST, D/ST, Jets, D/STT9</t>
  </si>
  <si>
    <t>194. Jason Myers, K, Seahawks, K10</t>
  </si>
  <si>
    <t>195. Curtis Samuel, WR, Commanders, WR66</t>
  </si>
  <si>
    <t>196. Jimmy Garoppolo, QB, Raiders, QB26</t>
  </si>
  <si>
    <t>197. Clyde EdwarD/ST-Helaire, RB, Chiefs, RB60</t>
  </si>
  <si>
    <t>198. Robert WooD/ST, WR, Texans, WR67</t>
  </si>
  <si>
    <t>199. Dolphins D/ST, D/ST, Dolphins, D/STT10</t>
  </si>
  <si>
    <t>200. Kyren Williams, RB, Rams, RB61</t>
  </si>
  <si>
    <t>Rams</t>
  </si>
  <si>
    <t>Probability of Injury In the Season</t>
  </si>
  <si>
    <t>Scoring for all Offensive Players</t>
  </si>
  <si>
    <t>Rushing/Receiving TD/ST</t>
  </si>
  <si>
    <t>6 points</t>
  </si>
  <si>
    <t>Rushing/Receiving YarD/ST</t>
  </si>
  <si>
    <t>1 point for every 10 yarD/ST</t>
  </si>
  <si>
    <t>Receptions</t>
  </si>
  <si>
    <t>0.5 points</t>
  </si>
  <si>
    <t>Passing TD/ST</t>
  </si>
  <si>
    <t>4 points</t>
  </si>
  <si>
    <t>Passing Interceptions Thrown</t>
  </si>
  <si>
    <t>Negative 1 point</t>
  </si>
  <si>
    <t>Fumbles Lost to Opponent</t>
  </si>
  <si>
    <t>Negative 2 points</t>
  </si>
  <si>
    <t>Passing YarD/ST</t>
  </si>
  <si>
    <t>1 point for every 25 yarD/ST</t>
  </si>
  <si>
    <t>Passing/Rushing/Receiving 2 Point Conversions</t>
  </si>
  <si>
    <t>2 points</t>
  </si>
  <si>
    <t>Field Goal Made (0-39 yarD/ST)</t>
  </si>
  <si>
    <t>3 points</t>
  </si>
  <si>
    <t>Field Goal Made (40-49 yarD/ST)</t>
  </si>
  <si>
    <t>Field Goal Made (50+ yarD/ST)</t>
  </si>
  <si>
    <t>5 points</t>
  </si>
  <si>
    <t>Field Goal Missed</t>
  </si>
  <si>
    <t>Extra Point Made</t>
  </si>
  <si>
    <t>1 point</t>
  </si>
  <si>
    <t>Extra Point Missed</t>
  </si>
  <si>
    <t>Scoring for Defense and Special Teams</t>
  </si>
  <si>
    <t>Fumble Recoveries (from opponent)</t>
  </si>
  <si>
    <t>Interceptions Caught</t>
  </si>
  <si>
    <t>Blocked Kick (FG, XP, or punt)</t>
  </si>
  <si>
    <t>Sacked a QB</t>
  </si>
  <si>
    <t>Safeties</t>
  </si>
  <si>
    <t>Total Points Allowed (0)</t>
  </si>
  <si>
    <t>10 points</t>
  </si>
  <si>
    <t>Total Points Allowed (1-6)</t>
  </si>
  <si>
    <t>7 points</t>
  </si>
  <si>
    <t>Total Points Allowed (7-13)</t>
  </si>
  <si>
    <t>Total Points Allowed (14-20)</t>
  </si>
  <si>
    <t>1 points</t>
  </si>
  <si>
    <t>Total Points Allowed (21-27)</t>
  </si>
  <si>
    <t>0 points</t>
  </si>
  <si>
    <t>Total Points Allowed (28-34)</t>
  </si>
  <si>
    <t>-1 points</t>
  </si>
  <si>
    <t>Total Points Allowed (35+)</t>
  </si>
  <si>
    <t>-4 points</t>
  </si>
  <si>
    <t>Defensive and Special Teams TD/ST</t>
  </si>
  <si>
    <t>Scoring for Individual Defensive Players</t>
  </si>
  <si>
    <t>Solo Tackles</t>
  </si>
  <si>
    <t>1.5 points</t>
  </si>
  <si>
    <t>Assisted Tackles</t>
  </si>
  <si>
    <t>.75 points</t>
  </si>
  <si>
    <t>Tackles for Loss</t>
  </si>
  <si>
    <t>Sacks</t>
  </si>
  <si>
    <t>Interceptions</t>
  </si>
  <si>
    <t>Fumbles Forced</t>
  </si>
  <si>
    <t>Fumble Recoveries</t>
  </si>
  <si>
    <t>Defensive Touchdowns</t>
  </si>
  <si>
    <t>Passes Defended</t>
  </si>
  <si>
    <t>Cowboys D/st</t>
  </si>
  <si>
    <t>49ers D/st</t>
  </si>
  <si>
    <t>Eagles D/st</t>
  </si>
  <si>
    <t>Ravens D/st</t>
  </si>
  <si>
    <t>Patriots D/st</t>
  </si>
  <si>
    <t>Bills D/st</t>
  </si>
  <si>
    <t>Panthers D/st</t>
  </si>
  <si>
    <t>Chiefs D/st</t>
  </si>
  <si>
    <t>Browns D/st</t>
  </si>
  <si>
    <t>Giants D/st</t>
  </si>
  <si>
    <t>Jaguars D/st</t>
  </si>
  <si>
    <t>Bengals D/st</t>
  </si>
  <si>
    <t>Jets D/st</t>
  </si>
  <si>
    <t>Saints D/st</t>
  </si>
  <si>
    <t>Steelers D/st</t>
  </si>
  <si>
    <t>Seahawks D/st</t>
  </si>
  <si>
    <t>Colts D/st</t>
  </si>
  <si>
    <t>Lions D/st</t>
  </si>
  <si>
    <t>Chargers D/st</t>
  </si>
  <si>
    <t>Buccaneers D/st</t>
  </si>
  <si>
    <t>Vikings D/st</t>
  </si>
  <si>
    <t>Packers D/st</t>
  </si>
  <si>
    <t>Broncos D/st</t>
  </si>
  <si>
    <t>Commanders D/st</t>
  </si>
  <si>
    <t>Titans D/st</t>
  </si>
  <si>
    <t>Dolphins D/st</t>
  </si>
  <si>
    <t>Falcons D/st</t>
  </si>
  <si>
    <t>Texans D/st</t>
  </si>
  <si>
    <t>Rams D/st</t>
  </si>
  <si>
    <t>Cardinals D/st</t>
  </si>
  <si>
    <t>Bears D/st</t>
  </si>
  <si>
    <t>Raiders D/st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</si>
</sst>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/yy"/>
  </numFmts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  <scheme val="minor"/>
    </font>
    <font>
      <sz val="9.0"/>
      <color rgb="FF1155CC"/>
      <name val="&quot;Google Sans Mono&quot;"/>
    </font>
    <font>
      <b/>
      <sz val="10.0"/>
      <color rgb="FF1F1F1F"/>
      <name val="&quot;Google Sans&quot;"/>
    </font>
    <font>
      <b/>
      <sz val="10.0"/>
      <color rgb="FF000000"/>
      <name val="Arial"/>
      <scheme val="minor"/>
    </font>
    <font>
      <sz val="12.0"/>
      <color rgb="FF000000"/>
      <name val="Calibri"/>
    </font>
    <font>
      <sz val="11.0"/>
      <color rgb="FF1F1F1F"/>
      <name val="&quot;Google Sans&quot;"/>
    </font>
    <font>
      <sz val="9.0"/>
      <color rgb="FF000000"/>
      <name val="Arial"/>
      <scheme val="minor"/>
    </font>
    <font>
      <b/>
      <sz val="13.0"/>
      <color rgb="FF333333"/>
      <name val="Consolas"/>
    </font>
    <font>
      <sz val="12.0"/>
      <color rgb="FF48494A"/>
      <name val="Georgia"/>
    </font>
    <font>
      <u/>
      <sz val="12.0"/>
      <color rgb="FF48494A"/>
      <name val="Georgia"/>
    </font>
    <font>
      <sz val="12.0"/>
      <color rgb="FF48494A"/>
      <name val="Inherit"/>
    </font>
    <font>
      <sz val="12.0"/>
      <color rgb="FF0066CC"/>
      <name val="Inherit"/>
    </font>
    <font>
      <u/>
      <sz val="12.0"/>
      <color rgb="FF48494A"/>
      <name val="Georgia"/>
    </font>
    <font>
      <b/>
      <sz val="14.0"/>
      <color rgb="FF547F2F"/>
      <name val="Endzone"/>
    </font>
    <font>
      <b/>
      <sz val="11.0"/>
      <color rgb="FF212121"/>
      <name val="&quot;Open Sans&quot;"/>
    </font>
    <font/>
    <font>
      <sz val="11.0"/>
      <color rgb="FF212121"/>
      <name val="&quot;Open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3D9FD"/>
        <bgColor rgb="FFC3D9F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Font="1" applyNumberFormat="1"/>
    <xf borderId="0" fillId="2" fontId="2" numFmtId="49" xfId="0" applyAlignment="1" applyFill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164" xfId="0" applyFont="1" applyNumberFormat="1"/>
    <xf borderId="0" fillId="0" fontId="2" numFmtId="49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2" fontId="2" numFmtId="49" xfId="0" applyFont="1" applyNumberFormat="1"/>
    <xf borderId="0" fillId="2" fontId="4" numFmtId="0" xfId="0" applyFont="1"/>
    <xf borderId="0" fillId="2" fontId="2" numFmtId="0" xfId="0" applyFont="1"/>
    <xf borderId="0" fillId="2" fontId="2" numFmtId="49" xfId="0" applyAlignment="1" applyFont="1" applyNumberFormat="1">
      <alignment horizontal="left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164" xfId="0" applyFont="1" applyNumberFormat="1"/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4" fontId="1" numFmtId="0" xfId="0" applyFill="1" applyFont="1"/>
    <xf borderId="0" fillId="0" fontId="1" numFmtId="9" xfId="0" applyFont="1" applyNumberFormat="1"/>
    <xf borderId="0" fillId="0" fontId="1" numFmtId="49" xfId="0" applyAlignment="1" applyFont="1" applyNumberFormat="1">
      <alignment horizontal="center"/>
    </xf>
    <xf borderId="0" fillId="0" fontId="7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/>
    </xf>
    <xf borderId="0" fillId="2" fontId="9" numFmtId="0" xfId="0" applyFont="1"/>
    <xf borderId="0" fillId="0" fontId="0" numFmtId="0" xfId="0" applyAlignment="1" applyFont="1">
      <alignment horizontal="left"/>
    </xf>
    <xf borderId="0" fillId="0" fontId="7" numFmtId="165" xfId="0" applyAlignment="1" applyFont="1" applyNumberFormat="1">
      <alignment horizontal="right" readingOrder="0" shrinkToFit="0" vertical="bottom" wrapText="0"/>
    </xf>
    <xf borderId="0" fillId="0" fontId="10" numFmtId="0" xfId="0" applyFont="1"/>
    <xf borderId="0" fillId="0" fontId="7" numFmtId="0" xfId="0" applyAlignment="1" applyFont="1">
      <alignment shrinkToFit="0" vertical="bottom" wrapText="0"/>
    </xf>
    <xf borderId="0" fillId="0" fontId="10" numFmtId="0" xfId="0" applyAlignment="1" applyFont="1">
      <alignment readingOrder="0"/>
    </xf>
    <xf borderId="0" fillId="3" fontId="1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3" numFmtId="0" xfId="0" applyFont="1"/>
    <xf borderId="0" fillId="2" fontId="0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" fontId="0" numFmtId="0" xfId="0" applyFont="1"/>
    <xf borderId="0" fillId="2" fontId="15" numFmtId="0" xfId="0" applyAlignment="1" applyFont="1">
      <alignment readingOrder="0"/>
    </xf>
    <xf borderId="0" fillId="2" fontId="2" numFmtId="9" xfId="0" applyFont="1" applyNumberFormat="1"/>
    <xf borderId="0" fillId="0" fontId="1" numFmtId="10" xfId="0" applyFont="1" applyNumberFormat="1"/>
    <xf borderId="0" fillId="0" fontId="16" numFmtId="0" xfId="0" applyAlignment="1" applyFont="1">
      <alignment readingOrder="0"/>
    </xf>
    <xf borderId="0" fillId="0" fontId="17" numFmtId="0" xfId="0" applyAlignment="1" applyFont="1">
      <alignment horizontal="center" readingOrder="0"/>
    </xf>
    <xf borderId="2" fillId="5" fontId="17" numFmtId="0" xfId="0" applyAlignment="1" applyBorder="1" applyFill="1" applyFont="1">
      <alignment horizontal="center" readingOrder="0"/>
    </xf>
    <xf borderId="3" fillId="0" fontId="18" numFmtId="0" xfId="0" applyBorder="1" applyFont="1"/>
    <xf borderId="0" fillId="0" fontId="19" numFmtId="0" xfId="0" applyAlignment="1" applyFont="1">
      <alignment horizontal="left" readingOrder="0"/>
    </xf>
    <xf borderId="1" fillId="2" fontId="19" numFmtId="0" xfId="0" applyAlignment="1" applyBorder="1" applyFont="1">
      <alignment horizontal="left" readingOrder="0"/>
    </xf>
    <xf borderId="1" fillId="2" fontId="19" numFmtId="0" xfId="0" applyAlignment="1" applyBorder="1" applyFont="1">
      <alignment readingOrder="0"/>
    </xf>
    <xf borderId="0" fillId="2" fontId="19" numFmtId="0" xfId="0" applyAlignment="1" applyFont="1">
      <alignment horizontal="left" readingOrder="0"/>
    </xf>
    <xf borderId="0" fillId="5" fontId="17" numFmtId="0" xfId="0" applyAlignment="1" applyFont="1">
      <alignment horizontal="center" readingOrder="0"/>
    </xf>
    <xf borderId="0" fillId="2" fontId="19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4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spn.com/nfl/player/_/id/4361370/chris-olave" TargetMode="External"/><Relationship Id="rId190" Type="http://schemas.openxmlformats.org/officeDocument/2006/relationships/hyperlink" Target="https://www.espn.com/nfl/player/_/id/3135321/hunter-renfrow" TargetMode="External"/><Relationship Id="rId42" Type="http://schemas.openxmlformats.org/officeDocument/2006/relationships/hyperlink" Target="https://www.espn.com/nfl/player/_/id/3126486/deebo-samuel" TargetMode="External"/><Relationship Id="rId41" Type="http://schemas.openxmlformats.org/officeDocument/2006/relationships/hyperlink" Target="https://www.espn.com/nfl/player/_/id/15818/keenan-allen" TargetMode="External"/><Relationship Id="rId44" Type="http://schemas.openxmlformats.org/officeDocument/2006/relationships/hyperlink" Target="https://www.espn.com/nfl/player/_/id/3925357/calvin-ridley" TargetMode="External"/><Relationship Id="rId194" Type="http://schemas.openxmlformats.org/officeDocument/2006/relationships/hyperlink" Target="https://www.espn.com/nfl/player/_/id/-16020/jets-d/st" TargetMode="External"/><Relationship Id="rId43" Type="http://schemas.openxmlformats.org/officeDocument/2006/relationships/hyperlink" Target="https://www.espn.com/nfl/player/_/id/4040715/jalen-hurts" TargetMode="External"/><Relationship Id="rId193" Type="http://schemas.openxmlformats.org/officeDocument/2006/relationships/hyperlink" Target="https://www.espn.com/nfl/player/_/id/4432577/c.j.-stroud" TargetMode="External"/><Relationship Id="rId46" Type="http://schemas.openxmlformats.org/officeDocument/2006/relationships/hyperlink" Target="https://www.espn.com/nfl/player/_/id/2976499/amari-cooper" TargetMode="External"/><Relationship Id="rId192" Type="http://schemas.openxmlformats.org/officeDocument/2006/relationships/hyperlink" Target="http://www.espn.com/nfl/player/_/id/3910544/joshua-kelley" TargetMode="External"/><Relationship Id="rId45" Type="http://schemas.openxmlformats.org/officeDocument/2006/relationships/hyperlink" Target="https://www.espn.com/nfl/player/_/id/2576925/darren-waller" TargetMode="External"/><Relationship Id="rId191" Type="http://schemas.openxmlformats.org/officeDocument/2006/relationships/hyperlink" Target="https://www.espn.com/nfl/player/_/id/12460/graham-gano" TargetMode="External"/><Relationship Id="rId48" Type="http://schemas.openxmlformats.org/officeDocument/2006/relationships/hyperlink" Target="http://www.espn.com/nfl/player/_/id/3116165/chris-godwin" TargetMode="External"/><Relationship Id="rId187" Type="http://schemas.openxmlformats.org/officeDocument/2006/relationships/hyperlink" Target="https://www.espn.com/nfl/player/_/id/4240657/michael-carter" TargetMode="External"/><Relationship Id="rId47" Type="http://schemas.openxmlformats.org/officeDocument/2006/relationships/hyperlink" Target="https://www.espn.com/nfl/player/_/id/4427366/breece-hall" TargetMode="External"/><Relationship Id="rId186" Type="http://schemas.openxmlformats.org/officeDocument/2006/relationships/hyperlink" Target="https://www.espn.com/nfl/player/_/id/4685720/bryce-young" TargetMode="External"/><Relationship Id="rId185" Type="http://schemas.openxmlformats.org/officeDocument/2006/relationships/hyperlink" Target="https://www.espn.com/nfl/player/_/id/3916566/k.j.-osborn" TargetMode="External"/><Relationship Id="rId49" Type="http://schemas.openxmlformats.org/officeDocument/2006/relationships/hyperlink" Target="https://www.espn.com/nfl/player/_/id/4360248/kyle-pitts" TargetMode="External"/><Relationship Id="rId184" Type="http://schemas.openxmlformats.org/officeDocument/2006/relationships/hyperlink" Target="https://www.espn.com/nfl/player/_/id/-16004/bengals-d/st" TargetMode="External"/><Relationship Id="rId189" Type="http://schemas.openxmlformats.org/officeDocument/2006/relationships/hyperlink" Target="https://www.espn.com/nfl/player/_/id/-16007/broncos-d/st" TargetMode="External"/><Relationship Id="rId188" Type="http://schemas.openxmlformats.org/officeDocument/2006/relationships/hyperlink" Target="https://www.espn.com/nfl/player/_/id/3049899/younghoe-koo" TargetMode="External"/><Relationship Id="rId31" Type="http://schemas.openxmlformats.org/officeDocument/2006/relationships/hyperlink" Target="https://www.espn.com/nfl/player/_/id/3139477/patrick-mahomes" TargetMode="External"/><Relationship Id="rId30" Type="http://schemas.openxmlformats.org/officeDocument/2006/relationships/hyperlink" Target="https://www.espn.com/nfl/player/_/id/4372016/jaylen-waddle" TargetMode="External"/><Relationship Id="rId33" Type="http://schemas.openxmlformats.org/officeDocument/2006/relationships/hyperlink" Target="https://www.espn.com/nfl/player/_/id/4239993/tee-higgins" TargetMode="External"/><Relationship Id="rId183" Type="http://schemas.openxmlformats.org/officeDocument/2006/relationships/hyperlink" Target="http://www.espn.com/nfl/player/_/id/3051926/gus-edwards" TargetMode="External"/><Relationship Id="rId32" Type="http://schemas.openxmlformats.org/officeDocument/2006/relationships/hyperlink" Target="https://www.espn.com/nfl/player/_/id/4567048/kenneth-walker-iii" TargetMode="External"/><Relationship Id="rId182" Type="http://schemas.openxmlformats.org/officeDocument/2006/relationships/hyperlink" Target="https://www.espn.com/nfl/player/_/id/4036131/noah-fant" TargetMode="External"/><Relationship Id="rId35" Type="http://schemas.openxmlformats.org/officeDocument/2006/relationships/hyperlink" Target="http://www.espn.com/nfl/player/_/id/4241478/devonta-smith" TargetMode="External"/><Relationship Id="rId181" Type="http://schemas.openxmlformats.org/officeDocument/2006/relationships/hyperlink" Target="https://www.espn.com/nfl/player/_/id/4361307/trey-mcbride" TargetMode="External"/><Relationship Id="rId34" Type="http://schemas.openxmlformats.org/officeDocument/2006/relationships/hyperlink" Target="https://www.espn.com/nfl/player/_/id/4360238/dameon-pierce" TargetMode="External"/><Relationship Id="rId180" Type="http://schemas.openxmlformats.org/officeDocument/2006/relationships/hyperlink" Target="http://www.espn.com/nfl/player/_/id/3051738/marquez-valdes-scantling" TargetMode="External"/><Relationship Id="rId37" Type="http://schemas.openxmlformats.org/officeDocument/2006/relationships/hyperlink" Target="https://www.espn.com/nfl/player/_/id/4047650/dk-metcalf" TargetMode="External"/><Relationship Id="rId176" Type="http://schemas.openxmlformats.org/officeDocument/2006/relationships/hyperlink" Target="https://www.espn.com/nfl/player/_/id/3050478/jake-elliott" TargetMode="External"/><Relationship Id="rId36" Type="http://schemas.openxmlformats.org/officeDocument/2006/relationships/hyperlink" Target="https://www.espn.com/nfl/player/_/id/3045147/james-conner" TargetMode="External"/><Relationship Id="rId175" Type="http://schemas.openxmlformats.org/officeDocument/2006/relationships/hyperlink" Target="https://www.espn.com/nfl/player/_/id/16460/adam-thielen" TargetMode="External"/><Relationship Id="rId39" Type="http://schemas.openxmlformats.org/officeDocument/2006/relationships/hyperlink" Target="https://www.espn.com/nfl/player/_/id/3918298/josh-allen" TargetMode="External"/><Relationship Id="rId174" Type="http://schemas.openxmlformats.org/officeDocument/2006/relationships/hyperlink" Target="https://www.espn.com/nfl/player/_/id/3124679/jason-sanders" TargetMode="External"/><Relationship Id="rId38" Type="http://schemas.openxmlformats.org/officeDocument/2006/relationships/hyperlink" Target="http://www.espn.com/nfl/player/_/id/4697815/rachaad-white" TargetMode="External"/><Relationship Id="rId173" Type="http://schemas.openxmlformats.org/officeDocument/2006/relationships/hyperlink" Target="https://www.espn.com/nfl/player/_/id/4371733/kenneth-gainwell" TargetMode="External"/><Relationship Id="rId179" Type="http://schemas.openxmlformats.org/officeDocument/2006/relationships/hyperlink" Target="https://www.espn.com/nfl/player/_/id/15807/cordarrelle-patterson" TargetMode="External"/><Relationship Id="rId178" Type="http://schemas.openxmlformats.org/officeDocument/2006/relationships/hyperlink" Target="https://www.espn.com/nfl/player/_/id/-16018/saints-d/st" TargetMode="External"/><Relationship Id="rId177" Type="http://schemas.openxmlformats.org/officeDocument/2006/relationships/hyperlink" Target="https://www.espn.com/nfl/player/_/id/4430027/sam-laporta" TargetMode="External"/><Relationship Id="rId20" Type="http://schemas.openxmlformats.org/officeDocument/2006/relationships/hyperlink" Target="https://www.espn.com/nfl/player/_/id/4569618/garrett-wilson" TargetMode="External"/><Relationship Id="rId22" Type="http://schemas.openxmlformats.org/officeDocument/2006/relationships/hyperlink" Target="https://www.espn.com/nfl/player/_/id/3116385/joe-mixon" TargetMode="External"/><Relationship Id="rId21" Type="http://schemas.openxmlformats.org/officeDocument/2006/relationships/hyperlink" Target="https://www.espn.com/nfl/player/_/id/3116365/mark-andrews" TargetMode="External"/><Relationship Id="rId24" Type="http://schemas.openxmlformats.org/officeDocument/2006/relationships/hyperlink" Target="https://www.espn.com/nfl/player/_/id/3042519/aaron-jones" TargetMode="External"/><Relationship Id="rId23" Type="http://schemas.openxmlformats.org/officeDocument/2006/relationships/hyperlink" Target="https://www.espn.com/nfl/player/_/id/4047646/a.j.-brown" TargetMode="External"/><Relationship Id="rId26" Type="http://schemas.openxmlformats.org/officeDocument/2006/relationships/hyperlink" Target="https://www.espn.com/nfl/player/_/id/4569173/rhamondre-stevenson" TargetMode="External"/><Relationship Id="rId25" Type="http://schemas.openxmlformats.org/officeDocument/2006/relationships/hyperlink" Target="https://www.espn.com/nfl/player/_/id/4241457/najee-harris" TargetMode="External"/><Relationship Id="rId28" Type="http://schemas.openxmlformats.org/officeDocument/2006/relationships/hyperlink" Target="https://www.espn.com/nfl/player/_/id/4374302/amon-ra-st.-brown" TargetMode="External"/><Relationship Id="rId27" Type="http://schemas.openxmlformats.org/officeDocument/2006/relationships/hyperlink" Target="https://www.espn.com/nfl/player/_/id/4036133/t.j.-hockenson" TargetMode="External"/><Relationship Id="rId29" Type="http://schemas.openxmlformats.org/officeDocument/2006/relationships/hyperlink" Target="https://www.espn.com/nfl/player/_/id/4429795/jahmyr-gibbs" TargetMode="External"/><Relationship Id="rId11" Type="http://schemas.openxmlformats.org/officeDocument/2006/relationships/hyperlink" Target="https://www.espn.com/nfl/player/_/id/4242335/jonathan-taylor" TargetMode="External"/><Relationship Id="rId10" Type="http://schemas.openxmlformats.org/officeDocument/2006/relationships/hyperlink" Target="https://www.espn.com/nfl/player/_/id/3116406/tyreek-hill" TargetMode="External"/><Relationship Id="rId13" Type="http://schemas.openxmlformats.org/officeDocument/2006/relationships/hyperlink" Target="https://www.espn.com/nfl/player/_/id/3916148/tony-pollard" TargetMode="External"/><Relationship Id="rId12" Type="http://schemas.openxmlformats.org/officeDocument/2006/relationships/hyperlink" Target="https://www.espn.com/nfl/player/_/id/3043078/derrick-henry" TargetMode="External"/><Relationship Id="rId15" Type="http://schemas.openxmlformats.org/officeDocument/2006/relationships/hyperlink" Target="https://www.espn.com/nfl/player/_/id/2976212/stefon-diggs" TargetMode="External"/><Relationship Id="rId198" Type="http://schemas.openxmlformats.org/officeDocument/2006/relationships/hyperlink" Target="https://www.espn.com/nfl/player/_/id/4242214/clyde-edwards-helaire" TargetMode="External"/><Relationship Id="rId14" Type="http://schemas.openxmlformats.org/officeDocument/2006/relationships/hyperlink" Target="https://www.espn.com/nfl/player/_/id/4047365/josh-jacobs" TargetMode="External"/><Relationship Id="rId197" Type="http://schemas.openxmlformats.org/officeDocument/2006/relationships/hyperlink" Target="https://www.espn.com/nfl/player/_/id/16760/jimmy-garoppolo" TargetMode="External"/><Relationship Id="rId17" Type="http://schemas.openxmlformats.org/officeDocument/2006/relationships/hyperlink" Target="http://www.espn.com/nfl/player/_/id/16800/davante-adams" TargetMode="External"/><Relationship Id="rId196" Type="http://schemas.openxmlformats.org/officeDocument/2006/relationships/hyperlink" Target="https://www.espn.com/nfl/player/_/id/3121427/curtis-samuel" TargetMode="External"/><Relationship Id="rId16" Type="http://schemas.openxmlformats.org/officeDocument/2006/relationships/hyperlink" Target="https://www.espn.com/nfl/player/_/id/3128720/nick-chubb" TargetMode="External"/><Relationship Id="rId195" Type="http://schemas.openxmlformats.org/officeDocument/2006/relationships/hyperlink" Target="https://www.espn.com/nfl/player/_/id/2473037/jason-myers" TargetMode="External"/><Relationship Id="rId19" Type="http://schemas.openxmlformats.org/officeDocument/2006/relationships/hyperlink" Target="https://www.espn.com/nfl/player/_/id/4241389/ceedee-lamb" TargetMode="External"/><Relationship Id="rId18" Type="http://schemas.openxmlformats.org/officeDocument/2006/relationships/hyperlink" Target="https://www.espn.com/nfl/player/_/id/4239996/travis-etienne-jr." TargetMode="External"/><Relationship Id="rId199" Type="http://schemas.openxmlformats.org/officeDocument/2006/relationships/hyperlink" Target="https://www.espn.com/nfl/player/_/id/15880/robert-woods" TargetMode="External"/><Relationship Id="rId84" Type="http://schemas.openxmlformats.org/officeDocument/2006/relationships/hyperlink" Target="https://www.espn.com/nfl/player/_/id/4241372/marquise-brown" TargetMode="External"/><Relationship Id="rId83" Type="http://schemas.openxmlformats.org/officeDocument/2006/relationships/hyperlink" Target="https://www.espn.com/nfl/player/_/id/4241474/brian-robinson-jr." TargetMode="External"/><Relationship Id="rId86" Type="http://schemas.openxmlformats.org/officeDocument/2006/relationships/hyperlink" Target="http://www.espn.com/nfl/player/_/id/4361409/jahan-dotson" TargetMode="External"/><Relationship Id="rId85" Type="http://schemas.openxmlformats.org/officeDocument/2006/relationships/hyperlink" Target="https://www.espn.com/nfl/player/_/id/3122840/deshaun-watson" TargetMode="External"/><Relationship Id="rId88" Type="http://schemas.openxmlformats.org/officeDocument/2006/relationships/hyperlink" Target="https://www.espn.com/nfl/player/_/id/4426354/george-pickens" TargetMode="External"/><Relationship Id="rId150" Type="http://schemas.openxmlformats.org/officeDocument/2006/relationships/hyperlink" Target="https://www.espn.com/nfl/player/_/id/-16025/49ers-d/st" TargetMode="External"/><Relationship Id="rId87" Type="http://schemas.openxmlformats.org/officeDocument/2006/relationships/hyperlink" Target="https://www.espn.com/nfl/player/_/id/4360294/antonio-gibson" TargetMode="External"/><Relationship Id="rId89" Type="http://schemas.openxmlformats.org/officeDocument/2006/relationships/hyperlink" Target="https://www.espn.com/nfl/player/_/id/3139925/rashaad-penny" TargetMode="External"/><Relationship Id="rId80" Type="http://schemas.openxmlformats.org/officeDocument/2006/relationships/hyperlink" Target="https://www.espn.com/nfl/player/_/id/3116593/dalvin-cook" TargetMode="External"/><Relationship Id="rId82" Type="http://schemas.openxmlformats.org/officeDocument/2006/relationships/hyperlink" Target="http://www.espn.com/nfl/player/_/id/4239934/aj-dillon" TargetMode="External"/><Relationship Id="rId81" Type="http://schemas.openxmlformats.org/officeDocument/2006/relationships/hyperlink" Target="https://www.espn.com/nfl/player/_/id/3051876/evan-engram" TargetMode="External"/><Relationship Id="rId1" Type="http://schemas.openxmlformats.org/officeDocument/2006/relationships/comments" Target="../comments5.xml"/><Relationship Id="rId2" Type="http://schemas.openxmlformats.org/officeDocument/2006/relationships/hyperlink" Target="http://www.espn.com/nfl/player/_/id/4262921/justin-jefferson" TargetMode="External"/><Relationship Id="rId3" Type="http://schemas.openxmlformats.org/officeDocument/2006/relationships/hyperlink" Target="https://www.espn.com/nfl/player/_/id/4362628/ja'marr-chase" TargetMode="External"/><Relationship Id="rId149" Type="http://schemas.openxmlformats.org/officeDocument/2006/relationships/hyperlink" Target="https://www.espn.com/nfl/player/_/id/3929645/juwan-johnson" TargetMode="External"/><Relationship Id="rId4" Type="http://schemas.openxmlformats.org/officeDocument/2006/relationships/hyperlink" Target="https://www.espn.com/nfl/player/_/id/3117251/christian-mccaffrey" TargetMode="External"/><Relationship Id="rId148" Type="http://schemas.openxmlformats.org/officeDocument/2006/relationships/hyperlink" Target="https://www.espn.com/nfl/player/_/id/4429615/zay-flowers" TargetMode="External"/><Relationship Id="rId9" Type="http://schemas.openxmlformats.org/officeDocument/2006/relationships/hyperlink" Target="https://www.espn.com/nfl/player/_/id/15847/travis-kelce" TargetMode="External"/><Relationship Id="rId143" Type="http://schemas.openxmlformats.org/officeDocument/2006/relationships/hyperlink" Target="https://www.espn.com/nfl/player/_/id/3128390/allen-lazard" TargetMode="External"/><Relationship Id="rId142" Type="http://schemas.openxmlformats.org/officeDocument/2006/relationships/hyperlink" Target="https://www.espn.com/nfl/player/_/id/3918639/gerald-everett" TargetMode="External"/><Relationship Id="rId141" Type="http://schemas.openxmlformats.org/officeDocument/2006/relationships/hyperlink" Target="https://www.espn.com/nfl/player/_/id/3917315/kyler-murray" TargetMode="External"/><Relationship Id="rId140" Type="http://schemas.openxmlformats.org/officeDocument/2006/relationships/hyperlink" Target="https://www.espn.com/nfl/player/_/id/4429160/de'von-achane" TargetMode="External"/><Relationship Id="rId5" Type="http://schemas.openxmlformats.org/officeDocument/2006/relationships/hyperlink" Target="https://www.espn.com/nfl/player/_/id/3068267/austin-ekeler" TargetMode="External"/><Relationship Id="rId147" Type="http://schemas.openxmlformats.org/officeDocument/2006/relationships/hyperlink" Target="https://www.espn.com/nfl/player/_/id/4040980/irv-smith-jr." TargetMode="External"/><Relationship Id="rId6" Type="http://schemas.openxmlformats.org/officeDocument/2006/relationships/hyperlink" Target="https://www.espn.com/nfl/player/_/id/3929630/saquon-barkley" TargetMode="External"/><Relationship Id="rId146" Type="http://schemas.openxmlformats.org/officeDocument/2006/relationships/hyperlink" Target="https://www.espn.com/nfl/player/_/id/4360234/evan-mcpherson" TargetMode="External"/><Relationship Id="rId7" Type="http://schemas.openxmlformats.org/officeDocument/2006/relationships/hyperlink" Target="https://www.espn.com/nfl/player/_/id/2977187/cooper-kupp" TargetMode="External"/><Relationship Id="rId145" Type="http://schemas.openxmlformats.org/officeDocument/2006/relationships/hyperlink" Target="https://www.espn.com/nfl/player/_/id/3116164/mike-gesicki" TargetMode="External"/><Relationship Id="rId8" Type="http://schemas.openxmlformats.org/officeDocument/2006/relationships/hyperlink" Target="https://www.espn.com/nfl/player/_/id/4430807/bijan-robinson" TargetMode="External"/><Relationship Id="rId144" Type="http://schemas.openxmlformats.org/officeDocument/2006/relationships/hyperlink" Target="https://www.espn.com/nfl/player/_/id/4372019/jerome-ford" TargetMode="External"/><Relationship Id="rId73" Type="http://schemas.openxmlformats.org/officeDocument/2006/relationships/hyperlink" Target="https://www.espn.com/nfl/player/_/id/2577327/tyler-lockett" TargetMode="External"/><Relationship Id="rId72" Type="http://schemas.openxmlformats.org/officeDocument/2006/relationships/hyperlink" Target="https://www.espn.com/nfl/player/_/id/4035687/michael-pittman-jr." TargetMode="External"/><Relationship Id="rId75" Type="http://schemas.openxmlformats.org/officeDocument/2006/relationships/hyperlink" Target="https://www.espn.com/nfl/player/_/id/4360310/trevor-lawrence" TargetMode="External"/><Relationship Id="rId74" Type="http://schemas.openxmlformats.org/officeDocument/2006/relationships/hyperlink" Target="https://www.espn.com/nfl/player/_/id/4035538/david-montgomery" TargetMode="External"/><Relationship Id="rId77" Type="http://schemas.openxmlformats.org/officeDocument/2006/relationships/hyperlink" Target="http://www.espn.com/nfl/player/_/id/4360438/brandon-aiyuk" TargetMode="External"/><Relationship Id="rId76" Type="http://schemas.openxmlformats.org/officeDocument/2006/relationships/hyperlink" Target="http://www.espn.com/nfl/player/_/id/3045138/mike-williams" TargetMode="External"/><Relationship Id="rId79" Type="http://schemas.openxmlformats.org/officeDocument/2006/relationships/hyperlink" Target="https://www.espn.com/nfl/player/_/id/4038941/justin-herbert" TargetMode="External"/><Relationship Id="rId78" Type="http://schemas.openxmlformats.org/officeDocument/2006/relationships/hyperlink" Target="https://www.espn.com/nfl/player/_/id/3895856/christian-kirk" TargetMode="External"/><Relationship Id="rId71" Type="http://schemas.openxmlformats.org/officeDocument/2006/relationships/hyperlink" Target="https://www.espn.com/nfl/player/_/id/4259545/d'andre-swift" TargetMode="External"/><Relationship Id="rId70" Type="http://schemas.openxmlformats.org/officeDocument/2006/relationships/hyperlink" Target="https://www.espn.com/nfl/player/_/id/3932905/diontae-johnson" TargetMode="External"/><Relationship Id="rId139" Type="http://schemas.openxmlformats.org/officeDocument/2006/relationships/hyperlink" Target="https://www.espn.com/nfl/player/_/id/15683/justin-tucker" TargetMode="External"/><Relationship Id="rId138" Type="http://schemas.openxmlformats.org/officeDocument/2006/relationships/hyperlink" Target="https://www.espn.com/nfl/player/_/id/4040655/darnell-mooney" TargetMode="External"/><Relationship Id="rId137" Type="http://schemas.openxmlformats.org/officeDocument/2006/relationships/hyperlink" Target="http://www.espn.com/nfl/player/_/id/4372414/elijah-moore" TargetMode="External"/><Relationship Id="rId132" Type="http://schemas.openxmlformats.org/officeDocument/2006/relationships/hyperlink" Target="https://www.espn.com/nfl/player/_/id/2576414/raheem-mostert" TargetMode="External"/><Relationship Id="rId131" Type="http://schemas.openxmlformats.org/officeDocument/2006/relationships/hyperlink" Target="https://www.espn.com/nfl/player/_/id/3125116/d'onta-foreman" TargetMode="External"/><Relationship Id="rId130" Type="http://schemas.openxmlformats.org/officeDocument/2006/relationships/hyperlink" Target="https://www.espn.com/nfl/player/_/id/15835/zach-ertz" TargetMode="External"/><Relationship Id="rId136" Type="http://schemas.openxmlformats.org/officeDocument/2006/relationships/hyperlink" Target="https://www.espn.com/nfl/player/_/id/3051392/ezekiel-elliott" TargetMode="External"/><Relationship Id="rId135" Type="http://schemas.openxmlformats.org/officeDocument/2006/relationships/hyperlink" Target="https://www.espn.com/nfl/player/_/id/4385690/dalton-kincaid" TargetMode="External"/><Relationship Id="rId134" Type="http://schemas.openxmlformats.org/officeDocument/2006/relationships/hyperlink" Target="https://www.espn.com/nfl/player/_/id/12483/matthew-stafford" TargetMode="External"/><Relationship Id="rId133" Type="http://schemas.openxmlformats.org/officeDocument/2006/relationships/hyperlink" Target="https://www.espn.com/nfl/player/_/id/3046779/jared-goff" TargetMode="External"/><Relationship Id="rId62" Type="http://schemas.openxmlformats.org/officeDocument/2006/relationships/hyperlink" Target="https://www.espn.com/nfl/player/_/id/3054850/alvin-kamara" TargetMode="External"/><Relationship Id="rId61" Type="http://schemas.openxmlformats.org/officeDocument/2006/relationships/hyperlink" Target="https://www.espn.com/nfl/player/_/id/4241985/j.k.-dobbins" TargetMode="External"/><Relationship Id="rId64" Type="http://schemas.openxmlformats.org/officeDocument/2006/relationships/hyperlink" Target="https://www.espn.com/nfl/player/_/id/4379399/james-cook" TargetMode="External"/><Relationship Id="rId63" Type="http://schemas.openxmlformats.org/officeDocument/2006/relationships/hyperlink" Target="https://www.espn.com/nfl/player/_/id/4361579/javonte-williams" TargetMode="External"/><Relationship Id="rId66" Type="http://schemas.openxmlformats.org/officeDocument/2006/relationships/hyperlink" Target="http://www.espn.com/nfl/player/_/id/4361529/isiah-pacheco" TargetMode="External"/><Relationship Id="rId172" Type="http://schemas.openxmlformats.org/officeDocument/2006/relationships/hyperlink" Target="https://www.espn.com/nfl/player/_/id/-16033/ravens-d/st" TargetMode="External"/><Relationship Id="rId65" Type="http://schemas.openxmlformats.org/officeDocument/2006/relationships/hyperlink" Target="https://www.espn.com/nfl/player/_/id/3121023/dallas-goedert" TargetMode="External"/><Relationship Id="rId171" Type="http://schemas.openxmlformats.org/officeDocument/2006/relationships/hyperlink" Target="https://www.espn.com/nfl/player/_/id/4036378/jordan-love" TargetMode="External"/><Relationship Id="rId68" Type="http://schemas.openxmlformats.org/officeDocument/2006/relationships/hyperlink" Target="https://www.espn.com/nfl/player/_/id/4362887/justin-fields" TargetMode="External"/><Relationship Id="rId170" Type="http://schemas.openxmlformats.org/officeDocument/2006/relationships/hyperlink" Target="https://www.espn.com/nfl/player/_/id/16733/odell-beckham-jr." TargetMode="External"/><Relationship Id="rId67" Type="http://schemas.openxmlformats.org/officeDocument/2006/relationships/hyperlink" Target="https://www.espn.com/nfl/player/_/id/16737/mike-evans" TargetMode="External"/><Relationship Id="rId60" Type="http://schemas.openxmlformats.org/officeDocument/2006/relationships/hyperlink" Target="https://www.espn.com/nfl/player/_/id/3915511/joe-burrow" TargetMode="External"/><Relationship Id="rId165" Type="http://schemas.openxmlformats.org/officeDocument/2006/relationships/hyperlink" Target="http://www.espn.com/nfl/player/_/id/3059722/zay-jones" TargetMode="External"/><Relationship Id="rId69" Type="http://schemas.openxmlformats.org/officeDocument/2006/relationships/hyperlink" Target="http://www.espn.com/nfl/player/_/id/3121422/terry-mclaurin" TargetMode="External"/><Relationship Id="rId164" Type="http://schemas.openxmlformats.org/officeDocument/2006/relationships/hyperlink" Target="https://www.espn.com/nfl/player/_/id/3045144/tyler-boyd" TargetMode="External"/><Relationship Id="rId163" Type="http://schemas.openxmlformats.org/officeDocument/2006/relationships/hyperlink" Target="https://www.espn.com/nfl/player/_/id/-16021/eagles-d/st" TargetMode="External"/><Relationship Id="rId162" Type="http://schemas.openxmlformats.org/officeDocument/2006/relationships/hyperlink" Target="https://www.espn.com/nfl/player/_/id/3917232/tyler-bass" TargetMode="External"/><Relationship Id="rId169" Type="http://schemas.openxmlformats.org/officeDocument/2006/relationships/hyperlink" Target="https://www.espn.com/nfl/player/_/id/16757/derek-carr" TargetMode="External"/><Relationship Id="rId168" Type="http://schemas.openxmlformats.org/officeDocument/2006/relationships/hyperlink" Target="https://www.espn.com/nfl/player/_/id/3055899/harrison-butker" TargetMode="External"/><Relationship Id="rId167" Type="http://schemas.openxmlformats.org/officeDocument/2006/relationships/hyperlink" Target="https://www.espn.com/nfl/player/_/id/4429013/tank-bigsby" TargetMode="External"/><Relationship Id="rId166" Type="http://schemas.openxmlformats.org/officeDocument/2006/relationships/hyperlink" Target="https://www.espn.com/nfl/player/_/id/4240703/kenny-pickett" TargetMode="External"/><Relationship Id="rId51" Type="http://schemas.openxmlformats.org/officeDocument/2006/relationships/hyperlink" Target="https://www.espn.com/nfl/player/_/id/4241463/jerry-jeudy" TargetMode="External"/><Relationship Id="rId50" Type="http://schemas.openxmlformats.org/officeDocument/2006/relationships/hyperlink" Target="https://www.espn.com/nfl/player/_/id/15795/deandre-hopkins" TargetMode="External"/><Relationship Id="rId53" Type="http://schemas.openxmlformats.org/officeDocument/2006/relationships/hyperlink" Target="https://www.espn.com/nfl/player/_/id/4048244/alexander-mattison" TargetMode="External"/><Relationship Id="rId52" Type="http://schemas.openxmlformats.org/officeDocument/2006/relationships/hyperlink" Target="https://www.espn.com/nfl/player/_/id/4045163/miles-sanders" TargetMode="External"/><Relationship Id="rId55" Type="http://schemas.openxmlformats.org/officeDocument/2006/relationships/hyperlink" Target="https://www.espn.com/nfl/player/_/id/4240021/cam-akers" TargetMode="External"/><Relationship Id="rId161" Type="http://schemas.openxmlformats.org/officeDocument/2006/relationships/hyperlink" Target="http://www.espn.com/nfl/player/_/id/4241416/chuba-hubbard" TargetMode="External"/><Relationship Id="rId54" Type="http://schemas.openxmlformats.org/officeDocument/2006/relationships/hyperlink" Target="https://www.espn.com/nfl/player/_/id/3915416/dj-moore" TargetMode="External"/><Relationship Id="rId160" Type="http://schemas.openxmlformats.org/officeDocument/2006/relationships/hyperlink" Target="https://www.espn.com/nfl/player/_/id/-16006/cowboys-d/st" TargetMode="External"/><Relationship Id="rId57" Type="http://schemas.openxmlformats.org/officeDocument/2006/relationships/hyperlink" Target="https://www.espn.com/nfl/player/_/id/3916387/lamar-jackson" TargetMode="External"/><Relationship Id="rId56" Type="http://schemas.openxmlformats.org/officeDocument/2006/relationships/hyperlink" Target="https://www.espn.com/nfl/player/_/id/4426502/drake-london" TargetMode="External"/><Relationship Id="rId159" Type="http://schemas.openxmlformats.org/officeDocument/2006/relationships/hyperlink" Target="https://www.espn.com/nfl/player/_/id/4426388/jameson-williams" TargetMode="External"/><Relationship Id="rId59" Type="http://schemas.openxmlformats.org/officeDocument/2006/relationships/hyperlink" Target="https://www.espn.com/nfl/player/_/id/3040151/george-kittle" TargetMode="External"/><Relationship Id="rId154" Type="http://schemas.openxmlformats.org/officeDocument/2006/relationships/hyperlink" Target="https://www.espn.com/nfl/player/_/id/4430191/skyy-moore" TargetMode="External"/><Relationship Id="rId58" Type="http://schemas.openxmlformats.org/officeDocument/2006/relationships/hyperlink" Target="https://www.espn.com/nfl/player/_/id/4248528/christian-watson" TargetMode="External"/><Relationship Id="rId153" Type="http://schemas.openxmlformats.org/officeDocument/2006/relationships/hyperlink" Target="https://www.espn.com/nfl/player/_/id/3930086/dawson-knox" TargetMode="External"/><Relationship Id="rId152" Type="http://schemas.openxmlformats.org/officeDocument/2006/relationships/hyperlink" Target="https://www.espn.com/nfl/player/_/id/3924365/hayden-hurst" TargetMode="External"/><Relationship Id="rId151" Type="http://schemas.openxmlformats.org/officeDocument/2006/relationships/hyperlink" Target="https://www.espn.com/nfl/player/_/id/3115394/dj-chark-jr." TargetMode="External"/><Relationship Id="rId158" Type="http://schemas.openxmlformats.org/officeDocument/2006/relationships/hyperlink" Target="https://www.espn.com/nfl/player/_/id/3051909/daniel-carlson" TargetMode="External"/><Relationship Id="rId157" Type="http://schemas.openxmlformats.org/officeDocument/2006/relationships/hyperlink" Target="https://www.espn.com/nfl/player/_/id/4036348/michael-gallup" TargetMode="External"/><Relationship Id="rId156" Type="http://schemas.openxmlformats.org/officeDocument/2006/relationships/hyperlink" Target="https://www.espn.com/nfl/player/_/id/4599739/kendre-miller" TargetMode="External"/><Relationship Id="rId155" Type="http://schemas.openxmlformats.org/officeDocument/2006/relationships/hyperlink" Target="https://www.espn.com/nfl/player/_/id/-16002/bills-d/st" TargetMode="External"/><Relationship Id="rId107" Type="http://schemas.openxmlformats.org/officeDocument/2006/relationships/hyperlink" Target="https://www.espn.com/nfl/player/_/id/8439/aaron-rodgers" TargetMode="External"/><Relationship Id="rId106" Type="http://schemas.openxmlformats.org/officeDocument/2006/relationships/hyperlink" Target="https://www.espn.com/nfl/player/_/id/2573401/tyler-higbee" TargetMode="External"/><Relationship Id="rId105" Type="http://schemas.openxmlformats.org/officeDocument/2006/relationships/hyperlink" Target="https://www.espn.com/nfl/player/_/id/2976316/michael-thomas" TargetMode="External"/><Relationship Id="rId104" Type="http://schemas.openxmlformats.org/officeDocument/2006/relationships/hyperlink" Target="https://www.espn.com/nfl/player/_/id/4426385/zach-charbonnet" TargetMode="External"/><Relationship Id="rId109" Type="http://schemas.openxmlformats.org/officeDocument/2006/relationships/hyperlink" Target="https://www.espn.com/nfl/player/_/id/3122976/jeff-wilson-jr." TargetMode="External"/><Relationship Id="rId108" Type="http://schemas.openxmlformats.org/officeDocument/2006/relationships/hyperlink" Target="https://www.espn.com/nfl/player/_/id/3120348/juju-smith-schuster" TargetMode="External"/><Relationship Id="rId103" Type="http://schemas.openxmlformats.org/officeDocument/2006/relationships/hyperlink" Target="https://www.espn.com/nfl/player/_/id/4430878/jaxon-smith-njigba" TargetMode="External"/><Relationship Id="rId102" Type="http://schemas.openxmlformats.org/officeDocument/2006/relationships/hyperlink" Target="https://www.espn.com/nfl/player/_/id/2980453/jamaal-williams" TargetMode="External"/><Relationship Id="rId101" Type="http://schemas.openxmlformats.org/officeDocument/2006/relationships/hyperlink" Target="https://www.espn.com/nfl/player/_/id/14880/kirk-cousins" TargetMode="External"/><Relationship Id="rId100" Type="http://schemas.openxmlformats.org/officeDocument/2006/relationships/hyperlink" Target="https://www.espn.com/nfl/player/_/id/4429205/jordan-addison" TargetMode="External"/><Relationship Id="rId129" Type="http://schemas.openxmlformats.org/officeDocument/2006/relationships/hyperlink" Target="https://www.espn.com/nfl/player/_/id/4429084/anthony-richardson" TargetMode="External"/><Relationship Id="rId128" Type="http://schemas.openxmlformats.org/officeDocument/2006/relationships/hyperlink" Target="https://www.espn.com/nfl/player/_/id/4372485/rondale-moore" TargetMode="External"/><Relationship Id="rId127" Type="http://schemas.openxmlformats.org/officeDocument/2006/relationships/hyperlink" Target="https://www.espn.com/nfl/player/_/id/4360939/rashod-bateman" TargetMode="External"/><Relationship Id="rId126" Type="http://schemas.openxmlformats.org/officeDocument/2006/relationships/hyperlink" Target="https://www.espn.com/nfl/player/_/id/4569987/jaylen-warren" TargetMode="External"/><Relationship Id="rId121" Type="http://schemas.openxmlformats.org/officeDocument/2006/relationships/hyperlink" Target="https://www.espn.com/nfl/player/_/id/4241555/elijah-mitchell" TargetMode="External"/><Relationship Id="rId120" Type="http://schemas.openxmlformats.org/officeDocument/2006/relationships/hyperlink" Target="https://www.espn.com/nfl/player/_/id/14881/russell-wilson" TargetMode="External"/><Relationship Id="rId125" Type="http://schemas.openxmlformats.org/officeDocument/2006/relationships/hyperlink" Target="https://www.espn.com/nfl/player/_/id/4429025/quentin-johnston" TargetMode="External"/><Relationship Id="rId124" Type="http://schemas.openxmlformats.org/officeDocument/2006/relationships/hyperlink" Target="https://www.espn.com/nfl/player/_/id/4360635/chigoziem-okonkwo" TargetMode="External"/><Relationship Id="rId123" Type="http://schemas.openxmlformats.org/officeDocument/2006/relationships/hyperlink" Target="https://www.espn.com/nfl/player/_/id/15864/geno-smith" TargetMode="External"/><Relationship Id="rId122" Type="http://schemas.openxmlformats.org/officeDocument/2006/relationships/hyperlink" Target="https://www.espn.com/nfl/player/_/id/4373626/tyler-allgeier" TargetMode="External"/><Relationship Id="rId95" Type="http://schemas.openxmlformats.org/officeDocument/2006/relationships/hyperlink" Target="https://www.espn.com/nfl/player/_/id/3123076/david-njoku" TargetMode="External"/><Relationship Id="rId94" Type="http://schemas.openxmlformats.org/officeDocument/2006/relationships/hyperlink" Target="https://www.espn.com/nfl/player/_/id/4361411/pat-freiermuth" TargetMode="External"/><Relationship Id="rId97" Type="http://schemas.openxmlformats.org/officeDocument/2006/relationships/hyperlink" Target="https://www.espn.com/nfl/player/_/id/3117256/dalton-schultz" TargetMode="External"/><Relationship Id="rId96" Type="http://schemas.openxmlformats.org/officeDocument/2006/relationships/hyperlink" Target="http://www.espn.com/nfl/player/_/id/3128429/courtland-sutton" TargetMode="External"/><Relationship Id="rId99" Type="http://schemas.openxmlformats.org/officeDocument/2006/relationships/hyperlink" Target="https://www.espn.com/nfl/player/_/id/4241479/tua-tagovailoa" TargetMode="External"/><Relationship Id="rId98" Type="http://schemas.openxmlformats.org/officeDocument/2006/relationships/hyperlink" Target="https://www.espn.com/nfl/player/_/id/16731/brandin-cooks" TargetMode="External"/><Relationship Id="rId91" Type="http://schemas.openxmlformats.org/officeDocument/2006/relationships/hyperlink" Target="http://www.espn.com/nfl/player/_/id/4035886/khalil-herbert" TargetMode="External"/><Relationship Id="rId90" Type="http://schemas.openxmlformats.org/officeDocument/2006/relationships/hyperlink" Target="https://www.espn.com/nfl/player/_/id/4567156/treylon-burks" TargetMode="External"/><Relationship Id="rId93" Type="http://schemas.openxmlformats.org/officeDocument/2006/relationships/hyperlink" Target="https://www.espn.com/nfl/player/_/id/2577417/dak-prescott" TargetMode="External"/><Relationship Id="rId92" Type="http://schemas.openxmlformats.org/officeDocument/2006/relationships/hyperlink" Target="https://www.espn.com/nfl/player/_/id/3116389/samaje-perine" TargetMode="External"/><Relationship Id="rId118" Type="http://schemas.openxmlformats.org/officeDocument/2006/relationships/hyperlink" Target="https://www.espn.com/nfl/player/_/id/4040761/devin-singletary" TargetMode="External"/><Relationship Id="rId117" Type="http://schemas.openxmlformats.org/officeDocument/2006/relationships/hyperlink" Target="https://www.espn.com/nfl/player/_/id/3925347/damien-harris" TargetMode="External"/><Relationship Id="rId116" Type="http://schemas.openxmlformats.org/officeDocument/2006/relationships/hyperlink" Target="https://www.espn.com/nfl/player/_/id/4240600/kadarius-toney" TargetMode="External"/><Relationship Id="rId115" Type="http://schemas.openxmlformats.org/officeDocument/2006/relationships/hyperlink" Target="https://www.espn.com/nfl/player/_/id/3916433/jakobi-meyers" TargetMode="External"/><Relationship Id="rId119" Type="http://schemas.openxmlformats.org/officeDocument/2006/relationships/hyperlink" Target="https://www.espn.com/nfl/player/_/id/4258173/nico-collins" TargetMode="External"/><Relationship Id="rId110" Type="http://schemas.openxmlformats.org/officeDocument/2006/relationships/hyperlink" Target="http://www.espn.com/nfl/player/_/id/4243537/gabe-davis" TargetMode="External"/><Relationship Id="rId114" Type="http://schemas.openxmlformats.org/officeDocument/2006/relationships/hyperlink" Target="https://www.espn.com/nfl/player/_/id/16782/jerick-mckinnon" TargetMode="External"/><Relationship Id="rId113" Type="http://schemas.openxmlformats.org/officeDocument/2006/relationships/hyperlink" Target="https://www.espn.com/nfl/player/_/id/4367209/greg-dulcich" TargetMode="External"/><Relationship Id="rId112" Type="http://schemas.openxmlformats.org/officeDocument/2006/relationships/hyperlink" Target="https://www.espn.com/nfl/player/_/id/4258595/cole-kmet" TargetMode="External"/><Relationship Id="rId111" Type="http://schemas.openxmlformats.org/officeDocument/2006/relationships/hyperlink" Target="https://www.espn.com/nfl/player/_/id/3917792/daniel-jones" TargetMode="External"/><Relationship Id="rId203" Type="http://schemas.openxmlformats.org/officeDocument/2006/relationships/vmlDrawing" Target="../drawings/vmlDrawing5.vml"/><Relationship Id="rId202" Type="http://schemas.openxmlformats.org/officeDocument/2006/relationships/drawing" Target="../drawings/drawing9.xml"/><Relationship Id="rId201" Type="http://schemas.openxmlformats.org/officeDocument/2006/relationships/hyperlink" Target="https://www.espn.com/nfl/player/_/id/4430737/kyren-williams" TargetMode="External"/><Relationship Id="rId200" Type="http://schemas.openxmlformats.org/officeDocument/2006/relationships/hyperlink" Target="https://www.espn.com/nfl/player/_/id/-16015/dolphins-d/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5" max="5" width="21.13"/>
    <col customWidth="1" min="7" max="7" width="17.63"/>
    <col customWidth="1" min="8" max="8" width="18.75"/>
    <col customWidth="1" min="9" max="9" width="18.0"/>
    <col customWidth="1" min="10" max="10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>
      <c r="A2" s="1" t="s">
        <v>10</v>
      </c>
      <c r="B2" s="3" t="s">
        <v>11</v>
      </c>
      <c r="C2" s="1" t="s">
        <v>12</v>
      </c>
      <c r="D2" s="4" t="s">
        <v>13</v>
      </c>
      <c r="E2" s="5" t="s">
        <v>14</v>
      </c>
      <c r="F2" s="3" t="s">
        <v>11</v>
      </c>
      <c r="G2" s="6">
        <v>0.282</v>
      </c>
      <c r="H2" s="6">
        <v>0.235</v>
      </c>
      <c r="I2" s="6">
        <v>0.25</v>
      </c>
      <c r="J2" s="7">
        <v>0.16666666666666669</v>
      </c>
      <c r="K2" s="7">
        <f t="shared" ref="K2:K301" si="1">sum(G2:J2)</f>
        <v>0.9336666667</v>
      </c>
    </row>
    <row r="3">
      <c r="A3" s="1" t="s">
        <v>15</v>
      </c>
      <c r="B3" s="3" t="s">
        <v>16</v>
      </c>
      <c r="C3" s="1" t="s">
        <v>17</v>
      </c>
      <c r="D3" s="4" t="s">
        <v>13</v>
      </c>
      <c r="E3" s="5" t="s">
        <v>18</v>
      </c>
      <c r="F3" s="3" t="s">
        <v>16</v>
      </c>
      <c r="G3" s="6">
        <v>0.276</v>
      </c>
      <c r="H3" s="6">
        <v>0.22916666666666666</v>
      </c>
      <c r="I3" s="6">
        <v>0.25</v>
      </c>
      <c r="J3" s="7">
        <v>0.16666666666666669</v>
      </c>
      <c r="K3" s="7">
        <f t="shared" si="1"/>
        <v>0.9218333333</v>
      </c>
    </row>
    <row r="4">
      <c r="A4" s="1" t="s">
        <v>19</v>
      </c>
      <c r="B4" s="3" t="s">
        <v>20</v>
      </c>
      <c r="C4" s="1" t="s">
        <v>21</v>
      </c>
      <c r="D4" s="4" t="s">
        <v>13</v>
      </c>
      <c r="E4" s="5" t="s">
        <v>22</v>
      </c>
      <c r="F4" s="3" t="s">
        <v>20</v>
      </c>
      <c r="G4" s="6">
        <v>0.263</v>
      </c>
      <c r="H4" s="6">
        <v>0.21916666666666668</v>
      </c>
      <c r="I4" s="6">
        <v>0.25</v>
      </c>
      <c r="J4" s="7">
        <v>0.16666666666666669</v>
      </c>
      <c r="K4" s="7">
        <f t="shared" si="1"/>
        <v>0.8988333333</v>
      </c>
    </row>
    <row r="5">
      <c r="A5" s="1" t="s">
        <v>23</v>
      </c>
      <c r="B5" s="3" t="s">
        <v>24</v>
      </c>
      <c r="C5" s="1" t="s">
        <v>25</v>
      </c>
      <c r="D5" s="4" t="s">
        <v>13</v>
      </c>
      <c r="E5" s="5" t="s">
        <v>26</v>
      </c>
      <c r="F5" s="3" t="s">
        <v>24</v>
      </c>
      <c r="G5" s="6">
        <v>0.256</v>
      </c>
      <c r="H5" s="6">
        <v>0.21333333333333335</v>
      </c>
      <c r="I5" s="6">
        <v>0.25</v>
      </c>
      <c r="J5" s="7">
        <v>0.16666666666666669</v>
      </c>
      <c r="K5" s="7">
        <f t="shared" si="1"/>
        <v>0.886</v>
      </c>
    </row>
    <row r="6">
      <c r="A6" s="1" t="s">
        <v>27</v>
      </c>
      <c r="B6" s="3" t="s">
        <v>28</v>
      </c>
      <c r="C6" s="1" t="s">
        <v>29</v>
      </c>
      <c r="D6" s="4" t="s">
        <v>30</v>
      </c>
      <c r="E6" s="5" t="s">
        <v>31</v>
      </c>
      <c r="F6" s="3" t="s">
        <v>28</v>
      </c>
      <c r="G6" s="6">
        <v>0.28099999999999997</v>
      </c>
      <c r="H6" s="6">
        <v>0.23416666666666666</v>
      </c>
      <c r="I6" s="6">
        <v>0.1875</v>
      </c>
      <c r="J6" s="7">
        <v>0.16666666666666669</v>
      </c>
      <c r="K6" s="7">
        <f t="shared" si="1"/>
        <v>0.8693333333</v>
      </c>
    </row>
    <row r="7">
      <c r="A7" s="1" t="s">
        <v>32</v>
      </c>
      <c r="B7" s="3" t="s">
        <v>33</v>
      </c>
      <c r="C7" s="1" t="s">
        <v>34</v>
      </c>
      <c r="D7" s="4" t="s">
        <v>13</v>
      </c>
      <c r="E7" s="5" t="s">
        <v>35</v>
      </c>
      <c r="F7" s="3" t="s">
        <v>33</v>
      </c>
      <c r="G7" s="6">
        <v>0.26199999999999996</v>
      </c>
      <c r="H7" s="6">
        <v>0.21833333333333332</v>
      </c>
      <c r="I7" s="6">
        <v>0.25</v>
      </c>
      <c r="J7" s="7">
        <v>0.13333333333333333</v>
      </c>
      <c r="K7" s="7">
        <f t="shared" si="1"/>
        <v>0.8636666667</v>
      </c>
    </row>
    <row r="8">
      <c r="A8" s="1" t="s">
        <v>36</v>
      </c>
      <c r="B8" s="3" t="s">
        <v>37</v>
      </c>
      <c r="C8" s="1" t="s">
        <v>38</v>
      </c>
      <c r="D8" s="4" t="s">
        <v>13</v>
      </c>
      <c r="E8" s="5" t="s">
        <v>39</v>
      </c>
      <c r="F8" s="3" t="s">
        <v>37</v>
      </c>
      <c r="G8" s="6">
        <v>0.258</v>
      </c>
      <c r="H8" s="6">
        <v>0.215</v>
      </c>
      <c r="I8" s="6">
        <v>0.25</v>
      </c>
      <c r="J8" s="7">
        <v>0.13333333333333333</v>
      </c>
      <c r="K8" s="7">
        <f t="shared" si="1"/>
        <v>0.8563333333</v>
      </c>
    </row>
    <row r="9">
      <c r="A9" s="1" t="s">
        <v>40</v>
      </c>
      <c r="B9" s="3" t="s">
        <v>41</v>
      </c>
      <c r="C9" s="1" t="s">
        <v>42</v>
      </c>
      <c r="D9" s="4" t="s">
        <v>13</v>
      </c>
      <c r="E9" s="5" t="s">
        <v>43</v>
      </c>
      <c r="F9" s="3" t="s">
        <v>41</v>
      </c>
      <c r="G9" s="6">
        <v>0.253</v>
      </c>
      <c r="H9" s="6">
        <v>0.21083333333333334</v>
      </c>
      <c r="I9" s="6">
        <v>0.25</v>
      </c>
      <c r="J9" s="7">
        <v>0.13333333333333333</v>
      </c>
      <c r="K9" s="7">
        <f t="shared" si="1"/>
        <v>0.8471666667</v>
      </c>
    </row>
    <row r="10">
      <c r="A10" s="1" t="s">
        <v>44</v>
      </c>
      <c r="B10" s="3" t="s">
        <v>45</v>
      </c>
      <c r="C10" s="1" t="s">
        <v>46</v>
      </c>
      <c r="D10" s="4" t="s">
        <v>13</v>
      </c>
      <c r="E10" s="5" t="s">
        <v>47</v>
      </c>
      <c r="F10" s="3" t="s">
        <v>45</v>
      </c>
      <c r="G10" s="6">
        <v>0.27</v>
      </c>
      <c r="H10" s="6">
        <v>0.22416666666666665</v>
      </c>
      <c r="I10" s="6">
        <v>0.25</v>
      </c>
      <c r="J10" s="7">
        <v>0.1</v>
      </c>
      <c r="K10" s="7">
        <f t="shared" si="1"/>
        <v>0.8441666667</v>
      </c>
    </row>
    <row r="11">
      <c r="A11" s="1" t="s">
        <v>48</v>
      </c>
      <c r="B11" s="3" t="s">
        <v>49</v>
      </c>
      <c r="C11" s="1" t="s">
        <v>50</v>
      </c>
      <c r="D11" s="4" t="s">
        <v>13</v>
      </c>
      <c r="E11" s="5" t="s">
        <v>51</v>
      </c>
      <c r="F11" s="3" t="s">
        <v>49</v>
      </c>
      <c r="G11" s="6">
        <v>0.24899999999999997</v>
      </c>
      <c r="H11" s="6">
        <v>0.2075</v>
      </c>
      <c r="I11" s="6">
        <v>0.25</v>
      </c>
      <c r="J11" s="7">
        <v>0.13333333333333333</v>
      </c>
      <c r="K11" s="7">
        <f t="shared" si="1"/>
        <v>0.8398333333</v>
      </c>
    </row>
    <row r="12">
      <c r="A12" s="1" t="s">
        <v>52</v>
      </c>
      <c r="B12" s="3" t="s">
        <v>53</v>
      </c>
      <c r="C12" s="1" t="s">
        <v>54</v>
      </c>
      <c r="D12" s="4" t="s">
        <v>13</v>
      </c>
      <c r="E12" s="5" t="s">
        <v>55</v>
      </c>
      <c r="F12" s="3" t="s">
        <v>53</v>
      </c>
      <c r="G12" s="6">
        <v>0.23</v>
      </c>
      <c r="H12" s="6">
        <v>0.19166666666666668</v>
      </c>
      <c r="I12" s="6">
        <v>0.25</v>
      </c>
      <c r="J12" s="7">
        <v>0.16666666666666669</v>
      </c>
      <c r="K12" s="7">
        <f t="shared" si="1"/>
        <v>0.8383333333</v>
      </c>
    </row>
    <row r="13">
      <c r="A13" s="1" t="s">
        <v>56</v>
      </c>
      <c r="B13" s="3" t="s">
        <v>57</v>
      </c>
      <c r="C13" s="1" t="s">
        <v>58</v>
      </c>
      <c r="D13" s="4" t="s">
        <v>13</v>
      </c>
      <c r="E13" s="5" t="s">
        <v>59</v>
      </c>
      <c r="F13" s="3" t="s">
        <v>57</v>
      </c>
      <c r="G13" s="6">
        <v>0.22799999999999998</v>
      </c>
      <c r="H13" s="6">
        <v>0.19</v>
      </c>
      <c r="I13" s="6">
        <v>0.25</v>
      </c>
      <c r="J13" s="7">
        <v>0.16666666666666669</v>
      </c>
      <c r="K13" s="7">
        <f t="shared" si="1"/>
        <v>0.8346666667</v>
      </c>
    </row>
    <row r="14">
      <c r="A14" s="1" t="s">
        <v>60</v>
      </c>
      <c r="B14" s="3" t="s">
        <v>61</v>
      </c>
      <c r="C14" s="1" t="s">
        <v>62</v>
      </c>
      <c r="D14" s="4" t="s">
        <v>13</v>
      </c>
      <c r="E14" s="5" t="s">
        <v>63</v>
      </c>
      <c r="F14" s="3" t="s">
        <v>61</v>
      </c>
      <c r="G14" s="6">
        <v>0.245</v>
      </c>
      <c r="H14" s="6">
        <v>0.20416666666666666</v>
      </c>
      <c r="I14" s="6">
        <v>0.25</v>
      </c>
      <c r="J14" s="7">
        <v>0.13333333333333333</v>
      </c>
      <c r="K14" s="7">
        <f t="shared" si="1"/>
        <v>0.8325</v>
      </c>
    </row>
    <row r="15">
      <c r="A15" s="1" t="s">
        <v>64</v>
      </c>
      <c r="B15" s="3" t="s">
        <v>65</v>
      </c>
      <c r="C15" s="1" t="s">
        <v>66</v>
      </c>
      <c r="D15" s="4" t="s">
        <v>30</v>
      </c>
      <c r="E15" s="5" t="s">
        <v>67</v>
      </c>
      <c r="F15" s="3" t="s">
        <v>65</v>
      </c>
      <c r="G15" s="6">
        <v>0.279</v>
      </c>
      <c r="H15" s="6">
        <v>0.2325</v>
      </c>
      <c r="I15" s="6">
        <v>0.1875</v>
      </c>
      <c r="J15" s="7">
        <v>0.13333333333333333</v>
      </c>
      <c r="K15" s="7">
        <f t="shared" si="1"/>
        <v>0.8323333333</v>
      </c>
    </row>
    <row r="16">
      <c r="A16" s="1" t="s">
        <v>68</v>
      </c>
      <c r="B16" s="3" t="s">
        <v>69</v>
      </c>
      <c r="C16" s="1" t="s">
        <v>70</v>
      </c>
      <c r="D16" s="4" t="s">
        <v>30</v>
      </c>
      <c r="E16" s="5" t="s">
        <v>71</v>
      </c>
      <c r="F16" s="3" t="s">
        <v>69</v>
      </c>
      <c r="G16" s="6">
        <v>0.27799999999999997</v>
      </c>
      <c r="H16" s="6">
        <v>0.23166666666666666</v>
      </c>
      <c r="I16" s="6">
        <v>0.1875</v>
      </c>
      <c r="J16" s="7">
        <v>0.13333333333333333</v>
      </c>
      <c r="K16" s="7">
        <f t="shared" si="1"/>
        <v>0.8305</v>
      </c>
    </row>
    <row r="17">
      <c r="A17" s="1" t="s">
        <v>72</v>
      </c>
      <c r="B17" s="3" t="s">
        <v>73</v>
      </c>
      <c r="C17" s="1" t="s">
        <v>74</v>
      </c>
      <c r="D17" s="4" t="s">
        <v>13</v>
      </c>
      <c r="E17" s="5" t="s">
        <v>75</v>
      </c>
      <c r="F17" s="3" t="s">
        <v>73</v>
      </c>
      <c r="G17" s="6">
        <v>0.243</v>
      </c>
      <c r="H17" s="6">
        <v>0.2025</v>
      </c>
      <c r="I17" s="6">
        <v>0.25</v>
      </c>
      <c r="J17" s="7">
        <v>0.13333333333333333</v>
      </c>
      <c r="K17" s="7">
        <f t="shared" si="1"/>
        <v>0.8288333333</v>
      </c>
    </row>
    <row r="18">
      <c r="A18" s="1" t="s">
        <v>76</v>
      </c>
      <c r="B18" s="3" t="s">
        <v>77</v>
      </c>
      <c r="C18" s="1" t="s">
        <v>78</v>
      </c>
      <c r="D18" s="4" t="s">
        <v>13</v>
      </c>
      <c r="E18" s="5" t="s">
        <v>79</v>
      </c>
      <c r="F18" s="3" t="s">
        <v>77</v>
      </c>
      <c r="G18" s="6">
        <v>0.24</v>
      </c>
      <c r="H18" s="6">
        <v>0.2</v>
      </c>
      <c r="I18" s="6">
        <v>0.25</v>
      </c>
      <c r="J18" s="7">
        <v>0.13333333333333333</v>
      </c>
      <c r="K18" s="7">
        <f t="shared" si="1"/>
        <v>0.8233333333</v>
      </c>
    </row>
    <row r="19">
      <c r="A19" s="1" t="s">
        <v>80</v>
      </c>
      <c r="B19" s="3" t="s">
        <v>81</v>
      </c>
      <c r="C19" s="1" t="s">
        <v>82</v>
      </c>
      <c r="D19" s="4" t="s">
        <v>13</v>
      </c>
      <c r="E19" s="5" t="s">
        <v>83</v>
      </c>
      <c r="F19" s="3" t="s">
        <v>81</v>
      </c>
      <c r="G19" s="6">
        <v>0.221</v>
      </c>
      <c r="H19" s="6">
        <v>0.18416666666666667</v>
      </c>
      <c r="I19" s="6">
        <v>0.25</v>
      </c>
      <c r="J19" s="7">
        <v>0.16666666666666669</v>
      </c>
      <c r="K19" s="7">
        <f t="shared" si="1"/>
        <v>0.8218333333</v>
      </c>
    </row>
    <row r="20">
      <c r="A20" s="1" t="s">
        <v>84</v>
      </c>
      <c r="B20" s="3" t="s">
        <v>85</v>
      </c>
      <c r="C20" s="1" t="s">
        <v>10</v>
      </c>
      <c r="D20" s="4" t="s">
        <v>30</v>
      </c>
      <c r="E20" s="5" t="s">
        <v>86</v>
      </c>
      <c r="F20" s="3" t="s">
        <v>85</v>
      </c>
      <c r="G20" s="6">
        <v>0.254</v>
      </c>
      <c r="H20" s="6">
        <v>0.21166666666666667</v>
      </c>
      <c r="I20" s="6">
        <v>0.1875</v>
      </c>
      <c r="J20" s="7">
        <v>0.16666666666666669</v>
      </c>
      <c r="K20" s="7">
        <f t="shared" si="1"/>
        <v>0.8198333333</v>
      </c>
    </row>
    <row r="21">
      <c r="A21" s="1" t="s">
        <v>87</v>
      </c>
      <c r="B21" s="3" t="s">
        <v>88</v>
      </c>
      <c r="C21" s="1" t="s">
        <v>27</v>
      </c>
      <c r="D21" s="4" t="s">
        <v>30</v>
      </c>
      <c r="E21" s="5" t="s">
        <v>89</v>
      </c>
      <c r="F21" s="3" t="s">
        <v>88</v>
      </c>
      <c r="G21" s="6">
        <v>0.27099999999999996</v>
      </c>
      <c r="H21" s="6">
        <v>0.22583333333333333</v>
      </c>
      <c r="I21" s="6">
        <v>0.1875</v>
      </c>
      <c r="J21" s="7">
        <v>0.13333333333333333</v>
      </c>
      <c r="K21" s="7">
        <f t="shared" si="1"/>
        <v>0.8176666667</v>
      </c>
    </row>
    <row r="22">
      <c r="A22" s="1" t="s">
        <v>90</v>
      </c>
      <c r="B22" s="3" t="s">
        <v>91</v>
      </c>
      <c r="C22" s="1" t="s">
        <v>92</v>
      </c>
      <c r="D22" s="8" t="s">
        <v>30</v>
      </c>
      <c r="E22" s="5" t="s">
        <v>93</v>
      </c>
      <c r="F22" s="3" t="s">
        <v>91</v>
      </c>
      <c r="G22" s="6">
        <v>0.266</v>
      </c>
      <c r="H22" s="6">
        <v>0.22166666666666668</v>
      </c>
      <c r="I22" s="6">
        <v>0.1875</v>
      </c>
      <c r="J22" s="7">
        <v>0.13333333333333333</v>
      </c>
      <c r="K22" s="7">
        <f t="shared" si="1"/>
        <v>0.8085</v>
      </c>
    </row>
    <row r="23">
      <c r="A23" s="1" t="s">
        <v>82</v>
      </c>
      <c r="B23" s="3" t="s">
        <v>94</v>
      </c>
      <c r="C23" s="1" t="s">
        <v>64</v>
      </c>
      <c r="D23" s="4" t="s">
        <v>30</v>
      </c>
      <c r="E23" s="5" t="s">
        <v>95</v>
      </c>
      <c r="F23" s="3" t="s">
        <v>94</v>
      </c>
      <c r="G23" s="6">
        <v>0.283</v>
      </c>
      <c r="H23" s="6">
        <v>0.23583333333333334</v>
      </c>
      <c r="I23" s="6">
        <v>0.1875</v>
      </c>
      <c r="J23" s="7">
        <v>0.1</v>
      </c>
      <c r="K23" s="7">
        <f t="shared" si="1"/>
        <v>0.8063333333</v>
      </c>
    </row>
    <row r="24">
      <c r="A24" s="1" t="s">
        <v>96</v>
      </c>
      <c r="B24" s="3" t="s">
        <v>97</v>
      </c>
      <c r="C24" s="1" t="s">
        <v>68</v>
      </c>
      <c r="D24" s="4" t="s">
        <v>13</v>
      </c>
      <c r="E24" s="5" t="s">
        <v>98</v>
      </c>
      <c r="F24" s="3" t="s">
        <v>97</v>
      </c>
      <c r="G24" s="6">
        <v>0.21</v>
      </c>
      <c r="H24" s="6">
        <v>0.175</v>
      </c>
      <c r="I24" s="6">
        <v>0.25</v>
      </c>
      <c r="J24" s="7">
        <v>0.16666666666666669</v>
      </c>
      <c r="K24" s="7">
        <f t="shared" si="1"/>
        <v>0.8016666667</v>
      </c>
    </row>
    <row r="25">
      <c r="A25" s="1" t="s">
        <v>99</v>
      </c>
      <c r="B25" s="3" t="s">
        <v>100</v>
      </c>
      <c r="C25" s="1" t="s">
        <v>101</v>
      </c>
      <c r="D25" s="4" t="s">
        <v>30</v>
      </c>
      <c r="E25" s="5" t="s">
        <v>102</v>
      </c>
      <c r="F25" s="3" t="s">
        <v>100</v>
      </c>
      <c r="G25" s="6">
        <v>0.224</v>
      </c>
      <c r="H25" s="6">
        <v>0.18666666666666668</v>
      </c>
      <c r="I25" s="6">
        <v>0.1875</v>
      </c>
      <c r="J25" s="7">
        <v>0.2</v>
      </c>
      <c r="K25" s="7">
        <f t="shared" si="1"/>
        <v>0.7981666667</v>
      </c>
    </row>
    <row r="26">
      <c r="A26" s="1" t="s">
        <v>103</v>
      </c>
      <c r="B26" s="3" t="s">
        <v>104</v>
      </c>
      <c r="C26" s="1" t="s">
        <v>105</v>
      </c>
      <c r="D26" s="4" t="s">
        <v>30</v>
      </c>
      <c r="E26" s="5" t="s">
        <v>106</v>
      </c>
      <c r="F26" s="3" t="s">
        <v>104</v>
      </c>
      <c r="G26" s="6">
        <v>0.25899999999999995</v>
      </c>
      <c r="H26" s="6">
        <v>0.21583333333333332</v>
      </c>
      <c r="I26" s="6">
        <v>0.1875</v>
      </c>
      <c r="J26" s="7">
        <v>0.13333333333333333</v>
      </c>
      <c r="K26" s="7">
        <f t="shared" si="1"/>
        <v>0.7956666667</v>
      </c>
    </row>
    <row r="27">
      <c r="A27" s="1" t="s">
        <v>107</v>
      </c>
      <c r="B27" s="3" t="s">
        <v>108</v>
      </c>
      <c r="C27" s="1" t="s">
        <v>15</v>
      </c>
      <c r="D27" s="4" t="s">
        <v>13</v>
      </c>
      <c r="E27" s="5" t="s">
        <v>109</v>
      </c>
      <c r="F27" s="3" t="s">
        <v>108</v>
      </c>
      <c r="G27" s="6">
        <v>0.206</v>
      </c>
      <c r="H27" s="6">
        <v>0.17166666666666666</v>
      </c>
      <c r="I27" s="6">
        <v>0.25</v>
      </c>
      <c r="J27" s="7">
        <v>0.16666666666666669</v>
      </c>
      <c r="K27" s="7">
        <f t="shared" si="1"/>
        <v>0.7943333333</v>
      </c>
    </row>
    <row r="28">
      <c r="A28" s="1" t="s">
        <v>110</v>
      </c>
      <c r="B28" s="3" t="s">
        <v>111</v>
      </c>
      <c r="C28" s="1" t="s">
        <v>112</v>
      </c>
      <c r="D28" s="4" t="s">
        <v>13</v>
      </c>
      <c r="E28" s="5" t="s">
        <v>113</v>
      </c>
      <c r="F28" s="3" t="s">
        <v>111</v>
      </c>
      <c r="G28" s="6">
        <v>0.242</v>
      </c>
      <c r="H28" s="6">
        <v>0.20166666666666666</v>
      </c>
      <c r="I28" s="6">
        <v>0.25</v>
      </c>
      <c r="J28" s="7">
        <v>0.1</v>
      </c>
      <c r="K28" s="7">
        <f t="shared" si="1"/>
        <v>0.7936666667</v>
      </c>
    </row>
    <row r="29">
      <c r="A29" s="1" t="s">
        <v>114</v>
      </c>
      <c r="B29" s="3" t="s">
        <v>115</v>
      </c>
      <c r="C29" s="1" t="s">
        <v>116</v>
      </c>
      <c r="D29" s="4" t="s">
        <v>30</v>
      </c>
      <c r="E29" s="5" t="s">
        <v>117</v>
      </c>
      <c r="F29" s="3" t="s">
        <v>115</v>
      </c>
      <c r="G29" s="6">
        <v>0.238</v>
      </c>
      <c r="H29" s="6">
        <v>0.19833333333333333</v>
      </c>
      <c r="I29" s="6">
        <v>0.1875</v>
      </c>
      <c r="J29" s="7">
        <v>0.16666666666666669</v>
      </c>
      <c r="K29" s="7">
        <f t="shared" si="1"/>
        <v>0.7905</v>
      </c>
    </row>
    <row r="30">
      <c r="A30" s="1" t="s">
        <v>118</v>
      </c>
      <c r="B30" s="3" t="s">
        <v>119</v>
      </c>
      <c r="C30" s="1" t="s">
        <v>120</v>
      </c>
      <c r="D30" s="4" t="s">
        <v>30</v>
      </c>
      <c r="E30" s="5" t="s">
        <v>121</v>
      </c>
      <c r="F30" s="3" t="s">
        <v>119</v>
      </c>
      <c r="G30" s="6">
        <v>0.252</v>
      </c>
      <c r="H30" s="6">
        <v>0.21</v>
      </c>
      <c r="I30" s="6">
        <v>0.1875</v>
      </c>
      <c r="J30" s="7">
        <v>0.13333333333333333</v>
      </c>
      <c r="K30" s="7">
        <f t="shared" si="1"/>
        <v>0.7828333333</v>
      </c>
    </row>
    <row r="31">
      <c r="A31" s="1" t="s">
        <v>122</v>
      </c>
      <c r="B31" s="3" t="s">
        <v>123</v>
      </c>
      <c r="C31" s="1" t="s">
        <v>87</v>
      </c>
      <c r="D31" s="4" t="s">
        <v>30</v>
      </c>
      <c r="E31" s="5" t="s">
        <v>124</v>
      </c>
      <c r="F31" s="3" t="s">
        <v>123</v>
      </c>
      <c r="G31" s="6">
        <v>0.23299999999999998</v>
      </c>
      <c r="H31" s="6">
        <v>0.19416666666666665</v>
      </c>
      <c r="I31" s="6">
        <v>0.1875</v>
      </c>
      <c r="J31" s="7">
        <v>0.16666666666666669</v>
      </c>
      <c r="K31" s="7">
        <f t="shared" si="1"/>
        <v>0.7813333333</v>
      </c>
    </row>
    <row r="32">
      <c r="A32" s="1" t="s">
        <v>125</v>
      </c>
      <c r="B32" s="3" t="s">
        <v>126</v>
      </c>
      <c r="C32" s="1" t="s">
        <v>127</v>
      </c>
      <c r="D32" s="4" t="s">
        <v>13</v>
      </c>
      <c r="E32" s="5" t="s">
        <v>128</v>
      </c>
      <c r="F32" s="3" t="s">
        <v>126</v>
      </c>
      <c r="G32" s="6">
        <v>0.235</v>
      </c>
      <c r="H32" s="6">
        <v>0.19583333333333333</v>
      </c>
      <c r="I32" s="6">
        <v>0.25</v>
      </c>
      <c r="J32" s="7">
        <v>0.1</v>
      </c>
      <c r="K32" s="7">
        <f t="shared" si="1"/>
        <v>0.7808333333</v>
      </c>
    </row>
    <row r="33">
      <c r="A33" s="1" t="s">
        <v>129</v>
      </c>
      <c r="B33" s="3" t="s">
        <v>130</v>
      </c>
      <c r="C33" s="1" t="s">
        <v>44</v>
      </c>
      <c r="D33" s="4" t="s">
        <v>30</v>
      </c>
      <c r="E33" s="5" t="s">
        <v>131</v>
      </c>
      <c r="F33" s="3" t="s">
        <v>130</v>
      </c>
      <c r="G33" s="6">
        <v>0.25</v>
      </c>
      <c r="H33" s="6">
        <v>0.20833333333333334</v>
      </c>
      <c r="I33" s="6">
        <v>0.1875</v>
      </c>
      <c r="J33" s="7">
        <v>0.13333333333333333</v>
      </c>
      <c r="K33" s="7">
        <f t="shared" si="1"/>
        <v>0.7791666667</v>
      </c>
    </row>
    <row r="34">
      <c r="A34" s="1" t="s">
        <v>132</v>
      </c>
      <c r="B34" s="3" t="s">
        <v>133</v>
      </c>
      <c r="C34" s="1" t="s">
        <v>134</v>
      </c>
      <c r="D34" s="4" t="s">
        <v>13</v>
      </c>
      <c r="E34" s="5" t="s">
        <v>135</v>
      </c>
      <c r="F34" s="3" t="s">
        <v>133</v>
      </c>
      <c r="G34" s="6">
        <v>0.23199999999999998</v>
      </c>
      <c r="H34" s="6">
        <v>0.19333333333333333</v>
      </c>
      <c r="I34" s="6">
        <v>0.25</v>
      </c>
      <c r="J34" s="7">
        <v>0.1</v>
      </c>
      <c r="K34" s="7">
        <f t="shared" si="1"/>
        <v>0.7753333333</v>
      </c>
    </row>
    <row r="35">
      <c r="A35" s="1" t="s">
        <v>136</v>
      </c>
      <c r="B35" s="3" t="s">
        <v>137</v>
      </c>
      <c r="C35" s="1" t="s">
        <v>138</v>
      </c>
      <c r="D35" s="4" t="s">
        <v>30</v>
      </c>
      <c r="E35" s="5" t="s">
        <v>139</v>
      </c>
      <c r="F35" s="3" t="s">
        <v>137</v>
      </c>
      <c r="G35" s="6">
        <v>0.22899999999999998</v>
      </c>
      <c r="H35" s="6">
        <v>0.19083333333333333</v>
      </c>
      <c r="I35" s="6">
        <v>0.1875</v>
      </c>
      <c r="J35" s="7">
        <v>0.16666666666666669</v>
      </c>
      <c r="K35" s="7">
        <f t="shared" si="1"/>
        <v>0.774</v>
      </c>
    </row>
    <row r="36">
      <c r="A36" s="1" t="s">
        <v>140</v>
      </c>
      <c r="B36" s="3" t="s">
        <v>141</v>
      </c>
      <c r="C36" s="1" t="s">
        <v>90</v>
      </c>
      <c r="D36" s="4" t="s">
        <v>13</v>
      </c>
      <c r="E36" s="5" t="s">
        <v>142</v>
      </c>
      <c r="F36" s="3" t="s">
        <v>141</v>
      </c>
      <c r="G36" s="6">
        <v>0.212</v>
      </c>
      <c r="H36" s="6">
        <v>0.17666666666666667</v>
      </c>
      <c r="I36" s="6">
        <v>0.25</v>
      </c>
      <c r="J36" s="7">
        <v>0.13333333333333333</v>
      </c>
      <c r="K36" s="7">
        <f t="shared" si="1"/>
        <v>0.772</v>
      </c>
    </row>
    <row r="37">
      <c r="A37" s="1" t="s">
        <v>143</v>
      </c>
      <c r="B37" s="3" t="s">
        <v>144</v>
      </c>
      <c r="C37" s="1" t="s">
        <v>145</v>
      </c>
      <c r="D37" s="4" t="s">
        <v>30</v>
      </c>
      <c r="E37" s="5" t="s">
        <v>146</v>
      </c>
      <c r="F37" s="3" t="s">
        <v>144</v>
      </c>
      <c r="G37" s="6">
        <v>0.24599999999999997</v>
      </c>
      <c r="H37" s="6">
        <v>0.205</v>
      </c>
      <c r="I37" s="6">
        <v>0.1875</v>
      </c>
      <c r="J37" s="7">
        <v>0.13333333333333333</v>
      </c>
      <c r="K37" s="7">
        <f t="shared" si="1"/>
        <v>0.7718333333</v>
      </c>
    </row>
    <row r="38">
      <c r="A38" s="1" t="s">
        <v>147</v>
      </c>
      <c r="B38" s="3" t="s">
        <v>148</v>
      </c>
      <c r="C38" s="1" t="s">
        <v>147</v>
      </c>
      <c r="D38" s="4" t="s">
        <v>30</v>
      </c>
      <c r="E38" s="5" t="s">
        <v>149</v>
      </c>
      <c r="F38" s="3" t="s">
        <v>148</v>
      </c>
      <c r="G38" s="6">
        <v>0.264</v>
      </c>
      <c r="H38" s="6">
        <v>0.22</v>
      </c>
      <c r="I38" s="6">
        <v>0.1875</v>
      </c>
      <c r="J38" s="7">
        <v>0.1</v>
      </c>
      <c r="K38" s="7">
        <f t="shared" si="1"/>
        <v>0.7715</v>
      </c>
    </row>
    <row r="39">
      <c r="A39" s="1" t="s">
        <v>150</v>
      </c>
      <c r="B39" s="3" t="s">
        <v>151</v>
      </c>
      <c r="C39" s="1" t="s">
        <v>19</v>
      </c>
      <c r="D39" s="4" t="s">
        <v>30</v>
      </c>
      <c r="E39" s="5" t="s">
        <v>152</v>
      </c>
      <c r="F39" s="3" t="s">
        <v>151</v>
      </c>
      <c r="G39" s="6">
        <v>0.244</v>
      </c>
      <c r="H39" s="6">
        <v>0.20333333333333334</v>
      </c>
      <c r="I39" s="6">
        <v>0.1875</v>
      </c>
      <c r="J39" s="7">
        <v>0.13333333333333333</v>
      </c>
      <c r="K39" s="7">
        <f t="shared" si="1"/>
        <v>0.7681666667</v>
      </c>
    </row>
    <row r="40">
      <c r="A40" s="1" t="s">
        <v>153</v>
      </c>
      <c r="B40" s="3" t="s">
        <v>154</v>
      </c>
      <c r="C40" s="1" t="s">
        <v>32</v>
      </c>
      <c r="D40" s="4" t="s">
        <v>30</v>
      </c>
      <c r="E40" s="5" t="s">
        <v>155</v>
      </c>
      <c r="F40" s="3" t="s">
        <v>154</v>
      </c>
      <c r="G40" s="6">
        <v>0.22499999999999998</v>
      </c>
      <c r="H40" s="6">
        <v>0.1875</v>
      </c>
      <c r="I40" s="6">
        <v>0.1875</v>
      </c>
      <c r="J40" s="7">
        <v>0.16666666666666669</v>
      </c>
      <c r="K40" s="7">
        <f t="shared" si="1"/>
        <v>0.7666666667</v>
      </c>
    </row>
    <row r="41">
      <c r="A41" s="1" t="s">
        <v>156</v>
      </c>
      <c r="B41" s="3" t="s">
        <v>157</v>
      </c>
      <c r="C41" s="1" t="s">
        <v>158</v>
      </c>
      <c r="D41" s="4" t="s">
        <v>13</v>
      </c>
      <c r="E41" s="5" t="s">
        <v>159</v>
      </c>
      <c r="F41" s="3" t="s">
        <v>157</v>
      </c>
      <c r="G41" s="6">
        <v>0.227</v>
      </c>
      <c r="H41" s="6">
        <v>0.18916666666666668</v>
      </c>
      <c r="I41" s="6">
        <v>0.25</v>
      </c>
      <c r="J41" s="7">
        <v>0.1</v>
      </c>
      <c r="K41" s="7">
        <f t="shared" si="1"/>
        <v>0.7661666667</v>
      </c>
    </row>
    <row r="42">
      <c r="A42" s="1" t="s">
        <v>160</v>
      </c>
      <c r="B42" s="3" t="s">
        <v>161</v>
      </c>
      <c r="C42" s="1" t="s">
        <v>162</v>
      </c>
      <c r="D42" s="4" t="s">
        <v>13</v>
      </c>
      <c r="E42" s="5" t="s">
        <v>163</v>
      </c>
      <c r="F42" s="3" t="s">
        <v>161</v>
      </c>
      <c r="G42" s="6">
        <v>0.22599999999999998</v>
      </c>
      <c r="H42" s="6">
        <v>0.18833333333333332</v>
      </c>
      <c r="I42" s="6">
        <v>0.25</v>
      </c>
      <c r="J42" s="7">
        <v>0.1</v>
      </c>
      <c r="K42" s="7">
        <f t="shared" si="1"/>
        <v>0.7643333333</v>
      </c>
    </row>
    <row r="43">
      <c r="A43" s="1" t="s">
        <v>164</v>
      </c>
      <c r="B43" s="3" t="s">
        <v>165</v>
      </c>
      <c r="C43" s="1" t="s">
        <v>103</v>
      </c>
      <c r="D43" s="4" t="s">
        <v>30</v>
      </c>
      <c r="E43" s="5" t="s">
        <v>166</v>
      </c>
      <c r="F43" s="3" t="s">
        <v>165</v>
      </c>
      <c r="G43" s="6">
        <v>0.224</v>
      </c>
      <c r="H43" s="6">
        <v>0.18583333333333332</v>
      </c>
      <c r="I43" s="6">
        <v>0.1875</v>
      </c>
      <c r="J43" s="7">
        <v>0.16666666666666669</v>
      </c>
      <c r="K43" s="7">
        <f t="shared" si="1"/>
        <v>0.764</v>
      </c>
    </row>
    <row r="44">
      <c r="A44" s="1" t="s">
        <v>167</v>
      </c>
      <c r="B44" s="3" t="s">
        <v>168</v>
      </c>
      <c r="C44" s="1" t="s">
        <v>36</v>
      </c>
      <c r="D44" s="4" t="s">
        <v>30</v>
      </c>
      <c r="E44" s="5" t="s">
        <v>169</v>
      </c>
      <c r="F44" s="3" t="s">
        <v>168</v>
      </c>
      <c r="G44" s="6">
        <v>0.241</v>
      </c>
      <c r="H44" s="6">
        <v>0.20083333333333334</v>
      </c>
      <c r="I44" s="6">
        <v>0.1875</v>
      </c>
      <c r="J44" s="7">
        <v>0.13333333333333333</v>
      </c>
      <c r="K44" s="7">
        <f t="shared" si="1"/>
        <v>0.7626666667</v>
      </c>
    </row>
    <row r="45">
      <c r="A45" s="1" t="s">
        <v>54</v>
      </c>
      <c r="B45" s="3" t="s">
        <v>170</v>
      </c>
      <c r="C45" s="1" t="s">
        <v>171</v>
      </c>
      <c r="D45" s="4" t="s">
        <v>172</v>
      </c>
      <c r="E45" s="5" t="s">
        <v>173</v>
      </c>
      <c r="F45" s="3" t="s">
        <v>170</v>
      </c>
      <c r="G45" s="6">
        <v>0.29</v>
      </c>
      <c r="H45" s="6">
        <v>0.24166666666666667</v>
      </c>
      <c r="I45" s="6">
        <v>0.0625</v>
      </c>
      <c r="J45" s="7">
        <v>0.16666666666666669</v>
      </c>
      <c r="K45" s="7">
        <f t="shared" si="1"/>
        <v>0.7608333333</v>
      </c>
    </row>
    <row r="46">
      <c r="A46" s="1" t="s">
        <v>171</v>
      </c>
      <c r="B46" s="3" t="s">
        <v>174</v>
      </c>
      <c r="C46" s="1" t="s">
        <v>23</v>
      </c>
      <c r="D46" s="4" t="s">
        <v>30</v>
      </c>
      <c r="E46" s="5" t="s">
        <v>175</v>
      </c>
      <c r="F46" s="3" t="s">
        <v>174</v>
      </c>
      <c r="G46" s="6">
        <v>0.257</v>
      </c>
      <c r="H46" s="6">
        <v>0.21416666666666667</v>
      </c>
      <c r="I46" s="6">
        <v>0.1875</v>
      </c>
      <c r="J46" s="7">
        <v>0.1</v>
      </c>
      <c r="K46" s="7">
        <f t="shared" si="1"/>
        <v>0.7586666667</v>
      </c>
    </row>
    <row r="47">
      <c r="A47" s="1" t="s">
        <v>176</v>
      </c>
      <c r="B47" s="3" t="s">
        <v>177</v>
      </c>
      <c r="C47" s="1" t="s">
        <v>178</v>
      </c>
      <c r="D47" s="4" t="s">
        <v>30</v>
      </c>
      <c r="E47" s="5" t="s">
        <v>179</v>
      </c>
      <c r="F47" s="3" t="s">
        <v>177</v>
      </c>
      <c r="G47" s="6">
        <v>0.21999999999999997</v>
      </c>
      <c r="H47" s="6">
        <v>0.18333333333333332</v>
      </c>
      <c r="I47" s="6">
        <v>0.1875</v>
      </c>
      <c r="J47" s="7">
        <v>0.16666666666666669</v>
      </c>
      <c r="K47" s="7">
        <f t="shared" si="1"/>
        <v>0.7575</v>
      </c>
    </row>
    <row r="48">
      <c r="A48" s="1" t="s">
        <v>180</v>
      </c>
      <c r="B48" s="3" t="s">
        <v>181</v>
      </c>
      <c r="C48" s="1" t="s">
        <v>84</v>
      </c>
      <c r="D48" s="4" t="s">
        <v>30</v>
      </c>
      <c r="E48" s="5" t="s">
        <v>182</v>
      </c>
      <c r="F48" s="3" t="s">
        <v>181</v>
      </c>
      <c r="G48" s="6">
        <v>0.237</v>
      </c>
      <c r="H48" s="6">
        <v>0.1975</v>
      </c>
      <c r="I48" s="6">
        <v>0.1875</v>
      </c>
      <c r="J48" s="7">
        <v>0.13333333333333333</v>
      </c>
      <c r="K48" s="7">
        <f t="shared" si="1"/>
        <v>0.7553333333</v>
      </c>
    </row>
    <row r="49">
      <c r="A49" s="1" t="s">
        <v>183</v>
      </c>
      <c r="B49" s="3" t="s">
        <v>184</v>
      </c>
      <c r="C49" s="1" t="s">
        <v>40</v>
      </c>
      <c r="D49" s="4" t="s">
        <v>30</v>
      </c>
      <c r="E49" s="5" t="s">
        <v>185</v>
      </c>
      <c r="F49" s="3" t="s">
        <v>184</v>
      </c>
      <c r="G49" s="6">
        <v>0.218</v>
      </c>
      <c r="H49" s="6">
        <v>0.18166666666666667</v>
      </c>
      <c r="I49" s="6">
        <v>0.1875</v>
      </c>
      <c r="J49" s="7">
        <v>0.16666666666666669</v>
      </c>
      <c r="K49" s="7">
        <f t="shared" si="1"/>
        <v>0.7538333333</v>
      </c>
    </row>
    <row r="50">
      <c r="A50" s="1" t="s">
        <v>186</v>
      </c>
      <c r="B50" s="3" t="s">
        <v>187</v>
      </c>
      <c r="C50" s="1" t="s">
        <v>118</v>
      </c>
      <c r="D50" s="4" t="s">
        <v>30</v>
      </c>
      <c r="E50" s="2" t="s">
        <v>188</v>
      </c>
      <c r="F50" s="3" t="s">
        <v>187</v>
      </c>
      <c r="G50" s="6">
        <v>0.236</v>
      </c>
      <c r="H50" s="6">
        <v>0.19666666666666666</v>
      </c>
      <c r="I50" s="6">
        <v>0.1875</v>
      </c>
      <c r="J50" s="7">
        <v>0.13333333333333333</v>
      </c>
      <c r="K50" s="7">
        <f t="shared" si="1"/>
        <v>0.7535</v>
      </c>
    </row>
    <row r="51">
      <c r="A51" s="1" t="s">
        <v>127</v>
      </c>
      <c r="B51" s="3" t="s">
        <v>189</v>
      </c>
      <c r="C51" s="1" t="s">
        <v>190</v>
      </c>
      <c r="D51" s="4" t="s">
        <v>191</v>
      </c>
      <c r="E51" s="5" t="s">
        <v>192</v>
      </c>
      <c r="F51" s="3" t="s">
        <v>189</v>
      </c>
      <c r="G51" s="6">
        <v>0.27</v>
      </c>
      <c r="H51" s="6">
        <v>0.225</v>
      </c>
      <c r="I51" s="6">
        <v>0.125</v>
      </c>
      <c r="J51" s="7">
        <v>0.13333333333333333</v>
      </c>
      <c r="K51" s="7">
        <f t="shared" si="1"/>
        <v>0.7533333333</v>
      </c>
    </row>
    <row r="52">
      <c r="A52" s="1" t="s">
        <v>138</v>
      </c>
      <c r="B52" s="3" t="s">
        <v>193</v>
      </c>
      <c r="C52" s="1" t="s">
        <v>129</v>
      </c>
      <c r="D52" s="4" t="s">
        <v>172</v>
      </c>
      <c r="E52" s="5" t="s">
        <v>194</v>
      </c>
      <c r="F52" s="3" t="s">
        <v>193</v>
      </c>
      <c r="G52" s="6">
        <v>0.267</v>
      </c>
      <c r="H52" s="6">
        <v>0.2225</v>
      </c>
      <c r="I52" s="6">
        <v>0.0625</v>
      </c>
      <c r="J52" s="7">
        <v>0.2</v>
      </c>
      <c r="K52" s="7">
        <f t="shared" si="1"/>
        <v>0.752</v>
      </c>
    </row>
    <row r="53">
      <c r="A53" s="1" t="s">
        <v>78</v>
      </c>
      <c r="B53" s="3" t="s">
        <v>195</v>
      </c>
      <c r="C53" s="1" t="s">
        <v>48</v>
      </c>
      <c r="D53" s="4" t="s">
        <v>172</v>
      </c>
      <c r="E53" s="5" t="s">
        <v>196</v>
      </c>
      <c r="F53" s="3" t="s">
        <v>195</v>
      </c>
      <c r="G53" s="6">
        <v>0.284</v>
      </c>
      <c r="H53" s="6">
        <v>0.23666666666666666</v>
      </c>
      <c r="I53" s="6">
        <v>0.0625</v>
      </c>
      <c r="J53" s="7">
        <v>0.16666666666666669</v>
      </c>
      <c r="K53" s="7">
        <f t="shared" si="1"/>
        <v>0.7498333333</v>
      </c>
    </row>
    <row r="54">
      <c r="A54" s="1" t="s">
        <v>92</v>
      </c>
      <c r="B54" s="3" t="s">
        <v>197</v>
      </c>
      <c r="C54" s="1" t="s">
        <v>198</v>
      </c>
      <c r="D54" s="4" t="s">
        <v>172</v>
      </c>
      <c r="E54" s="5" t="s">
        <v>199</v>
      </c>
      <c r="F54" s="3" t="s">
        <v>197</v>
      </c>
      <c r="G54" s="6">
        <v>0.27999999999999997</v>
      </c>
      <c r="H54" s="6">
        <v>0.23333333333333334</v>
      </c>
      <c r="I54" s="6">
        <v>0.0625</v>
      </c>
      <c r="J54" s="7">
        <v>0.16666666666666669</v>
      </c>
      <c r="K54" s="7">
        <f t="shared" si="1"/>
        <v>0.7425</v>
      </c>
    </row>
    <row r="55">
      <c r="A55" s="1" t="s">
        <v>198</v>
      </c>
      <c r="B55" s="3" t="s">
        <v>200</v>
      </c>
      <c r="C55" s="1" t="s">
        <v>201</v>
      </c>
      <c r="D55" s="4" t="s">
        <v>30</v>
      </c>
      <c r="E55" s="5" t="s">
        <v>202</v>
      </c>
      <c r="F55" s="3" t="s">
        <v>200</v>
      </c>
      <c r="G55" s="6">
        <v>0.248</v>
      </c>
      <c r="H55" s="6">
        <v>0.20666666666666667</v>
      </c>
      <c r="I55" s="6">
        <v>0.1875</v>
      </c>
      <c r="J55" s="7">
        <v>0.1</v>
      </c>
      <c r="K55" s="7">
        <f t="shared" si="1"/>
        <v>0.7421666667</v>
      </c>
    </row>
    <row r="56">
      <c r="A56" s="1" t="s">
        <v>203</v>
      </c>
      <c r="B56" s="3" t="s">
        <v>204</v>
      </c>
      <c r="C56" s="1" t="s">
        <v>143</v>
      </c>
      <c r="D56" s="4" t="s">
        <v>13</v>
      </c>
      <c r="E56" s="5" t="s">
        <v>205</v>
      </c>
      <c r="F56" s="3" t="s">
        <v>204</v>
      </c>
      <c r="G56" s="6">
        <v>0.177</v>
      </c>
      <c r="H56" s="6">
        <v>0.1475</v>
      </c>
      <c r="I56" s="6">
        <v>0.25</v>
      </c>
      <c r="J56" s="7">
        <v>0.16666666666666669</v>
      </c>
      <c r="K56" s="7">
        <f t="shared" si="1"/>
        <v>0.7411666667</v>
      </c>
    </row>
    <row r="57">
      <c r="A57" s="1" t="s">
        <v>25</v>
      </c>
      <c r="B57" s="3" t="s">
        <v>206</v>
      </c>
      <c r="C57" s="1" t="s">
        <v>60</v>
      </c>
      <c r="D57" s="4" t="s">
        <v>172</v>
      </c>
      <c r="E57" s="5" t="s">
        <v>207</v>
      </c>
      <c r="F57" s="3" t="s">
        <v>206</v>
      </c>
      <c r="G57" s="6">
        <v>0.297</v>
      </c>
      <c r="H57" s="6">
        <v>0.2475</v>
      </c>
      <c r="I57" s="6">
        <v>0.0625</v>
      </c>
      <c r="J57" s="7">
        <v>0.13333333333333333</v>
      </c>
      <c r="K57" s="7">
        <f t="shared" si="1"/>
        <v>0.7403333333</v>
      </c>
    </row>
    <row r="58">
      <c r="A58" s="1" t="s">
        <v>201</v>
      </c>
      <c r="B58" s="3" t="s">
        <v>208</v>
      </c>
      <c r="C58" s="1" t="s">
        <v>150</v>
      </c>
      <c r="D58" s="4" t="s">
        <v>30</v>
      </c>
      <c r="E58" s="2" t="s">
        <v>209</v>
      </c>
      <c r="F58" s="3" t="s">
        <v>208</v>
      </c>
      <c r="G58" s="6">
        <v>0.247</v>
      </c>
      <c r="H58" s="6">
        <v>0.20583333333333334</v>
      </c>
      <c r="I58" s="6">
        <v>0.1875</v>
      </c>
      <c r="J58" s="7">
        <v>0.1</v>
      </c>
      <c r="K58" s="7">
        <f t="shared" si="1"/>
        <v>0.7403333333</v>
      </c>
    </row>
    <row r="59">
      <c r="A59" s="1" t="s">
        <v>29</v>
      </c>
      <c r="B59" s="3" t="s">
        <v>210</v>
      </c>
      <c r="C59" s="1" t="s">
        <v>72</v>
      </c>
      <c r="D59" s="4" t="s">
        <v>172</v>
      </c>
      <c r="E59" s="5" t="s">
        <v>211</v>
      </c>
      <c r="F59" s="3" t="s">
        <v>210</v>
      </c>
      <c r="G59" s="6">
        <v>0.296</v>
      </c>
      <c r="H59" s="6">
        <v>0.24666666666666667</v>
      </c>
      <c r="I59" s="6">
        <v>0.0625</v>
      </c>
      <c r="J59" s="7">
        <v>0.13333333333333333</v>
      </c>
      <c r="K59" s="7">
        <f t="shared" si="1"/>
        <v>0.7385</v>
      </c>
    </row>
    <row r="60">
      <c r="A60" s="1" t="s">
        <v>212</v>
      </c>
      <c r="B60" s="3" t="s">
        <v>213</v>
      </c>
      <c r="C60" s="1" t="s">
        <v>110</v>
      </c>
      <c r="D60" s="4" t="s">
        <v>30</v>
      </c>
      <c r="E60" s="5" t="s">
        <v>214</v>
      </c>
      <c r="F60" s="3" t="s">
        <v>213</v>
      </c>
      <c r="G60" s="6">
        <v>0.209</v>
      </c>
      <c r="H60" s="6">
        <v>0.17416666666666666</v>
      </c>
      <c r="I60" s="6">
        <v>0.1875</v>
      </c>
      <c r="J60" s="7">
        <v>0.16666666666666669</v>
      </c>
      <c r="K60" s="7">
        <f t="shared" si="1"/>
        <v>0.7373333333</v>
      </c>
    </row>
    <row r="61">
      <c r="A61" s="1" t="s">
        <v>215</v>
      </c>
      <c r="B61" s="3" t="s">
        <v>216</v>
      </c>
      <c r="C61" s="1" t="s">
        <v>167</v>
      </c>
      <c r="D61" s="4" t="s">
        <v>13</v>
      </c>
      <c r="E61" s="5" t="s">
        <v>217</v>
      </c>
      <c r="F61" s="3" t="s">
        <v>216</v>
      </c>
      <c r="G61" s="6">
        <v>0.211</v>
      </c>
      <c r="H61" s="6">
        <v>0.17583333333333334</v>
      </c>
      <c r="I61" s="6">
        <v>0.25</v>
      </c>
      <c r="J61" s="7">
        <v>0.1</v>
      </c>
      <c r="K61" s="7">
        <f t="shared" si="1"/>
        <v>0.7368333333</v>
      </c>
    </row>
    <row r="62">
      <c r="A62" s="1" t="s">
        <v>34</v>
      </c>
      <c r="B62" s="3" t="s">
        <v>218</v>
      </c>
      <c r="C62" s="1" t="s">
        <v>76</v>
      </c>
      <c r="D62" s="4" t="s">
        <v>172</v>
      </c>
      <c r="E62" s="5" t="s">
        <v>219</v>
      </c>
      <c r="F62" s="3" t="s">
        <v>218</v>
      </c>
      <c r="G62" s="6">
        <v>0.295</v>
      </c>
      <c r="H62" s="6">
        <v>0.24583333333333332</v>
      </c>
      <c r="I62" s="6">
        <v>0.0625</v>
      </c>
      <c r="J62" s="7">
        <v>0.13333333333333333</v>
      </c>
      <c r="K62" s="7">
        <f t="shared" si="1"/>
        <v>0.7366666667</v>
      </c>
    </row>
    <row r="63">
      <c r="A63" s="1" t="s">
        <v>38</v>
      </c>
      <c r="B63" s="3" t="s">
        <v>220</v>
      </c>
      <c r="C63" s="1" t="s">
        <v>221</v>
      </c>
      <c r="D63" s="4" t="s">
        <v>172</v>
      </c>
      <c r="E63" s="2" t="s">
        <v>222</v>
      </c>
      <c r="F63" s="3" t="s">
        <v>220</v>
      </c>
      <c r="G63" s="6">
        <v>0.294</v>
      </c>
      <c r="H63" s="6">
        <v>0.245</v>
      </c>
      <c r="I63" s="6">
        <v>0.0625</v>
      </c>
      <c r="J63" s="7">
        <v>0.13333333333333333</v>
      </c>
      <c r="K63" s="7">
        <f t="shared" si="1"/>
        <v>0.7348333333</v>
      </c>
    </row>
    <row r="64">
      <c r="A64" s="1" t="s">
        <v>223</v>
      </c>
      <c r="B64" s="3" t="s">
        <v>224</v>
      </c>
      <c r="C64" s="1" t="s">
        <v>114</v>
      </c>
      <c r="D64" s="4" t="s">
        <v>13</v>
      </c>
      <c r="E64" s="5" t="s">
        <v>225</v>
      </c>
      <c r="F64" s="3" t="s">
        <v>224</v>
      </c>
      <c r="G64" s="6">
        <v>0.18999999999999997</v>
      </c>
      <c r="H64" s="6">
        <v>0.15833333333333333</v>
      </c>
      <c r="I64" s="6">
        <v>0.25</v>
      </c>
      <c r="J64" s="7">
        <v>0.13333333333333333</v>
      </c>
      <c r="K64" s="7">
        <f t="shared" si="1"/>
        <v>0.7316666667</v>
      </c>
    </row>
    <row r="65">
      <c r="A65" s="1" t="s">
        <v>50</v>
      </c>
      <c r="B65" s="3" t="s">
        <v>226</v>
      </c>
      <c r="C65" s="1" t="s">
        <v>180</v>
      </c>
      <c r="D65" s="4" t="s">
        <v>172</v>
      </c>
      <c r="E65" s="5" t="s">
        <v>227</v>
      </c>
      <c r="F65" s="3" t="s">
        <v>226</v>
      </c>
      <c r="G65" s="6">
        <v>0.291</v>
      </c>
      <c r="H65" s="6">
        <v>0.2425</v>
      </c>
      <c r="I65" s="6">
        <v>0.0625</v>
      </c>
      <c r="J65" s="7">
        <v>0.13333333333333333</v>
      </c>
      <c r="K65" s="7">
        <f t="shared" si="1"/>
        <v>0.7293333333</v>
      </c>
    </row>
    <row r="66">
      <c r="A66" s="1" t="s">
        <v>58</v>
      </c>
      <c r="B66" s="3" t="s">
        <v>228</v>
      </c>
      <c r="C66" s="1" t="s">
        <v>186</v>
      </c>
      <c r="D66" s="4" t="s">
        <v>172</v>
      </c>
      <c r="E66" s="5" t="s">
        <v>229</v>
      </c>
      <c r="F66" s="3" t="s">
        <v>228</v>
      </c>
      <c r="G66" s="6">
        <v>0.289</v>
      </c>
      <c r="H66" s="6">
        <v>0.24083333333333334</v>
      </c>
      <c r="I66" s="6">
        <v>0.0625</v>
      </c>
      <c r="J66" s="7">
        <v>0.13333333333333333</v>
      </c>
      <c r="K66" s="7">
        <f t="shared" si="1"/>
        <v>0.7256666667</v>
      </c>
    </row>
    <row r="67">
      <c r="A67" s="1" t="s">
        <v>62</v>
      </c>
      <c r="B67" s="3" t="s">
        <v>230</v>
      </c>
      <c r="C67" s="1" t="s">
        <v>125</v>
      </c>
      <c r="D67" s="4" t="s">
        <v>172</v>
      </c>
      <c r="E67" s="5" t="s">
        <v>231</v>
      </c>
      <c r="F67" s="3" t="s">
        <v>230</v>
      </c>
      <c r="G67" s="6">
        <v>0.288</v>
      </c>
      <c r="H67" s="6">
        <v>0.24</v>
      </c>
      <c r="I67" s="6">
        <v>0.0625</v>
      </c>
      <c r="J67" s="7">
        <v>0.13333333333333333</v>
      </c>
      <c r="K67" s="7">
        <f t="shared" si="1"/>
        <v>0.7238333333</v>
      </c>
    </row>
    <row r="68">
      <c r="A68" s="1" t="s">
        <v>232</v>
      </c>
      <c r="B68" s="3" t="s">
        <v>233</v>
      </c>
      <c r="C68" s="1" t="s">
        <v>234</v>
      </c>
      <c r="D68" s="4" t="s">
        <v>13</v>
      </c>
      <c r="E68" s="5" t="s">
        <v>235</v>
      </c>
      <c r="F68" s="3" t="s">
        <v>233</v>
      </c>
      <c r="G68" s="6">
        <v>0.20299999999999999</v>
      </c>
      <c r="H68" s="6">
        <v>0.16916666666666666</v>
      </c>
      <c r="I68" s="6">
        <v>0.25</v>
      </c>
      <c r="J68" s="7">
        <v>0.1</v>
      </c>
      <c r="K68" s="7">
        <f t="shared" si="1"/>
        <v>0.7221666667</v>
      </c>
    </row>
    <row r="69">
      <c r="A69" s="1" t="s">
        <v>66</v>
      </c>
      <c r="B69" s="3" t="s">
        <v>236</v>
      </c>
      <c r="C69" s="1" t="s">
        <v>122</v>
      </c>
      <c r="D69" s="4" t="s">
        <v>172</v>
      </c>
      <c r="E69" s="5" t="s">
        <v>237</v>
      </c>
      <c r="F69" s="3" t="s">
        <v>236</v>
      </c>
      <c r="G69" s="6">
        <v>0.287</v>
      </c>
      <c r="H69" s="6">
        <v>0.23916666666666667</v>
      </c>
      <c r="I69" s="6">
        <v>0.0625</v>
      </c>
      <c r="J69" s="7">
        <v>0.13333333333333333</v>
      </c>
      <c r="K69" s="7">
        <f t="shared" si="1"/>
        <v>0.722</v>
      </c>
    </row>
    <row r="70">
      <c r="A70" s="1" t="s">
        <v>134</v>
      </c>
      <c r="B70" s="3" t="s">
        <v>238</v>
      </c>
      <c r="C70" s="1" t="s">
        <v>132</v>
      </c>
      <c r="D70" s="4" t="s">
        <v>172</v>
      </c>
      <c r="E70" s="5" t="s">
        <v>239</v>
      </c>
      <c r="F70" s="3" t="s">
        <v>238</v>
      </c>
      <c r="G70" s="6">
        <v>0.26799999999999996</v>
      </c>
      <c r="H70" s="6">
        <v>0.22333333333333333</v>
      </c>
      <c r="I70" s="6">
        <v>0.0625</v>
      </c>
      <c r="J70" s="7">
        <v>0.16666666666666669</v>
      </c>
      <c r="K70" s="7">
        <f t="shared" si="1"/>
        <v>0.7205</v>
      </c>
    </row>
    <row r="71">
      <c r="A71" s="1" t="s">
        <v>240</v>
      </c>
      <c r="B71" s="3" t="s">
        <v>241</v>
      </c>
      <c r="C71" s="1" t="s">
        <v>242</v>
      </c>
      <c r="D71" s="4" t="s">
        <v>30</v>
      </c>
      <c r="E71" s="5" t="s">
        <v>243</v>
      </c>
      <c r="F71" s="3" t="s">
        <v>241</v>
      </c>
      <c r="G71" s="6">
        <v>0.217</v>
      </c>
      <c r="H71" s="6">
        <v>0.18083333333333335</v>
      </c>
      <c r="I71" s="6">
        <v>0.1875</v>
      </c>
      <c r="J71" s="7">
        <v>0.13333333333333333</v>
      </c>
      <c r="K71" s="7">
        <f t="shared" si="1"/>
        <v>0.7186666667</v>
      </c>
    </row>
    <row r="72">
      <c r="A72" s="1" t="s">
        <v>244</v>
      </c>
      <c r="B72" s="3" t="s">
        <v>245</v>
      </c>
      <c r="C72" s="1" t="s">
        <v>52</v>
      </c>
      <c r="D72" s="4" t="s">
        <v>30</v>
      </c>
      <c r="E72" s="5" t="s">
        <v>246</v>
      </c>
      <c r="F72" s="3" t="s">
        <v>245</v>
      </c>
      <c r="G72" s="6">
        <v>0.215</v>
      </c>
      <c r="H72" s="6">
        <v>0.17916666666666667</v>
      </c>
      <c r="I72" s="6">
        <v>0.1875</v>
      </c>
      <c r="J72" s="7">
        <v>0.13333333333333333</v>
      </c>
      <c r="K72" s="7">
        <f t="shared" si="1"/>
        <v>0.715</v>
      </c>
    </row>
    <row r="73">
      <c r="A73" s="1" t="s">
        <v>247</v>
      </c>
      <c r="B73" s="3" t="s">
        <v>248</v>
      </c>
      <c r="C73" s="1" t="s">
        <v>136</v>
      </c>
      <c r="D73" s="4" t="s">
        <v>13</v>
      </c>
      <c r="E73" s="5" t="s">
        <v>249</v>
      </c>
      <c r="F73" s="3" t="s">
        <v>248</v>
      </c>
      <c r="G73" s="6">
        <v>0.19899999999999998</v>
      </c>
      <c r="H73" s="6">
        <v>0.16583333333333333</v>
      </c>
      <c r="I73" s="6">
        <v>0.25</v>
      </c>
      <c r="J73" s="7">
        <v>0.1</v>
      </c>
      <c r="K73" s="7">
        <f t="shared" si="1"/>
        <v>0.7148333333</v>
      </c>
    </row>
    <row r="74">
      <c r="A74" s="1" t="s">
        <v>12</v>
      </c>
      <c r="B74" s="3" t="s">
        <v>250</v>
      </c>
      <c r="C74" s="1" t="s">
        <v>56</v>
      </c>
      <c r="D74" s="4" t="s">
        <v>172</v>
      </c>
      <c r="E74" s="5" t="s">
        <v>251</v>
      </c>
      <c r="F74" s="3" t="s">
        <v>250</v>
      </c>
      <c r="G74" s="6">
        <v>0.3</v>
      </c>
      <c r="H74" s="6">
        <v>0.25</v>
      </c>
      <c r="I74" s="6">
        <v>0.0625</v>
      </c>
      <c r="J74" s="7">
        <v>0.1</v>
      </c>
      <c r="K74" s="7">
        <f t="shared" si="1"/>
        <v>0.7125</v>
      </c>
    </row>
    <row r="75">
      <c r="A75" s="1" t="s">
        <v>252</v>
      </c>
      <c r="B75" s="3" t="s">
        <v>253</v>
      </c>
      <c r="C75" s="1" t="s">
        <v>156</v>
      </c>
      <c r="D75" s="4" t="s">
        <v>13</v>
      </c>
      <c r="E75" s="5" t="s">
        <v>254</v>
      </c>
      <c r="F75" s="3" t="s">
        <v>253</v>
      </c>
      <c r="G75" s="6">
        <v>0.18</v>
      </c>
      <c r="H75" s="6">
        <v>0.14916666666666667</v>
      </c>
      <c r="I75" s="6">
        <v>0.25</v>
      </c>
      <c r="J75" s="7">
        <v>0.13333333333333333</v>
      </c>
      <c r="K75" s="7">
        <f t="shared" si="1"/>
        <v>0.7125</v>
      </c>
    </row>
    <row r="76">
      <c r="A76" s="1" t="s">
        <v>255</v>
      </c>
      <c r="B76" s="3" t="s">
        <v>256</v>
      </c>
      <c r="C76" s="1" t="s">
        <v>160</v>
      </c>
      <c r="D76" s="4" t="s">
        <v>30</v>
      </c>
      <c r="E76" s="5" t="s">
        <v>257</v>
      </c>
      <c r="F76" s="3" t="s">
        <v>256</v>
      </c>
      <c r="G76" s="6">
        <v>0.213</v>
      </c>
      <c r="H76" s="6">
        <v>0.1775</v>
      </c>
      <c r="I76" s="6">
        <v>0.1875</v>
      </c>
      <c r="J76" s="7">
        <v>0.13333333333333333</v>
      </c>
      <c r="K76" s="7">
        <f t="shared" si="1"/>
        <v>0.7113333333</v>
      </c>
    </row>
    <row r="77">
      <c r="A77" s="1" t="s">
        <v>258</v>
      </c>
      <c r="B77" s="3" t="s">
        <v>259</v>
      </c>
      <c r="C77" s="1" t="s">
        <v>153</v>
      </c>
      <c r="D77" s="4" t="s">
        <v>13</v>
      </c>
      <c r="E77" s="5" t="s">
        <v>260</v>
      </c>
      <c r="F77" s="3" t="s">
        <v>259</v>
      </c>
      <c r="G77" s="6">
        <v>0.19699999999999998</v>
      </c>
      <c r="H77" s="6">
        <v>0.16416666666666666</v>
      </c>
      <c r="I77" s="6">
        <v>0.25</v>
      </c>
      <c r="J77" s="7">
        <v>0.1</v>
      </c>
      <c r="K77" s="7">
        <f t="shared" si="1"/>
        <v>0.7111666667</v>
      </c>
    </row>
    <row r="78">
      <c r="A78" s="1" t="s">
        <v>242</v>
      </c>
      <c r="B78" s="3" t="s">
        <v>261</v>
      </c>
      <c r="C78" s="1" t="s">
        <v>99</v>
      </c>
      <c r="D78" s="4" t="s">
        <v>30</v>
      </c>
      <c r="E78" s="5" t="s">
        <v>262</v>
      </c>
      <c r="F78" s="3" t="s">
        <v>261</v>
      </c>
      <c r="G78" s="6">
        <v>0.23099999999999998</v>
      </c>
      <c r="H78" s="6">
        <v>0.1925</v>
      </c>
      <c r="I78" s="6">
        <v>0.1875</v>
      </c>
      <c r="J78" s="7">
        <v>0.1</v>
      </c>
      <c r="K78" s="7">
        <f t="shared" si="1"/>
        <v>0.711</v>
      </c>
    </row>
    <row r="79">
      <c r="A79" s="1" t="s">
        <v>17</v>
      </c>
      <c r="B79" s="3" t="s">
        <v>263</v>
      </c>
      <c r="C79" s="1" t="s">
        <v>164</v>
      </c>
      <c r="D79" s="4" t="s">
        <v>172</v>
      </c>
      <c r="E79" s="5" t="s">
        <v>264</v>
      </c>
      <c r="F79" s="3" t="s">
        <v>263</v>
      </c>
      <c r="G79" s="6">
        <v>0.299</v>
      </c>
      <c r="H79" s="6">
        <v>0.24916666666666668</v>
      </c>
      <c r="I79" s="6">
        <v>0.0625</v>
      </c>
      <c r="J79" s="7">
        <v>0.1</v>
      </c>
      <c r="K79" s="7">
        <f t="shared" si="1"/>
        <v>0.7106666667</v>
      </c>
    </row>
    <row r="80">
      <c r="A80" s="1" t="s">
        <v>21</v>
      </c>
      <c r="B80" s="3" t="s">
        <v>265</v>
      </c>
      <c r="C80" s="1" t="s">
        <v>266</v>
      </c>
      <c r="D80" s="4" t="s">
        <v>172</v>
      </c>
      <c r="E80" s="5" t="s">
        <v>267</v>
      </c>
      <c r="F80" s="3" t="s">
        <v>265</v>
      </c>
      <c r="G80" s="6">
        <v>0.298</v>
      </c>
      <c r="H80" s="6">
        <v>0.24833333333333332</v>
      </c>
      <c r="I80" s="6">
        <v>0.0625</v>
      </c>
      <c r="J80" s="7">
        <v>0.1</v>
      </c>
      <c r="K80" s="7">
        <f t="shared" si="1"/>
        <v>0.7088333333</v>
      </c>
    </row>
    <row r="81">
      <c r="A81" s="1" t="s">
        <v>101</v>
      </c>
      <c r="B81" s="3" t="s">
        <v>268</v>
      </c>
      <c r="C81" s="1" t="s">
        <v>80</v>
      </c>
      <c r="D81" s="4" t="s">
        <v>172</v>
      </c>
      <c r="E81" s="5" t="s">
        <v>269</v>
      </c>
      <c r="F81" s="3" t="s">
        <v>268</v>
      </c>
      <c r="G81" s="6">
        <v>0.27699999999999997</v>
      </c>
      <c r="H81" s="6">
        <v>0.23083333333333333</v>
      </c>
      <c r="I81" s="6">
        <v>0.0625</v>
      </c>
      <c r="J81" s="7">
        <v>0.13333333333333333</v>
      </c>
      <c r="K81" s="7">
        <f t="shared" si="1"/>
        <v>0.7036666667</v>
      </c>
    </row>
    <row r="82">
      <c r="A82" s="1" t="s">
        <v>270</v>
      </c>
      <c r="B82" s="3" t="s">
        <v>271</v>
      </c>
      <c r="C82" s="1" t="s">
        <v>176</v>
      </c>
      <c r="D82" s="4" t="s">
        <v>13</v>
      </c>
      <c r="E82" s="5" t="s">
        <v>272</v>
      </c>
      <c r="F82" s="3" t="s">
        <v>271</v>
      </c>
      <c r="G82" s="6">
        <v>0.17200000000000001</v>
      </c>
      <c r="H82" s="6">
        <v>0.14333333333333334</v>
      </c>
      <c r="I82" s="6">
        <v>0.25</v>
      </c>
      <c r="J82" s="7">
        <v>0.13333333333333333</v>
      </c>
      <c r="K82" s="7">
        <f t="shared" si="1"/>
        <v>0.6986666667</v>
      </c>
    </row>
    <row r="83">
      <c r="A83" s="1" t="s">
        <v>46</v>
      </c>
      <c r="B83" s="3" t="s">
        <v>273</v>
      </c>
      <c r="C83" s="1" t="s">
        <v>274</v>
      </c>
      <c r="D83" s="4" t="s">
        <v>172</v>
      </c>
      <c r="E83" s="5" t="s">
        <v>275</v>
      </c>
      <c r="F83" s="3" t="s">
        <v>273</v>
      </c>
      <c r="G83" s="6">
        <v>0.292</v>
      </c>
      <c r="H83" s="6">
        <v>0.24333333333333335</v>
      </c>
      <c r="I83" s="6">
        <v>0.0625</v>
      </c>
      <c r="J83" s="7">
        <v>0.1</v>
      </c>
      <c r="K83" s="7">
        <f t="shared" si="1"/>
        <v>0.6978333333</v>
      </c>
    </row>
    <row r="84">
      <c r="A84" s="1" t="s">
        <v>221</v>
      </c>
      <c r="B84" s="3" t="s">
        <v>276</v>
      </c>
      <c r="C84" s="1" t="s">
        <v>183</v>
      </c>
      <c r="D84" s="4" t="s">
        <v>191</v>
      </c>
      <c r="E84" s="5" t="s">
        <v>277</v>
      </c>
      <c r="F84" s="3" t="s">
        <v>276</v>
      </c>
      <c r="G84" s="6">
        <v>0.239</v>
      </c>
      <c r="H84" s="6">
        <v>0.19916666666666666</v>
      </c>
      <c r="I84" s="6">
        <v>0.125</v>
      </c>
      <c r="J84" s="7">
        <v>0.13333333333333333</v>
      </c>
      <c r="K84" s="7">
        <f t="shared" si="1"/>
        <v>0.6965</v>
      </c>
    </row>
    <row r="85">
      <c r="A85" s="1" t="s">
        <v>266</v>
      </c>
      <c r="B85" s="3" t="s">
        <v>278</v>
      </c>
      <c r="C85" s="1" t="s">
        <v>240</v>
      </c>
      <c r="D85" s="4" t="s">
        <v>30</v>
      </c>
      <c r="E85" s="5" t="s">
        <v>279</v>
      </c>
      <c r="F85" s="3" t="s">
        <v>278</v>
      </c>
      <c r="G85" s="6">
        <v>0.222</v>
      </c>
      <c r="H85" s="6">
        <v>0.185</v>
      </c>
      <c r="I85" s="6">
        <v>0.1875</v>
      </c>
      <c r="J85" s="7">
        <v>0.1</v>
      </c>
      <c r="K85" s="7">
        <f t="shared" si="1"/>
        <v>0.6945</v>
      </c>
    </row>
    <row r="86">
      <c r="A86" s="1" t="s">
        <v>280</v>
      </c>
      <c r="B86" s="3" t="s">
        <v>281</v>
      </c>
      <c r="C86" s="1" t="s">
        <v>282</v>
      </c>
      <c r="D86" s="4" t="s">
        <v>13</v>
      </c>
      <c r="E86" s="5" t="s">
        <v>283</v>
      </c>
      <c r="F86" s="3" t="s">
        <v>281</v>
      </c>
      <c r="G86" s="6">
        <v>0.15</v>
      </c>
      <c r="H86" s="6">
        <v>0.125</v>
      </c>
      <c r="I86" s="6">
        <v>0.25</v>
      </c>
      <c r="J86" s="7">
        <v>0.16666666666666669</v>
      </c>
      <c r="K86" s="7">
        <f t="shared" si="1"/>
        <v>0.6916666667</v>
      </c>
    </row>
    <row r="87">
      <c r="A87" s="1" t="s">
        <v>274</v>
      </c>
      <c r="B87" s="3" t="s">
        <v>284</v>
      </c>
      <c r="C87" s="1" t="s">
        <v>244</v>
      </c>
      <c r="D87" s="4" t="s">
        <v>30</v>
      </c>
      <c r="E87" s="5" t="s">
        <v>285</v>
      </c>
      <c r="F87" s="3" t="s">
        <v>284</v>
      </c>
      <c r="G87" s="6">
        <v>0.219</v>
      </c>
      <c r="H87" s="6">
        <v>0.1825</v>
      </c>
      <c r="I87" s="6">
        <v>0.1875</v>
      </c>
      <c r="J87" s="7">
        <v>0.1</v>
      </c>
      <c r="K87" s="7">
        <f t="shared" si="1"/>
        <v>0.689</v>
      </c>
    </row>
    <row r="88">
      <c r="A88" s="1" t="s">
        <v>70</v>
      </c>
      <c r="B88" s="3" t="s">
        <v>286</v>
      </c>
      <c r="C88" s="1" t="s">
        <v>287</v>
      </c>
      <c r="D88" s="4" t="s">
        <v>172</v>
      </c>
      <c r="E88" s="2" t="s">
        <v>288</v>
      </c>
      <c r="F88" s="3" t="s">
        <v>286</v>
      </c>
      <c r="G88" s="6">
        <v>0.286</v>
      </c>
      <c r="H88" s="6">
        <v>0.23833333333333334</v>
      </c>
      <c r="I88" s="6">
        <v>0.0625</v>
      </c>
      <c r="J88" s="7">
        <v>0.1</v>
      </c>
      <c r="K88" s="7">
        <f t="shared" si="1"/>
        <v>0.6868333333</v>
      </c>
    </row>
    <row r="89">
      <c r="A89" s="1" t="s">
        <v>74</v>
      </c>
      <c r="B89" s="3" t="s">
        <v>289</v>
      </c>
      <c r="C89" s="1" t="s">
        <v>255</v>
      </c>
      <c r="D89" s="4" t="s">
        <v>172</v>
      </c>
      <c r="E89" s="5" t="s">
        <v>290</v>
      </c>
      <c r="F89" s="3" t="s">
        <v>289</v>
      </c>
      <c r="G89" s="6">
        <v>0.285</v>
      </c>
      <c r="H89" s="6">
        <v>0.2375</v>
      </c>
      <c r="I89" s="6">
        <v>0.0625</v>
      </c>
      <c r="J89" s="7">
        <v>0.1</v>
      </c>
      <c r="K89" s="7">
        <f t="shared" si="1"/>
        <v>0.685</v>
      </c>
    </row>
    <row r="90">
      <c r="A90" s="1" t="s">
        <v>282</v>
      </c>
      <c r="B90" s="3" t="s">
        <v>291</v>
      </c>
      <c r="C90" s="1" t="s">
        <v>140</v>
      </c>
      <c r="D90" s="4" t="s">
        <v>30</v>
      </c>
      <c r="E90" s="5" t="s">
        <v>292</v>
      </c>
      <c r="F90" s="3" t="s">
        <v>291</v>
      </c>
      <c r="G90" s="6">
        <v>0.216</v>
      </c>
      <c r="H90" s="6">
        <v>0.18</v>
      </c>
      <c r="I90" s="6">
        <v>0.1875</v>
      </c>
      <c r="J90" s="7">
        <v>0.1</v>
      </c>
      <c r="K90" s="7">
        <f t="shared" si="1"/>
        <v>0.6835</v>
      </c>
    </row>
    <row r="91">
      <c r="A91" s="1" t="s">
        <v>293</v>
      </c>
      <c r="B91" s="3" t="s">
        <v>294</v>
      </c>
      <c r="C91" s="1" t="s">
        <v>215</v>
      </c>
      <c r="D91" s="4" t="s">
        <v>13</v>
      </c>
      <c r="E91" s="5" t="s">
        <v>295</v>
      </c>
      <c r="F91" s="3" t="s">
        <v>294</v>
      </c>
      <c r="G91" s="6">
        <v>0.163</v>
      </c>
      <c r="H91" s="6">
        <v>0.13583333333333333</v>
      </c>
      <c r="I91" s="6">
        <v>0.25</v>
      </c>
      <c r="J91" s="7">
        <v>0.13333333333333333</v>
      </c>
      <c r="K91" s="7">
        <f t="shared" si="1"/>
        <v>0.6821666667</v>
      </c>
    </row>
    <row r="92">
      <c r="A92" s="1" t="s">
        <v>296</v>
      </c>
      <c r="B92" s="3" t="s">
        <v>297</v>
      </c>
      <c r="C92" s="1" t="s">
        <v>96</v>
      </c>
      <c r="D92" s="4" t="s">
        <v>13</v>
      </c>
      <c r="E92" s="5" t="s">
        <v>298</v>
      </c>
      <c r="F92" s="3" t="s">
        <v>297</v>
      </c>
      <c r="G92" s="6">
        <v>0.18100000000000002</v>
      </c>
      <c r="H92" s="6">
        <v>0.15083333333333335</v>
      </c>
      <c r="I92" s="6">
        <v>0.25</v>
      </c>
      <c r="J92" s="7">
        <v>0.1</v>
      </c>
      <c r="K92" s="7">
        <f t="shared" si="1"/>
        <v>0.6818333333</v>
      </c>
    </row>
    <row r="93">
      <c r="A93" s="1" t="s">
        <v>287</v>
      </c>
      <c r="B93" s="3" t="s">
        <v>299</v>
      </c>
      <c r="C93" s="1" t="s">
        <v>212</v>
      </c>
      <c r="D93" s="4" t="s">
        <v>30</v>
      </c>
      <c r="E93" s="5" t="s">
        <v>300</v>
      </c>
      <c r="F93" s="3" t="s">
        <v>299</v>
      </c>
      <c r="G93" s="6">
        <v>0.214</v>
      </c>
      <c r="H93" s="6">
        <v>0.17833333333333334</v>
      </c>
      <c r="I93" s="6">
        <v>0.1875</v>
      </c>
      <c r="J93" s="7">
        <v>0.1</v>
      </c>
      <c r="K93" s="7">
        <f t="shared" si="1"/>
        <v>0.6798333333</v>
      </c>
    </row>
    <row r="94">
      <c r="A94" s="1" t="s">
        <v>42</v>
      </c>
      <c r="B94" s="3" t="s">
        <v>301</v>
      </c>
      <c r="C94" s="1" t="s">
        <v>302</v>
      </c>
      <c r="D94" s="4" t="s">
        <v>172</v>
      </c>
      <c r="E94" s="5" t="s">
        <v>303</v>
      </c>
      <c r="F94" s="3" t="s">
        <v>301</v>
      </c>
      <c r="G94" s="6">
        <v>0.293</v>
      </c>
      <c r="H94" s="6">
        <v>0.24416666666666667</v>
      </c>
      <c r="I94" s="6">
        <v>0.0625</v>
      </c>
      <c r="J94" s="7">
        <v>0.06666666666666667</v>
      </c>
      <c r="K94" s="7">
        <f t="shared" si="1"/>
        <v>0.6663333333</v>
      </c>
    </row>
    <row r="95">
      <c r="A95" s="1" t="s">
        <v>120</v>
      </c>
      <c r="B95" s="3" t="s">
        <v>304</v>
      </c>
      <c r="C95" s="1" t="s">
        <v>305</v>
      </c>
      <c r="D95" s="4" t="s">
        <v>172</v>
      </c>
      <c r="E95" s="5" t="s">
        <v>306</v>
      </c>
      <c r="F95" s="3" t="s">
        <v>304</v>
      </c>
      <c r="G95" s="6">
        <v>0.27199999999999996</v>
      </c>
      <c r="H95" s="6">
        <v>0.22666666666666666</v>
      </c>
      <c r="I95" s="6">
        <v>0.0625</v>
      </c>
      <c r="J95" s="7">
        <v>0.1</v>
      </c>
      <c r="K95" s="7">
        <f t="shared" si="1"/>
        <v>0.6611666667</v>
      </c>
    </row>
    <row r="96">
      <c r="A96" s="1" t="s">
        <v>307</v>
      </c>
      <c r="B96" s="3" t="s">
        <v>308</v>
      </c>
      <c r="C96" s="1" t="s">
        <v>107</v>
      </c>
      <c r="D96" s="4" t="s">
        <v>13</v>
      </c>
      <c r="E96" s="2" t="s">
        <v>309</v>
      </c>
      <c r="F96" s="3" t="s">
        <v>308</v>
      </c>
      <c r="G96" s="6">
        <v>0.16999999999999998</v>
      </c>
      <c r="H96" s="6">
        <v>0.14083333333333334</v>
      </c>
      <c r="I96" s="6">
        <v>0.25</v>
      </c>
      <c r="J96" s="7">
        <v>0.1</v>
      </c>
      <c r="K96" s="7">
        <f t="shared" si="1"/>
        <v>0.6608333333</v>
      </c>
    </row>
    <row r="97">
      <c r="A97" s="1" t="s">
        <v>310</v>
      </c>
      <c r="B97" s="3" t="s">
        <v>311</v>
      </c>
      <c r="C97" s="1" t="s">
        <v>312</v>
      </c>
      <c r="D97" s="4" t="s">
        <v>30</v>
      </c>
      <c r="E97" s="5" t="s">
        <v>313</v>
      </c>
      <c r="F97" s="3" t="s">
        <v>311</v>
      </c>
      <c r="G97" s="6">
        <v>0.183</v>
      </c>
      <c r="H97" s="6">
        <v>0.1525</v>
      </c>
      <c r="I97" s="6">
        <v>0.1875</v>
      </c>
      <c r="J97" s="7">
        <v>0.13333333333333333</v>
      </c>
      <c r="K97" s="7">
        <f t="shared" si="1"/>
        <v>0.6563333333</v>
      </c>
    </row>
    <row r="98">
      <c r="A98" s="1" t="s">
        <v>314</v>
      </c>
      <c r="B98" s="3" t="s">
        <v>315</v>
      </c>
      <c r="C98" s="1" t="s">
        <v>316</v>
      </c>
      <c r="D98" s="4" t="s">
        <v>30</v>
      </c>
      <c r="E98" s="5" t="s">
        <v>317</v>
      </c>
      <c r="F98" s="3" t="s">
        <v>315</v>
      </c>
      <c r="G98" s="6">
        <v>0.201</v>
      </c>
      <c r="H98" s="6">
        <v>0.1675</v>
      </c>
      <c r="I98" s="6">
        <v>0.1875</v>
      </c>
      <c r="J98" s="7">
        <v>0.1</v>
      </c>
      <c r="K98" s="7">
        <f t="shared" si="1"/>
        <v>0.656</v>
      </c>
    </row>
    <row r="99">
      <c r="A99" s="1" t="s">
        <v>190</v>
      </c>
      <c r="B99" s="3" t="s">
        <v>318</v>
      </c>
      <c r="C99" s="1" t="s">
        <v>232</v>
      </c>
      <c r="D99" s="4" t="s">
        <v>172</v>
      </c>
      <c r="E99" s="5" t="s">
        <v>319</v>
      </c>
      <c r="F99" s="3" t="s">
        <v>318</v>
      </c>
      <c r="G99" s="6">
        <v>0.251</v>
      </c>
      <c r="H99" s="6">
        <v>0.20916666666666667</v>
      </c>
      <c r="I99" s="6">
        <v>0.0625</v>
      </c>
      <c r="J99" s="7">
        <v>0.13333333333333333</v>
      </c>
      <c r="K99" s="7">
        <f t="shared" si="1"/>
        <v>0.656</v>
      </c>
    </row>
    <row r="100">
      <c r="A100" s="1" t="s">
        <v>145</v>
      </c>
      <c r="B100" s="3" t="s">
        <v>320</v>
      </c>
      <c r="C100" s="1" t="s">
        <v>321</v>
      </c>
      <c r="D100" s="4" t="s">
        <v>172</v>
      </c>
      <c r="E100" s="5" t="s">
        <v>322</v>
      </c>
      <c r="F100" s="3" t="s">
        <v>320</v>
      </c>
      <c r="G100" s="6">
        <v>0.26499999999999996</v>
      </c>
      <c r="H100" s="6">
        <v>0.22083333333333333</v>
      </c>
      <c r="I100" s="6">
        <v>0.0625</v>
      </c>
      <c r="J100" s="7">
        <v>0.1</v>
      </c>
      <c r="K100" s="7">
        <f t="shared" si="1"/>
        <v>0.6483333333</v>
      </c>
    </row>
    <row r="101">
      <c r="A101" s="1" t="s">
        <v>323</v>
      </c>
      <c r="B101" s="3" t="s">
        <v>324</v>
      </c>
      <c r="C101" s="1" t="s">
        <v>314</v>
      </c>
      <c r="D101" s="4" t="s">
        <v>191</v>
      </c>
      <c r="E101" s="5" t="s">
        <v>325</v>
      </c>
      <c r="F101" s="3" t="s">
        <v>324</v>
      </c>
      <c r="G101" s="6">
        <v>0.19399999999999998</v>
      </c>
      <c r="H101" s="6">
        <v>0.16166666666666665</v>
      </c>
      <c r="I101" s="6">
        <v>0.125</v>
      </c>
      <c r="J101" s="7">
        <v>0.16666666666666669</v>
      </c>
      <c r="K101" s="7">
        <f t="shared" si="1"/>
        <v>0.6473333333</v>
      </c>
    </row>
    <row r="102">
      <c r="A102" s="1" t="s">
        <v>326</v>
      </c>
      <c r="B102" s="3" t="s">
        <v>327</v>
      </c>
      <c r="C102" s="1" t="s">
        <v>328</v>
      </c>
      <c r="D102" s="4" t="s">
        <v>191</v>
      </c>
      <c r="E102" s="5" t="s">
        <v>329</v>
      </c>
      <c r="F102" s="3" t="s">
        <v>327</v>
      </c>
      <c r="G102" s="6">
        <v>0.191</v>
      </c>
      <c r="H102" s="6">
        <v>0.15916666666666668</v>
      </c>
      <c r="I102" s="6">
        <v>0.125</v>
      </c>
      <c r="J102" s="7">
        <v>0.16666666666666669</v>
      </c>
      <c r="K102" s="7">
        <f t="shared" si="1"/>
        <v>0.6418333333</v>
      </c>
    </row>
    <row r="103">
      <c r="A103" s="1" t="s">
        <v>158</v>
      </c>
      <c r="B103" s="3" t="s">
        <v>330</v>
      </c>
      <c r="C103" s="1" t="s">
        <v>247</v>
      </c>
      <c r="D103" s="4" t="s">
        <v>172</v>
      </c>
      <c r="E103" s="5" t="s">
        <v>331</v>
      </c>
      <c r="F103" s="3" t="s">
        <v>330</v>
      </c>
      <c r="G103" s="6">
        <v>0.261</v>
      </c>
      <c r="H103" s="6">
        <v>0.2175</v>
      </c>
      <c r="I103" s="6">
        <v>0.0625</v>
      </c>
      <c r="J103" s="7">
        <v>0.1</v>
      </c>
      <c r="K103" s="7">
        <f t="shared" si="1"/>
        <v>0.641</v>
      </c>
    </row>
    <row r="104">
      <c r="A104" s="1" t="s">
        <v>105</v>
      </c>
      <c r="B104" s="3" t="s">
        <v>332</v>
      </c>
      <c r="C104" s="1" t="s">
        <v>333</v>
      </c>
      <c r="D104" s="4" t="s">
        <v>172</v>
      </c>
      <c r="E104" s="5" t="s">
        <v>334</v>
      </c>
      <c r="F104" s="3" t="s">
        <v>332</v>
      </c>
      <c r="G104" s="6">
        <v>0.276</v>
      </c>
      <c r="H104" s="6">
        <v>0.23</v>
      </c>
      <c r="I104" s="6">
        <v>0.0625</v>
      </c>
      <c r="J104" s="7">
        <v>0.06666666666666667</v>
      </c>
      <c r="K104" s="7">
        <f t="shared" si="1"/>
        <v>0.6351666667</v>
      </c>
    </row>
    <row r="105">
      <c r="A105" s="1" t="s">
        <v>335</v>
      </c>
      <c r="B105" s="3" t="s">
        <v>336</v>
      </c>
      <c r="C105" s="1" t="s">
        <v>258</v>
      </c>
      <c r="D105" s="4" t="s">
        <v>30</v>
      </c>
      <c r="E105" s="5" t="s">
        <v>337</v>
      </c>
      <c r="F105" s="3" t="s">
        <v>336</v>
      </c>
      <c r="G105" s="6">
        <v>0.18999999999999997</v>
      </c>
      <c r="H105" s="6">
        <v>0.1575</v>
      </c>
      <c r="I105" s="6">
        <v>0.1875</v>
      </c>
      <c r="J105" s="7">
        <v>0.1</v>
      </c>
      <c r="K105" s="7">
        <f t="shared" si="1"/>
        <v>0.635</v>
      </c>
    </row>
    <row r="106">
      <c r="A106" s="1" t="s">
        <v>338</v>
      </c>
      <c r="B106" s="3" t="s">
        <v>339</v>
      </c>
      <c r="C106" s="1" t="s">
        <v>340</v>
      </c>
      <c r="D106" s="4" t="s">
        <v>13</v>
      </c>
      <c r="E106" s="5" t="s">
        <v>341</v>
      </c>
      <c r="F106" s="3" t="s">
        <v>339</v>
      </c>
      <c r="G106" s="6">
        <v>0.13699999999999998</v>
      </c>
      <c r="H106" s="6">
        <v>0.11416666666666667</v>
      </c>
      <c r="I106" s="6">
        <v>0.25</v>
      </c>
      <c r="J106" s="7">
        <v>0.13333333333333333</v>
      </c>
      <c r="K106" s="7">
        <f t="shared" si="1"/>
        <v>0.6345</v>
      </c>
    </row>
    <row r="107">
      <c r="A107" s="1" t="s">
        <v>112</v>
      </c>
      <c r="B107" s="3" t="s">
        <v>342</v>
      </c>
      <c r="C107" s="1" t="s">
        <v>343</v>
      </c>
      <c r="D107" s="4" t="s">
        <v>172</v>
      </c>
      <c r="E107" s="5" t="s">
        <v>344</v>
      </c>
      <c r="F107" s="3" t="s">
        <v>342</v>
      </c>
      <c r="G107" s="6">
        <v>0.27399999999999997</v>
      </c>
      <c r="H107" s="6">
        <v>0.22833333333333333</v>
      </c>
      <c r="I107" s="6">
        <v>0.0625</v>
      </c>
      <c r="J107" s="7">
        <v>0.06666666666666667</v>
      </c>
      <c r="K107" s="7">
        <f t="shared" si="1"/>
        <v>0.6315</v>
      </c>
    </row>
    <row r="108">
      <c r="A108" s="1" t="s">
        <v>116</v>
      </c>
      <c r="B108" s="3" t="s">
        <v>345</v>
      </c>
      <c r="C108" s="1" t="s">
        <v>323</v>
      </c>
      <c r="D108" s="4" t="s">
        <v>172</v>
      </c>
      <c r="E108" s="5" t="s">
        <v>346</v>
      </c>
      <c r="F108" s="3" t="s">
        <v>345</v>
      </c>
      <c r="G108" s="6">
        <v>0.273</v>
      </c>
      <c r="H108" s="6">
        <v>0.2275</v>
      </c>
      <c r="I108" s="6">
        <v>0.0625</v>
      </c>
      <c r="J108" s="7">
        <v>0.06666666666666667</v>
      </c>
      <c r="K108" s="7">
        <f t="shared" si="1"/>
        <v>0.6296666667</v>
      </c>
    </row>
    <row r="109">
      <c r="A109" s="1" t="s">
        <v>321</v>
      </c>
      <c r="B109" s="3" t="s">
        <v>347</v>
      </c>
      <c r="C109" s="1" t="s">
        <v>348</v>
      </c>
      <c r="D109" s="4" t="s">
        <v>191</v>
      </c>
      <c r="E109" s="5" t="s">
        <v>349</v>
      </c>
      <c r="F109" s="3" t="s">
        <v>347</v>
      </c>
      <c r="G109" s="6">
        <v>0.20199999999999999</v>
      </c>
      <c r="H109" s="6">
        <v>0.16833333333333333</v>
      </c>
      <c r="I109" s="6">
        <v>0.125</v>
      </c>
      <c r="J109" s="7">
        <v>0.13333333333333333</v>
      </c>
      <c r="K109" s="7">
        <f t="shared" si="1"/>
        <v>0.6286666667</v>
      </c>
    </row>
    <row r="110">
      <c r="A110" s="1" t="s">
        <v>234</v>
      </c>
      <c r="B110" s="3" t="s">
        <v>350</v>
      </c>
      <c r="C110" s="1" t="s">
        <v>351</v>
      </c>
      <c r="D110" s="4" t="s">
        <v>172</v>
      </c>
      <c r="E110" s="5" t="s">
        <v>352</v>
      </c>
      <c r="F110" s="3" t="s">
        <v>350</v>
      </c>
      <c r="G110" s="6">
        <v>0.23399999999999999</v>
      </c>
      <c r="H110" s="6">
        <v>0.195</v>
      </c>
      <c r="I110" s="6">
        <v>0.0625</v>
      </c>
      <c r="J110" s="7">
        <v>0.13333333333333333</v>
      </c>
      <c r="K110" s="7">
        <f t="shared" si="1"/>
        <v>0.6248333333</v>
      </c>
    </row>
    <row r="111">
      <c r="A111" s="1" t="s">
        <v>353</v>
      </c>
      <c r="B111" s="3" t="s">
        <v>354</v>
      </c>
      <c r="C111" s="1" t="s">
        <v>326</v>
      </c>
      <c r="D111" s="4" t="s">
        <v>30</v>
      </c>
      <c r="E111" s="5" t="s">
        <v>355</v>
      </c>
      <c r="F111" s="3" t="s">
        <v>354</v>
      </c>
      <c r="G111" s="6">
        <v>0.162</v>
      </c>
      <c r="H111" s="6">
        <v>0.13416666666666666</v>
      </c>
      <c r="I111" s="6">
        <v>0.1875</v>
      </c>
      <c r="J111" s="7">
        <v>0.13333333333333333</v>
      </c>
      <c r="K111" s="7">
        <f t="shared" si="1"/>
        <v>0.617</v>
      </c>
    </row>
    <row r="112">
      <c r="A112" s="1" t="s">
        <v>356</v>
      </c>
      <c r="B112" s="3" t="s">
        <v>357</v>
      </c>
      <c r="C112" s="1" t="s">
        <v>223</v>
      </c>
      <c r="D112" s="4" t="s">
        <v>30</v>
      </c>
      <c r="E112" s="5" t="s">
        <v>358</v>
      </c>
      <c r="F112" s="3" t="s">
        <v>357</v>
      </c>
      <c r="G112" s="6">
        <v>0.13899999999999998</v>
      </c>
      <c r="H112" s="6">
        <v>0.11583333333333333</v>
      </c>
      <c r="I112" s="6">
        <v>0.1875</v>
      </c>
      <c r="J112" s="7">
        <v>0.16666666666666669</v>
      </c>
      <c r="K112" s="7">
        <f t="shared" si="1"/>
        <v>0.609</v>
      </c>
    </row>
    <row r="113">
      <c r="A113" s="1" t="s">
        <v>359</v>
      </c>
      <c r="B113" s="3" t="s">
        <v>360</v>
      </c>
      <c r="C113" s="1" t="s">
        <v>335</v>
      </c>
      <c r="D113" s="4" t="s">
        <v>30</v>
      </c>
      <c r="E113" s="5" t="s">
        <v>361</v>
      </c>
      <c r="F113" s="3" t="s">
        <v>360</v>
      </c>
      <c r="G113" s="6">
        <v>0.157</v>
      </c>
      <c r="H113" s="6">
        <v>0.13083333333333333</v>
      </c>
      <c r="I113" s="6">
        <v>0.1875</v>
      </c>
      <c r="J113" s="7">
        <v>0.13333333333333333</v>
      </c>
      <c r="K113" s="7">
        <f t="shared" si="1"/>
        <v>0.6086666667</v>
      </c>
    </row>
    <row r="114">
      <c r="A114" s="1" t="s">
        <v>162</v>
      </c>
      <c r="B114" s="3" t="s">
        <v>362</v>
      </c>
      <c r="C114" s="1" t="s">
        <v>363</v>
      </c>
      <c r="D114" s="4" t="s">
        <v>172</v>
      </c>
      <c r="E114" s="5" t="s">
        <v>364</v>
      </c>
      <c r="F114" s="3" t="s">
        <v>362</v>
      </c>
      <c r="G114" s="6">
        <v>0.261</v>
      </c>
      <c r="H114" s="6">
        <v>0.21666666666666667</v>
      </c>
      <c r="I114" s="6">
        <v>0.0625</v>
      </c>
      <c r="J114" s="7">
        <v>0.06666666666666667</v>
      </c>
      <c r="K114" s="7">
        <f t="shared" si="1"/>
        <v>0.6068333333</v>
      </c>
    </row>
    <row r="115">
      <c r="A115" s="1" t="s">
        <v>365</v>
      </c>
      <c r="B115" s="3" t="s">
        <v>366</v>
      </c>
      <c r="C115" s="1" t="s">
        <v>367</v>
      </c>
      <c r="D115" s="4" t="s">
        <v>13</v>
      </c>
      <c r="E115" s="5" t="s">
        <v>368</v>
      </c>
      <c r="F115" s="3" t="s">
        <v>366</v>
      </c>
      <c r="G115" s="6">
        <v>0.13899999999999998</v>
      </c>
      <c r="H115" s="6">
        <v>0.115</v>
      </c>
      <c r="I115" s="6">
        <v>0.25</v>
      </c>
      <c r="J115" s="7">
        <v>0.1</v>
      </c>
      <c r="K115" s="7">
        <f t="shared" si="1"/>
        <v>0.604</v>
      </c>
    </row>
    <row r="116">
      <c r="A116" s="1" t="s">
        <v>369</v>
      </c>
      <c r="B116" s="3" t="s">
        <v>370</v>
      </c>
      <c r="C116" s="1" t="s">
        <v>371</v>
      </c>
      <c r="D116" s="4" t="s">
        <v>30</v>
      </c>
      <c r="E116" s="5" t="s">
        <v>372</v>
      </c>
      <c r="F116" s="3" t="s">
        <v>370</v>
      </c>
      <c r="G116" s="6">
        <v>0.13399999999999998</v>
      </c>
      <c r="H116" s="6">
        <v>0.11166666666666666</v>
      </c>
      <c r="I116" s="6">
        <v>0.1875</v>
      </c>
      <c r="J116" s="7">
        <v>0.16666666666666669</v>
      </c>
      <c r="K116" s="7">
        <f t="shared" si="1"/>
        <v>0.5998333333</v>
      </c>
    </row>
    <row r="117">
      <c r="A117" s="1" t="s">
        <v>373</v>
      </c>
      <c r="B117" s="3" t="s">
        <v>374</v>
      </c>
      <c r="C117" s="1" t="s">
        <v>375</v>
      </c>
      <c r="D117" s="4" t="s">
        <v>30</v>
      </c>
      <c r="E117" s="5" t="s">
        <v>376</v>
      </c>
      <c r="F117" s="3" t="s">
        <v>374</v>
      </c>
      <c r="G117" s="6">
        <v>0.151</v>
      </c>
      <c r="H117" s="6">
        <v>0.12583333333333332</v>
      </c>
      <c r="I117" s="6">
        <v>0.1875</v>
      </c>
      <c r="J117" s="7">
        <v>0.13333333333333333</v>
      </c>
      <c r="K117" s="7">
        <f t="shared" si="1"/>
        <v>0.5976666667</v>
      </c>
    </row>
    <row r="118">
      <c r="A118" s="1" t="s">
        <v>377</v>
      </c>
      <c r="B118" s="3" t="s">
        <v>378</v>
      </c>
      <c r="C118" s="1" t="s">
        <v>379</v>
      </c>
      <c r="D118" s="4" t="s">
        <v>30</v>
      </c>
      <c r="E118" s="5" t="s">
        <v>380</v>
      </c>
      <c r="F118" s="3" t="s">
        <v>378</v>
      </c>
      <c r="G118" s="6">
        <v>0.16999999999999998</v>
      </c>
      <c r="H118" s="6">
        <v>0.14</v>
      </c>
      <c r="I118" s="6">
        <v>0.1875</v>
      </c>
      <c r="J118" s="7">
        <v>0.1</v>
      </c>
      <c r="K118" s="7">
        <f t="shared" si="1"/>
        <v>0.5975</v>
      </c>
    </row>
    <row r="119">
      <c r="A119" s="1" t="s">
        <v>178</v>
      </c>
      <c r="B119" s="3" t="s">
        <v>381</v>
      </c>
      <c r="C119" s="1" t="s">
        <v>310</v>
      </c>
      <c r="D119" s="4" t="s">
        <v>172</v>
      </c>
      <c r="E119" s="5" t="s">
        <v>382</v>
      </c>
      <c r="F119" s="3" t="s">
        <v>381</v>
      </c>
      <c r="G119" s="6">
        <v>0.255</v>
      </c>
      <c r="H119" s="6">
        <v>0.2125</v>
      </c>
      <c r="I119" s="6">
        <v>0.0625</v>
      </c>
      <c r="J119" s="7">
        <v>0.06666666666666667</v>
      </c>
      <c r="K119" s="7">
        <f t="shared" si="1"/>
        <v>0.5966666667</v>
      </c>
    </row>
    <row r="120">
      <c r="A120" s="1" t="s">
        <v>383</v>
      </c>
      <c r="B120" s="3" t="s">
        <v>384</v>
      </c>
      <c r="C120" s="1" t="s">
        <v>385</v>
      </c>
      <c r="D120" s="4" t="s">
        <v>30</v>
      </c>
      <c r="E120" s="5" t="s">
        <v>386</v>
      </c>
      <c r="F120" s="3" t="s">
        <v>384</v>
      </c>
      <c r="G120" s="6">
        <v>0.149</v>
      </c>
      <c r="H120" s="6">
        <v>0.12333333333333334</v>
      </c>
      <c r="I120" s="6">
        <v>0.1875</v>
      </c>
      <c r="J120" s="7">
        <v>0.13333333333333333</v>
      </c>
      <c r="K120" s="7">
        <f t="shared" si="1"/>
        <v>0.5931666667</v>
      </c>
    </row>
    <row r="121">
      <c r="A121" s="1" t="s">
        <v>387</v>
      </c>
      <c r="B121" s="3" t="s">
        <v>388</v>
      </c>
      <c r="C121" s="1" t="s">
        <v>296</v>
      </c>
      <c r="D121" s="4" t="s">
        <v>30</v>
      </c>
      <c r="E121" s="5" t="s">
        <v>389</v>
      </c>
      <c r="F121" s="3" t="s">
        <v>388</v>
      </c>
      <c r="G121" s="6">
        <v>0.16699999999999998</v>
      </c>
      <c r="H121" s="6">
        <v>0.13833333333333334</v>
      </c>
      <c r="I121" s="6">
        <v>0.1875</v>
      </c>
      <c r="J121" s="7">
        <v>0.1</v>
      </c>
      <c r="K121" s="7">
        <f t="shared" si="1"/>
        <v>0.5928333333</v>
      </c>
    </row>
    <row r="122">
      <c r="A122" s="1" t="s">
        <v>390</v>
      </c>
      <c r="B122" s="3" t="s">
        <v>391</v>
      </c>
      <c r="C122" s="1" t="s">
        <v>392</v>
      </c>
      <c r="D122" s="4" t="s">
        <v>13</v>
      </c>
      <c r="E122" s="5" t="s">
        <v>393</v>
      </c>
      <c r="F122" s="3" t="s">
        <v>391</v>
      </c>
      <c r="G122" s="6">
        <v>0.075</v>
      </c>
      <c r="H122" s="6">
        <v>0.0625</v>
      </c>
      <c r="I122" s="6">
        <v>0.25</v>
      </c>
      <c r="J122" s="7">
        <v>0.2</v>
      </c>
      <c r="K122" s="7">
        <f t="shared" si="1"/>
        <v>0.5875</v>
      </c>
    </row>
    <row r="123">
      <c r="A123" s="1" t="s">
        <v>394</v>
      </c>
      <c r="B123" s="3" t="s">
        <v>395</v>
      </c>
      <c r="C123" s="1" t="s">
        <v>252</v>
      </c>
      <c r="D123" s="4" t="s">
        <v>13</v>
      </c>
      <c r="E123" s="5" t="s">
        <v>396</v>
      </c>
      <c r="F123" s="3" t="s">
        <v>395</v>
      </c>
      <c r="G123" s="6">
        <v>0.087</v>
      </c>
      <c r="H123" s="6">
        <v>0.0725</v>
      </c>
      <c r="I123" s="6">
        <v>0.25</v>
      </c>
      <c r="J123" s="7">
        <v>0.16666666666666669</v>
      </c>
      <c r="K123" s="7">
        <f t="shared" si="1"/>
        <v>0.5761666667</v>
      </c>
    </row>
    <row r="124">
      <c r="A124" s="1" t="s">
        <v>397</v>
      </c>
      <c r="B124" s="3" t="s">
        <v>398</v>
      </c>
      <c r="C124" s="1" t="s">
        <v>399</v>
      </c>
      <c r="D124" s="4" t="s">
        <v>13</v>
      </c>
      <c r="E124" s="5" t="s">
        <v>400</v>
      </c>
      <c r="F124" s="3" t="s">
        <v>398</v>
      </c>
      <c r="G124" s="6">
        <v>0.087</v>
      </c>
      <c r="H124" s="6">
        <v>0.07166666666666667</v>
      </c>
      <c r="I124" s="6">
        <v>0.25</v>
      </c>
      <c r="J124" s="7">
        <v>0.16666666666666669</v>
      </c>
      <c r="K124" s="7">
        <f t="shared" si="1"/>
        <v>0.5753333333</v>
      </c>
    </row>
    <row r="125">
      <c r="A125" s="1" t="s">
        <v>401</v>
      </c>
      <c r="B125" s="3" t="s">
        <v>402</v>
      </c>
      <c r="C125" s="1" t="s">
        <v>203</v>
      </c>
      <c r="D125" s="4" t="s">
        <v>30</v>
      </c>
      <c r="E125" s="5" t="s">
        <v>403</v>
      </c>
      <c r="F125" s="3" t="s">
        <v>402</v>
      </c>
      <c r="G125" s="6">
        <v>0.157</v>
      </c>
      <c r="H125" s="6">
        <v>0.13</v>
      </c>
      <c r="I125" s="6">
        <v>0.1875</v>
      </c>
      <c r="J125" s="7">
        <v>0.1</v>
      </c>
      <c r="K125" s="7">
        <f t="shared" si="1"/>
        <v>0.5745</v>
      </c>
    </row>
    <row r="126">
      <c r="A126" s="1" t="s">
        <v>404</v>
      </c>
      <c r="B126" s="3" t="s">
        <v>405</v>
      </c>
      <c r="C126" s="1" t="s">
        <v>406</v>
      </c>
      <c r="D126" s="4" t="s">
        <v>13</v>
      </c>
      <c r="E126" s="5" t="s">
        <v>407</v>
      </c>
      <c r="F126" s="3" t="s">
        <v>405</v>
      </c>
      <c r="G126" s="6">
        <v>0.09699999999999999</v>
      </c>
      <c r="H126" s="6">
        <v>0.08083333333333333</v>
      </c>
      <c r="I126" s="6">
        <v>0.25</v>
      </c>
      <c r="J126" s="7">
        <v>0.13333333333333333</v>
      </c>
      <c r="K126" s="7">
        <f t="shared" si="1"/>
        <v>0.5611666667</v>
      </c>
    </row>
    <row r="127">
      <c r="A127" s="1" t="s">
        <v>408</v>
      </c>
      <c r="B127" s="3" t="s">
        <v>409</v>
      </c>
      <c r="C127" s="1" t="s">
        <v>410</v>
      </c>
      <c r="D127" s="4" t="s">
        <v>191</v>
      </c>
      <c r="E127" s="5" t="s">
        <v>411</v>
      </c>
      <c r="F127" s="3" t="s">
        <v>409</v>
      </c>
      <c r="G127" s="6">
        <v>0.146</v>
      </c>
      <c r="H127" s="6">
        <v>0.12166666666666667</v>
      </c>
      <c r="I127" s="6">
        <v>0.125</v>
      </c>
      <c r="J127" s="7">
        <v>0.16666666666666669</v>
      </c>
      <c r="K127" s="7">
        <f t="shared" si="1"/>
        <v>0.5593333333</v>
      </c>
    </row>
    <row r="128">
      <c r="A128" s="1" t="s">
        <v>412</v>
      </c>
      <c r="B128" s="3" t="s">
        <v>413</v>
      </c>
      <c r="C128" s="1" t="s">
        <v>414</v>
      </c>
      <c r="D128" s="4" t="s">
        <v>30</v>
      </c>
      <c r="E128" s="5" t="s">
        <v>415</v>
      </c>
      <c r="F128" s="3" t="s">
        <v>413</v>
      </c>
      <c r="G128" s="6">
        <v>0.13</v>
      </c>
      <c r="H128" s="6">
        <v>0.1075</v>
      </c>
      <c r="I128" s="6">
        <v>0.1875</v>
      </c>
      <c r="J128" s="7">
        <v>0.13333333333333333</v>
      </c>
      <c r="K128" s="7">
        <f t="shared" si="1"/>
        <v>0.5583333333</v>
      </c>
    </row>
    <row r="129">
      <c r="A129" s="1" t="s">
        <v>416</v>
      </c>
      <c r="B129" s="3" t="s">
        <v>417</v>
      </c>
      <c r="C129" s="1" t="s">
        <v>418</v>
      </c>
      <c r="D129" s="4" t="s">
        <v>30</v>
      </c>
      <c r="E129" s="5" t="s">
        <v>419</v>
      </c>
      <c r="F129" s="3" t="s">
        <v>417</v>
      </c>
      <c r="G129" s="6">
        <v>0.147</v>
      </c>
      <c r="H129" s="6">
        <v>0.1225</v>
      </c>
      <c r="I129" s="6">
        <v>0.1875</v>
      </c>
      <c r="J129" s="7">
        <v>0.1</v>
      </c>
      <c r="K129" s="7">
        <f t="shared" si="1"/>
        <v>0.557</v>
      </c>
    </row>
    <row r="130">
      <c r="A130" s="1" t="s">
        <v>420</v>
      </c>
      <c r="B130" s="3" t="s">
        <v>421</v>
      </c>
      <c r="C130" s="1" t="s">
        <v>270</v>
      </c>
      <c r="D130" s="4" t="s">
        <v>13</v>
      </c>
      <c r="E130" s="5" t="s">
        <v>422</v>
      </c>
      <c r="F130" s="3" t="s">
        <v>421</v>
      </c>
      <c r="G130" s="6">
        <v>0.112</v>
      </c>
      <c r="H130" s="6">
        <v>0.09333333333333334</v>
      </c>
      <c r="I130" s="6">
        <v>0.25</v>
      </c>
      <c r="J130" s="7">
        <v>0.1</v>
      </c>
      <c r="K130" s="7">
        <f t="shared" si="1"/>
        <v>0.5553333333</v>
      </c>
    </row>
    <row r="131">
      <c r="A131" s="1" t="s">
        <v>423</v>
      </c>
      <c r="B131" s="3" t="s">
        <v>424</v>
      </c>
      <c r="C131" s="1" t="s">
        <v>425</v>
      </c>
      <c r="D131" s="4" t="s">
        <v>13</v>
      </c>
      <c r="E131" s="5" t="s">
        <v>426</v>
      </c>
      <c r="F131" s="3" t="s">
        <v>424</v>
      </c>
      <c r="G131" s="6">
        <v>0.093</v>
      </c>
      <c r="H131" s="6">
        <v>0.0775</v>
      </c>
      <c r="I131" s="6">
        <v>0.25</v>
      </c>
      <c r="J131" s="7">
        <v>0.13333333333333333</v>
      </c>
      <c r="K131" s="7">
        <f t="shared" si="1"/>
        <v>0.5538333333</v>
      </c>
    </row>
    <row r="132">
      <c r="A132" s="1" t="s">
        <v>427</v>
      </c>
      <c r="B132" s="3" t="s">
        <v>428</v>
      </c>
      <c r="C132" s="1" t="s">
        <v>429</v>
      </c>
      <c r="D132" s="4" t="s">
        <v>30</v>
      </c>
      <c r="E132" s="5" t="s">
        <v>430</v>
      </c>
      <c r="F132" s="3" t="s">
        <v>428</v>
      </c>
      <c r="G132" s="6">
        <v>0.107</v>
      </c>
      <c r="H132" s="6">
        <v>0.08916666666666667</v>
      </c>
      <c r="I132" s="6">
        <v>0.1875</v>
      </c>
      <c r="J132" s="7">
        <v>0.16666666666666669</v>
      </c>
      <c r="K132" s="7">
        <f t="shared" si="1"/>
        <v>0.5503333333</v>
      </c>
    </row>
    <row r="133">
      <c r="A133" s="1" t="s">
        <v>431</v>
      </c>
      <c r="B133" s="3" t="s">
        <v>432</v>
      </c>
      <c r="C133" s="1" t="s">
        <v>307</v>
      </c>
      <c r="D133" s="4" t="s">
        <v>191</v>
      </c>
      <c r="E133" s="5" t="s">
        <v>433</v>
      </c>
      <c r="F133" s="3" t="s">
        <v>432</v>
      </c>
      <c r="G133" s="6">
        <v>0.159</v>
      </c>
      <c r="H133" s="6">
        <v>0.1325</v>
      </c>
      <c r="I133" s="6">
        <v>0.125</v>
      </c>
      <c r="J133" s="7">
        <v>0.13333333333333333</v>
      </c>
      <c r="K133" s="7">
        <f t="shared" si="1"/>
        <v>0.5498333333</v>
      </c>
    </row>
    <row r="134">
      <c r="A134" s="1" t="s">
        <v>434</v>
      </c>
      <c r="B134" s="3" t="s">
        <v>435</v>
      </c>
      <c r="C134" s="1" t="s">
        <v>377</v>
      </c>
      <c r="D134" s="4" t="s">
        <v>30</v>
      </c>
      <c r="E134" s="5" t="s">
        <v>436</v>
      </c>
      <c r="F134" s="3" t="s">
        <v>435</v>
      </c>
      <c r="G134" s="6">
        <v>0.125</v>
      </c>
      <c r="H134" s="6">
        <v>0.10333333333333333</v>
      </c>
      <c r="I134" s="6">
        <v>0.1875</v>
      </c>
      <c r="J134" s="7">
        <v>0.13333333333333333</v>
      </c>
      <c r="K134" s="7">
        <f t="shared" si="1"/>
        <v>0.5491666667</v>
      </c>
    </row>
    <row r="135">
      <c r="A135" s="1" t="s">
        <v>437</v>
      </c>
      <c r="B135" s="3" t="s">
        <v>438</v>
      </c>
      <c r="C135" s="1" t="s">
        <v>439</v>
      </c>
      <c r="D135" s="4" t="s">
        <v>13</v>
      </c>
      <c r="E135" s="5" t="s">
        <v>440</v>
      </c>
      <c r="F135" s="3" t="s">
        <v>438</v>
      </c>
      <c r="G135" s="6">
        <v>0.072</v>
      </c>
      <c r="H135" s="6">
        <v>0.06</v>
      </c>
      <c r="I135" s="6">
        <v>0.25</v>
      </c>
      <c r="J135" s="7">
        <v>0.16666666666666669</v>
      </c>
      <c r="K135" s="7">
        <f t="shared" si="1"/>
        <v>0.5486666667</v>
      </c>
    </row>
    <row r="136">
      <c r="A136" s="1" t="s">
        <v>441</v>
      </c>
      <c r="B136" s="3" t="s">
        <v>442</v>
      </c>
      <c r="C136" s="1" t="s">
        <v>387</v>
      </c>
      <c r="D136" s="4" t="s">
        <v>30</v>
      </c>
      <c r="E136" s="5" t="s">
        <v>443</v>
      </c>
      <c r="F136" s="3" t="s">
        <v>442</v>
      </c>
      <c r="G136" s="6">
        <v>0.12299999999999998</v>
      </c>
      <c r="H136" s="6">
        <v>0.1025</v>
      </c>
      <c r="I136" s="6">
        <v>0.1875</v>
      </c>
      <c r="J136" s="7">
        <v>0.13333333333333333</v>
      </c>
      <c r="K136" s="7">
        <f t="shared" si="1"/>
        <v>0.5463333333</v>
      </c>
    </row>
    <row r="137">
      <c r="A137" s="1" t="s">
        <v>444</v>
      </c>
      <c r="B137" s="3" t="s">
        <v>445</v>
      </c>
      <c r="C137" s="1" t="s">
        <v>446</v>
      </c>
      <c r="D137" s="4" t="s">
        <v>13</v>
      </c>
      <c r="E137" s="5" t="s">
        <v>447</v>
      </c>
      <c r="F137" s="3" t="s">
        <v>445</v>
      </c>
      <c r="G137" s="6">
        <v>0.106</v>
      </c>
      <c r="H137" s="6">
        <v>0.08833333333333333</v>
      </c>
      <c r="I137" s="6">
        <v>0.25</v>
      </c>
      <c r="J137" s="9">
        <v>0.1</v>
      </c>
      <c r="K137" s="7">
        <f t="shared" si="1"/>
        <v>0.5443333333</v>
      </c>
    </row>
    <row r="138">
      <c r="A138" s="1" t="s">
        <v>448</v>
      </c>
      <c r="B138" s="3" t="s">
        <v>449</v>
      </c>
      <c r="C138" s="1" t="s">
        <v>450</v>
      </c>
      <c r="D138" s="4" t="s">
        <v>13</v>
      </c>
      <c r="E138" s="5" t="s">
        <v>451</v>
      </c>
      <c r="F138" s="3" t="s">
        <v>449</v>
      </c>
      <c r="G138" s="6">
        <v>0.122</v>
      </c>
      <c r="H138" s="6">
        <v>0.10166666666666667</v>
      </c>
      <c r="I138" s="6">
        <v>0.25</v>
      </c>
      <c r="J138" s="7">
        <v>0.06666666666666667</v>
      </c>
      <c r="K138" s="7">
        <f t="shared" si="1"/>
        <v>0.5403333333</v>
      </c>
    </row>
    <row r="139">
      <c r="A139" s="1" t="s">
        <v>452</v>
      </c>
      <c r="B139" s="3" t="s">
        <v>453</v>
      </c>
      <c r="C139" s="1" t="s">
        <v>293</v>
      </c>
      <c r="D139" s="4" t="s">
        <v>30</v>
      </c>
      <c r="E139" s="5" t="s">
        <v>454</v>
      </c>
      <c r="F139" s="3" t="s">
        <v>453</v>
      </c>
      <c r="G139" s="6">
        <v>0.11699999999999999</v>
      </c>
      <c r="H139" s="6">
        <v>0.0975</v>
      </c>
      <c r="I139" s="6">
        <v>0.1875</v>
      </c>
      <c r="J139" s="7">
        <v>0.13333333333333333</v>
      </c>
      <c r="K139" s="7">
        <f t="shared" si="1"/>
        <v>0.5353333333</v>
      </c>
    </row>
    <row r="140">
      <c r="A140" s="1" t="s">
        <v>455</v>
      </c>
      <c r="B140" s="3" t="s">
        <v>456</v>
      </c>
      <c r="C140" s="1" t="s">
        <v>457</v>
      </c>
      <c r="D140" s="4" t="s">
        <v>13</v>
      </c>
      <c r="E140" s="5" t="s">
        <v>458</v>
      </c>
      <c r="F140" s="3" t="s">
        <v>456</v>
      </c>
      <c r="G140" s="6">
        <v>0.10099999999999999</v>
      </c>
      <c r="H140" s="6">
        <v>0.08416666666666667</v>
      </c>
      <c r="I140" s="6">
        <v>0.25</v>
      </c>
      <c r="J140" s="7">
        <v>0.1</v>
      </c>
      <c r="K140" s="7">
        <f t="shared" si="1"/>
        <v>0.5351666667</v>
      </c>
    </row>
    <row r="141">
      <c r="A141" s="1" t="s">
        <v>459</v>
      </c>
      <c r="B141" s="3" t="s">
        <v>460</v>
      </c>
      <c r="C141" s="1" t="s">
        <v>353</v>
      </c>
      <c r="D141" s="4" t="s">
        <v>13</v>
      </c>
      <c r="E141" s="5" t="s">
        <v>461</v>
      </c>
      <c r="F141" s="3" t="s">
        <v>460</v>
      </c>
      <c r="G141" s="6">
        <v>0.099</v>
      </c>
      <c r="H141" s="6">
        <v>0.0825</v>
      </c>
      <c r="I141" s="6">
        <v>0.25</v>
      </c>
      <c r="J141" s="7">
        <v>0.1</v>
      </c>
      <c r="K141" s="7">
        <f t="shared" si="1"/>
        <v>0.5315</v>
      </c>
    </row>
    <row r="142">
      <c r="A142" s="1" t="s">
        <v>462</v>
      </c>
      <c r="B142" s="3" t="s">
        <v>463</v>
      </c>
      <c r="C142" s="1" t="s">
        <v>464</v>
      </c>
      <c r="D142" s="4" t="s">
        <v>30</v>
      </c>
      <c r="E142" s="5" t="s">
        <v>465</v>
      </c>
      <c r="F142" s="3" t="s">
        <v>463</v>
      </c>
      <c r="G142" s="6">
        <v>0.09499999999999999</v>
      </c>
      <c r="H142" s="6">
        <v>0.07833333333333334</v>
      </c>
      <c r="I142" s="6">
        <v>0.1875</v>
      </c>
      <c r="J142" s="7">
        <v>0.16666666666666669</v>
      </c>
      <c r="K142" s="7">
        <f t="shared" si="1"/>
        <v>0.5275</v>
      </c>
    </row>
    <row r="143">
      <c r="A143" s="1" t="s">
        <v>466</v>
      </c>
      <c r="B143" s="3" t="s">
        <v>467</v>
      </c>
      <c r="C143" s="1" t="s">
        <v>431</v>
      </c>
      <c r="D143" s="4" t="s">
        <v>13</v>
      </c>
      <c r="E143" s="5" t="s">
        <v>468</v>
      </c>
      <c r="F143" s="3" t="s">
        <v>467</v>
      </c>
      <c r="G143" s="6">
        <v>0.06</v>
      </c>
      <c r="H143" s="6">
        <v>0.05</v>
      </c>
      <c r="I143" s="6">
        <v>0.25</v>
      </c>
      <c r="J143" s="7">
        <v>0.16666666666666669</v>
      </c>
      <c r="K143" s="7">
        <f t="shared" si="1"/>
        <v>0.5266666667</v>
      </c>
    </row>
    <row r="144">
      <c r="A144" s="1" t="s">
        <v>469</v>
      </c>
      <c r="B144" s="3" t="s">
        <v>470</v>
      </c>
      <c r="C144" s="1" t="s">
        <v>471</v>
      </c>
      <c r="D144" s="4" t="s">
        <v>30</v>
      </c>
      <c r="E144" s="5" t="s">
        <v>472</v>
      </c>
      <c r="F144" s="3" t="s">
        <v>470</v>
      </c>
      <c r="G144" s="6">
        <v>0.111</v>
      </c>
      <c r="H144" s="6">
        <v>0.0925</v>
      </c>
      <c r="I144" s="6">
        <v>0.1875</v>
      </c>
      <c r="J144" s="7">
        <v>0.13333333333333333</v>
      </c>
      <c r="K144" s="7">
        <f t="shared" si="1"/>
        <v>0.5243333333</v>
      </c>
    </row>
    <row r="145">
      <c r="A145" s="1" t="s">
        <v>473</v>
      </c>
      <c r="B145" s="3" t="s">
        <v>474</v>
      </c>
      <c r="C145" s="1" t="s">
        <v>359</v>
      </c>
      <c r="D145" s="4" t="s">
        <v>191</v>
      </c>
      <c r="E145" s="5" t="s">
        <v>475</v>
      </c>
      <c r="F145" s="3" t="s">
        <v>474</v>
      </c>
      <c r="G145" s="6">
        <v>0.143</v>
      </c>
      <c r="H145" s="6">
        <v>0.11916666666666667</v>
      </c>
      <c r="I145" s="6">
        <v>0.125</v>
      </c>
      <c r="J145" s="7">
        <v>0.13333333333333333</v>
      </c>
      <c r="K145" s="7">
        <f t="shared" si="1"/>
        <v>0.5205</v>
      </c>
    </row>
    <row r="146">
      <c r="A146" s="1" t="s">
        <v>476</v>
      </c>
      <c r="B146" s="3" t="s">
        <v>477</v>
      </c>
      <c r="C146" s="1" t="s">
        <v>401</v>
      </c>
      <c r="D146" s="4" t="s">
        <v>13</v>
      </c>
      <c r="E146" s="5" t="s">
        <v>478</v>
      </c>
      <c r="F146" s="3" t="s">
        <v>477</v>
      </c>
      <c r="G146" s="6">
        <v>0.05499999999999999</v>
      </c>
      <c r="H146" s="6">
        <v>0.04583333333333333</v>
      </c>
      <c r="I146" s="6">
        <v>0.25</v>
      </c>
      <c r="J146" s="7">
        <v>0.16666666666666669</v>
      </c>
      <c r="K146" s="7">
        <f t="shared" si="1"/>
        <v>0.5175</v>
      </c>
    </row>
    <row r="147">
      <c r="A147" s="1" t="s">
        <v>479</v>
      </c>
      <c r="B147" s="3" t="s">
        <v>480</v>
      </c>
      <c r="C147" s="1" t="s">
        <v>481</v>
      </c>
      <c r="D147" s="4" t="s">
        <v>30</v>
      </c>
      <c r="E147" s="5" t="s">
        <v>482</v>
      </c>
      <c r="F147" s="3" t="s">
        <v>480</v>
      </c>
      <c r="G147" s="6">
        <v>0.08499999999999999</v>
      </c>
      <c r="H147" s="6">
        <v>0.07083333333333333</v>
      </c>
      <c r="I147" s="6">
        <v>0.1875</v>
      </c>
      <c r="J147" s="7">
        <v>0.16666666666666669</v>
      </c>
      <c r="K147" s="7">
        <f t="shared" si="1"/>
        <v>0.51</v>
      </c>
    </row>
    <row r="148">
      <c r="A148" s="1" t="s">
        <v>483</v>
      </c>
      <c r="B148" s="3" t="s">
        <v>484</v>
      </c>
      <c r="C148" s="1" t="s">
        <v>485</v>
      </c>
      <c r="D148" s="4" t="s">
        <v>30</v>
      </c>
      <c r="E148" s="5" t="s">
        <v>486</v>
      </c>
      <c r="F148" s="3" t="s">
        <v>484</v>
      </c>
      <c r="G148" s="6">
        <v>0.103</v>
      </c>
      <c r="H148" s="6">
        <v>0.08583333333333333</v>
      </c>
      <c r="I148" s="6">
        <v>0.1875</v>
      </c>
      <c r="J148" s="7">
        <v>0.13333333333333333</v>
      </c>
      <c r="K148" s="7">
        <f t="shared" si="1"/>
        <v>0.5096666667</v>
      </c>
    </row>
    <row r="149">
      <c r="A149" s="1" t="s">
        <v>487</v>
      </c>
      <c r="B149" s="3" t="s">
        <v>488</v>
      </c>
      <c r="C149" s="1" t="s">
        <v>489</v>
      </c>
      <c r="D149" s="4" t="s">
        <v>30</v>
      </c>
      <c r="E149" s="5" t="s">
        <v>490</v>
      </c>
      <c r="F149" s="3" t="s">
        <v>488</v>
      </c>
      <c r="G149" s="6">
        <v>0.09999999999999999</v>
      </c>
      <c r="H149" s="6">
        <v>0.08333333333333333</v>
      </c>
      <c r="I149" s="6">
        <v>0.1875</v>
      </c>
      <c r="J149" s="7">
        <v>0.13333333333333333</v>
      </c>
      <c r="K149" s="7">
        <f t="shared" si="1"/>
        <v>0.5041666667</v>
      </c>
    </row>
    <row r="150">
      <c r="A150" s="1" t="s">
        <v>491</v>
      </c>
      <c r="B150" s="3" t="s">
        <v>492</v>
      </c>
      <c r="C150" s="1" t="s">
        <v>493</v>
      </c>
      <c r="D150" s="4" t="s">
        <v>30</v>
      </c>
      <c r="E150" s="5" t="s">
        <v>494</v>
      </c>
      <c r="F150" s="3" t="s">
        <v>492</v>
      </c>
      <c r="G150" s="6">
        <v>0.08</v>
      </c>
      <c r="H150" s="6">
        <v>0.06666666666666667</v>
      </c>
      <c r="I150" s="6">
        <v>0.1875</v>
      </c>
      <c r="J150" s="7">
        <v>0.16666666666666669</v>
      </c>
      <c r="K150" s="7">
        <f t="shared" si="1"/>
        <v>0.5008333333</v>
      </c>
    </row>
    <row r="151">
      <c r="A151" s="1" t="s">
        <v>495</v>
      </c>
      <c r="B151" s="3" t="s">
        <v>496</v>
      </c>
      <c r="C151" s="1" t="s">
        <v>373</v>
      </c>
      <c r="D151" s="4" t="s">
        <v>30</v>
      </c>
      <c r="E151" s="5" t="s">
        <v>497</v>
      </c>
      <c r="F151" s="3" t="s">
        <v>496</v>
      </c>
      <c r="G151" s="6">
        <v>0.133</v>
      </c>
      <c r="H151" s="6">
        <v>0.11083333333333334</v>
      </c>
      <c r="I151" s="6">
        <v>0.1875</v>
      </c>
      <c r="J151" s="7">
        <v>0.06666666666666667</v>
      </c>
      <c r="K151" s="7">
        <f t="shared" si="1"/>
        <v>0.498</v>
      </c>
    </row>
    <row r="152">
      <c r="A152" s="1" t="s">
        <v>498</v>
      </c>
      <c r="B152" s="3" t="s">
        <v>499</v>
      </c>
      <c r="C152" s="1" t="s">
        <v>280</v>
      </c>
      <c r="D152" s="4" t="s">
        <v>13</v>
      </c>
      <c r="E152" s="5" t="s">
        <v>500</v>
      </c>
      <c r="F152" s="3" t="s">
        <v>499</v>
      </c>
      <c r="G152" s="6">
        <v>0.08</v>
      </c>
      <c r="H152" s="6">
        <v>0.06583333333333333</v>
      </c>
      <c r="I152" s="6">
        <v>0.25</v>
      </c>
      <c r="J152" s="9">
        <v>0.1</v>
      </c>
      <c r="K152" s="7">
        <f t="shared" si="1"/>
        <v>0.4958333333</v>
      </c>
    </row>
    <row r="153">
      <c r="A153" s="1" t="s">
        <v>501</v>
      </c>
      <c r="B153" s="3" t="s">
        <v>502</v>
      </c>
      <c r="C153" s="1" t="s">
        <v>503</v>
      </c>
      <c r="D153" s="4" t="s">
        <v>30</v>
      </c>
      <c r="E153" s="5" t="s">
        <v>504</v>
      </c>
      <c r="F153" s="3" t="s">
        <v>502</v>
      </c>
      <c r="G153" s="6">
        <v>0.10999999999999999</v>
      </c>
      <c r="H153" s="6">
        <v>0.09166666666666666</v>
      </c>
      <c r="I153" s="6">
        <v>0.1875</v>
      </c>
      <c r="J153" s="9">
        <v>0.1</v>
      </c>
      <c r="K153" s="7">
        <f t="shared" si="1"/>
        <v>0.4891666667</v>
      </c>
    </row>
    <row r="154">
      <c r="A154" s="1" t="s">
        <v>505</v>
      </c>
      <c r="B154" s="3" t="s">
        <v>506</v>
      </c>
      <c r="C154" s="1" t="s">
        <v>383</v>
      </c>
      <c r="D154" s="4" t="s">
        <v>191</v>
      </c>
      <c r="E154" s="5" t="s">
        <v>507</v>
      </c>
      <c r="F154" s="3" t="s">
        <v>506</v>
      </c>
      <c r="G154" s="6">
        <v>0.125</v>
      </c>
      <c r="H154" s="6">
        <v>0.10416666666666667</v>
      </c>
      <c r="I154" s="6">
        <v>0.125</v>
      </c>
      <c r="J154" s="7">
        <v>0.13333333333333333</v>
      </c>
      <c r="K154" s="7">
        <f t="shared" si="1"/>
        <v>0.4875</v>
      </c>
    </row>
    <row r="155">
      <c r="A155" s="1" t="s">
        <v>508</v>
      </c>
      <c r="B155" s="3" t="s">
        <v>509</v>
      </c>
      <c r="C155" s="1" t="s">
        <v>416</v>
      </c>
      <c r="D155" s="4" t="s">
        <v>13</v>
      </c>
      <c r="E155" s="5" t="s">
        <v>510</v>
      </c>
      <c r="F155" s="3" t="s">
        <v>509</v>
      </c>
      <c r="G155" s="6">
        <v>0.093</v>
      </c>
      <c r="H155" s="6">
        <v>0.07666666666666666</v>
      </c>
      <c r="I155" s="6">
        <v>0.25</v>
      </c>
      <c r="J155" s="7">
        <v>0.06666666666666667</v>
      </c>
      <c r="K155" s="7">
        <f t="shared" si="1"/>
        <v>0.4863333333</v>
      </c>
    </row>
    <row r="156">
      <c r="A156" s="1" t="s">
        <v>511</v>
      </c>
      <c r="B156" s="3" t="s">
        <v>512</v>
      </c>
      <c r="C156" s="1" t="s">
        <v>408</v>
      </c>
      <c r="D156" s="4" t="s">
        <v>13</v>
      </c>
      <c r="E156" s="5" t="s">
        <v>513</v>
      </c>
      <c r="F156" s="3" t="s">
        <v>512</v>
      </c>
      <c r="G156" s="6">
        <v>0.074</v>
      </c>
      <c r="H156" s="6">
        <v>0.06166666666666667</v>
      </c>
      <c r="I156" s="6">
        <v>0.25</v>
      </c>
      <c r="J156" s="7">
        <v>0.1</v>
      </c>
      <c r="K156" s="7">
        <f t="shared" si="1"/>
        <v>0.4856666667</v>
      </c>
    </row>
    <row r="157">
      <c r="A157" s="1" t="s">
        <v>302</v>
      </c>
      <c r="B157" s="3" t="s">
        <v>514</v>
      </c>
      <c r="C157" s="1" t="s">
        <v>515</v>
      </c>
      <c r="D157" s="4" t="s">
        <v>516</v>
      </c>
      <c r="E157" s="5" t="s">
        <v>517</v>
      </c>
      <c r="F157" s="3" t="s">
        <v>514</v>
      </c>
      <c r="G157" s="6">
        <v>0.208</v>
      </c>
      <c r="H157" s="6">
        <v>0.17333333333333334</v>
      </c>
      <c r="I157" s="6">
        <v>0.0</v>
      </c>
      <c r="J157" s="7">
        <v>0.1</v>
      </c>
      <c r="K157" s="7">
        <f t="shared" si="1"/>
        <v>0.4813333333</v>
      </c>
    </row>
    <row r="158">
      <c r="A158" s="1" t="s">
        <v>305</v>
      </c>
      <c r="B158" s="3" t="s">
        <v>518</v>
      </c>
      <c r="C158" s="1" t="s">
        <v>519</v>
      </c>
      <c r="D158" s="4" t="s">
        <v>516</v>
      </c>
      <c r="E158" s="5" t="s">
        <v>520</v>
      </c>
      <c r="F158" s="3" t="s">
        <v>518</v>
      </c>
      <c r="G158" s="6">
        <v>0.207</v>
      </c>
      <c r="H158" s="6">
        <v>0.1725</v>
      </c>
      <c r="I158" s="6">
        <v>0.0</v>
      </c>
      <c r="J158" s="7">
        <v>0.1</v>
      </c>
      <c r="K158" s="7">
        <f t="shared" si="1"/>
        <v>0.4795</v>
      </c>
    </row>
    <row r="159">
      <c r="A159" s="1" t="s">
        <v>312</v>
      </c>
      <c r="B159" s="3" t="s">
        <v>521</v>
      </c>
      <c r="C159" s="1" t="s">
        <v>473</v>
      </c>
      <c r="D159" s="4" t="s">
        <v>516</v>
      </c>
      <c r="E159" s="5" t="s">
        <v>522</v>
      </c>
      <c r="F159" s="3" t="s">
        <v>521</v>
      </c>
      <c r="G159" s="6">
        <v>0.206</v>
      </c>
      <c r="H159" s="6">
        <v>0.17083333333333334</v>
      </c>
      <c r="I159" s="6">
        <v>0.0</v>
      </c>
      <c r="J159" s="7">
        <v>0.1</v>
      </c>
      <c r="K159" s="7">
        <f t="shared" si="1"/>
        <v>0.4768333333</v>
      </c>
    </row>
    <row r="160">
      <c r="A160" s="1" t="s">
        <v>523</v>
      </c>
      <c r="B160" s="3" t="s">
        <v>524</v>
      </c>
      <c r="C160" s="1" t="s">
        <v>525</v>
      </c>
      <c r="D160" s="4" t="s">
        <v>30</v>
      </c>
      <c r="E160" s="5" t="s">
        <v>526</v>
      </c>
      <c r="F160" s="3" t="s">
        <v>524</v>
      </c>
      <c r="G160" s="6">
        <v>0.121</v>
      </c>
      <c r="H160" s="6">
        <v>0.10083333333333333</v>
      </c>
      <c r="I160" s="6">
        <v>0.1875</v>
      </c>
      <c r="J160" s="7">
        <v>0.06666666666666667</v>
      </c>
      <c r="K160" s="7">
        <f t="shared" si="1"/>
        <v>0.476</v>
      </c>
    </row>
    <row r="161">
      <c r="A161" s="1" t="s">
        <v>527</v>
      </c>
      <c r="B161" s="3" t="s">
        <v>528</v>
      </c>
      <c r="C161" s="1" t="s">
        <v>529</v>
      </c>
      <c r="D161" s="4" t="s">
        <v>13</v>
      </c>
      <c r="E161" s="5" t="s">
        <v>530</v>
      </c>
      <c r="F161" s="3" t="s">
        <v>528</v>
      </c>
      <c r="G161" s="6">
        <v>0.06799999999999999</v>
      </c>
      <c r="H161" s="6">
        <v>0.056666666666666664</v>
      </c>
      <c r="I161" s="6">
        <v>0.25</v>
      </c>
      <c r="J161" s="7">
        <v>0.1</v>
      </c>
      <c r="K161" s="7">
        <f t="shared" si="1"/>
        <v>0.4746666667</v>
      </c>
    </row>
    <row r="162">
      <c r="A162" s="1" t="s">
        <v>316</v>
      </c>
      <c r="B162" s="3" t="s">
        <v>531</v>
      </c>
      <c r="C162" s="1" t="s">
        <v>532</v>
      </c>
      <c r="D162" s="4" t="s">
        <v>516</v>
      </c>
      <c r="E162" s="5" t="s">
        <v>533</v>
      </c>
      <c r="F162" s="3" t="s">
        <v>531</v>
      </c>
      <c r="G162" s="6">
        <v>0.20400000000000001</v>
      </c>
      <c r="H162" s="6">
        <v>0.17</v>
      </c>
      <c r="I162" s="6">
        <v>0.0</v>
      </c>
      <c r="J162" s="7">
        <v>0.1</v>
      </c>
      <c r="K162" s="7">
        <f t="shared" si="1"/>
        <v>0.474</v>
      </c>
    </row>
    <row r="163">
      <c r="A163" s="1" t="s">
        <v>534</v>
      </c>
      <c r="B163" s="3" t="s">
        <v>535</v>
      </c>
      <c r="C163" s="1" t="s">
        <v>356</v>
      </c>
      <c r="D163" s="4" t="s">
        <v>30</v>
      </c>
      <c r="E163" s="5" t="s">
        <v>536</v>
      </c>
      <c r="F163" s="3" t="s">
        <v>535</v>
      </c>
      <c r="G163" s="6">
        <v>0.083</v>
      </c>
      <c r="H163" s="6">
        <v>0.06916666666666667</v>
      </c>
      <c r="I163" s="6">
        <v>0.1875</v>
      </c>
      <c r="J163" s="7">
        <v>0.13333333333333333</v>
      </c>
      <c r="K163" s="7">
        <f t="shared" si="1"/>
        <v>0.473</v>
      </c>
    </row>
    <row r="164">
      <c r="A164" s="1" t="s">
        <v>537</v>
      </c>
      <c r="B164" s="3" t="s">
        <v>538</v>
      </c>
      <c r="C164" s="1" t="s">
        <v>365</v>
      </c>
      <c r="D164" s="4" t="s">
        <v>30</v>
      </c>
      <c r="E164" s="5" t="s">
        <v>539</v>
      </c>
      <c r="F164" s="3" t="s">
        <v>538</v>
      </c>
      <c r="G164" s="6">
        <v>0.118</v>
      </c>
      <c r="H164" s="6">
        <v>0.09833333333333333</v>
      </c>
      <c r="I164" s="6">
        <v>0.1875</v>
      </c>
      <c r="J164" s="7">
        <v>0.06666666666666667</v>
      </c>
      <c r="K164" s="7">
        <f t="shared" si="1"/>
        <v>0.4705</v>
      </c>
    </row>
    <row r="165">
      <c r="A165" s="1" t="s">
        <v>328</v>
      </c>
      <c r="B165" s="3" t="s">
        <v>540</v>
      </c>
      <c r="C165" s="1" t="s">
        <v>338</v>
      </c>
      <c r="D165" s="4" t="s">
        <v>516</v>
      </c>
      <c r="E165" s="5" t="s">
        <v>541</v>
      </c>
      <c r="F165" s="3" t="s">
        <v>540</v>
      </c>
      <c r="G165" s="6">
        <v>0.19999999999999998</v>
      </c>
      <c r="H165" s="6">
        <v>0.16666666666666666</v>
      </c>
      <c r="I165" s="6">
        <v>0.0</v>
      </c>
      <c r="J165" s="7">
        <v>0.1</v>
      </c>
      <c r="K165" s="7">
        <f t="shared" si="1"/>
        <v>0.4666666667</v>
      </c>
    </row>
    <row r="166">
      <c r="A166" s="1" t="s">
        <v>542</v>
      </c>
      <c r="B166" s="3" t="s">
        <v>543</v>
      </c>
      <c r="C166" s="1" t="s">
        <v>544</v>
      </c>
      <c r="D166" s="4" t="s">
        <v>30</v>
      </c>
      <c r="E166" s="5" t="s">
        <v>545</v>
      </c>
      <c r="F166" s="3" t="s">
        <v>543</v>
      </c>
      <c r="G166" s="6">
        <v>0.096</v>
      </c>
      <c r="H166" s="6">
        <v>0.08</v>
      </c>
      <c r="I166" s="6">
        <v>0.1875</v>
      </c>
      <c r="J166" s="7">
        <v>0.1</v>
      </c>
      <c r="K166" s="7">
        <f t="shared" si="1"/>
        <v>0.4635</v>
      </c>
    </row>
    <row r="167">
      <c r="A167" s="1" t="s">
        <v>333</v>
      </c>
      <c r="B167" s="3" t="s">
        <v>546</v>
      </c>
      <c r="C167" s="1" t="s">
        <v>547</v>
      </c>
      <c r="D167" s="4" t="s">
        <v>516</v>
      </c>
      <c r="E167" s="5" t="s">
        <v>548</v>
      </c>
      <c r="F167" s="3" t="s">
        <v>546</v>
      </c>
      <c r="G167" s="6">
        <v>0.198</v>
      </c>
      <c r="H167" s="6">
        <v>0.165</v>
      </c>
      <c r="I167" s="6">
        <v>0.0</v>
      </c>
      <c r="J167" s="7">
        <v>0.1</v>
      </c>
      <c r="K167" s="7">
        <f t="shared" si="1"/>
        <v>0.463</v>
      </c>
    </row>
    <row r="168">
      <c r="A168" s="1" t="s">
        <v>549</v>
      </c>
      <c r="B168" s="3" t="s">
        <v>550</v>
      </c>
      <c r="C168" s="1" t="s">
        <v>369</v>
      </c>
      <c r="D168" s="4" t="s">
        <v>30</v>
      </c>
      <c r="E168" s="5" t="s">
        <v>551</v>
      </c>
      <c r="F168" s="3" t="s">
        <v>550</v>
      </c>
      <c r="G168" s="6">
        <v>0.076</v>
      </c>
      <c r="H168" s="6">
        <v>0.06333333333333334</v>
      </c>
      <c r="I168" s="6">
        <v>0.1875</v>
      </c>
      <c r="J168" s="7">
        <v>0.13333333333333333</v>
      </c>
      <c r="K168" s="7">
        <f t="shared" si="1"/>
        <v>0.4601666667</v>
      </c>
    </row>
    <row r="169">
      <c r="A169" s="1" t="s">
        <v>340</v>
      </c>
      <c r="B169" s="3" t="s">
        <v>552</v>
      </c>
      <c r="C169" s="1" t="s">
        <v>495</v>
      </c>
      <c r="D169" s="4" t="s">
        <v>553</v>
      </c>
      <c r="E169" s="5" t="s">
        <v>554</v>
      </c>
      <c r="F169" s="3" t="s">
        <v>552</v>
      </c>
      <c r="G169" s="6">
        <v>0.19599999999999998</v>
      </c>
      <c r="H169" s="6">
        <v>0.16333333333333333</v>
      </c>
      <c r="I169" s="6">
        <v>0.0</v>
      </c>
      <c r="J169" s="9">
        <v>0.1</v>
      </c>
      <c r="K169" s="7">
        <f t="shared" si="1"/>
        <v>0.4593333333</v>
      </c>
    </row>
    <row r="170">
      <c r="A170" s="1" t="s">
        <v>555</v>
      </c>
      <c r="B170" s="3" t="s">
        <v>556</v>
      </c>
      <c r="C170" s="1" t="s">
        <v>557</v>
      </c>
      <c r="D170" s="4" t="s">
        <v>13</v>
      </c>
      <c r="E170" s="5" t="s">
        <v>558</v>
      </c>
      <c r="F170" s="3" t="s">
        <v>556</v>
      </c>
      <c r="G170" s="6">
        <v>0.059</v>
      </c>
      <c r="H170" s="6">
        <v>0.049166666666666664</v>
      </c>
      <c r="I170" s="6">
        <v>0.25</v>
      </c>
      <c r="J170" s="7">
        <v>0.1</v>
      </c>
      <c r="K170" s="7">
        <f t="shared" si="1"/>
        <v>0.4581666667</v>
      </c>
    </row>
    <row r="171">
      <c r="A171" s="1" t="s">
        <v>343</v>
      </c>
      <c r="B171" s="3" t="s">
        <v>559</v>
      </c>
      <c r="C171" s="1" t="s">
        <v>560</v>
      </c>
      <c r="D171" s="4" t="s">
        <v>516</v>
      </c>
      <c r="E171" s="5" t="s">
        <v>561</v>
      </c>
      <c r="F171" s="3" t="s">
        <v>559</v>
      </c>
      <c r="G171" s="6">
        <v>0.195</v>
      </c>
      <c r="H171" s="6">
        <v>0.1625</v>
      </c>
      <c r="I171" s="6">
        <v>0.0</v>
      </c>
      <c r="J171" s="9">
        <v>0.1</v>
      </c>
      <c r="K171" s="7">
        <f t="shared" si="1"/>
        <v>0.4575</v>
      </c>
    </row>
    <row r="172">
      <c r="A172" s="1" t="s">
        <v>525</v>
      </c>
      <c r="B172" s="3" t="s">
        <v>562</v>
      </c>
      <c r="C172" s="1" t="s">
        <v>563</v>
      </c>
      <c r="D172" s="4" t="s">
        <v>172</v>
      </c>
      <c r="E172" s="5" t="s">
        <v>564</v>
      </c>
      <c r="F172" s="3" t="s">
        <v>562</v>
      </c>
      <c r="G172" s="6">
        <v>0.142</v>
      </c>
      <c r="H172" s="6">
        <v>0.11833333333333333</v>
      </c>
      <c r="I172" s="6">
        <v>0.0625</v>
      </c>
      <c r="J172" s="7">
        <v>0.13333333333333333</v>
      </c>
      <c r="K172" s="7">
        <f t="shared" si="1"/>
        <v>0.4561666667</v>
      </c>
    </row>
    <row r="173">
      <c r="A173" s="1" t="s">
        <v>565</v>
      </c>
      <c r="B173" s="3" t="s">
        <v>566</v>
      </c>
      <c r="C173" s="1" t="s">
        <v>412</v>
      </c>
      <c r="D173" s="4" t="s">
        <v>13</v>
      </c>
      <c r="E173" s="5" t="s">
        <v>567</v>
      </c>
      <c r="F173" s="3" t="s">
        <v>566</v>
      </c>
      <c r="G173" s="6">
        <v>0.003</v>
      </c>
      <c r="H173" s="6">
        <v>0.0025</v>
      </c>
      <c r="I173" s="6">
        <v>0.25</v>
      </c>
      <c r="J173" s="7">
        <v>0.2</v>
      </c>
      <c r="K173" s="7">
        <f t="shared" si="1"/>
        <v>0.4555</v>
      </c>
    </row>
    <row r="174">
      <c r="A174" s="1" t="s">
        <v>568</v>
      </c>
      <c r="B174" s="3" t="s">
        <v>569</v>
      </c>
      <c r="C174" s="1" t="s">
        <v>570</v>
      </c>
      <c r="D174" s="4" t="s">
        <v>30</v>
      </c>
      <c r="E174" s="5" t="s">
        <v>571</v>
      </c>
      <c r="F174" s="3" t="s">
        <v>569</v>
      </c>
      <c r="G174" s="6">
        <v>0.073</v>
      </c>
      <c r="H174" s="6">
        <v>0.060833333333333336</v>
      </c>
      <c r="I174" s="6">
        <v>0.1875</v>
      </c>
      <c r="J174" s="7">
        <v>0.13333333333333333</v>
      </c>
      <c r="K174" s="7">
        <f t="shared" si="1"/>
        <v>0.4546666667</v>
      </c>
    </row>
    <row r="175">
      <c r="A175" s="1" t="s">
        <v>348</v>
      </c>
      <c r="B175" s="3" t="s">
        <v>572</v>
      </c>
      <c r="C175" s="1" t="s">
        <v>573</v>
      </c>
      <c r="D175" s="4" t="s">
        <v>516</v>
      </c>
      <c r="E175" s="5" t="s">
        <v>574</v>
      </c>
      <c r="F175" s="3" t="s">
        <v>572</v>
      </c>
      <c r="G175" s="6">
        <v>0.19299999999999998</v>
      </c>
      <c r="H175" s="6">
        <v>0.16083333333333333</v>
      </c>
      <c r="I175" s="6">
        <v>0.0</v>
      </c>
      <c r="J175" s="9">
        <v>0.1</v>
      </c>
      <c r="K175" s="7">
        <f t="shared" si="1"/>
        <v>0.4538333333</v>
      </c>
    </row>
    <row r="176">
      <c r="A176" s="1" t="s">
        <v>351</v>
      </c>
      <c r="B176" s="3" t="s">
        <v>575</v>
      </c>
      <c r="C176" s="1" t="s">
        <v>576</v>
      </c>
      <c r="D176" s="4" t="s">
        <v>516</v>
      </c>
      <c r="E176" s="5" t="s">
        <v>577</v>
      </c>
      <c r="F176" s="3" t="s">
        <v>575</v>
      </c>
      <c r="G176" s="6">
        <v>0.192</v>
      </c>
      <c r="H176" s="6">
        <v>0.16</v>
      </c>
      <c r="I176" s="6">
        <v>0.0</v>
      </c>
      <c r="J176" s="9">
        <v>0.1</v>
      </c>
      <c r="K176" s="7">
        <f t="shared" si="1"/>
        <v>0.452</v>
      </c>
    </row>
    <row r="177">
      <c r="A177" s="1" t="s">
        <v>578</v>
      </c>
      <c r="B177" s="3" t="s">
        <v>579</v>
      </c>
      <c r="C177" s="1" t="s">
        <v>505</v>
      </c>
      <c r="D177" s="4" t="s">
        <v>191</v>
      </c>
      <c r="E177" s="5" t="s">
        <v>580</v>
      </c>
      <c r="F177" s="3" t="s">
        <v>579</v>
      </c>
      <c r="G177" s="6">
        <v>0.105</v>
      </c>
      <c r="H177" s="6">
        <v>0.0875</v>
      </c>
      <c r="I177" s="6">
        <v>0.125</v>
      </c>
      <c r="J177" s="7">
        <v>0.13333333333333333</v>
      </c>
      <c r="K177" s="7">
        <f t="shared" si="1"/>
        <v>0.4508333333</v>
      </c>
    </row>
    <row r="178">
      <c r="A178" s="1" t="s">
        <v>363</v>
      </c>
      <c r="B178" s="3" t="s">
        <v>581</v>
      </c>
      <c r="C178" s="1" t="s">
        <v>434</v>
      </c>
      <c r="D178" s="4" t="s">
        <v>516</v>
      </c>
      <c r="E178" s="5" t="s">
        <v>582</v>
      </c>
      <c r="F178" s="3" t="s">
        <v>581</v>
      </c>
      <c r="G178" s="6">
        <v>0.188</v>
      </c>
      <c r="H178" s="6">
        <v>0.15666666666666668</v>
      </c>
      <c r="I178" s="6">
        <v>0.0</v>
      </c>
      <c r="J178" s="9">
        <v>0.1</v>
      </c>
      <c r="K178" s="7">
        <f t="shared" si="1"/>
        <v>0.4446666667</v>
      </c>
    </row>
    <row r="179">
      <c r="A179" s="1" t="s">
        <v>583</v>
      </c>
      <c r="B179" s="3" t="s">
        <v>584</v>
      </c>
      <c r="C179" s="1" t="s">
        <v>441</v>
      </c>
      <c r="D179" s="4" t="s">
        <v>13</v>
      </c>
      <c r="E179" s="5" t="s">
        <v>585</v>
      </c>
      <c r="F179" s="3" t="s">
        <v>584</v>
      </c>
      <c r="G179" s="6">
        <v>0.06999999999999999</v>
      </c>
      <c r="H179" s="6">
        <v>0.0575</v>
      </c>
      <c r="I179" s="6">
        <v>0.25</v>
      </c>
      <c r="J179" s="7">
        <v>0.06666666666666667</v>
      </c>
      <c r="K179" s="7">
        <f t="shared" si="1"/>
        <v>0.4441666667</v>
      </c>
    </row>
    <row r="180">
      <c r="A180" s="1" t="s">
        <v>367</v>
      </c>
      <c r="B180" s="3" t="s">
        <v>586</v>
      </c>
      <c r="C180" s="1" t="s">
        <v>448</v>
      </c>
      <c r="D180" s="4" t="s">
        <v>516</v>
      </c>
      <c r="E180" s="5" t="s">
        <v>587</v>
      </c>
      <c r="F180" s="3" t="s">
        <v>586</v>
      </c>
      <c r="G180" s="6">
        <v>0.18699999999999997</v>
      </c>
      <c r="H180" s="6">
        <v>0.15583333333333332</v>
      </c>
      <c r="I180" s="6">
        <v>0.0</v>
      </c>
      <c r="J180" s="9">
        <v>0.1</v>
      </c>
      <c r="K180" s="7">
        <f t="shared" si="1"/>
        <v>0.4428333333</v>
      </c>
    </row>
    <row r="181">
      <c r="A181" s="1" t="s">
        <v>588</v>
      </c>
      <c r="B181" s="3" t="s">
        <v>589</v>
      </c>
      <c r="C181" s="1" t="s">
        <v>523</v>
      </c>
      <c r="D181" s="4" t="s">
        <v>191</v>
      </c>
      <c r="E181" s="5" t="s">
        <v>590</v>
      </c>
      <c r="F181" s="3" t="s">
        <v>589</v>
      </c>
      <c r="G181" s="6">
        <v>0.08199999999999999</v>
      </c>
      <c r="H181" s="6">
        <v>0.06833333333333333</v>
      </c>
      <c r="I181" s="6">
        <v>0.125</v>
      </c>
      <c r="J181" s="7">
        <v>0.16666666666666669</v>
      </c>
      <c r="K181" s="7">
        <f t="shared" si="1"/>
        <v>0.442</v>
      </c>
    </row>
    <row r="182">
      <c r="A182" s="1" t="s">
        <v>591</v>
      </c>
      <c r="B182" s="3" t="s">
        <v>592</v>
      </c>
      <c r="C182" s="1" t="s">
        <v>593</v>
      </c>
      <c r="D182" s="4" t="s">
        <v>13</v>
      </c>
      <c r="E182" s="5" t="s">
        <v>594</v>
      </c>
      <c r="F182" s="3" t="s">
        <v>592</v>
      </c>
      <c r="G182" s="6">
        <v>0.032</v>
      </c>
      <c r="H182" s="6">
        <v>0.02666666666666667</v>
      </c>
      <c r="I182" s="6">
        <v>0.25</v>
      </c>
      <c r="J182" s="7">
        <v>0.13333333333333333</v>
      </c>
      <c r="K182" s="7">
        <f t="shared" si="1"/>
        <v>0.442</v>
      </c>
    </row>
    <row r="183">
      <c r="A183" s="1" t="s">
        <v>371</v>
      </c>
      <c r="B183" s="3" t="s">
        <v>595</v>
      </c>
      <c r="C183" s="1" t="s">
        <v>596</v>
      </c>
      <c r="D183" s="4" t="s">
        <v>516</v>
      </c>
      <c r="E183" s="5" t="s">
        <v>597</v>
      </c>
      <c r="F183" s="3" t="s">
        <v>595</v>
      </c>
      <c r="G183" s="6">
        <v>0.186</v>
      </c>
      <c r="H183" s="6">
        <v>0.155</v>
      </c>
      <c r="I183" s="6">
        <v>0.0</v>
      </c>
      <c r="J183" s="9">
        <v>0.1</v>
      </c>
      <c r="K183" s="7">
        <f t="shared" si="1"/>
        <v>0.441</v>
      </c>
    </row>
    <row r="184">
      <c r="A184" s="1" t="s">
        <v>375</v>
      </c>
      <c r="B184" s="3" t="s">
        <v>598</v>
      </c>
      <c r="C184" s="1" t="s">
        <v>537</v>
      </c>
      <c r="D184" s="4" t="s">
        <v>599</v>
      </c>
      <c r="E184" s="5" t="s">
        <v>600</v>
      </c>
      <c r="F184" s="3" t="s">
        <v>598</v>
      </c>
      <c r="G184" s="6">
        <v>0.185</v>
      </c>
      <c r="H184" s="6">
        <v>0.15416666666666667</v>
      </c>
      <c r="I184" s="6">
        <v>0.0</v>
      </c>
      <c r="J184" s="9">
        <v>0.1</v>
      </c>
      <c r="K184" s="7">
        <f t="shared" si="1"/>
        <v>0.4391666667</v>
      </c>
    </row>
    <row r="185">
      <c r="A185" s="1" t="s">
        <v>601</v>
      </c>
      <c r="B185" s="3" t="s">
        <v>602</v>
      </c>
      <c r="C185" s="1" t="s">
        <v>452</v>
      </c>
      <c r="D185" s="4" t="s">
        <v>191</v>
      </c>
      <c r="E185" s="5" t="s">
        <v>603</v>
      </c>
      <c r="F185" s="3" t="s">
        <v>602</v>
      </c>
      <c r="G185" s="6">
        <v>0.09799999999999999</v>
      </c>
      <c r="H185" s="6">
        <v>0.08166666666666667</v>
      </c>
      <c r="I185" s="6">
        <v>0.125</v>
      </c>
      <c r="J185" s="7">
        <v>0.13333333333333333</v>
      </c>
      <c r="K185" s="7">
        <f t="shared" si="1"/>
        <v>0.438</v>
      </c>
    </row>
    <row r="186">
      <c r="A186" s="1" t="s">
        <v>379</v>
      </c>
      <c r="B186" s="3" t="s">
        <v>604</v>
      </c>
      <c r="C186" s="1" t="s">
        <v>605</v>
      </c>
      <c r="D186" s="4" t="s">
        <v>516</v>
      </c>
      <c r="E186" s="5" t="s">
        <v>606</v>
      </c>
      <c r="F186" s="3" t="s">
        <v>604</v>
      </c>
      <c r="G186" s="6">
        <v>0.18399999999999997</v>
      </c>
      <c r="H186" s="6">
        <v>0.15333333333333332</v>
      </c>
      <c r="I186" s="6">
        <v>0.0</v>
      </c>
      <c r="J186" s="9">
        <v>0.1</v>
      </c>
      <c r="K186" s="7">
        <f t="shared" si="1"/>
        <v>0.4373333333</v>
      </c>
    </row>
    <row r="187">
      <c r="A187" s="1" t="s">
        <v>385</v>
      </c>
      <c r="B187" s="3" t="s">
        <v>607</v>
      </c>
      <c r="C187" s="1" t="s">
        <v>608</v>
      </c>
      <c r="D187" s="4" t="s">
        <v>516</v>
      </c>
      <c r="E187" s="5" t="s">
        <v>609</v>
      </c>
      <c r="F187" s="3" t="s">
        <v>607</v>
      </c>
      <c r="G187" s="6">
        <v>0.182</v>
      </c>
      <c r="H187" s="6">
        <v>0.15166666666666667</v>
      </c>
      <c r="I187" s="6">
        <v>0.0</v>
      </c>
      <c r="J187" s="9">
        <v>0.1</v>
      </c>
      <c r="K187" s="7">
        <f t="shared" si="1"/>
        <v>0.4336666667</v>
      </c>
    </row>
    <row r="188">
      <c r="A188" s="1" t="s">
        <v>392</v>
      </c>
      <c r="B188" s="3" t="s">
        <v>610</v>
      </c>
      <c r="C188" s="1" t="s">
        <v>611</v>
      </c>
      <c r="D188" s="4" t="s">
        <v>516</v>
      </c>
      <c r="E188" s="5" t="s">
        <v>612</v>
      </c>
      <c r="F188" s="3" t="s">
        <v>610</v>
      </c>
      <c r="G188" s="6">
        <v>0.18</v>
      </c>
      <c r="H188" s="6">
        <v>0.15</v>
      </c>
      <c r="I188" s="6">
        <v>0.0</v>
      </c>
      <c r="J188" s="9">
        <v>0.1</v>
      </c>
      <c r="K188" s="7">
        <f t="shared" si="1"/>
        <v>0.43</v>
      </c>
    </row>
    <row r="189">
      <c r="A189" s="1" t="s">
        <v>399</v>
      </c>
      <c r="B189" s="3" t="s">
        <v>613</v>
      </c>
      <c r="C189" s="1" t="s">
        <v>614</v>
      </c>
      <c r="D189" s="4" t="s">
        <v>516</v>
      </c>
      <c r="E189" s="5" t="s">
        <v>615</v>
      </c>
      <c r="F189" s="3" t="s">
        <v>613</v>
      </c>
      <c r="G189" s="6">
        <v>0.17800000000000002</v>
      </c>
      <c r="H189" s="6">
        <v>0.14833333333333334</v>
      </c>
      <c r="I189" s="6">
        <v>0.0</v>
      </c>
      <c r="J189" s="9">
        <v>0.1</v>
      </c>
      <c r="K189" s="7">
        <f t="shared" si="1"/>
        <v>0.4263333333</v>
      </c>
    </row>
    <row r="190">
      <c r="A190" s="1" t="s">
        <v>406</v>
      </c>
      <c r="B190" s="3" t="s">
        <v>616</v>
      </c>
      <c r="C190" s="1" t="s">
        <v>420</v>
      </c>
      <c r="D190" s="4" t="s">
        <v>599</v>
      </c>
      <c r="E190" s="5" t="s">
        <v>617</v>
      </c>
      <c r="F190" s="3" t="s">
        <v>616</v>
      </c>
      <c r="G190" s="6">
        <v>0.177</v>
      </c>
      <c r="H190" s="6">
        <v>0.14666666666666667</v>
      </c>
      <c r="I190" s="6">
        <v>0.0</v>
      </c>
      <c r="J190" s="9">
        <v>0.1</v>
      </c>
      <c r="K190" s="7">
        <f t="shared" si="1"/>
        <v>0.4236666667</v>
      </c>
    </row>
    <row r="191">
      <c r="A191" s="1" t="s">
        <v>618</v>
      </c>
      <c r="B191" s="3" t="s">
        <v>619</v>
      </c>
      <c r="C191" s="1" t="s">
        <v>469</v>
      </c>
      <c r="D191" s="4" t="s">
        <v>13</v>
      </c>
      <c r="E191" s="5" t="s">
        <v>620</v>
      </c>
      <c r="F191" s="3" t="s">
        <v>619</v>
      </c>
      <c r="G191" s="6">
        <v>0.04</v>
      </c>
      <c r="H191" s="6">
        <v>0.03333333333333333</v>
      </c>
      <c r="I191" s="6">
        <v>0.25</v>
      </c>
      <c r="J191" s="7">
        <v>0.1</v>
      </c>
      <c r="K191" s="7">
        <f t="shared" si="1"/>
        <v>0.4233333333</v>
      </c>
    </row>
    <row r="192">
      <c r="A192" s="1" t="s">
        <v>410</v>
      </c>
      <c r="B192" s="3" t="s">
        <v>621</v>
      </c>
      <c r="C192" s="1" t="s">
        <v>501</v>
      </c>
      <c r="D192" s="4" t="s">
        <v>622</v>
      </c>
      <c r="E192" s="2" t="s">
        <v>623</v>
      </c>
      <c r="F192" s="3" t="s">
        <v>621</v>
      </c>
      <c r="G192" s="6">
        <v>0.17500000000000002</v>
      </c>
      <c r="H192" s="6">
        <v>0.14583333333333334</v>
      </c>
      <c r="I192" s="6">
        <v>0.0</v>
      </c>
      <c r="J192" s="9">
        <v>0.1</v>
      </c>
      <c r="K192" s="7">
        <f t="shared" si="1"/>
        <v>0.4208333333</v>
      </c>
    </row>
    <row r="193">
      <c r="A193" s="1" t="s">
        <v>624</v>
      </c>
      <c r="B193" s="3" t="s">
        <v>625</v>
      </c>
      <c r="C193" s="1" t="s">
        <v>626</v>
      </c>
      <c r="D193" s="4" t="s">
        <v>30</v>
      </c>
      <c r="E193" s="2" t="s">
        <v>627</v>
      </c>
      <c r="F193" s="3" t="s">
        <v>625</v>
      </c>
      <c r="G193" s="6">
        <v>0.036</v>
      </c>
      <c r="H193" s="6">
        <v>0.03</v>
      </c>
      <c r="I193" s="6">
        <v>0.1875</v>
      </c>
      <c r="J193" s="7">
        <v>0.16666666666666669</v>
      </c>
      <c r="K193" s="7">
        <f t="shared" si="1"/>
        <v>0.4201666667</v>
      </c>
    </row>
    <row r="194">
      <c r="A194" s="1" t="s">
        <v>628</v>
      </c>
      <c r="B194" s="3" t="s">
        <v>629</v>
      </c>
      <c r="C194" s="1" t="s">
        <v>630</v>
      </c>
      <c r="D194" s="4" t="s">
        <v>13</v>
      </c>
      <c r="E194" s="5" t="s">
        <v>631</v>
      </c>
      <c r="F194" s="3" t="s">
        <v>629</v>
      </c>
      <c r="G194" s="6">
        <v>0.038</v>
      </c>
      <c r="H194" s="6">
        <v>0.03166666666666667</v>
      </c>
      <c r="I194" s="6">
        <v>0.25</v>
      </c>
      <c r="J194" s="9">
        <v>0.1</v>
      </c>
      <c r="K194" s="7">
        <f t="shared" si="1"/>
        <v>0.4196666667</v>
      </c>
    </row>
    <row r="195">
      <c r="A195" s="1" t="s">
        <v>414</v>
      </c>
      <c r="B195" s="3" t="s">
        <v>632</v>
      </c>
      <c r="C195" s="1" t="s">
        <v>427</v>
      </c>
      <c r="D195" s="4" t="s">
        <v>516</v>
      </c>
      <c r="E195" s="5" t="s">
        <v>633</v>
      </c>
      <c r="F195" s="3" t="s">
        <v>632</v>
      </c>
      <c r="G195" s="6">
        <v>0.174</v>
      </c>
      <c r="H195" s="6">
        <v>0.145</v>
      </c>
      <c r="I195" s="6">
        <v>0.0</v>
      </c>
      <c r="J195" s="9">
        <v>0.1</v>
      </c>
      <c r="K195" s="7">
        <f t="shared" si="1"/>
        <v>0.419</v>
      </c>
    </row>
    <row r="196">
      <c r="A196" s="1" t="s">
        <v>418</v>
      </c>
      <c r="B196" s="3" t="s">
        <v>634</v>
      </c>
      <c r="C196" s="1" t="s">
        <v>444</v>
      </c>
      <c r="D196" s="4" t="s">
        <v>516</v>
      </c>
      <c r="E196" s="5" t="s">
        <v>635</v>
      </c>
      <c r="F196" s="3" t="s">
        <v>634</v>
      </c>
      <c r="G196" s="6">
        <v>0.173</v>
      </c>
      <c r="H196" s="6">
        <v>0.14416666666666667</v>
      </c>
      <c r="I196" s="6">
        <v>0.0</v>
      </c>
      <c r="J196" s="9">
        <v>0.1</v>
      </c>
      <c r="K196" s="7">
        <f t="shared" si="1"/>
        <v>0.4171666667</v>
      </c>
    </row>
    <row r="197">
      <c r="A197" s="1" t="s">
        <v>425</v>
      </c>
      <c r="B197" s="3" t="s">
        <v>636</v>
      </c>
      <c r="C197" s="1" t="s">
        <v>578</v>
      </c>
      <c r="D197" s="4" t="s">
        <v>516</v>
      </c>
      <c r="E197" s="5" t="s">
        <v>637</v>
      </c>
      <c r="F197" s="3" t="s">
        <v>636</v>
      </c>
      <c r="G197" s="6">
        <v>0.17099999999999999</v>
      </c>
      <c r="H197" s="6">
        <v>0.1425</v>
      </c>
      <c r="I197" s="6">
        <v>0.0</v>
      </c>
      <c r="J197" s="9">
        <v>0.1</v>
      </c>
      <c r="K197" s="7">
        <f t="shared" si="1"/>
        <v>0.4135</v>
      </c>
    </row>
    <row r="198">
      <c r="A198" s="1" t="s">
        <v>429</v>
      </c>
      <c r="B198" s="3" t="s">
        <v>638</v>
      </c>
      <c r="C198" s="1" t="s">
        <v>639</v>
      </c>
      <c r="D198" s="4" t="s">
        <v>622</v>
      </c>
      <c r="E198" s="2" t="s">
        <v>640</v>
      </c>
      <c r="F198" s="3" t="s">
        <v>638</v>
      </c>
      <c r="G198" s="6">
        <v>0.16999999999999998</v>
      </c>
      <c r="H198" s="6">
        <v>0.14166666666666666</v>
      </c>
      <c r="I198" s="6">
        <v>0.0</v>
      </c>
      <c r="J198" s="9">
        <v>0.1</v>
      </c>
      <c r="K198" s="7">
        <f t="shared" si="1"/>
        <v>0.4116666667</v>
      </c>
    </row>
    <row r="199">
      <c r="A199" s="1" t="s">
        <v>641</v>
      </c>
      <c r="B199" s="3" t="s">
        <v>642</v>
      </c>
      <c r="C199" s="1" t="s">
        <v>483</v>
      </c>
      <c r="D199" s="4" t="s">
        <v>30</v>
      </c>
      <c r="E199" s="5" t="s">
        <v>643</v>
      </c>
      <c r="F199" s="3" t="s">
        <v>642</v>
      </c>
      <c r="G199" s="6">
        <v>0.049999999999999996</v>
      </c>
      <c r="H199" s="6">
        <v>0.04083333333333333</v>
      </c>
      <c r="I199" s="6">
        <v>0.1875</v>
      </c>
      <c r="J199" s="7">
        <v>0.13333333333333333</v>
      </c>
      <c r="K199" s="7">
        <f t="shared" si="1"/>
        <v>0.4116666667</v>
      </c>
    </row>
    <row r="200">
      <c r="A200" s="1" t="s">
        <v>596</v>
      </c>
      <c r="B200" s="3" t="s">
        <v>644</v>
      </c>
      <c r="C200" s="1" t="s">
        <v>645</v>
      </c>
      <c r="D200" s="4" t="s">
        <v>191</v>
      </c>
      <c r="E200" s="5" t="s">
        <v>646</v>
      </c>
      <c r="F200" s="3" t="s">
        <v>644</v>
      </c>
      <c r="G200" s="6">
        <v>0.119</v>
      </c>
      <c r="H200" s="6">
        <v>0.09916666666666667</v>
      </c>
      <c r="I200" s="6">
        <v>0.125</v>
      </c>
      <c r="J200" s="7">
        <v>0.06666666666666667</v>
      </c>
      <c r="K200" s="7">
        <f t="shared" si="1"/>
        <v>0.4098333333</v>
      </c>
    </row>
    <row r="201">
      <c r="A201" s="1" t="s">
        <v>647</v>
      </c>
      <c r="B201" s="3" t="s">
        <v>648</v>
      </c>
      <c r="C201" s="1" t="s">
        <v>455</v>
      </c>
      <c r="D201" s="4" t="s">
        <v>30</v>
      </c>
      <c r="E201" s="5" t="s">
        <v>649</v>
      </c>
      <c r="F201" s="3" t="s">
        <v>648</v>
      </c>
      <c r="G201" s="6">
        <v>0.066</v>
      </c>
      <c r="H201" s="6">
        <v>0.055</v>
      </c>
      <c r="I201" s="6">
        <v>0.1875</v>
      </c>
      <c r="J201" s="7">
        <v>0.1</v>
      </c>
      <c r="K201" s="7">
        <f t="shared" si="1"/>
        <v>0.4085</v>
      </c>
    </row>
    <row r="202">
      <c r="A202" s="1" t="s">
        <v>650</v>
      </c>
      <c r="B202" s="3" t="s">
        <v>651</v>
      </c>
      <c r="C202" s="1" t="s">
        <v>487</v>
      </c>
      <c r="D202" s="4" t="s">
        <v>30</v>
      </c>
      <c r="E202" s="5" t="s">
        <v>652</v>
      </c>
      <c r="F202" s="3" t="s">
        <v>651</v>
      </c>
      <c r="G202" s="6">
        <v>0.084</v>
      </c>
      <c r="H202" s="6">
        <v>0.07</v>
      </c>
      <c r="I202" s="6">
        <v>0.1875</v>
      </c>
      <c r="J202" s="7">
        <v>0.06666666666666667</v>
      </c>
      <c r="K202" s="7">
        <f t="shared" si="1"/>
        <v>0.4081666667</v>
      </c>
    </row>
    <row r="203">
      <c r="A203" s="1" t="s">
        <v>653</v>
      </c>
      <c r="B203" s="3" t="s">
        <v>654</v>
      </c>
      <c r="C203" s="1" t="s">
        <v>459</v>
      </c>
      <c r="D203" s="4" t="s">
        <v>30</v>
      </c>
      <c r="E203" s="5" t="s">
        <v>655</v>
      </c>
      <c r="F203" s="3" t="s">
        <v>654</v>
      </c>
      <c r="G203" s="6">
        <v>0.065</v>
      </c>
      <c r="H203" s="6">
        <v>0.05416666666666667</v>
      </c>
      <c r="I203" s="6">
        <v>0.1875</v>
      </c>
      <c r="J203" s="7">
        <v>0.1</v>
      </c>
      <c r="K203" s="7">
        <f t="shared" si="1"/>
        <v>0.4066666667</v>
      </c>
    </row>
    <row r="204">
      <c r="A204" s="1" t="s">
        <v>439</v>
      </c>
      <c r="B204" s="3" t="s">
        <v>656</v>
      </c>
      <c r="C204" s="1" t="s">
        <v>601</v>
      </c>
      <c r="D204" s="4" t="s">
        <v>516</v>
      </c>
      <c r="E204" s="5" t="s">
        <v>657</v>
      </c>
      <c r="F204" s="3" t="s">
        <v>656</v>
      </c>
      <c r="G204" s="6">
        <v>0.16699999999999998</v>
      </c>
      <c r="H204" s="6">
        <v>0.13916666666666666</v>
      </c>
      <c r="I204" s="6">
        <v>0.0</v>
      </c>
      <c r="J204" s="9">
        <v>0.1</v>
      </c>
      <c r="K204" s="7">
        <f t="shared" si="1"/>
        <v>0.4061666667</v>
      </c>
    </row>
    <row r="205">
      <c r="A205" s="1" t="s">
        <v>658</v>
      </c>
      <c r="B205" s="3" t="s">
        <v>659</v>
      </c>
      <c r="C205" s="1" t="s">
        <v>404</v>
      </c>
      <c r="D205" s="4" t="s">
        <v>30</v>
      </c>
      <c r="E205" s="5" t="s">
        <v>660</v>
      </c>
      <c r="F205" s="3" t="s">
        <v>659</v>
      </c>
      <c r="G205" s="6">
        <v>0.081</v>
      </c>
      <c r="H205" s="6">
        <v>0.0675</v>
      </c>
      <c r="I205" s="6">
        <v>0.1875</v>
      </c>
      <c r="J205" s="7">
        <v>0.06666666666666667</v>
      </c>
      <c r="K205" s="7">
        <f t="shared" si="1"/>
        <v>0.4026666667</v>
      </c>
    </row>
    <row r="206">
      <c r="A206" s="1" t="s">
        <v>446</v>
      </c>
      <c r="B206" s="3" t="s">
        <v>661</v>
      </c>
      <c r="C206" s="1" t="s">
        <v>542</v>
      </c>
      <c r="D206" s="4" t="s">
        <v>622</v>
      </c>
      <c r="E206" s="2" t="s">
        <v>662</v>
      </c>
      <c r="F206" s="3" t="s">
        <v>661</v>
      </c>
      <c r="G206" s="6">
        <v>0.165</v>
      </c>
      <c r="H206" s="6">
        <v>0.1375</v>
      </c>
      <c r="I206" s="6">
        <v>0.0</v>
      </c>
      <c r="J206" s="9">
        <v>0.1</v>
      </c>
      <c r="K206" s="7">
        <f t="shared" si="1"/>
        <v>0.4025</v>
      </c>
    </row>
    <row r="207">
      <c r="A207" s="1" t="s">
        <v>450</v>
      </c>
      <c r="B207" s="3" t="s">
        <v>663</v>
      </c>
      <c r="C207" s="1" t="s">
        <v>664</v>
      </c>
      <c r="D207" s="4" t="s">
        <v>516</v>
      </c>
      <c r="E207" s="5" t="s">
        <v>665</v>
      </c>
      <c r="F207" s="3" t="s">
        <v>663</v>
      </c>
      <c r="G207" s="6">
        <v>0.16399999999999998</v>
      </c>
      <c r="H207" s="6">
        <v>0.13666666666666666</v>
      </c>
      <c r="I207" s="6">
        <v>0.0</v>
      </c>
      <c r="J207" s="9">
        <v>0.1</v>
      </c>
      <c r="K207" s="7">
        <f t="shared" si="1"/>
        <v>0.4006666667</v>
      </c>
    </row>
    <row r="208">
      <c r="A208" s="1" t="s">
        <v>666</v>
      </c>
      <c r="B208" s="3" t="s">
        <v>667</v>
      </c>
      <c r="C208" s="1" t="s">
        <v>462</v>
      </c>
      <c r="D208" s="4" t="s">
        <v>13</v>
      </c>
      <c r="E208" s="2" t="s">
        <v>668</v>
      </c>
      <c r="F208" s="3" t="s">
        <v>667</v>
      </c>
      <c r="G208" s="6">
        <v>0.008</v>
      </c>
      <c r="H208" s="6">
        <v>0.006666666666666667</v>
      </c>
      <c r="I208" s="6">
        <v>0.25</v>
      </c>
      <c r="J208" s="7">
        <v>0.13333333333333333</v>
      </c>
      <c r="K208" s="7">
        <f t="shared" si="1"/>
        <v>0.398</v>
      </c>
    </row>
    <row r="209">
      <c r="A209" s="1" t="s">
        <v>457</v>
      </c>
      <c r="B209" s="3" t="s">
        <v>669</v>
      </c>
      <c r="C209" s="1" t="s">
        <v>423</v>
      </c>
      <c r="D209" s="4" t="s">
        <v>516</v>
      </c>
      <c r="E209" s="5" t="s">
        <v>670</v>
      </c>
      <c r="F209" s="3" t="s">
        <v>669</v>
      </c>
      <c r="G209" s="6">
        <v>0.162</v>
      </c>
      <c r="H209" s="6">
        <v>0.135</v>
      </c>
      <c r="I209" s="6">
        <v>0.0</v>
      </c>
      <c r="J209" s="9">
        <v>0.1</v>
      </c>
      <c r="K209" s="7">
        <f t="shared" si="1"/>
        <v>0.397</v>
      </c>
    </row>
    <row r="210">
      <c r="A210" s="1" t="s">
        <v>671</v>
      </c>
      <c r="B210" s="3" t="s">
        <v>672</v>
      </c>
      <c r="C210" s="1" t="s">
        <v>508</v>
      </c>
      <c r="D210" s="4" t="s">
        <v>13</v>
      </c>
      <c r="E210" s="2" t="s">
        <v>673</v>
      </c>
      <c r="F210" s="3" t="s">
        <v>672</v>
      </c>
      <c r="G210" s="6">
        <v>0.006</v>
      </c>
      <c r="H210" s="6">
        <v>0.005</v>
      </c>
      <c r="I210" s="6">
        <v>0.25</v>
      </c>
      <c r="J210" s="7">
        <v>0.13333333333333333</v>
      </c>
      <c r="K210" s="7">
        <f t="shared" si="1"/>
        <v>0.3943333333</v>
      </c>
    </row>
    <row r="211">
      <c r="A211" s="1" t="s">
        <v>464</v>
      </c>
      <c r="B211" s="3" t="s">
        <v>674</v>
      </c>
      <c r="C211" s="1" t="s">
        <v>675</v>
      </c>
      <c r="D211" s="4" t="s">
        <v>516</v>
      </c>
      <c r="E211" s="5" t="s">
        <v>676</v>
      </c>
      <c r="F211" s="3" t="s">
        <v>674</v>
      </c>
      <c r="G211" s="6">
        <v>0.16</v>
      </c>
      <c r="H211" s="6">
        <v>0.13333333333333333</v>
      </c>
      <c r="I211" s="6">
        <v>0.0</v>
      </c>
      <c r="J211" s="9">
        <v>0.1</v>
      </c>
      <c r="K211" s="7">
        <f t="shared" si="1"/>
        <v>0.3933333333</v>
      </c>
    </row>
    <row r="212">
      <c r="A212" s="1" t="s">
        <v>677</v>
      </c>
      <c r="B212" s="3" t="s">
        <v>678</v>
      </c>
      <c r="C212" s="1" t="s">
        <v>679</v>
      </c>
      <c r="D212" s="4" t="s">
        <v>30</v>
      </c>
      <c r="E212" s="5" t="s">
        <v>680</v>
      </c>
      <c r="F212" s="3" t="s">
        <v>678</v>
      </c>
      <c r="G212" s="6">
        <v>0.039</v>
      </c>
      <c r="H212" s="6">
        <v>0.0325</v>
      </c>
      <c r="I212" s="6">
        <v>0.1875</v>
      </c>
      <c r="J212" s="7">
        <v>0.13333333333333333</v>
      </c>
      <c r="K212" s="7">
        <f t="shared" si="1"/>
        <v>0.3923333333</v>
      </c>
    </row>
    <row r="213">
      <c r="A213" s="1" t="s">
        <v>471</v>
      </c>
      <c r="B213" s="3" t="s">
        <v>681</v>
      </c>
      <c r="C213" s="1" t="s">
        <v>682</v>
      </c>
      <c r="D213" s="4" t="s">
        <v>622</v>
      </c>
      <c r="E213" s="2" t="s">
        <v>683</v>
      </c>
      <c r="F213" s="3" t="s">
        <v>681</v>
      </c>
      <c r="G213" s="6">
        <v>0.15799999999999997</v>
      </c>
      <c r="H213" s="6">
        <v>0.13166666666666665</v>
      </c>
      <c r="I213" s="6">
        <v>0.0</v>
      </c>
      <c r="J213" s="9">
        <v>0.1</v>
      </c>
      <c r="K213" s="7">
        <f t="shared" si="1"/>
        <v>0.3896666667</v>
      </c>
    </row>
    <row r="214">
      <c r="A214" s="1" t="s">
        <v>481</v>
      </c>
      <c r="B214" s="3" t="s">
        <v>684</v>
      </c>
      <c r="C214" s="1" t="s">
        <v>685</v>
      </c>
      <c r="D214" s="4" t="s">
        <v>516</v>
      </c>
      <c r="E214" s="5" t="s">
        <v>686</v>
      </c>
      <c r="F214" s="3" t="s">
        <v>684</v>
      </c>
      <c r="G214" s="6">
        <v>0.155</v>
      </c>
      <c r="H214" s="6">
        <v>0.12916666666666668</v>
      </c>
      <c r="I214" s="6">
        <v>0.0</v>
      </c>
      <c r="J214" s="9">
        <v>0.1</v>
      </c>
      <c r="K214" s="7">
        <f t="shared" si="1"/>
        <v>0.3841666667</v>
      </c>
    </row>
    <row r="215">
      <c r="A215" s="1" t="s">
        <v>485</v>
      </c>
      <c r="B215" s="3" t="s">
        <v>687</v>
      </c>
      <c r="C215" s="1" t="s">
        <v>394</v>
      </c>
      <c r="D215" s="4" t="s">
        <v>516</v>
      </c>
      <c r="E215" s="5" t="s">
        <v>688</v>
      </c>
      <c r="F215" s="3" t="s">
        <v>687</v>
      </c>
      <c r="G215" s="6">
        <v>0.154</v>
      </c>
      <c r="H215" s="6">
        <v>0.12833333333333333</v>
      </c>
      <c r="I215" s="6">
        <v>0.0</v>
      </c>
      <c r="J215" s="9">
        <v>0.1</v>
      </c>
      <c r="K215" s="7">
        <f t="shared" si="1"/>
        <v>0.3823333333</v>
      </c>
    </row>
    <row r="216">
      <c r="A216" s="1" t="s">
        <v>489</v>
      </c>
      <c r="B216" s="3" t="s">
        <v>689</v>
      </c>
      <c r="C216" s="1" t="s">
        <v>397</v>
      </c>
      <c r="D216" s="4" t="s">
        <v>516</v>
      </c>
      <c r="E216" s="5" t="s">
        <v>690</v>
      </c>
      <c r="F216" s="3" t="s">
        <v>689</v>
      </c>
      <c r="G216" s="6">
        <v>0.154</v>
      </c>
      <c r="H216" s="6">
        <v>0.1275</v>
      </c>
      <c r="I216" s="6">
        <v>0.0</v>
      </c>
      <c r="J216" s="9">
        <v>0.1</v>
      </c>
      <c r="K216" s="7">
        <f t="shared" si="1"/>
        <v>0.3815</v>
      </c>
    </row>
    <row r="217">
      <c r="A217" s="1" t="s">
        <v>691</v>
      </c>
      <c r="B217" s="3" t="s">
        <v>692</v>
      </c>
      <c r="C217" s="1" t="s">
        <v>479</v>
      </c>
      <c r="D217" s="4" t="s">
        <v>30</v>
      </c>
      <c r="E217" s="5" t="s">
        <v>693</v>
      </c>
      <c r="F217" s="3" t="s">
        <v>692</v>
      </c>
      <c r="G217" s="6">
        <v>0.051000000000000004</v>
      </c>
      <c r="H217" s="6">
        <v>0.0425</v>
      </c>
      <c r="I217" s="6">
        <v>0.1875</v>
      </c>
      <c r="J217" s="9">
        <v>0.1</v>
      </c>
      <c r="K217" s="7">
        <f t="shared" si="1"/>
        <v>0.381</v>
      </c>
    </row>
    <row r="218">
      <c r="A218" s="1" t="s">
        <v>694</v>
      </c>
      <c r="B218" s="3" t="s">
        <v>695</v>
      </c>
      <c r="C218" s="1" t="s">
        <v>650</v>
      </c>
      <c r="D218" s="4" t="s">
        <v>13</v>
      </c>
      <c r="E218" s="5" t="s">
        <v>696</v>
      </c>
      <c r="F218" s="3" t="s">
        <v>695</v>
      </c>
      <c r="G218" s="6">
        <v>0.033999999999999996</v>
      </c>
      <c r="H218" s="6">
        <v>0.028333333333333332</v>
      </c>
      <c r="I218" s="6">
        <v>0.25</v>
      </c>
      <c r="J218" s="7">
        <v>0.06666666666666667</v>
      </c>
      <c r="K218" s="7">
        <f t="shared" si="1"/>
        <v>0.379</v>
      </c>
    </row>
    <row r="219">
      <c r="A219" s="1" t="s">
        <v>493</v>
      </c>
      <c r="B219" s="3" t="s">
        <v>697</v>
      </c>
      <c r="C219" s="1" t="s">
        <v>534</v>
      </c>
      <c r="D219" s="4" t="s">
        <v>698</v>
      </c>
      <c r="E219" s="5" t="s">
        <v>699</v>
      </c>
      <c r="F219" s="3" t="s">
        <v>697</v>
      </c>
      <c r="G219" s="6">
        <v>0.152</v>
      </c>
      <c r="H219" s="6">
        <v>0.12666666666666668</v>
      </c>
      <c r="I219" s="6">
        <v>0.0</v>
      </c>
      <c r="J219" s="9">
        <v>0.1</v>
      </c>
      <c r="K219" s="7">
        <f t="shared" si="1"/>
        <v>0.3786666667</v>
      </c>
    </row>
    <row r="220">
      <c r="A220" s="1" t="s">
        <v>700</v>
      </c>
      <c r="B220" s="3" t="s">
        <v>701</v>
      </c>
      <c r="C220" s="1" t="s">
        <v>588</v>
      </c>
      <c r="D220" s="4" t="s">
        <v>30</v>
      </c>
      <c r="E220" s="5" t="s">
        <v>702</v>
      </c>
      <c r="F220" s="3" t="s">
        <v>701</v>
      </c>
      <c r="G220" s="6">
        <v>0.012</v>
      </c>
      <c r="H220" s="6">
        <v>0.01</v>
      </c>
      <c r="I220" s="6">
        <v>0.1875</v>
      </c>
      <c r="J220" s="7">
        <v>0.16666666666666669</v>
      </c>
      <c r="K220" s="7">
        <f t="shared" si="1"/>
        <v>0.3761666667</v>
      </c>
    </row>
    <row r="221">
      <c r="A221" s="1" t="s">
        <v>703</v>
      </c>
      <c r="B221" s="3" t="s">
        <v>704</v>
      </c>
      <c r="C221" s="1" t="s">
        <v>658</v>
      </c>
      <c r="D221" s="4" t="s">
        <v>191</v>
      </c>
      <c r="E221" s="5" t="s">
        <v>705</v>
      </c>
      <c r="F221" s="3" t="s">
        <v>704</v>
      </c>
      <c r="G221" s="6">
        <v>0.064</v>
      </c>
      <c r="H221" s="6">
        <v>0.05333333333333334</v>
      </c>
      <c r="I221" s="6">
        <v>0.125</v>
      </c>
      <c r="J221" s="7">
        <v>0.13333333333333333</v>
      </c>
      <c r="K221" s="7">
        <f t="shared" si="1"/>
        <v>0.3756666667</v>
      </c>
    </row>
    <row r="222">
      <c r="A222" s="1" t="s">
        <v>706</v>
      </c>
      <c r="B222" s="3" t="s">
        <v>707</v>
      </c>
      <c r="C222" s="1" t="s">
        <v>491</v>
      </c>
      <c r="D222" s="4" t="s">
        <v>30</v>
      </c>
      <c r="E222" s="5" t="s">
        <v>708</v>
      </c>
      <c r="F222" s="3" t="s">
        <v>707</v>
      </c>
      <c r="G222" s="6">
        <v>0.048</v>
      </c>
      <c r="H222" s="6">
        <v>0.04</v>
      </c>
      <c r="I222" s="6">
        <v>0.1875</v>
      </c>
      <c r="J222" s="9">
        <v>0.1</v>
      </c>
      <c r="K222" s="7">
        <f t="shared" si="1"/>
        <v>0.3755</v>
      </c>
    </row>
    <row r="223">
      <c r="A223" s="1" t="s">
        <v>709</v>
      </c>
      <c r="B223" s="3" t="s">
        <v>710</v>
      </c>
      <c r="C223" s="1" t="s">
        <v>498</v>
      </c>
      <c r="D223" s="4" t="s">
        <v>30</v>
      </c>
      <c r="E223" s="5" t="s">
        <v>711</v>
      </c>
      <c r="F223" s="3" t="s">
        <v>710</v>
      </c>
      <c r="G223" s="6">
        <v>0.047</v>
      </c>
      <c r="H223" s="6">
        <v>0.03916666666666667</v>
      </c>
      <c r="I223" s="6">
        <v>0.1875</v>
      </c>
      <c r="J223" s="9">
        <v>0.1</v>
      </c>
      <c r="K223" s="7">
        <f t="shared" si="1"/>
        <v>0.3736666667</v>
      </c>
    </row>
    <row r="224">
      <c r="A224" s="1" t="s">
        <v>503</v>
      </c>
      <c r="B224" s="3" t="s">
        <v>712</v>
      </c>
      <c r="C224" s="1" t="s">
        <v>713</v>
      </c>
      <c r="D224" s="4" t="s">
        <v>622</v>
      </c>
      <c r="E224" s="2" t="s">
        <v>714</v>
      </c>
      <c r="F224" s="3" t="s">
        <v>712</v>
      </c>
      <c r="G224" s="6">
        <v>0.149</v>
      </c>
      <c r="H224" s="6">
        <v>0.12416666666666666</v>
      </c>
      <c r="I224" s="6">
        <v>0.0</v>
      </c>
      <c r="J224" s="9">
        <v>0.1</v>
      </c>
      <c r="K224" s="7">
        <f t="shared" si="1"/>
        <v>0.3731666667</v>
      </c>
    </row>
    <row r="225">
      <c r="A225" s="1" t="s">
        <v>715</v>
      </c>
      <c r="B225" s="3" t="s">
        <v>716</v>
      </c>
      <c r="C225" s="1" t="s">
        <v>717</v>
      </c>
      <c r="D225" s="4" t="s">
        <v>30</v>
      </c>
      <c r="E225" s="5" t="s">
        <v>718</v>
      </c>
      <c r="F225" s="3" t="s">
        <v>716</v>
      </c>
      <c r="G225" s="6">
        <v>0.028</v>
      </c>
      <c r="H225" s="6">
        <v>0.023333333333333334</v>
      </c>
      <c r="I225" s="6">
        <v>0.1875</v>
      </c>
      <c r="J225" s="7">
        <v>0.13333333333333333</v>
      </c>
      <c r="K225" s="7">
        <f t="shared" si="1"/>
        <v>0.3721666667</v>
      </c>
    </row>
    <row r="226">
      <c r="A226" s="1" t="s">
        <v>719</v>
      </c>
      <c r="B226" s="3" t="s">
        <v>720</v>
      </c>
      <c r="C226" s="1" t="s">
        <v>549</v>
      </c>
      <c r="D226" s="4" t="s">
        <v>30</v>
      </c>
      <c r="E226" s="5" t="s">
        <v>721</v>
      </c>
      <c r="F226" s="3" t="s">
        <v>720</v>
      </c>
      <c r="G226" s="6">
        <v>0.04599999999999999</v>
      </c>
      <c r="H226" s="6">
        <v>0.03833333333333333</v>
      </c>
      <c r="I226" s="6">
        <v>0.1875</v>
      </c>
      <c r="J226" s="7">
        <v>0.1</v>
      </c>
      <c r="K226" s="7">
        <f t="shared" si="1"/>
        <v>0.3718333333</v>
      </c>
    </row>
    <row r="227">
      <c r="A227" s="1" t="s">
        <v>722</v>
      </c>
      <c r="B227" s="3" t="s">
        <v>723</v>
      </c>
      <c r="C227" s="1" t="s">
        <v>390</v>
      </c>
      <c r="D227" s="4" t="s">
        <v>30</v>
      </c>
      <c r="E227" s="5" t="s">
        <v>724</v>
      </c>
      <c r="F227" s="3" t="s">
        <v>723</v>
      </c>
      <c r="G227" s="6">
        <v>0.045</v>
      </c>
      <c r="H227" s="6">
        <v>0.0375</v>
      </c>
      <c r="I227" s="6">
        <v>0.1875</v>
      </c>
      <c r="J227" s="9">
        <v>0.1</v>
      </c>
      <c r="K227" s="7">
        <f t="shared" si="1"/>
        <v>0.37</v>
      </c>
    </row>
    <row r="228">
      <c r="A228" s="1" t="s">
        <v>725</v>
      </c>
      <c r="B228" s="3" t="s">
        <v>726</v>
      </c>
      <c r="C228" s="1" t="s">
        <v>511</v>
      </c>
      <c r="D228" s="4" t="s">
        <v>13</v>
      </c>
      <c r="E228" s="5" t="s">
        <v>727</v>
      </c>
      <c r="F228" s="3" t="s">
        <v>726</v>
      </c>
      <c r="G228" s="6">
        <v>0.009</v>
      </c>
      <c r="H228" s="6">
        <v>0.0075</v>
      </c>
      <c r="I228" s="6">
        <v>0.25</v>
      </c>
      <c r="J228" s="9">
        <v>0.1</v>
      </c>
      <c r="K228" s="7">
        <f t="shared" si="1"/>
        <v>0.3665</v>
      </c>
    </row>
    <row r="229">
      <c r="A229" s="1" t="s">
        <v>728</v>
      </c>
      <c r="B229" s="3" t="s">
        <v>729</v>
      </c>
      <c r="C229" s="1" t="s">
        <v>568</v>
      </c>
      <c r="D229" s="4" t="s">
        <v>30</v>
      </c>
      <c r="E229" s="5" t="s">
        <v>730</v>
      </c>
      <c r="F229" s="3" t="s">
        <v>729</v>
      </c>
      <c r="G229" s="6">
        <v>0.043000000000000003</v>
      </c>
      <c r="H229" s="6">
        <v>0.035833333333333335</v>
      </c>
      <c r="I229" s="6">
        <v>0.1875</v>
      </c>
      <c r="J229" s="9">
        <v>0.1</v>
      </c>
      <c r="K229" s="7">
        <f t="shared" si="1"/>
        <v>0.3663333333</v>
      </c>
    </row>
    <row r="230">
      <c r="A230" s="1" t="s">
        <v>717</v>
      </c>
      <c r="B230" s="3" t="s">
        <v>731</v>
      </c>
      <c r="C230" s="1" t="s">
        <v>437</v>
      </c>
      <c r="D230" s="4" t="s">
        <v>191</v>
      </c>
      <c r="E230" s="5" t="s">
        <v>732</v>
      </c>
      <c r="F230" s="3" t="s">
        <v>731</v>
      </c>
      <c r="G230" s="6">
        <v>0.077</v>
      </c>
      <c r="H230" s="6">
        <v>0.06416666666666666</v>
      </c>
      <c r="I230" s="6">
        <v>0.125</v>
      </c>
      <c r="J230" s="7">
        <v>0.1</v>
      </c>
      <c r="K230" s="7">
        <f t="shared" si="1"/>
        <v>0.3661666667</v>
      </c>
    </row>
    <row r="231">
      <c r="A231" s="1" t="s">
        <v>733</v>
      </c>
      <c r="B231" s="3" t="s">
        <v>734</v>
      </c>
      <c r="C231" s="1" t="s">
        <v>735</v>
      </c>
      <c r="D231" s="4" t="s">
        <v>30</v>
      </c>
      <c r="E231" s="5" t="s">
        <v>736</v>
      </c>
      <c r="F231" s="3" t="s">
        <v>734</v>
      </c>
      <c r="G231" s="6">
        <v>0.061</v>
      </c>
      <c r="H231" s="6">
        <v>0.050833333333333335</v>
      </c>
      <c r="I231" s="6">
        <v>0.1875</v>
      </c>
      <c r="J231" s="7">
        <v>0.06666666666666667</v>
      </c>
      <c r="K231" s="7">
        <f t="shared" si="1"/>
        <v>0.366</v>
      </c>
    </row>
    <row r="232">
      <c r="A232" s="1" t="s">
        <v>515</v>
      </c>
      <c r="B232" s="3" t="s">
        <v>737</v>
      </c>
      <c r="C232" s="1" t="s">
        <v>738</v>
      </c>
      <c r="D232" s="4" t="s">
        <v>622</v>
      </c>
      <c r="E232" s="2" t="s">
        <v>739</v>
      </c>
      <c r="F232" s="3" t="s">
        <v>737</v>
      </c>
      <c r="G232" s="6">
        <v>0.145</v>
      </c>
      <c r="H232" s="6">
        <v>0.12083333333333333</v>
      </c>
      <c r="I232" s="6">
        <v>0.0</v>
      </c>
      <c r="J232" s="9">
        <v>0.1</v>
      </c>
      <c r="K232" s="7">
        <f t="shared" si="1"/>
        <v>0.3658333333</v>
      </c>
    </row>
    <row r="233">
      <c r="A233" s="1" t="s">
        <v>740</v>
      </c>
      <c r="B233" s="3" t="s">
        <v>741</v>
      </c>
      <c r="C233" s="1" t="s">
        <v>583</v>
      </c>
      <c r="D233" s="4" t="s">
        <v>191</v>
      </c>
      <c r="E233" s="5" t="s">
        <v>742</v>
      </c>
      <c r="F233" s="3" t="s">
        <v>741</v>
      </c>
      <c r="G233" s="6">
        <v>0.022</v>
      </c>
      <c r="H233" s="6">
        <v>0.018333333333333333</v>
      </c>
      <c r="I233" s="6">
        <v>0.125</v>
      </c>
      <c r="J233" s="7">
        <v>0.2</v>
      </c>
      <c r="K233" s="7">
        <f t="shared" si="1"/>
        <v>0.3653333333</v>
      </c>
    </row>
    <row r="234">
      <c r="A234" s="1" t="s">
        <v>743</v>
      </c>
      <c r="B234" s="3" t="s">
        <v>744</v>
      </c>
      <c r="C234" s="1" t="s">
        <v>527</v>
      </c>
      <c r="D234" s="4" t="s">
        <v>30</v>
      </c>
      <c r="E234" s="5" t="s">
        <v>745</v>
      </c>
      <c r="F234" s="3" t="s">
        <v>744</v>
      </c>
      <c r="G234" s="6">
        <v>0.024</v>
      </c>
      <c r="H234" s="6">
        <v>0.02</v>
      </c>
      <c r="I234" s="6">
        <v>0.1875</v>
      </c>
      <c r="J234" s="7">
        <v>0.13333333333333333</v>
      </c>
      <c r="K234" s="7">
        <f t="shared" si="1"/>
        <v>0.3648333333</v>
      </c>
    </row>
    <row r="235">
      <c r="A235" s="1" t="s">
        <v>519</v>
      </c>
      <c r="B235" s="3" t="s">
        <v>746</v>
      </c>
      <c r="C235" s="1" t="s">
        <v>747</v>
      </c>
      <c r="D235" s="4" t="s">
        <v>516</v>
      </c>
      <c r="E235" s="5" t="s">
        <v>748</v>
      </c>
      <c r="F235" s="3" t="s">
        <v>746</v>
      </c>
      <c r="G235" s="6">
        <v>0.144</v>
      </c>
      <c r="H235" s="6">
        <v>0.12</v>
      </c>
      <c r="I235" s="6">
        <v>0.0</v>
      </c>
      <c r="J235" s="9">
        <v>0.1</v>
      </c>
      <c r="K235" s="7">
        <f t="shared" si="1"/>
        <v>0.364</v>
      </c>
    </row>
    <row r="236">
      <c r="A236" s="1" t="s">
        <v>749</v>
      </c>
      <c r="B236" s="3" t="s">
        <v>750</v>
      </c>
      <c r="C236" s="1" t="s">
        <v>647</v>
      </c>
      <c r="D236" s="4" t="s">
        <v>30</v>
      </c>
      <c r="E236" s="5" t="s">
        <v>751</v>
      </c>
      <c r="F236" s="3" t="s">
        <v>750</v>
      </c>
      <c r="G236" s="6">
        <v>0.042</v>
      </c>
      <c r="H236" s="6">
        <v>0.034166666666666665</v>
      </c>
      <c r="I236" s="6">
        <v>0.1875</v>
      </c>
      <c r="J236" s="9">
        <v>0.1</v>
      </c>
      <c r="K236" s="7">
        <f t="shared" si="1"/>
        <v>0.3636666667</v>
      </c>
    </row>
    <row r="237">
      <c r="A237" s="1" t="s">
        <v>752</v>
      </c>
      <c r="B237" s="3" t="s">
        <v>753</v>
      </c>
      <c r="C237" s="1" t="s">
        <v>653</v>
      </c>
      <c r="D237" s="4" t="s">
        <v>13</v>
      </c>
      <c r="E237" s="5" t="s">
        <v>754</v>
      </c>
      <c r="F237" s="3" t="s">
        <v>753</v>
      </c>
      <c r="G237" s="6">
        <v>0.007</v>
      </c>
      <c r="H237" s="6">
        <v>0.005833333333333334</v>
      </c>
      <c r="I237" s="6">
        <v>0.25</v>
      </c>
      <c r="J237" s="9">
        <v>0.1</v>
      </c>
      <c r="K237" s="7">
        <f t="shared" si="1"/>
        <v>0.3628333333</v>
      </c>
    </row>
    <row r="238">
      <c r="A238" s="1" t="s">
        <v>755</v>
      </c>
      <c r="B238" s="3" t="s">
        <v>756</v>
      </c>
      <c r="C238" s="1" t="s">
        <v>703</v>
      </c>
      <c r="D238" s="4" t="s">
        <v>191</v>
      </c>
      <c r="E238" s="5" t="s">
        <v>757</v>
      </c>
      <c r="F238" s="3" t="s">
        <v>756</v>
      </c>
      <c r="G238" s="6">
        <v>0.056</v>
      </c>
      <c r="H238" s="6">
        <v>0.04666666666666667</v>
      </c>
      <c r="I238" s="6">
        <v>0.125</v>
      </c>
      <c r="J238" s="7">
        <v>0.13333333333333333</v>
      </c>
      <c r="K238" s="7">
        <f t="shared" si="1"/>
        <v>0.361</v>
      </c>
    </row>
    <row r="239">
      <c r="A239" s="1" t="s">
        <v>529</v>
      </c>
      <c r="B239" s="3" t="s">
        <v>758</v>
      </c>
      <c r="C239" s="1" t="s">
        <v>759</v>
      </c>
      <c r="D239" s="4" t="s">
        <v>516</v>
      </c>
      <c r="E239" s="5" t="s">
        <v>760</v>
      </c>
      <c r="F239" s="3" t="s">
        <v>758</v>
      </c>
      <c r="G239" s="6">
        <v>0.141</v>
      </c>
      <c r="H239" s="6">
        <v>0.1175</v>
      </c>
      <c r="I239" s="6">
        <v>0.0</v>
      </c>
      <c r="J239" s="9">
        <v>0.1</v>
      </c>
      <c r="K239" s="7">
        <f t="shared" si="1"/>
        <v>0.3585</v>
      </c>
    </row>
    <row r="240">
      <c r="A240" s="1" t="s">
        <v>761</v>
      </c>
      <c r="B240" s="3" t="s">
        <v>762</v>
      </c>
      <c r="C240" s="1" t="s">
        <v>763</v>
      </c>
      <c r="D240" s="4" t="s">
        <v>13</v>
      </c>
      <c r="E240" s="5" t="s">
        <v>764</v>
      </c>
      <c r="F240" s="3" t="s">
        <v>762</v>
      </c>
      <c r="G240" s="6">
        <v>0.004</v>
      </c>
      <c r="H240" s="6">
        <v>0.0033333333333333335</v>
      </c>
      <c r="I240" s="6">
        <v>0.25</v>
      </c>
      <c r="J240" s="9">
        <v>0.1</v>
      </c>
      <c r="K240" s="7">
        <f t="shared" si="1"/>
        <v>0.3573333333</v>
      </c>
    </row>
    <row r="241">
      <c r="A241" s="1" t="s">
        <v>532</v>
      </c>
      <c r="B241" s="3" t="s">
        <v>765</v>
      </c>
      <c r="C241" s="1" t="s">
        <v>733</v>
      </c>
      <c r="D241" s="4" t="s">
        <v>622</v>
      </c>
      <c r="E241" s="2" t="s">
        <v>766</v>
      </c>
      <c r="F241" s="3" t="s">
        <v>765</v>
      </c>
      <c r="G241" s="6">
        <v>0.13999999999999999</v>
      </c>
      <c r="H241" s="6">
        <v>0.11666666666666667</v>
      </c>
      <c r="I241" s="6">
        <v>0.0</v>
      </c>
      <c r="J241" s="9">
        <v>0.1</v>
      </c>
      <c r="K241" s="7">
        <f t="shared" si="1"/>
        <v>0.3566666667</v>
      </c>
    </row>
    <row r="242">
      <c r="A242" s="1" t="s">
        <v>679</v>
      </c>
      <c r="B242" s="3" t="s">
        <v>767</v>
      </c>
      <c r="C242" s="1" t="s">
        <v>466</v>
      </c>
      <c r="D242" s="4" t="s">
        <v>191</v>
      </c>
      <c r="E242" s="5" t="s">
        <v>768</v>
      </c>
      <c r="F242" s="3" t="s">
        <v>767</v>
      </c>
      <c r="G242" s="6">
        <v>0.09</v>
      </c>
      <c r="H242" s="6">
        <v>0.075</v>
      </c>
      <c r="I242" s="6">
        <v>0.125</v>
      </c>
      <c r="J242" s="7">
        <v>0.06666666666666667</v>
      </c>
      <c r="K242" s="7">
        <f t="shared" si="1"/>
        <v>0.3566666667</v>
      </c>
    </row>
    <row r="243">
      <c r="A243" s="1" t="s">
        <v>769</v>
      </c>
      <c r="B243" s="3" t="s">
        <v>770</v>
      </c>
      <c r="C243" s="1" t="s">
        <v>555</v>
      </c>
      <c r="D243" s="4" t="s">
        <v>13</v>
      </c>
      <c r="E243" s="5" t="s">
        <v>771</v>
      </c>
      <c r="F243" s="3" t="s">
        <v>770</v>
      </c>
      <c r="G243" s="6">
        <v>0.002</v>
      </c>
      <c r="H243" s="6">
        <v>0.0016666666666666668</v>
      </c>
      <c r="I243" s="6">
        <v>0.25</v>
      </c>
      <c r="J243" s="9">
        <v>0.1</v>
      </c>
      <c r="K243" s="7">
        <f t="shared" si="1"/>
        <v>0.3536666667</v>
      </c>
    </row>
    <row r="244">
      <c r="A244" s="1" t="s">
        <v>772</v>
      </c>
      <c r="B244" s="3" t="s">
        <v>773</v>
      </c>
      <c r="C244" s="1" t="s">
        <v>774</v>
      </c>
      <c r="D244" s="4" t="s">
        <v>13</v>
      </c>
      <c r="E244" s="5" t="s">
        <v>775</v>
      </c>
      <c r="F244" s="3" t="s">
        <v>773</v>
      </c>
      <c r="G244" s="6">
        <v>0.001</v>
      </c>
      <c r="H244" s="6">
        <v>8.333333333333334E-4</v>
      </c>
      <c r="I244" s="6">
        <v>0.25</v>
      </c>
      <c r="J244" s="9">
        <v>0.1</v>
      </c>
      <c r="K244" s="7">
        <f t="shared" si="1"/>
        <v>0.3518333333</v>
      </c>
    </row>
    <row r="245">
      <c r="A245" s="1" t="s">
        <v>776</v>
      </c>
      <c r="B245" s="3" t="s">
        <v>777</v>
      </c>
      <c r="C245" s="1" t="s">
        <v>778</v>
      </c>
      <c r="D245" s="4" t="s">
        <v>30</v>
      </c>
      <c r="E245" s="5" t="s">
        <v>779</v>
      </c>
      <c r="F245" s="3" t="s">
        <v>777</v>
      </c>
      <c r="G245" s="6">
        <v>0.052</v>
      </c>
      <c r="H245" s="6">
        <v>0.043333333333333335</v>
      </c>
      <c r="I245" s="6">
        <v>0.1875</v>
      </c>
      <c r="J245" s="7">
        <v>0.06666666666666667</v>
      </c>
      <c r="K245" s="7">
        <f t="shared" si="1"/>
        <v>0.3495</v>
      </c>
    </row>
    <row r="246">
      <c r="A246" s="1" t="s">
        <v>544</v>
      </c>
      <c r="B246" s="3" t="s">
        <v>780</v>
      </c>
      <c r="C246" s="1" t="s">
        <v>755</v>
      </c>
      <c r="D246" s="4" t="s">
        <v>622</v>
      </c>
      <c r="E246" s="2" t="s">
        <v>781</v>
      </c>
      <c r="F246" s="3" t="s">
        <v>780</v>
      </c>
      <c r="G246" s="6">
        <v>0.13599999999999998</v>
      </c>
      <c r="H246" s="6">
        <v>0.11333333333333333</v>
      </c>
      <c r="I246" s="6">
        <v>0.0</v>
      </c>
      <c r="J246" s="9">
        <v>0.1</v>
      </c>
      <c r="K246" s="7">
        <f t="shared" si="1"/>
        <v>0.3493333333</v>
      </c>
    </row>
    <row r="247">
      <c r="A247" s="1" t="s">
        <v>747</v>
      </c>
      <c r="B247" s="3" t="s">
        <v>782</v>
      </c>
      <c r="C247" s="1" t="s">
        <v>476</v>
      </c>
      <c r="D247" s="4" t="s">
        <v>191</v>
      </c>
      <c r="E247" s="5" t="s">
        <v>783</v>
      </c>
      <c r="F247" s="3" t="s">
        <v>782</v>
      </c>
      <c r="G247" s="6">
        <v>0.06699999999999999</v>
      </c>
      <c r="H247" s="6">
        <v>0.05583333333333333</v>
      </c>
      <c r="I247" s="6">
        <v>0.125</v>
      </c>
      <c r="J247" s="9">
        <v>0.1</v>
      </c>
      <c r="K247" s="7">
        <f t="shared" si="1"/>
        <v>0.3478333333</v>
      </c>
    </row>
    <row r="248">
      <c r="A248" s="1" t="s">
        <v>547</v>
      </c>
      <c r="B248" s="3" t="s">
        <v>784</v>
      </c>
      <c r="C248" s="1" t="s">
        <v>785</v>
      </c>
      <c r="D248" s="4" t="s">
        <v>622</v>
      </c>
      <c r="E248" s="2" t="s">
        <v>786</v>
      </c>
      <c r="F248" s="3" t="s">
        <v>784</v>
      </c>
      <c r="G248" s="6">
        <v>0.135</v>
      </c>
      <c r="H248" s="6">
        <v>0.1125</v>
      </c>
      <c r="I248" s="6">
        <v>0.0</v>
      </c>
      <c r="J248" s="9">
        <v>0.1</v>
      </c>
      <c r="K248" s="7">
        <f t="shared" si="1"/>
        <v>0.3475</v>
      </c>
    </row>
    <row r="249">
      <c r="A249" s="1" t="s">
        <v>787</v>
      </c>
      <c r="B249" s="3" t="s">
        <v>788</v>
      </c>
      <c r="C249" s="1" t="s">
        <v>789</v>
      </c>
      <c r="D249" s="4" t="s">
        <v>13</v>
      </c>
      <c r="E249" s="5" t="s">
        <v>790</v>
      </c>
      <c r="F249" s="3" t="s">
        <v>788</v>
      </c>
      <c r="G249" s="6">
        <v>0.016</v>
      </c>
      <c r="H249" s="6">
        <v>0.013333333333333334</v>
      </c>
      <c r="I249" s="6">
        <v>0.25</v>
      </c>
      <c r="J249" s="7">
        <v>0.06666666666666667</v>
      </c>
      <c r="K249" s="7">
        <f t="shared" si="1"/>
        <v>0.346</v>
      </c>
    </row>
    <row r="250">
      <c r="A250" s="1" t="s">
        <v>791</v>
      </c>
      <c r="B250" s="3" t="s">
        <v>792</v>
      </c>
      <c r="C250" s="1" t="s">
        <v>776</v>
      </c>
      <c r="D250" s="4" t="s">
        <v>191</v>
      </c>
      <c r="E250" s="5" t="s">
        <v>793</v>
      </c>
      <c r="F250" s="3" t="s">
        <v>792</v>
      </c>
      <c r="G250" s="6">
        <v>0.01</v>
      </c>
      <c r="H250" s="6">
        <v>0.008333333333333333</v>
      </c>
      <c r="I250" s="6">
        <v>0.125</v>
      </c>
      <c r="J250" s="7">
        <v>0.2</v>
      </c>
      <c r="K250" s="7">
        <f t="shared" si="1"/>
        <v>0.3433333333</v>
      </c>
    </row>
    <row r="251">
      <c r="A251" s="1" t="s">
        <v>557</v>
      </c>
      <c r="B251" s="3" t="s">
        <v>794</v>
      </c>
      <c r="C251" s="1" t="s">
        <v>691</v>
      </c>
      <c r="D251" s="4" t="s">
        <v>622</v>
      </c>
      <c r="E251" s="2" t="s">
        <v>795</v>
      </c>
      <c r="F251" s="3" t="s">
        <v>794</v>
      </c>
      <c r="G251" s="6">
        <v>0.132</v>
      </c>
      <c r="H251" s="6">
        <v>0.11</v>
      </c>
      <c r="I251" s="6">
        <v>0.0</v>
      </c>
      <c r="J251" s="9">
        <v>0.1</v>
      </c>
      <c r="K251" s="7">
        <f t="shared" si="1"/>
        <v>0.342</v>
      </c>
    </row>
    <row r="252">
      <c r="A252" s="1" t="s">
        <v>560</v>
      </c>
      <c r="B252" s="3" t="s">
        <v>796</v>
      </c>
      <c r="C252" s="1" t="s">
        <v>797</v>
      </c>
      <c r="D252" s="4" t="s">
        <v>622</v>
      </c>
      <c r="E252" s="2" t="s">
        <v>798</v>
      </c>
      <c r="F252" s="3" t="s">
        <v>796</v>
      </c>
      <c r="G252" s="6">
        <v>0.132</v>
      </c>
      <c r="H252" s="6">
        <v>0.10916666666666666</v>
      </c>
      <c r="I252" s="6">
        <v>0.0</v>
      </c>
      <c r="J252" s="9">
        <v>0.1</v>
      </c>
      <c r="K252" s="7">
        <f t="shared" si="1"/>
        <v>0.3411666667</v>
      </c>
    </row>
    <row r="253">
      <c r="A253" s="1" t="s">
        <v>799</v>
      </c>
      <c r="B253" s="3" t="s">
        <v>800</v>
      </c>
      <c r="C253" s="1" t="s">
        <v>641</v>
      </c>
      <c r="D253" s="4" t="s">
        <v>30</v>
      </c>
      <c r="E253" s="5" t="s">
        <v>801</v>
      </c>
      <c r="F253" s="3" t="s">
        <v>800</v>
      </c>
      <c r="G253" s="6">
        <v>0.011</v>
      </c>
      <c r="H253" s="6">
        <v>0.009166666666666667</v>
      </c>
      <c r="I253" s="6">
        <v>0.1875</v>
      </c>
      <c r="J253" s="7">
        <v>0.13333333333333333</v>
      </c>
      <c r="K253" s="7">
        <f t="shared" si="1"/>
        <v>0.341</v>
      </c>
    </row>
    <row r="254">
      <c r="A254" s="1" t="s">
        <v>759</v>
      </c>
      <c r="B254" s="3" t="s">
        <v>802</v>
      </c>
      <c r="C254" s="1" t="s">
        <v>706</v>
      </c>
      <c r="D254" s="4" t="s">
        <v>191</v>
      </c>
      <c r="E254" s="5" t="s">
        <v>803</v>
      </c>
      <c r="F254" s="3" t="s">
        <v>802</v>
      </c>
      <c r="G254" s="6">
        <v>0.063</v>
      </c>
      <c r="H254" s="6">
        <v>0.0525</v>
      </c>
      <c r="I254" s="6">
        <v>0.125</v>
      </c>
      <c r="J254" s="7">
        <v>0.1</v>
      </c>
      <c r="K254" s="7">
        <f t="shared" si="1"/>
        <v>0.3405</v>
      </c>
    </row>
    <row r="255">
      <c r="A255" s="1" t="s">
        <v>763</v>
      </c>
      <c r="B255" s="3" t="s">
        <v>804</v>
      </c>
      <c r="C255" s="1" t="s">
        <v>709</v>
      </c>
      <c r="D255" s="4" t="s">
        <v>191</v>
      </c>
      <c r="E255" s="5" t="s">
        <v>805</v>
      </c>
      <c r="F255" s="3" t="s">
        <v>804</v>
      </c>
      <c r="G255" s="6">
        <v>0.062</v>
      </c>
      <c r="H255" s="6">
        <v>0.051666666666666666</v>
      </c>
      <c r="I255" s="6">
        <v>0.125</v>
      </c>
      <c r="J255" s="7">
        <v>0.1</v>
      </c>
      <c r="K255" s="7">
        <f t="shared" si="1"/>
        <v>0.3386666667</v>
      </c>
    </row>
    <row r="256">
      <c r="A256" s="1" t="s">
        <v>563</v>
      </c>
      <c r="B256" s="3" t="s">
        <v>806</v>
      </c>
      <c r="C256" s="1" t="s">
        <v>719</v>
      </c>
      <c r="D256" s="4" t="s">
        <v>622</v>
      </c>
      <c r="E256" s="2" t="s">
        <v>807</v>
      </c>
      <c r="F256" s="3" t="s">
        <v>806</v>
      </c>
      <c r="G256" s="6">
        <v>0.13</v>
      </c>
      <c r="H256" s="6">
        <v>0.10833333333333334</v>
      </c>
      <c r="I256" s="6">
        <v>0.0</v>
      </c>
      <c r="J256" s="9">
        <v>0.1</v>
      </c>
      <c r="K256" s="7">
        <f t="shared" si="1"/>
        <v>0.3383333333</v>
      </c>
    </row>
    <row r="257">
      <c r="A257" s="1" t="s">
        <v>808</v>
      </c>
      <c r="B257" s="3" t="s">
        <v>809</v>
      </c>
      <c r="C257" s="1" t="s">
        <v>722</v>
      </c>
      <c r="D257" s="4" t="s">
        <v>30</v>
      </c>
      <c r="E257" s="5" t="s">
        <v>810</v>
      </c>
      <c r="F257" s="3" t="s">
        <v>809</v>
      </c>
      <c r="G257" s="6">
        <v>0.027</v>
      </c>
      <c r="H257" s="6">
        <v>0.0225</v>
      </c>
      <c r="I257" s="6">
        <v>0.1875</v>
      </c>
      <c r="J257" s="7">
        <v>0.1</v>
      </c>
      <c r="K257" s="7">
        <f t="shared" si="1"/>
        <v>0.337</v>
      </c>
    </row>
    <row r="258">
      <c r="A258" s="1" t="s">
        <v>811</v>
      </c>
      <c r="B258" s="3" t="s">
        <v>812</v>
      </c>
      <c r="C258" s="1" t="s">
        <v>813</v>
      </c>
      <c r="D258" s="4" t="s">
        <v>191</v>
      </c>
      <c r="E258" s="5" t="s">
        <v>814</v>
      </c>
      <c r="F258" s="3" t="s">
        <v>812</v>
      </c>
      <c r="G258" s="6">
        <v>0.042</v>
      </c>
      <c r="H258" s="6">
        <v>0.035</v>
      </c>
      <c r="I258" s="6">
        <v>0.125</v>
      </c>
      <c r="J258" s="7">
        <v>0.13333333333333333</v>
      </c>
      <c r="K258" s="7">
        <f t="shared" si="1"/>
        <v>0.3353333333</v>
      </c>
    </row>
    <row r="259">
      <c r="A259" s="1" t="s">
        <v>815</v>
      </c>
      <c r="B259" s="3" t="s">
        <v>816</v>
      </c>
      <c r="C259" s="1" t="s">
        <v>728</v>
      </c>
      <c r="D259" s="4" t="s">
        <v>30</v>
      </c>
      <c r="E259" s="2" t="s">
        <v>817</v>
      </c>
      <c r="F259" s="3" t="s">
        <v>816</v>
      </c>
      <c r="G259" s="6">
        <v>0.026</v>
      </c>
      <c r="H259" s="6">
        <v>0.021666666666666667</v>
      </c>
      <c r="I259" s="6">
        <v>0.1875</v>
      </c>
      <c r="J259" s="7">
        <v>0.1</v>
      </c>
      <c r="K259" s="7">
        <f t="shared" si="1"/>
        <v>0.3351666667</v>
      </c>
    </row>
    <row r="260">
      <c r="A260" s="1" t="s">
        <v>570</v>
      </c>
      <c r="B260" s="3" t="s">
        <v>818</v>
      </c>
      <c r="C260" s="1" t="s">
        <v>811</v>
      </c>
      <c r="D260" s="4" t="s">
        <v>622</v>
      </c>
      <c r="E260" s="2" t="s">
        <v>819</v>
      </c>
      <c r="F260" s="3" t="s">
        <v>818</v>
      </c>
      <c r="G260" s="6">
        <v>0.128</v>
      </c>
      <c r="H260" s="6">
        <v>0.10666666666666667</v>
      </c>
      <c r="I260" s="6">
        <v>0.0</v>
      </c>
      <c r="J260" s="9">
        <v>0.1</v>
      </c>
      <c r="K260" s="7">
        <f t="shared" si="1"/>
        <v>0.3346666667</v>
      </c>
    </row>
    <row r="261">
      <c r="A261" s="1" t="s">
        <v>713</v>
      </c>
      <c r="B261" s="3" t="s">
        <v>820</v>
      </c>
      <c r="C261" s="1" t="s">
        <v>749</v>
      </c>
      <c r="D261" s="4" t="s">
        <v>191</v>
      </c>
      <c r="E261" s="5" t="s">
        <v>821</v>
      </c>
      <c r="F261" s="3" t="s">
        <v>820</v>
      </c>
      <c r="G261" s="6">
        <v>0.078</v>
      </c>
      <c r="H261" s="6">
        <v>0.065</v>
      </c>
      <c r="I261" s="6">
        <v>0.125</v>
      </c>
      <c r="J261" s="7">
        <v>0.06666666666666667</v>
      </c>
      <c r="K261" s="7">
        <f t="shared" si="1"/>
        <v>0.3346666667</v>
      </c>
    </row>
    <row r="262">
      <c r="A262" s="1" t="s">
        <v>573</v>
      </c>
      <c r="B262" s="3" t="s">
        <v>822</v>
      </c>
      <c r="C262" s="1" t="s">
        <v>618</v>
      </c>
      <c r="D262" s="4" t="s">
        <v>622</v>
      </c>
      <c r="E262" s="2" t="s">
        <v>823</v>
      </c>
      <c r="F262" s="3" t="s">
        <v>822</v>
      </c>
      <c r="G262" s="6">
        <v>0.127</v>
      </c>
      <c r="H262" s="6">
        <v>0.10583333333333333</v>
      </c>
      <c r="I262" s="6">
        <v>0.0</v>
      </c>
      <c r="J262" s="9">
        <v>0.1</v>
      </c>
      <c r="K262" s="7">
        <f t="shared" si="1"/>
        <v>0.3328333333</v>
      </c>
    </row>
    <row r="263">
      <c r="A263" s="1" t="s">
        <v>576</v>
      </c>
      <c r="B263" s="3" t="s">
        <v>824</v>
      </c>
      <c r="C263" s="1" t="s">
        <v>677</v>
      </c>
      <c r="D263" s="4" t="s">
        <v>622</v>
      </c>
      <c r="E263" s="2" t="s">
        <v>825</v>
      </c>
      <c r="F263" s="3" t="s">
        <v>824</v>
      </c>
      <c r="G263" s="6">
        <v>0.126</v>
      </c>
      <c r="H263" s="6">
        <v>0.105</v>
      </c>
      <c r="I263" s="6">
        <v>0.0</v>
      </c>
      <c r="J263" s="9">
        <v>0.1</v>
      </c>
      <c r="K263" s="7">
        <f t="shared" si="1"/>
        <v>0.331</v>
      </c>
    </row>
    <row r="264">
      <c r="A264" s="1" t="s">
        <v>826</v>
      </c>
      <c r="B264" s="3" t="s">
        <v>827</v>
      </c>
      <c r="C264" s="1" t="s">
        <v>628</v>
      </c>
      <c r="D264" s="4" t="s">
        <v>30</v>
      </c>
      <c r="E264" s="5" t="s">
        <v>828</v>
      </c>
      <c r="F264" s="3" t="s">
        <v>827</v>
      </c>
      <c r="G264" s="6">
        <v>0.022999999999999996</v>
      </c>
      <c r="H264" s="6">
        <v>0.019166666666666665</v>
      </c>
      <c r="I264" s="6">
        <v>0.1875</v>
      </c>
      <c r="J264" s="7">
        <v>0.1</v>
      </c>
      <c r="K264" s="7">
        <f t="shared" si="1"/>
        <v>0.3296666667</v>
      </c>
    </row>
    <row r="265">
      <c r="A265" s="1" t="s">
        <v>829</v>
      </c>
      <c r="B265" s="3" t="s">
        <v>830</v>
      </c>
      <c r="C265" s="1" t="s">
        <v>831</v>
      </c>
      <c r="D265" s="4" t="s">
        <v>30</v>
      </c>
      <c r="E265" s="5" t="s">
        <v>832</v>
      </c>
      <c r="F265" s="3" t="s">
        <v>830</v>
      </c>
      <c r="G265" s="6">
        <v>0.02</v>
      </c>
      <c r="H265" s="6">
        <v>0.016666666666666666</v>
      </c>
      <c r="I265" s="6">
        <v>0.1875</v>
      </c>
      <c r="J265" s="7">
        <v>0.1</v>
      </c>
      <c r="K265" s="7">
        <f t="shared" si="1"/>
        <v>0.3241666667</v>
      </c>
    </row>
    <row r="266">
      <c r="A266" s="1" t="s">
        <v>785</v>
      </c>
      <c r="B266" s="3" t="s">
        <v>833</v>
      </c>
      <c r="C266" s="1" t="s">
        <v>624</v>
      </c>
      <c r="D266" s="4" t="s">
        <v>191</v>
      </c>
      <c r="E266" s="5" t="s">
        <v>834</v>
      </c>
      <c r="F266" s="3" t="s">
        <v>833</v>
      </c>
      <c r="G266" s="6">
        <v>0.054</v>
      </c>
      <c r="H266" s="6">
        <v>0.045</v>
      </c>
      <c r="I266" s="6">
        <v>0.125</v>
      </c>
      <c r="J266" s="7">
        <v>0.1</v>
      </c>
      <c r="K266" s="7">
        <f t="shared" si="1"/>
        <v>0.324</v>
      </c>
    </row>
    <row r="267">
      <c r="A267" s="1" t="s">
        <v>835</v>
      </c>
      <c r="B267" s="3" t="s">
        <v>836</v>
      </c>
      <c r="C267" s="1" t="s">
        <v>835</v>
      </c>
      <c r="D267" s="4" t="s">
        <v>191</v>
      </c>
      <c r="E267" s="5" t="s">
        <v>837</v>
      </c>
      <c r="F267" s="3" t="s">
        <v>836</v>
      </c>
      <c r="G267" s="6">
        <v>0.036</v>
      </c>
      <c r="H267" s="6">
        <v>0.029166666666666667</v>
      </c>
      <c r="I267" s="6">
        <v>0.125</v>
      </c>
      <c r="J267" s="7">
        <v>0.13333333333333333</v>
      </c>
      <c r="K267" s="7">
        <f t="shared" si="1"/>
        <v>0.3235</v>
      </c>
    </row>
    <row r="268">
      <c r="A268" s="1" t="s">
        <v>838</v>
      </c>
      <c r="B268" s="3" t="s">
        <v>839</v>
      </c>
      <c r="C268" s="1" t="s">
        <v>694</v>
      </c>
      <c r="D268" s="4" t="s">
        <v>30</v>
      </c>
      <c r="E268" s="5" t="s">
        <v>840</v>
      </c>
      <c r="F268" s="3" t="s">
        <v>839</v>
      </c>
      <c r="G268" s="6">
        <v>0.019</v>
      </c>
      <c r="H268" s="6">
        <v>0.015833333333333335</v>
      </c>
      <c r="I268" s="6">
        <v>0.1875</v>
      </c>
      <c r="J268" s="9">
        <v>0.1</v>
      </c>
      <c r="K268" s="7">
        <f t="shared" si="1"/>
        <v>0.3223333333</v>
      </c>
    </row>
    <row r="269">
      <c r="A269" s="1" t="s">
        <v>789</v>
      </c>
      <c r="B269" s="3" t="s">
        <v>841</v>
      </c>
      <c r="C269" s="1" t="s">
        <v>842</v>
      </c>
      <c r="D269" s="4" t="s">
        <v>191</v>
      </c>
      <c r="E269" s="5" t="s">
        <v>843</v>
      </c>
      <c r="F269" s="3" t="s">
        <v>841</v>
      </c>
      <c r="G269" s="6">
        <v>0.053</v>
      </c>
      <c r="H269" s="6">
        <v>0.04416666666666667</v>
      </c>
      <c r="I269" s="6">
        <v>0.125</v>
      </c>
      <c r="J269" s="7">
        <v>0.1</v>
      </c>
      <c r="K269" s="7">
        <f t="shared" si="1"/>
        <v>0.3221666667</v>
      </c>
    </row>
    <row r="270">
      <c r="A270" s="1" t="s">
        <v>844</v>
      </c>
      <c r="B270" s="3" t="s">
        <v>845</v>
      </c>
      <c r="C270" s="1" t="s">
        <v>591</v>
      </c>
      <c r="D270" s="4" t="s">
        <v>30</v>
      </c>
      <c r="E270" s="5" t="s">
        <v>846</v>
      </c>
      <c r="F270" s="3" t="s">
        <v>845</v>
      </c>
      <c r="G270" s="6">
        <v>0.018</v>
      </c>
      <c r="H270" s="6">
        <v>0.015</v>
      </c>
      <c r="I270" s="6">
        <v>0.1875</v>
      </c>
      <c r="J270" s="9">
        <v>0.1</v>
      </c>
      <c r="K270" s="7">
        <f t="shared" si="1"/>
        <v>0.3205</v>
      </c>
    </row>
    <row r="271">
      <c r="A271" s="1" t="s">
        <v>593</v>
      </c>
      <c r="B271" s="3" t="s">
        <v>847</v>
      </c>
      <c r="C271" s="1" t="s">
        <v>848</v>
      </c>
      <c r="D271" s="4" t="s">
        <v>622</v>
      </c>
      <c r="E271" s="2" t="s">
        <v>849</v>
      </c>
      <c r="F271" s="3" t="s">
        <v>847</v>
      </c>
      <c r="G271" s="6">
        <v>0.12</v>
      </c>
      <c r="H271" s="6">
        <v>0.1</v>
      </c>
      <c r="I271" s="6">
        <v>0.0</v>
      </c>
      <c r="J271" s="9">
        <v>0.1</v>
      </c>
      <c r="K271" s="7">
        <f t="shared" si="1"/>
        <v>0.32</v>
      </c>
    </row>
    <row r="272">
      <c r="A272" s="1" t="s">
        <v>842</v>
      </c>
      <c r="B272" s="3" t="s">
        <v>850</v>
      </c>
      <c r="C272" s="1" t="s">
        <v>851</v>
      </c>
      <c r="D272" s="4" t="s">
        <v>30</v>
      </c>
      <c r="E272" s="5" t="s">
        <v>852</v>
      </c>
      <c r="F272" s="3" t="s">
        <v>850</v>
      </c>
      <c r="G272" s="6">
        <v>0.033999999999999996</v>
      </c>
      <c r="H272" s="6">
        <v>0.0275</v>
      </c>
      <c r="I272" s="6">
        <v>0.1875</v>
      </c>
      <c r="J272" s="7">
        <v>0.06666666666666667</v>
      </c>
      <c r="K272" s="7">
        <f t="shared" si="1"/>
        <v>0.3156666667</v>
      </c>
    </row>
    <row r="273">
      <c r="A273" s="1" t="s">
        <v>853</v>
      </c>
      <c r="B273" s="3" t="s">
        <v>854</v>
      </c>
      <c r="C273" s="1" t="s">
        <v>855</v>
      </c>
      <c r="D273" s="4" t="s">
        <v>30</v>
      </c>
      <c r="E273" s="5" t="s">
        <v>856</v>
      </c>
      <c r="F273" s="3" t="s">
        <v>854</v>
      </c>
      <c r="G273" s="6">
        <v>0.015</v>
      </c>
      <c r="H273" s="6">
        <v>0.0125</v>
      </c>
      <c r="I273" s="6">
        <v>0.1875</v>
      </c>
      <c r="J273" s="9">
        <v>0.1</v>
      </c>
      <c r="K273" s="7">
        <f t="shared" si="1"/>
        <v>0.315</v>
      </c>
    </row>
    <row r="274">
      <c r="A274" s="1" t="s">
        <v>605</v>
      </c>
      <c r="B274" s="3" t="s">
        <v>857</v>
      </c>
      <c r="C274" s="1" t="s">
        <v>715</v>
      </c>
      <c r="D274" s="4" t="s">
        <v>622</v>
      </c>
      <c r="E274" s="2" t="s">
        <v>858</v>
      </c>
      <c r="F274" s="3" t="s">
        <v>857</v>
      </c>
      <c r="G274" s="6">
        <v>0.11599999999999999</v>
      </c>
      <c r="H274" s="6">
        <v>0.09666666666666666</v>
      </c>
      <c r="I274" s="6">
        <v>0.0</v>
      </c>
      <c r="J274" s="9">
        <v>0.1</v>
      </c>
      <c r="K274" s="7">
        <f t="shared" si="1"/>
        <v>0.3126666667</v>
      </c>
    </row>
    <row r="275">
      <c r="A275" s="1" t="s">
        <v>848</v>
      </c>
      <c r="B275" s="3" t="s">
        <v>859</v>
      </c>
      <c r="C275" s="1" t="s">
        <v>808</v>
      </c>
      <c r="D275" s="4" t="s">
        <v>30</v>
      </c>
      <c r="E275" s="5" t="s">
        <v>860</v>
      </c>
      <c r="F275" s="3" t="s">
        <v>859</v>
      </c>
      <c r="G275" s="6">
        <v>0.031</v>
      </c>
      <c r="H275" s="6">
        <v>0.025833333333333333</v>
      </c>
      <c r="I275" s="6">
        <v>0.1875</v>
      </c>
      <c r="J275" s="7">
        <v>0.06666666666666667</v>
      </c>
      <c r="K275" s="7">
        <f t="shared" si="1"/>
        <v>0.311</v>
      </c>
    </row>
    <row r="276">
      <c r="A276" s="1" t="s">
        <v>608</v>
      </c>
      <c r="B276" s="3" t="s">
        <v>861</v>
      </c>
      <c r="C276" s="1" t="s">
        <v>815</v>
      </c>
      <c r="D276" s="4" t="s">
        <v>622</v>
      </c>
      <c r="E276" s="2" t="s">
        <v>862</v>
      </c>
      <c r="F276" s="3" t="s">
        <v>861</v>
      </c>
      <c r="G276" s="6">
        <v>0.115</v>
      </c>
      <c r="H276" s="6">
        <v>0.09583333333333334</v>
      </c>
      <c r="I276" s="6">
        <v>0.0</v>
      </c>
      <c r="J276" s="9">
        <v>0.1</v>
      </c>
      <c r="K276" s="7">
        <f t="shared" si="1"/>
        <v>0.3108333333</v>
      </c>
    </row>
    <row r="277">
      <c r="A277" s="1" t="s">
        <v>611</v>
      </c>
      <c r="B277" s="3" t="s">
        <v>863</v>
      </c>
      <c r="C277" s="1" t="s">
        <v>864</v>
      </c>
      <c r="D277" s="4" t="s">
        <v>622</v>
      </c>
      <c r="E277" s="2" t="s">
        <v>865</v>
      </c>
      <c r="F277" s="3" t="s">
        <v>863</v>
      </c>
      <c r="G277" s="6">
        <v>0.11399999999999999</v>
      </c>
      <c r="H277" s="6">
        <v>0.095</v>
      </c>
      <c r="I277" s="6">
        <v>0.0</v>
      </c>
      <c r="J277" s="9">
        <v>0.1</v>
      </c>
      <c r="K277" s="7">
        <f t="shared" si="1"/>
        <v>0.309</v>
      </c>
    </row>
    <row r="278">
      <c r="A278" s="1" t="s">
        <v>614</v>
      </c>
      <c r="B278" s="3" t="s">
        <v>866</v>
      </c>
      <c r="C278" s="1" t="s">
        <v>743</v>
      </c>
      <c r="D278" s="4" t="s">
        <v>622</v>
      </c>
      <c r="E278" s="2" t="s">
        <v>867</v>
      </c>
      <c r="F278" s="3" t="s">
        <v>866</v>
      </c>
      <c r="G278" s="6">
        <v>0.11299999999999999</v>
      </c>
      <c r="H278" s="6">
        <v>0.09416666666666666</v>
      </c>
      <c r="I278" s="6">
        <v>0.0</v>
      </c>
      <c r="J278" s="9">
        <v>0.1</v>
      </c>
      <c r="K278" s="7">
        <f t="shared" si="1"/>
        <v>0.3071666667</v>
      </c>
    </row>
    <row r="279">
      <c r="A279" s="1" t="s">
        <v>813</v>
      </c>
      <c r="B279" s="3" t="s">
        <v>868</v>
      </c>
      <c r="C279" s="1" t="s">
        <v>826</v>
      </c>
      <c r="D279" s="4" t="s">
        <v>191</v>
      </c>
      <c r="E279" s="5" t="s">
        <v>869</v>
      </c>
      <c r="F279" s="3" t="s">
        <v>868</v>
      </c>
      <c r="G279" s="6">
        <v>0.044</v>
      </c>
      <c r="H279" s="6">
        <v>0.03666666666666667</v>
      </c>
      <c r="I279" s="6">
        <v>0.125</v>
      </c>
      <c r="J279" s="7">
        <v>0.1</v>
      </c>
      <c r="K279" s="7">
        <f t="shared" si="1"/>
        <v>0.3056666667</v>
      </c>
    </row>
    <row r="280">
      <c r="A280" s="1" t="s">
        <v>864</v>
      </c>
      <c r="B280" s="3" t="s">
        <v>870</v>
      </c>
      <c r="C280" s="1" t="s">
        <v>740</v>
      </c>
      <c r="D280" s="4" t="s">
        <v>30</v>
      </c>
      <c r="E280" s="5" t="s">
        <v>871</v>
      </c>
      <c r="F280" s="3" t="s">
        <v>870</v>
      </c>
      <c r="G280" s="6">
        <v>0.024999999999999998</v>
      </c>
      <c r="H280" s="6">
        <v>0.020833333333333332</v>
      </c>
      <c r="I280" s="6">
        <v>0.1875</v>
      </c>
      <c r="J280" s="7">
        <v>0.06666666666666667</v>
      </c>
      <c r="K280" s="7">
        <f t="shared" si="1"/>
        <v>0.3</v>
      </c>
    </row>
    <row r="281">
      <c r="A281" s="1" t="s">
        <v>626</v>
      </c>
      <c r="B281" s="3" t="s">
        <v>872</v>
      </c>
      <c r="C281" s="1" t="s">
        <v>873</v>
      </c>
      <c r="D281" s="4" t="s">
        <v>622</v>
      </c>
      <c r="E281" s="2" t="s">
        <v>874</v>
      </c>
      <c r="F281" s="3" t="s">
        <v>872</v>
      </c>
      <c r="G281" s="6">
        <v>0.109</v>
      </c>
      <c r="H281" s="6">
        <v>0.09083333333333334</v>
      </c>
      <c r="I281" s="6">
        <v>0.0</v>
      </c>
      <c r="J281" s="9">
        <v>0.1</v>
      </c>
      <c r="K281" s="7">
        <f t="shared" si="1"/>
        <v>0.2998333333</v>
      </c>
    </row>
    <row r="282">
      <c r="A282" s="1" t="s">
        <v>630</v>
      </c>
      <c r="B282" s="3" t="s">
        <v>875</v>
      </c>
      <c r="C282" s="1" t="s">
        <v>829</v>
      </c>
      <c r="D282" s="4" t="s">
        <v>622</v>
      </c>
      <c r="E282" s="2" t="s">
        <v>876</v>
      </c>
      <c r="F282" s="3" t="s">
        <v>875</v>
      </c>
      <c r="G282" s="6">
        <v>0.108</v>
      </c>
      <c r="H282" s="6">
        <v>0.09</v>
      </c>
      <c r="I282" s="6">
        <v>0.0</v>
      </c>
      <c r="J282" s="9">
        <v>0.1</v>
      </c>
      <c r="K282" s="7">
        <f t="shared" si="1"/>
        <v>0.298</v>
      </c>
    </row>
    <row r="283">
      <c r="A283" s="1" t="s">
        <v>685</v>
      </c>
      <c r="B283" s="3" t="s">
        <v>877</v>
      </c>
      <c r="C283" s="1" t="s">
        <v>838</v>
      </c>
      <c r="D283" s="4" t="s">
        <v>172</v>
      </c>
      <c r="E283" s="5" t="s">
        <v>878</v>
      </c>
      <c r="F283" s="3" t="s">
        <v>877</v>
      </c>
      <c r="G283" s="6">
        <v>0.08900000000000001</v>
      </c>
      <c r="H283" s="6">
        <v>0.07333333333333333</v>
      </c>
      <c r="I283" s="6">
        <v>0.0625</v>
      </c>
      <c r="J283" s="7">
        <v>0.06666666666666667</v>
      </c>
      <c r="K283" s="7">
        <f t="shared" si="1"/>
        <v>0.2915</v>
      </c>
    </row>
    <row r="284">
      <c r="A284" s="1" t="s">
        <v>639</v>
      </c>
      <c r="B284" s="3" t="s">
        <v>879</v>
      </c>
      <c r="C284" s="1" t="s">
        <v>844</v>
      </c>
      <c r="D284" s="4" t="s">
        <v>622</v>
      </c>
      <c r="E284" s="2" t="s">
        <v>880</v>
      </c>
      <c r="F284" s="3" t="s">
        <v>879</v>
      </c>
      <c r="G284" s="6">
        <v>0.104</v>
      </c>
      <c r="H284" s="6">
        <v>0.08666666666666667</v>
      </c>
      <c r="I284" s="6">
        <v>0.0</v>
      </c>
      <c r="J284" s="9">
        <v>0.1</v>
      </c>
      <c r="K284" s="7">
        <f t="shared" si="1"/>
        <v>0.2906666667</v>
      </c>
    </row>
    <row r="285">
      <c r="A285" s="1" t="s">
        <v>645</v>
      </c>
      <c r="B285" s="3" t="s">
        <v>881</v>
      </c>
      <c r="C285" s="1" t="s">
        <v>882</v>
      </c>
      <c r="D285" s="4" t="s">
        <v>622</v>
      </c>
      <c r="E285" s="2" t="s">
        <v>883</v>
      </c>
      <c r="F285" s="3" t="s">
        <v>881</v>
      </c>
      <c r="G285" s="6">
        <v>0.10200000000000001</v>
      </c>
      <c r="H285" s="6">
        <v>0.085</v>
      </c>
      <c r="I285" s="6">
        <v>0.0</v>
      </c>
      <c r="J285" s="9">
        <v>0.1</v>
      </c>
      <c r="K285" s="7">
        <f t="shared" si="1"/>
        <v>0.287</v>
      </c>
    </row>
    <row r="286">
      <c r="A286" s="1" t="s">
        <v>851</v>
      </c>
      <c r="B286" s="3" t="s">
        <v>884</v>
      </c>
      <c r="C286" s="1" t="s">
        <v>787</v>
      </c>
      <c r="D286" s="4" t="s">
        <v>191</v>
      </c>
      <c r="E286" s="5" t="s">
        <v>885</v>
      </c>
      <c r="F286" s="3" t="s">
        <v>884</v>
      </c>
      <c r="G286" s="6">
        <v>0.03</v>
      </c>
      <c r="H286" s="6">
        <v>0.025</v>
      </c>
      <c r="I286" s="6">
        <v>0.125</v>
      </c>
      <c r="J286" s="7">
        <v>0.1</v>
      </c>
      <c r="K286" s="7">
        <f t="shared" si="1"/>
        <v>0.28</v>
      </c>
    </row>
    <row r="287">
      <c r="A287" s="1" t="s">
        <v>886</v>
      </c>
      <c r="B287" s="3" t="s">
        <v>887</v>
      </c>
      <c r="C287" s="1" t="s">
        <v>853</v>
      </c>
      <c r="D287" s="4" t="s">
        <v>30</v>
      </c>
      <c r="E287" s="5" t="s">
        <v>888</v>
      </c>
      <c r="F287" s="3" t="s">
        <v>887</v>
      </c>
      <c r="G287" s="6">
        <v>0.014</v>
      </c>
      <c r="H287" s="6">
        <v>0.011666666666666667</v>
      </c>
      <c r="I287" s="6">
        <v>0.1875</v>
      </c>
      <c r="J287" s="7">
        <v>0.06666666666666667</v>
      </c>
      <c r="K287" s="7">
        <f t="shared" si="1"/>
        <v>0.2798333333</v>
      </c>
    </row>
    <row r="288">
      <c r="A288" s="1" t="s">
        <v>855</v>
      </c>
      <c r="B288" s="3" t="s">
        <v>889</v>
      </c>
      <c r="C288" s="1" t="s">
        <v>886</v>
      </c>
      <c r="D288" s="4" t="s">
        <v>191</v>
      </c>
      <c r="E288" s="5" t="s">
        <v>890</v>
      </c>
      <c r="F288" s="3" t="s">
        <v>889</v>
      </c>
      <c r="G288" s="6">
        <v>0.028999999999999998</v>
      </c>
      <c r="H288" s="6">
        <v>0.024166666666666666</v>
      </c>
      <c r="I288" s="6">
        <v>0.125</v>
      </c>
      <c r="J288" s="7">
        <v>0.1</v>
      </c>
      <c r="K288" s="7">
        <f t="shared" si="1"/>
        <v>0.2781666667</v>
      </c>
    </row>
    <row r="289">
      <c r="A289" s="1" t="s">
        <v>891</v>
      </c>
      <c r="B289" s="3" t="s">
        <v>892</v>
      </c>
      <c r="C289" s="1" t="s">
        <v>891</v>
      </c>
      <c r="D289" s="4" t="s">
        <v>30</v>
      </c>
      <c r="E289" s="5" t="s">
        <v>893</v>
      </c>
      <c r="F289" s="3" t="s">
        <v>892</v>
      </c>
      <c r="G289" s="6">
        <v>0.013</v>
      </c>
      <c r="H289" s="6">
        <v>0.010833333333333334</v>
      </c>
      <c r="I289" s="6">
        <v>0.1875</v>
      </c>
      <c r="J289" s="7">
        <v>0.06666666666666667</v>
      </c>
      <c r="K289" s="7">
        <f t="shared" si="1"/>
        <v>0.278</v>
      </c>
    </row>
    <row r="290">
      <c r="A290" s="1" t="s">
        <v>664</v>
      </c>
      <c r="B290" s="3" t="s">
        <v>894</v>
      </c>
      <c r="C290" s="1" t="s">
        <v>700</v>
      </c>
      <c r="D290" s="4" t="s">
        <v>622</v>
      </c>
      <c r="E290" s="2" t="s">
        <v>895</v>
      </c>
      <c r="F290" s="3" t="s">
        <v>894</v>
      </c>
      <c r="G290" s="6">
        <v>0.09499999999999999</v>
      </c>
      <c r="H290" s="6">
        <v>0.07916666666666666</v>
      </c>
      <c r="I290" s="6">
        <v>0.0</v>
      </c>
      <c r="J290" s="9">
        <v>0.1</v>
      </c>
      <c r="K290" s="7">
        <f t="shared" si="1"/>
        <v>0.2741666667</v>
      </c>
    </row>
    <row r="291">
      <c r="A291" s="1" t="s">
        <v>675</v>
      </c>
      <c r="B291" s="3" t="s">
        <v>896</v>
      </c>
      <c r="C291" s="1" t="s">
        <v>799</v>
      </c>
      <c r="D291" s="4" t="s">
        <v>622</v>
      </c>
      <c r="E291" s="2" t="s">
        <v>897</v>
      </c>
      <c r="F291" s="3" t="s">
        <v>896</v>
      </c>
      <c r="G291" s="6">
        <v>0.091</v>
      </c>
      <c r="H291" s="6">
        <v>0.07583333333333334</v>
      </c>
      <c r="I291" s="6">
        <v>0.0</v>
      </c>
      <c r="J291" s="9">
        <v>0.1</v>
      </c>
      <c r="K291" s="7">
        <f t="shared" si="1"/>
        <v>0.2668333333</v>
      </c>
    </row>
    <row r="292">
      <c r="A292" s="1" t="s">
        <v>873</v>
      </c>
      <c r="B292" s="3" t="s">
        <v>898</v>
      </c>
      <c r="C292" s="1" t="s">
        <v>791</v>
      </c>
      <c r="D292" s="4" t="s">
        <v>191</v>
      </c>
      <c r="E292" s="5" t="s">
        <v>899</v>
      </c>
      <c r="F292" s="3" t="s">
        <v>898</v>
      </c>
      <c r="G292" s="6">
        <v>0.021</v>
      </c>
      <c r="H292" s="6">
        <v>0.0175</v>
      </c>
      <c r="I292" s="6">
        <v>0.125</v>
      </c>
      <c r="J292" s="7">
        <v>0.1</v>
      </c>
      <c r="K292" s="7">
        <f t="shared" si="1"/>
        <v>0.2635</v>
      </c>
    </row>
    <row r="293">
      <c r="A293" s="1" t="s">
        <v>682</v>
      </c>
      <c r="B293" s="3" t="s">
        <v>900</v>
      </c>
      <c r="C293" s="1" t="s">
        <v>725</v>
      </c>
      <c r="D293" s="4" t="s">
        <v>622</v>
      </c>
      <c r="E293" s="2" t="s">
        <v>901</v>
      </c>
      <c r="F293" s="3" t="s">
        <v>900</v>
      </c>
      <c r="G293" s="6">
        <v>0.08900000000000001</v>
      </c>
      <c r="H293" s="6">
        <v>0.07416666666666667</v>
      </c>
      <c r="I293" s="6">
        <v>0.0</v>
      </c>
      <c r="J293" s="9">
        <v>0.1</v>
      </c>
      <c r="K293" s="7">
        <f t="shared" si="1"/>
        <v>0.2631666667</v>
      </c>
    </row>
    <row r="294">
      <c r="A294" s="1" t="s">
        <v>831</v>
      </c>
      <c r="B294" s="3" t="s">
        <v>902</v>
      </c>
      <c r="C294" s="1" t="s">
        <v>666</v>
      </c>
      <c r="D294" s="4" t="s">
        <v>191</v>
      </c>
      <c r="E294" s="5" t="s">
        <v>903</v>
      </c>
      <c r="F294" s="3" t="s">
        <v>902</v>
      </c>
      <c r="G294" s="6">
        <v>0.037</v>
      </c>
      <c r="H294" s="6">
        <v>0.030833333333333334</v>
      </c>
      <c r="I294" s="6">
        <v>0.125</v>
      </c>
      <c r="J294" s="7">
        <v>0.06666666666666667</v>
      </c>
      <c r="K294" s="7">
        <f t="shared" si="1"/>
        <v>0.2595</v>
      </c>
    </row>
    <row r="295">
      <c r="A295" s="1" t="s">
        <v>882</v>
      </c>
      <c r="B295" s="3" t="s">
        <v>904</v>
      </c>
      <c r="C295" s="1" t="s">
        <v>752</v>
      </c>
      <c r="D295" s="4" t="s">
        <v>191</v>
      </c>
      <c r="E295" s="5" t="s">
        <v>905</v>
      </c>
      <c r="F295" s="3" t="s">
        <v>904</v>
      </c>
      <c r="G295" s="6">
        <v>0.018</v>
      </c>
      <c r="H295" s="6">
        <v>0.014166666666666666</v>
      </c>
      <c r="I295" s="6">
        <v>0.125</v>
      </c>
      <c r="J295" s="7">
        <v>0.1</v>
      </c>
      <c r="K295" s="7">
        <f t="shared" si="1"/>
        <v>0.2571666667</v>
      </c>
    </row>
    <row r="296">
      <c r="A296" s="1" t="s">
        <v>906</v>
      </c>
      <c r="B296" s="3" t="s">
        <v>907</v>
      </c>
      <c r="C296" s="1" t="s">
        <v>671</v>
      </c>
      <c r="D296" s="4" t="s">
        <v>191</v>
      </c>
      <c r="E296" s="5" t="s">
        <v>908</v>
      </c>
      <c r="F296" s="3" t="s">
        <v>907</v>
      </c>
      <c r="G296" s="6">
        <v>0.005</v>
      </c>
      <c r="H296" s="6">
        <v>0.004166666666666667</v>
      </c>
      <c r="I296" s="6">
        <v>0.125</v>
      </c>
      <c r="J296" s="9">
        <v>0.1</v>
      </c>
      <c r="K296" s="7">
        <f t="shared" si="1"/>
        <v>0.2341666667</v>
      </c>
    </row>
    <row r="297">
      <c r="A297" s="1" t="s">
        <v>735</v>
      </c>
      <c r="B297" s="3" t="s">
        <v>909</v>
      </c>
      <c r="C297" s="1" t="s">
        <v>906</v>
      </c>
      <c r="D297" s="4" t="s">
        <v>622</v>
      </c>
      <c r="E297" s="2" t="s">
        <v>910</v>
      </c>
      <c r="F297" s="3" t="s">
        <v>909</v>
      </c>
      <c r="G297" s="6">
        <v>0.071</v>
      </c>
      <c r="H297" s="6">
        <v>0.059166666666666666</v>
      </c>
      <c r="I297" s="6">
        <v>0.0</v>
      </c>
      <c r="J297" s="9">
        <v>0.1</v>
      </c>
      <c r="K297" s="7">
        <f t="shared" si="1"/>
        <v>0.2301666667</v>
      </c>
    </row>
    <row r="298">
      <c r="A298" s="1" t="s">
        <v>738</v>
      </c>
      <c r="B298" s="3" t="s">
        <v>911</v>
      </c>
      <c r="C298" s="1" t="s">
        <v>761</v>
      </c>
      <c r="D298" s="4" t="s">
        <v>622</v>
      </c>
      <c r="E298" s="2" t="s">
        <v>912</v>
      </c>
      <c r="F298" s="3" t="s">
        <v>911</v>
      </c>
      <c r="G298" s="6">
        <v>0.06999999999999999</v>
      </c>
      <c r="H298" s="6">
        <v>0.058333333333333334</v>
      </c>
      <c r="I298" s="6">
        <v>0.0</v>
      </c>
      <c r="J298" s="9">
        <v>0.1</v>
      </c>
      <c r="K298" s="7">
        <f t="shared" si="1"/>
        <v>0.2283333333</v>
      </c>
    </row>
    <row r="299">
      <c r="A299" s="1" t="s">
        <v>774</v>
      </c>
      <c r="B299" s="3" t="s">
        <v>913</v>
      </c>
      <c r="C299" s="1" t="s">
        <v>565</v>
      </c>
      <c r="D299" s="4" t="s">
        <v>622</v>
      </c>
      <c r="E299" s="2" t="s">
        <v>914</v>
      </c>
      <c r="F299" s="3" t="s">
        <v>913</v>
      </c>
      <c r="G299" s="6">
        <v>0.057999999999999996</v>
      </c>
      <c r="H299" s="6">
        <v>0.04833333333333333</v>
      </c>
      <c r="I299" s="6">
        <v>0.0</v>
      </c>
      <c r="J299" s="9">
        <v>0.1</v>
      </c>
      <c r="K299" s="7">
        <f t="shared" si="1"/>
        <v>0.2063333333</v>
      </c>
    </row>
    <row r="300">
      <c r="A300" s="1" t="s">
        <v>778</v>
      </c>
      <c r="B300" s="3" t="s">
        <v>915</v>
      </c>
      <c r="C300" s="1" t="s">
        <v>769</v>
      </c>
      <c r="D300" s="4" t="s">
        <v>622</v>
      </c>
      <c r="E300" s="2" t="s">
        <v>916</v>
      </c>
      <c r="F300" s="3" t="s">
        <v>915</v>
      </c>
      <c r="G300" s="6">
        <v>0.056999999999999995</v>
      </c>
      <c r="H300" s="6">
        <v>0.0475</v>
      </c>
      <c r="I300" s="6">
        <v>0.0</v>
      </c>
      <c r="J300" s="9">
        <v>0.1</v>
      </c>
      <c r="K300" s="7">
        <f t="shared" si="1"/>
        <v>0.2045</v>
      </c>
    </row>
    <row r="301">
      <c r="A301" s="1" t="s">
        <v>797</v>
      </c>
      <c r="B301" s="3" t="s">
        <v>917</v>
      </c>
      <c r="C301" s="1" t="s">
        <v>772</v>
      </c>
      <c r="D301" s="4" t="s">
        <v>622</v>
      </c>
      <c r="E301" s="2" t="s">
        <v>918</v>
      </c>
      <c r="F301" s="3" t="s">
        <v>917</v>
      </c>
      <c r="G301" s="6">
        <v>0.049999999999999996</v>
      </c>
      <c r="H301" s="6">
        <v>0.041666666666666664</v>
      </c>
      <c r="I301" s="6">
        <v>0.0</v>
      </c>
      <c r="J301" s="9">
        <v>0.1</v>
      </c>
      <c r="K301" s="7">
        <f t="shared" si="1"/>
        <v>0.1916666667</v>
      </c>
    </row>
  </sheetData>
  <printOptions gridLines="1" horizontalCentered="1"/>
  <pageMargins bottom="0.75" footer="0.0" header="0.0" left="0.7" right="0.7" top="0.75"/>
  <pageSetup cellComments="atEnd" orientation="portrait" pageOrder="overThenDown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38"/>
  </cols>
  <sheetData>
    <row r="1">
      <c r="A1" s="5" t="s">
        <v>1693</v>
      </c>
      <c r="B1" s="59">
        <f>vlookup(A1,IR_RB!B:F,5,)</f>
        <v>0.53</v>
      </c>
    </row>
    <row r="2">
      <c r="A2" s="5" t="s">
        <v>1694</v>
      </c>
      <c r="B2" s="59">
        <f>vlookup(A2,IR_RB!B:F,5,)</f>
        <v>0.87</v>
      </c>
    </row>
    <row r="3">
      <c r="A3" s="5" t="s">
        <v>1695</v>
      </c>
      <c r="B3" s="59">
        <f>vlookup(A3,IR_RB!B:F,5,)</f>
        <v>0.57</v>
      </c>
    </row>
    <row r="4">
      <c r="A4" s="5" t="s">
        <v>1696</v>
      </c>
      <c r="B4" s="59">
        <f>vlookup(A4,IR_RB!B:F,5,)</f>
        <v>0.73</v>
      </c>
    </row>
    <row r="5">
      <c r="A5" s="5" t="s">
        <v>1697</v>
      </c>
      <c r="B5" s="59">
        <f>vlookup(A5,IR_RB!B:F,5,)</f>
        <v>0.07</v>
      </c>
    </row>
    <row r="6">
      <c r="A6" s="5" t="s">
        <v>1698</v>
      </c>
      <c r="B6" s="59">
        <f>vlookup(A6,IR_RB!B:F,5,)</f>
        <v>0.63</v>
      </c>
    </row>
    <row r="7">
      <c r="A7" s="5" t="s">
        <v>1699</v>
      </c>
      <c r="B7" s="59">
        <f>vlookup(A7,IR_RB!B:F,5,)</f>
        <v>0.78</v>
      </c>
    </row>
    <row r="8">
      <c r="A8" s="5" t="s">
        <v>1700</v>
      </c>
      <c r="B8" s="59">
        <f>vlookup(A8,IR_RB!B:F,5,)</f>
        <v>0.57</v>
      </c>
    </row>
    <row r="9">
      <c r="A9" s="5" t="s">
        <v>1701</v>
      </c>
      <c r="B9" s="59">
        <f>vlookup(A9,IR_RB!B:F,5,)</f>
        <v>0.8</v>
      </c>
    </row>
    <row r="10">
      <c r="A10" s="5" t="s">
        <v>1702</v>
      </c>
      <c r="B10" s="21" t="str">
        <f>vlookup(A10,IR_RB!B:F,5,)</f>
        <v>#N/A</v>
      </c>
    </row>
    <row r="11">
      <c r="A11" s="5" t="s">
        <v>1703</v>
      </c>
      <c r="B11" s="21" t="str">
        <f>vlookup(A11,IR_RB!B:F,5,)</f>
        <v>#N/A</v>
      </c>
    </row>
    <row r="12">
      <c r="A12" s="2" t="s">
        <v>1704</v>
      </c>
      <c r="B12" s="21" t="str">
        <f>vlookup(A12,IR_RB!B:F,5,)</f>
        <v>#N/A</v>
      </c>
    </row>
    <row r="13">
      <c r="A13" s="5" t="s">
        <v>1705</v>
      </c>
      <c r="B13" s="59">
        <f>vlookup(A13,IR_RB!B:F,5,)</f>
        <v>0.82</v>
      </c>
    </row>
    <row r="14">
      <c r="A14" s="5" t="s">
        <v>1706</v>
      </c>
      <c r="B14" s="59">
        <f>vlookup(A14,IR_RB!B:F,5,)</f>
        <v>0.33</v>
      </c>
    </row>
    <row r="15">
      <c r="A15" s="2" t="s">
        <v>1707</v>
      </c>
      <c r="B15" s="21" t="str">
        <f>vlookup(A15,IR_RB!B:F,5,)</f>
        <v>#N/A</v>
      </c>
    </row>
    <row r="16">
      <c r="A16" s="5" t="s">
        <v>1708</v>
      </c>
      <c r="B16" s="59">
        <f>vlookup(A16,IR_RB!B:F,5,)</f>
        <v>0.62</v>
      </c>
    </row>
    <row r="17">
      <c r="A17" s="5" t="s">
        <v>1709</v>
      </c>
      <c r="B17" s="59">
        <f>vlookup(A17,IR_RB!B:F,5,)</f>
        <v>0.64</v>
      </c>
    </row>
    <row r="18">
      <c r="A18" s="5" t="s">
        <v>1710</v>
      </c>
      <c r="B18" s="59">
        <f>vlookup(A18,IR_RB!B:F,5,)</f>
        <v>0.24</v>
      </c>
    </row>
    <row r="19">
      <c r="A19" s="5" t="s">
        <v>1711</v>
      </c>
      <c r="B19" s="21" t="str">
        <f>vlookup(A19,IR_RB!B:F,5,)</f>
        <v>#N/A</v>
      </c>
    </row>
    <row r="20">
      <c r="A20" s="5" t="s">
        <v>1712</v>
      </c>
      <c r="B20" s="59">
        <f>vlookup(A20,IR_RB!B:F,5,)</f>
        <v>0.57</v>
      </c>
    </row>
    <row r="21">
      <c r="A21" s="5" t="s">
        <v>1713</v>
      </c>
      <c r="B21" s="59">
        <f>vlookup(A21,IR_RB!B:F,5,)</f>
        <v>0.92</v>
      </c>
    </row>
    <row r="22">
      <c r="A22" s="5" t="s">
        <v>1714</v>
      </c>
      <c r="B22" s="21" t="str">
        <f>vlookup(A22,IR_RB!B:F,5,)</f>
        <v>#N/A</v>
      </c>
    </row>
    <row r="23">
      <c r="A23" s="5" t="s">
        <v>1715</v>
      </c>
      <c r="B23" s="59">
        <f>vlookup(A23,IR_RB!B:F,5,)</f>
        <v>0.6</v>
      </c>
    </row>
    <row r="24">
      <c r="A24" s="5" t="s">
        <v>1716</v>
      </c>
      <c r="B24" s="59">
        <f>vlookup(A24,IR_RB!B:F,5,)</f>
        <v>0.67</v>
      </c>
    </row>
    <row r="25">
      <c r="A25" s="5" t="s">
        <v>1717</v>
      </c>
      <c r="B25" s="59">
        <f>vlookup(A25,IR_RB!B:F,5,)</f>
        <v>0.55</v>
      </c>
    </row>
    <row r="26">
      <c r="A26" s="5" t="s">
        <v>1718</v>
      </c>
      <c r="B26" s="59">
        <f>vlookup(A26,IR_RB!B:F,5,)</f>
        <v>0.56</v>
      </c>
    </row>
    <row r="27">
      <c r="A27" s="5" t="s">
        <v>1719</v>
      </c>
      <c r="B27" s="59">
        <f>vlookup(A27,IR_RB!B:F,5,)</f>
        <v>0.57</v>
      </c>
    </row>
    <row r="28">
      <c r="A28" s="5" t="s">
        <v>1721</v>
      </c>
      <c r="B28" s="59">
        <f>vlookup(A28,IR_RB!B:F,5,)</f>
        <v>0.94</v>
      </c>
    </row>
    <row r="29">
      <c r="A29" s="5" t="s">
        <v>1722</v>
      </c>
      <c r="B29" s="59">
        <f>vlookup(A29,IR_RB!B:F,5,)</f>
        <v>0.73</v>
      </c>
    </row>
    <row r="30">
      <c r="A30" s="2" t="s">
        <v>1723</v>
      </c>
      <c r="B30" s="21" t="str">
        <f>vlookup(A30,IR_RB!B:F,5,)</f>
        <v>#N/A</v>
      </c>
    </row>
    <row r="31">
      <c r="A31" s="5" t="s">
        <v>1724</v>
      </c>
      <c r="B31" s="21" t="str">
        <f>vlookup(A31,IR_RB!B:F,5,)</f>
        <v>#N/A</v>
      </c>
    </row>
    <row r="32">
      <c r="A32" s="5" t="s">
        <v>1725</v>
      </c>
      <c r="B32" s="59">
        <f>vlookup(A32,IR_RB!B:F,5,)</f>
        <v>0.32</v>
      </c>
    </row>
    <row r="33">
      <c r="A33" s="5" t="s">
        <v>1726</v>
      </c>
      <c r="B33" s="59">
        <f>vlookup(A33,IR_RB!B:F,5,)</f>
        <v>0.94</v>
      </c>
    </row>
    <row r="34">
      <c r="A34" s="5" t="s">
        <v>1727</v>
      </c>
      <c r="B34" s="21" t="str">
        <f>vlookup(A34,IR_RB!B:F,5,)</f>
        <v>#N/A</v>
      </c>
    </row>
    <row r="35">
      <c r="A35" s="5" t="s">
        <v>1728</v>
      </c>
      <c r="B35" s="59">
        <f>vlookup(A35,IR_RB!B:F,5,)</f>
        <v>0.42</v>
      </c>
    </row>
    <row r="36">
      <c r="A36" s="5" t="s">
        <v>1729</v>
      </c>
      <c r="B36" s="59">
        <f>vlookup(A36,IR_RB!B:F,5,)</f>
        <v>0.86</v>
      </c>
    </row>
    <row r="37">
      <c r="A37" s="5" t="s">
        <v>1730</v>
      </c>
      <c r="B37" s="59">
        <f>vlookup(A37,IR_RB!B:F,5,)</f>
        <v>0.88</v>
      </c>
    </row>
    <row r="38">
      <c r="A38" s="5" t="s">
        <v>1731</v>
      </c>
      <c r="B38" s="59">
        <f>vlookup(A38,IR_RB!B:F,5,)</f>
        <v>0.34</v>
      </c>
    </row>
    <row r="39">
      <c r="A39" s="5" t="s">
        <v>1732</v>
      </c>
      <c r="B39" s="21" t="str">
        <f>vlookup(A39,IR_RB!B:F,5,)</f>
        <v>#N/A</v>
      </c>
    </row>
    <row r="40">
      <c r="A40" s="5" t="s">
        <v>1733</v>
      </c>
      <c r="B40" s="59">
        <f>vlookup(A40,IR_RB!B:F,5,)</f>
        <v>0.57</v>
      </c>
    </row>
    <row r="41">
      <c r="A41" s="5" t="s">
        <v>1734</v>
      </c>
      <c r="B41" s="59">
        <f>vlookup(A41,IR_RB!B:F,5,)</f>
        <v>0.57</v>
      </c>
    </row>
    <row r="42">
      <c r="A42" s="5" t="s">
        <v>1735</v>
      </c>
      <c r="B42" s="59">
        <f>vlookup(A42,IR_RB!B:F,5,)</f>
        <v>0.8</v>
      </c>
    </row>
    <row r="43">
      <c r="A43" s="5" t="s">
        <v>1736</v>
      </c>
      <c r="B43" s="59">
        <f>vlookup(A43,IR_RB!B:F,5,)</f>
        <v>0.23</v>
      </c>
    </row>
    <row r="44">
      <c r="A44" s="5" t="s">
        <v>1737</v>
      </c>
      <c r="B44" s="59">
        <f>vlookup(A44,IR_RB!B:F,5,)</f>
        <v>0.42</v>
      </c>
    </row>
    <row r="45">
      <c r="A45" s="5" t="s">
        <v>1738</v>
      </c>
      <c r="B45" s="59">
        <f>vlookup(A45,IR_RB!B:F,5,)</f>
        <v>0.87</v>
      </c>
    </row>
    <row r="46">
      <c r="A46" s="5" t="s">
        <v>1739</v>
      </c>
      <c r="B46" s="21" t="str">
        <f>vlookup(A46,IR_RB!B:F,5,)</f>
        <v>#N/A</v>
      </c>
    </row>
    <row r="47">
      <c r="A47" s="5" t="s">
        <v>1740</v>
      </c>
      <c r="B47" s="59">
        <f>vlookup(A47,IR_RB!B:F,5,)</f>
        <v>0.75</v>
      </c>
    </row>
    <row r="48">
      <c r="A48" s="5" t="s">
        <v>1741</v>
      </c>
      <c r="B48" s="59">
        <f>vlookup(A48,IR_RB!B:F,5,)</f>
        <v>0.18</v>
      </c>
    </row>
    <row r="49">
      <c r="A49" s="5" t="s">
        <v>1743</v>
      </c>
      <c r="B49" s="59">
        <f>vlookup(A49,IR_RB!B:F,5,)</f>
        <v>0.61</v>
      </c>
    </row>
    <row r="50">
      <c r="A50" s="5" t="s">
        <v>1744</v>
      </c>
      <c r="B50" s="59">
        <f>vlookup(A50,IR_RB!B:F,5,)</f>
        <v>0.5</v>
      </c>
    </row>
    <row r="51">
      <c r="A51" s="5" t="s">
        <v>1746</v>
      </c>
      <c r="B51" s="59">
        <f>vlookup(A51,IR_RB!B:F,5,)</f>
        <v>0.24</v>
      </c>
    </row>
    <row r="52">
      <c r="A52" s="5" t="s">
        <v>1747</v>
      </c>
      <c r="B52" s="21" t="str">
        <f>vlookup(A52,IR_RB!B:F,5,)</f>
        <v>#N/A</v>
      </c>
    </row>
    <row r="53">
      <c r="A53" s="5" t="s">
        <v>1748</v>
      </c>
      <c r="B53" s="21" t="str">
        <f>vlookup(A53,IR_RB!B:F,5,)</f>
        <v>#N/A</v>
      </c>
    </row>
    <row r="54">
      <c r="A54" s="5" t="s">
        <v>1749</v>
      </c>
      <c r="B54" s="59">
        <f>vlookup(A54,IR_RB!B:F,5,)</f>
        <v>0.46</v>
      </c>
    </row>
    <row r="55">
      <c r="A55" s="5" t="s">
        <v>1750</v>
      </c>
      <c r="B55" s="59">
        <f>vlookup(A55,IR_RB!B:F,5,)</f>
        <v>0.17</v>
      </c>
    </row>
    <row r="56">
      <c r="A56" s="5" t="s">
        <v>1751</v>
      </c>
      <c r="B56" s="59">
        <f>vlookup(A56,IR_RB!B:F,5,)</f>
        <v>0.22</v>
      </c>
    </row>
    <row r="57">
      <c r="A57" s="5" t="s">
        <v>1752</v>
      </c>
      <c r="B57" s="21" t="str">
        <f>vlookup(A57,IR_RB!B:F,5,)</f>
        <v>#N/A</v>
      </c>
    </row>
    <row r="58">
      <c r="A58" s="5" t="s">
        <v>1753</v>
      </c>
      <c r="B58" s="21" t="str">
        <f>vlookup(A58,IR_RB!B:F,5,)</f>
        <v>#N/A</v>
      </c>
    </row>
    <row r="59">
      <c r="A59" s="5" t="s">
        <v>1754</v>
      </c>
      <c r="B59" s="59">
        <f>vlookup(A59,IR_RB!B:F,5,)</f>
        <v>0.3</v>
      </c>
    </row>
    <row r="60">
      <c r="A60" s="5" t="s">
        <v>1756</v>
      </c>
      <c r="B60" s="59">
        <f>vlookup(A60,IR_RB!B:F,5,)</f>
        <v>0.92</v>
      </c>
    </row>
    <row r="61">
      <c r="A61" s="5" t="s">
        <v>1757</v>
      </c>
      <c r="B61" s="59">
        <f>vlookup(A61,IR_RB!B:F,5,)</f>
        <v>0.35</v>
      </c>
    </row>
    <row r="62">
      <c r="A62" s="5" t="s">
        <v>1759</v>
      </c>
      <c r="B62" s="59">
        <f>vlookup(A62,IR_RB!B:F,5,)</f>
        <v>0.33</v>
      </c>
    </row>
    <row r="63">
      <c r="A63" s="5" t="s">
        <v>1760</v>
      </c>
      <c r="B63" s="21" t="str">
        <f>vlookup(A63,IR_RB!B:F,5,)</f>
        <v>#N/A</v>
      </c>
    </row>
    <row r="64">
      <c r="A64" s="5" t="s">
        <v>1761</v>
      </c>
      <c r="B64" s="59">
        <f>vlookup(A64,IR_RB!B:F,5,)</f>
        <v>0.32</v>
      </c>
    </row>
    <row r="65">
      <c r="A65" s="5" t="s">
        <v>1762</v>
      </c>
      <c r="B65" s="59">
        <f>vlookup(A65,IR_RB!B:F,5,)</f>
        <v>0.68</v>
      </c>
    </row>
    <row r="66">
      <c r="A66" s="5" t="s">
        <v>1763</v>
      </c>
      <c r="B66" s="21" t="str">
        <f>vlookup(A66,IR_RB!B:F,5,)</f>
        <v>#N/A</v>
      </c>
    </row>
    <row r="67">
      <c r="A67" s="5" t="s">
        <v>1765</v>
      </c>
      <c r="B67" s="59">
        <f>vlookup(A67,IR_RB!B:F,5,)</f>
        <v>0.77</v>
      </c>
    </row>
    <row r="68">
      <c r="A68" s="5" t="s">
        <v>1766</v>
      </c>
      <c r="B68" s="59">
        <f>vlookup(A68,IR_RB!B:F,5,)</f>
        <v>0.67</v>
      </c>
    </row>
    <row r="69">
      <c r="A69" s="5" t="s">
        <v>1767</v>
      </c>
      <c r="B69" s="59">
        <f>vlookup(A69,IR_RB!B:F,5,)</f>
        <v>0.63</v>
      </c>
    </row>
    <row r="70">
      <c r="A70" s="5" t="s">
        <v>1769</v>
      </c>
      <c r="B70" s="21" t="str">
        <f>vlookup(A70,IR_RB!B:F,5,)</f>
        <v>#N/A</v>
      </c>
    </row>
    <row r="71">
      <c r="A71" s="5" t="s">
        <v>1770</v>
      </c>
      <c r="B71" s="21" t="str">
        <f>vlookup(A71,IR_RB!B:F,5,)</f>
        <v>#N/A</v>
      </c>
    </row>
    <row r="72">
      <c r="A72" s="5" t="s">
        <v>1771</v>
      </c>
      <c r="B72" s="59">
        <f>vlookup(A72,IR_RB!B:F,5,)</f>
        <v>0.61</v>
      </c>
    </row>
    <row r="73">
      <c r="A73" s="5" t="s">
        <v>1772</v>
      </c>
      <c r="B73" s="59">
        <f>vlookup(A73,IR_RB!B:F,5,)</f>
        <v>0.85</v>
      </c>
    </row>
    <row r="74">
      <c r="A74" s="5" t="s">
        <v>1774</v>
      </c>
      <c r="B74" s="59">
        <f>vlookup(A74,IR_RB!B:F,5,)</f>
        <v>0.91</v>
      </c>
    </row>
    <row r="75">
      <c r="A75" s="5" t="s">
        <v>1775</v>
      </c>
      <c r="B75" s="59">
        <f>vlookup(A75,IR_RB!B:F,5,)</f>
        <v>0.81</v>
      </c>
    </row>
    <row r="76">
      <c r="A76" s="5" t="s">
        <v>1776</v>
      </c>
      <c r="B76" s="21" t="str">
        <f>vlookup(A76,IR_RB!B:F,5,)</f>
        <v>#N/A</v>
      </c>
    </row>
    <row r="77">
      <c r="A77" s="5" t="s">
        <v>1777</v>
      </c>
      <c r="B77" s="59">
        <f>vlookup(A77,IR_RB!B:F,5,)</f>
        <v>0.39</v>
      </c>
    </row>
    <row r="78">
      <c r="A78" s="5" t="s">
        <v>1778</v>
      </c>
      <c r="B78" s="59">
        <f>vlookup(A78,IR_RB!B:F,5,)</f>
        <v>0.62</v>
      </c>
    </row>
    <row r="79">
      <c r="A79" s="5" t="s">
        <v>1779</v>
      </c>
      <c r="B79" s="59">
        <f>vlookup(A79,IR_RB!B:F,5,)</f>
        <v>0.22</v>
      </c>
    </row>
    <row r="80">
      <c r="A80" s="5" t="s">
        <v>1780</v>
      </c>
      <c r="B80" s="59">
        <f>vlookup(A80,IR_RB!B:F,5,)</f>
        <v>0.52</v>
      </c>
    </row>
    <row r="81">
      <c r="A81" s="5" t="s">
        <v>1781</v>
      </c>
      <c r="B81" s="59">
        <f>vlookup(A81,IR_RB!B:F,5,)</f>
        <v>0.6</v>
      </c>
    </row>
    <row r="82">
      <c r="A82" s="5" t="s">
        <v>1782</v>
      </c>
      <c r="B82" s="59">
        <f>vlookup(A82,IR_RB!B:F,5,)</f>
        <v>0.18</v>
      </c>
    </row>
    <row r="83">
      <c r="A83" s="5" t="s">
        <v>1783</v>
      </c>
      <c r="B83" s="21" t="str">
        <f>vlookup(A83,IR_RB!B:F,5,)</f>
        <v>#N/A</v>
      </c>
    </row>
    <row r="84">
      <c r="A84" s="5" t="s">
        <v>1784</v>
      </c>
      <c r="B84" s="59">
        <f>vlookup(A84,IR_RB!B:F,5,)</f>
        <v>0.22</v>
      </c>
    </row>
    <row r="85">
      <c r="A85" s="5" t="s">
        <v>1785</v>
      </c>
      <c r="B85" s="21" t="str">
        <f>vlookup(A85,IR_RB!B:F,5,)</f>
        <v>#N/A</v>
      </c>
    </row>
    <row r="86">
      <c r="A86" s="5" t="s">
        <v>1786</v>
      </c>
      <c r="B86" s="59">
        <f>vlookup(A86,IR_RB!B:F,5,)</f>
        <v>0.24</v>
      </c>
    </row>
    <row r="87">
      <c r="A87" s="5" t="s">
        <v>1788</v>
      </c>
      <c r="B87" s="59">
        <f>vlookup(A87,IR_RB!B:F,5,)</f>
        <v>0.32</v>
      </c>
    </row>
    <row r="88">
      <c r="A88" s="5" t="s">
        <v>1789</v>
      </c>
      <c r="B88" s="59">
        <f>vlookup(A88,IR_RB!B:F,5,)</f>
        <v>0.24</v>
      </c>
    </row>
    <row r="89">
      <c r="A89" s="5" t="s">
        <v>1790</v>
      </c>
      <c r="B89" s="59">
        <f>vlookup(A89,IR_RB!B:F,5,)</f>
        <v>0.4</v>
      </c>
    </row>
    <row r="90">
      <c r="A90" s="5" t="s">
        <v>1792</v>
      </c>
      <c r="B90" s="59">
        <f>vlookup(A90,IR_RB!B:F,5,)</f>
        <v>0.33</v>
      </c>
    </row>
    <row r="91">
      <c r="A91" s="5" t="s">
        <v>1794</v>
      </c>
      <c r="B91" s="59">
        <f>vlookup(A91,IR_RB!B:F,5,)</f>
        <v>0.22</v>
      </c>
    </row>
    <row r="92">
      <c r="A92" s="5" t="s">
        <v>1795</v>
      </c>
      <c r="B92" s="21" t="str">
        <f>vlookup(A92,IR_RB!B:F,5,)</f>
        <v>#N/A</v>
      </c>
    </row>
    <row r="93">
      <c r="A93" s="29"/>
      <c r="B93" s="2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16.13"/>
  </cols>
  <sheetData>
    <row r="1">
      <c r="A1" s="5" t="s">
        <v>1546</v>
      </c>
      <c r="B1" s="59">
        <f>vlookup(A1,IR_WR!B:F,5,)</f>
        <v>0.58</v>
      </c>
    </row>
    <row r="2">
      <c r="A2" s="5" t="s">
        <v>1547</v>
      </c>
      <c r="B2" s="59">
        <f>vlookup(A2,IR_WR!B:F,5,)</f>
        <v>0.58</v>
      </c>
    </row>
    <row r="3">
      <c r="A3" s="5" t="s">
        <v>1548</v>
      </c>
      <c r="B3" s="59">
        <f>vlookup(A3,IR_WR!B:F,5,)</f>
        <v>0.57</v>
      </c>
    </row>
    <row r="4">
      <c r="A4" s="5" t="s">
        <v>1549</v>
      </c>
      <c r="B4" s="59">
        <f>vlookup(A4,IR_WR!B:F,5,)</f>
        <v>0.38</v>
      </c>
    </row>
    <row r="5">
      <c r="A5" s="5" t="s">
        <v>1550</v>
      </c>
      <c r="B5" s="59">
        <f>vlookup(A5,IR_WR!B:F,5,)</f>
        <v>0.85</v>
      </c>
    </row>
    <row r="6">
      <c r="A6" s="5" t="s">
        <v>1551</v>
      </c>
      <c r="B6" s="59">
        <f>vlookup(A6,IR_WR!B:F,5,)</f>
        <v>0.37</v>
      </c>
    </row>
    <row r="7">
      <c r="A7" s="5" t="s">
        <v>1552</v>
      </c>
      <c r="B7" s="59">
        <f>vlookup(A7,IR_WR!B:F,5,)</f>
        <v>0.36</v>
      </c>
    </row>
    <row r="8">
      <c r="A8" s="5" t="s">
        <v>1553</v>
      </c>
      <c r="B8" s="59">
        <f>vlookup(A8,IR_WR!B:F,5,)</f>
        <v>0.35</v>
      </c>
    </row>
    <row r="9">
      <c r="A9" s="5" t="s">
        <v>1554</v>
      </c>
      <c r="B9" s="59">
        <f>vlookup(A9,IR_WR!B:F,5,)</f>
        <v>0.53</v>
      </c>
    </row>
    <row r="10">
      <c r="A10" s="5" t="s">
        <v>1555</v>
      </c>
      <c r="B10" s="59">
        <f>vlookup(A10,IR_WR!B:F,5,)</f>
        <v>0.09</v>
      </c>
    </row>
    <row r="11">
      <c r="A11" s="5" t="s">
        <v>1557</v>
      </c>
      <c r="B11" s="21" t="str">
        <f>vlookup(A11,IR_WR!B:F,5,)</f>
        <v>#N/A</v>
      </c>
    </row>
    <row r="12">
      <c r="A12" s="2" t="s">
        <v>1558</v>
      </c>
      <c r="B12" s="21" t="str">
        <f>vlookup(A12,IR_WR!B:F,5,)</f>
        <v>#N/A</v>
      </c>
    </row>
    <row r="13">
      <c r="A13" s="5" t="s">
        <v>1559</v>
      </c>
      <c r="B13" s="21" t="str">
        <f>vlookup(A13,IR_WR!B:F,5,)</f>
        <v>#N/A</v>
      </c>
    </row>
    <row r="14">
      <c r="A14" s="5" t="s">
        <v>1560</v>
      </c>
      <c r="B14" s="59">
        <f>vlookup(A14,IR_WR!B:F,5,)</f>
        <v>0.34</v>
      </c>
    </row>
    <row r="15">
      <c r="A15" s="5" t="s">
        <v>1561</v>
      </c>
      <c r="B15" s="59">
        <f>vlookup(A15,IR_WR!B:F,5,)</f>
        <v>0.27</v>
      </c>
    </row>
    <row r="16">
      <c r="A16" s="5" t="s">
        <v>1562</v>
      </c>
      <c r="B16" s="59">
        <f>vlookup(A16,IR_WR!B:F,5,)</f>
        <v>0.08</v>
      </c>
    </row>
    <row r="17">
      <c r="A17" s="5" t="s">
        <v>1563</v>
      </c>
      <c r="B17" s="59">
        <f>vlookup(A17,IR_WR!B:F,5,)</f>
        <v>0.67</v>
      </c>
    </row>
    <row r="18">
      <c r="A18" s="5" t="s">
        <v>1564</v>
      </c>
      <c r="B18" s="21" t="str">
        <f>vlookup(A18,IR_WR!B:F,5,)</f>
        <v>#N/A</v>
      </c>
    </row>
    <row r="19">
      <c r="A19" s="5" t="s">
        <v>1565</v>
      </c>
      <c r="B19" s="21" t="str">
        <f>vlookup(A19,IR_WR!B:F,5,)</f>
        <v>#N/A</v>
      </c>
    </row>
    <row r="20">
      <c r="A20" s="5" t="s">
        <v>1566</v>
      </c>
      <c r="B20" s="21" t="str">
        <f>vlookup(A20,IR_WR!B:F,5,)</f>
        <v>#N/A</v>
      </c>
    </row>
    <row r="21">
      <c r="A21" s="5" t="s">
        <v>1567</v>
      </c>
      <c r="B21" s="59">
        <f>vlookup(A21,IR_WR!B:F,5,)</f>
        <v>0.91</v>
      </c>
    </row>
    <row r="22">
      <c r="A22" s="5" t="s">
        <v>1568</v>
      </c>
      <c r="B22" s="59">
        <f>vlookup(A22,IR_WR!B:F,5,)</f>
        <v>0.64</v>
      </c>
    </row>
    <row r="23">
      <c r="A23" s="5" t="s">
        <v>1569</v>
      </c>
      <c r="B23" s="59">
        <f>vlookup(A23,IR_WR!B:F,5,)</f>
        <v>0.41</v>
      </c>
    </row>
    <row r="24">
      <c r="A24" s="5" t="s">
        <v>1570</v>
      </c>
      <c r="B24" s="59">
        <f>vlookup(A24,IR_WR!B:F,5,)</f>
        <v>0.64</v>
      </c>
    </row>
    <row r="25">
      <c r="A25" s="5" t="s">
        <v>1571</v>
      </c>
      <c r="B25" s="21" t="str">
        <f>vlookup(A25,IR_WR!B:F,5,)</f>
        <v>#N/A</v>
      </c>
    </row>
    <row r="26">
      <c r="A26" s="5" t="s">
        <v>1572</v>
      </c>
      <c r="B26" s="59">
        <f>vlookup(A26,IR_WR!B:F,5,)</f>
        <v>0.57</v>
      </c>
    </row>
    <row r="27">
      <c r="A27" s="5" t="s">
        <v>1574</v>
      </c>
      <c r="B27" s="59">
        <f>vlookup(A27,IR_WR!B:F,5,)</f>
        <v>0.56</v>
      </c>
    </row>
    <row r="28">
      <c r="A28" s="5" t="s">
        <v>1575</v>
      </c>
      <c r="B28" s="59">
        <f>vlookup(A28,IR_WR!B:F,5,)</f>
        <v>0.82</v>
      </c>
    </row>
    <row r="29">
      <c r="A29" s="5" t="s">
        <v>1576</v>
      </c>
      <c r="B29" s="21" t="str">
        <f>vlookup(A29,IR_WR!B:F,5,)</f>
        <v>#N/A</v>
      </c>
    </row>
    <row r="30">
      <c r="A30" s="5" t="s">
        <v>1577</v>
      </c>
      <c r="B30" s="59">
        <f>vlookup(A30,IR_WR!B:F,5,)</f>
        <v>0.6</v>
      </c>
    </row>
    <row r="31">
      <c r="A31" s="5" t="s">
        <v>1578</v>
      </c>
      <c r="B31" s="59">
        <f>vlookup(A31,IR_WR!B:F,5,)</f>
        <v>0.44</v>
      </c>
    </row>
    <row r="32">
      <c r="A32" s="5" t="s">
        <v>1579</v>
      </c>
      <c r="B32" s="59">
        <f>vlookup(A32,IR_WR!B:F,5,)</f>
        <v>0.62</v>
      </c>
    </row>
    <row r="33">
      <c r="A33" s="5" t="s">
        <v>1580</v>
      </c>
      <c r="B33" s="59">
        <f>vlookup(A33,IR_WR!B:F,5,)</f>
        <v>0.65</v>
      </c>
    </row>
    <row r="34">
      <c r="A34" s="5" t="s">
        <v>1581</v>
      </c>
      <c r="B34" s="21" t="str">
        <f>vlookup(A34,IR_WR!B:F,5,)</f>
        <v>#N/A</v>
      </c>
    </row>
    <row r="35">
      <c r="A35" s="5" t="s">
        <v>1582</v>
      </c>
      <c r="B35" s="59">
        <f>vlookup(A35,IR_WR!B:F,5,)</f>
        <v>0.71</v>
      </c>
    </row>
    <row r="36">
      <c r="A36" s="5" t="s">
        <v>1583</v>
      </c>
      <c r="B36" s="59">
        <f>vlookup(A36,IR_WR!B:F,5,)</f>
        <v>0.73</v>
      </c>
    </row>
    <row r="37">
      <c r="A37" s="5" t="s">
        <v>1584</v>
      </c>
      <c r="B37" s="59">
        <f>vlookup(A37,IR_WR!B:F,5,)</f>
        <v>0.64</v>
      </c>
    </row>
    <row r="38">
      <c r="A38" s="5" t="s">
        <v>1585</v>
      </c>
      <c r="B38" s="59">
        <f>vlookup(A38,IR_WR!B:F,5,)</f>
        <v>0.78</v>
      </c>
    </row>
    <row r="39">
      <c r="A39" s="5" t="s">
        <v>1586</v>
      </c>
      <c r="B39" s="59">
        <f>vlookup(A39,IR_WR!B:F,5,)</f>
        <v>0.92</v>
      </c>
    </row>
    <row r="40">
      <c r="A40" s="5" t="s">
        <v>1587</v>
      </c>
      <c r="B40" s="21" t="str">
        <f>vlookup(A40,IR_WR!B:F,5,)</f>
        <v>#N/A</v>
      </c>
    </row>
    <row r="41">
      <c r="A41" s="5" t="s">
        <v>1589</v>
      </c>
      <c r="B41" s="21" t="str">
        <f>vlookup(A41,IR_WR!B:F,5,)</f>
        <v>#N/A</v>
      </c>
    </row>
    <row r="42">
      <c r="A42" s="5" t="s">
        <v>1590</v>
      </c>
      <c r="B42" s="59">
        <f>vlookup(A42,IR_WR!B:F,5,)</f>
        <v>0.93</v>
      </c>
    </row>
    <row r="43">
      <c r="A43" s="5" t="s">
        <v>1591</v>
      </c>
      <c r="B43" s="59">
        <f>vlookup(A43,IR_WR!B:F,5,)</f>
        <v>0.08</v>
      </c>
    </row>
    <row r="44">
      <c r="A44" s="5" t="s">
        <v>1592</v>
      </c>
      <c r="B44" s="59">
        <f>vlookup(A44,IR_WR!B:F,5,)</f>
        <v>0.67</v>
      </c>
    </row>
    <row r="45">
      <c r="A45" s="5" t="s">
        <v>1593</v>
      </c>
      <c r="B45" s="59">
        <f>vlookup(A45,IR_WR!B:F,5,)</f>
        <v>0.52</v>
      </c>
    </row>
    <row r="46">
      <c r="A46" s="5" t="s">
        <v>1594</v>
      </c>
      <c r="B46" s="21" t="str">
        <f>vlookup(A46,IR_WR!B:F,5,)</f>
        <v>#N/A</v>
      </c>
    </row>
    <row r="47">
      <c r="A47" s="5" t="s">
        <v>1595</v>
      </c>
      <c r="B47" s="59">
        <f>vlookup(A47,IR_WR!B:F,5,)</f>
        <v>0.57</v>
      </c>
    </row>
    <row r="48">
      <c r="A48" s="5" t="s">
        <v>1596</v>
      </c>
      <c r="B48" s="59">
        <f>vlookup(A48,IR_WR!B:F,5,)</f>
        <v>0.39</v>
      </c>
    </row>
    <row r="49">
      <c r="A49" s="5" t="s">
        <v>1597</v>
      </c>
      <c r="B49" s="59">
        <f>vlookup(A49,IR_WR!B:F,5,)</f>
        <v>0.65</v>
      </c>
    </row>
    <row r="50">
      <c r="A50" s="5" t="s">
        <v>1598</v>
      </c>
      <c r="B50" s="59">
        <f>vlookup(A50,IR_WR!B:F,5,)</f>
        <v>0.33</v>
      </c>
    </row>
    <row r="51">
      <c r="A51" s="5" t="s">
        <v>1599</v>
      </c>
      <c r="B51" s="59">
        <f>vlookup(A51,IR_WR!B:F,5,)</f>
        <v>0.36</v>
      </c>
    </row>
    <row r="52">
      <c r="A52" s="5" t="s">
        <v>1600</v>
      </c>
      <c r="B52" s="59">
        <f>vlookup(A52,IR_WR!B:F,5,)</f>
        <v>0.33</v>
      </c>
    </row>
    <row r="53">
      <c r="A53" s="5" t="s">
        <v>1601</v>
      </c>
      <c r="B53" s="59">
        <f>vlookup(A53,IR_WR!B:F,5,)</f>
        <v>0.33</v>
      </c>
    </row>
    <row r="54">
      <c r="A54" s="5" t="s">
        <v>1602</v>
      </c>
      <c r="B54" s="59">
        <f>vlookup(A54,IR_WR!B:F,5,)</f>
        <v>0.51</v>
      </c>
    </row>
    <row r="55">
      <c r="A55" s="5" t="s">
        <v>1603</v>
      </c>
      <c r="B55" s="59">
        <f>vlookup(A55,IR_WR!B:F,5,)</f>
        <v>0.48</v>
      </c>
    </row>
    <row r="56">
      <c r="A56" s="5" t="s">
        <v>1604</v>
      </c>
      <c r="B56" s="59">
        <f>vlookup(A56,IR_WR!B:F,5,)</f>
        <v>0.25</v>
      </c>
    </row>
    <row r="57">
      <c r="A57" s="5" t="s">
        <v>1605</v>
      </c>
      <c r="B57" s="59">
        <f>vlookup(A57,IR_WR!B:F,5,)</f>
        <v>0.31</v>
      </c>
    </row>
    <row r="58">
      <c r="A58" s="5" t="s">
        <v>1606</v>
      </c>
      <c r="B58" s="59">
        <f>vlookup(A58,IR_WR!B:F,5,)</f>
        <v>0.86</v>
      </c>
    </row>
    <row r="59">
      <c r="A59" s="5" t="s">
        <v>1607</v>
      </c>
      <c r="B59" s="59">
        <f>vlookup(A59,IR_WR!B:F,5,)</f>
        <v>0.6</v>
      </c>
    </row>
    <row r="60">
      <c r="A60" s="5" t="s">
        <v>1608</v>
      </c>
      <c r="B60" s="59">
        <f>vlookup(A60,IR_WR!B:F,5,)</f>
        <v>0.54</v>
      </c>
    </row>
    <row r="61">
      <c r="A61" s="5" t="s">
        <v>1609</v>
      </c>
      <c r="B61" s="21" t="str">
        <f>vlookup(A61,IR_WR!B:F,5,)</f>
        <v>#N/A</v>
      </c>
    </row>
    <row r="62">
      <c r="A62" s="5" t="s">
        <v>1610</v>
      </c>
      <c r="B62" s="59">
        <f>vlookup(A62,IR_WR!B:F,5,)</f>
        <v>0.26</v>
      </c>
    </row>
    <row r="63">
      <c r="A63" s="5" t="s">
        <v>1611</v>
      </c>
      <c r="B63" s="59">
        <f>vlookup(A63,IR_WR!B:F,5,)</f>
        <v>0.48</v>
      </c>
    </row>
    <row r="64">
      <c r="A64" s="5" t="s">
        <v>1612</v>
      </c>
      <c r="B64" s="21" t="str">
        <f>vlookup(A64,IR_WR!B:F,5,)</f>
        <v>#N/A</v>
      </c>
    </row>
    <row r="65">
      <c r="A65" s="5" t="s">
        <v>1613</v>
      </c>
      <c r="B65" s="59">
        <f>vlookup(A65,IR_WR!B:F,5,)</f>
        <v>0.61</v>
      </c>
    </row>
    <row r="66">
      <c r="A66" s="5" t="s">
        <v>1614</v>
      </c>
      <c r="B66" s="59">
        <f>vlookup(A66,IR_WR!B:F,5,)</f>
        <v>0.08</v>
      </c>
    </row>
    <row r="67">
      <c r="A67" s="5" t="s">
        <v>1615</v>
      </c>
      <c r="B67" s="59">
        <f>vlookup(A67,IR_WR!B:F,5,)</f>
        <v>0.56</v>
      </c>
    </row>
    <row r="68">
      <c r="A68" s="5" t="s">
        <v>1616</v>
      </c>
      <c r="B68" s="59">
        <f>vlookup(A68,IR_WR!B:F,5,)</f>
        <v>0.63</v>
      </c>
    </row>
    <row r="69">
      <c r="A69" s="5" t="s">
        <v>1617</v>
      </c>
      <c r="B69" s="59">
        <f>vlookup(A69,IR_WR!B:F,5,)</f>
        <v>0.31</v>
      </c>
    </row>
    <row r="70">
      <c r="A70" s="5" t="s">
        <v>1618</v>
      </c>
      <c r="B70" s="59">
        <f>vlookup(A70,IR_WR!B:F,5,)</f>
        <v>0.71</v>
      </c>
    </row>
    <row r="71">
      <c r="A71" s="5" t="s">
        <v>1619</v>
      </c>
      <c r="B71" s="59">
        <f>vlookup(A71,IR_WR!B:F,5,)</f>
        <v>0.63</v>
      </c>
    </row>
    <row r="72">
      <c r="A72" s="5" t="s">
        <v>1620</v>
      </c>
      <c r="B72" s="59">
        <f>vlookup(A72,IR_WR!B:F,5,)</f>
        <v>0.28</v>
      </c>
    </row>
    <row r="73">
      <c r="A73" s="5" t="s">
        <v>1621</v>
      </c>
      <c r="B73" s="59">
        <f>vlookup(A73,IR_WR!B:F,5,)</f>
        <v>0.32</v>
      </c>
    </row>
    <row r="74">
      <c r="A74" s="5" t="s">
        <v>1622</v>
      </c>
      <c r="B74" s="59">
        <f>vlookup(A74,IR_WR!B:F,5,)</f>
        <v>0.36</v>
      </c>
    </row>
    <row r="75">
      <c r="A75" s="5" t="s">
        <v>1623</v>
      </c>
      <c r="B75" s="59">
        <f>vlookup(A75,IR_WR!B:F,5,)</f>
        <v>0.31</v>
      </c>
    </row>
    <row r="76">
      <c r="A76" s="2" t="s">
        <v>1624</v>
      </c>
      <c r="B76" s="21" t="str">
        <f>vlookup(A76,IR_WR!B:F,5,)</f>
        <v>#N/A</v>
      </c>
    </row>
    <row r="77">
      <c r="A77" s="5" t="s">
        <v>1625</v>
      </c>
      <c r="B77" s="59">
        <f>vlookup(A77,IR_WR!B:F,5,)</f>
        <v>0.73</v>
      </c>
    </row>
    <row r="78">
      <c r="A78" s="5" t="s">
        <v>1626</v>
      </c>
      <c r="B78" s="59">
        <f>vlookup(A78,IR_WR!B:F,5,)</f>
        <v>0.4</v>
      </c>
    </row>
    <row r="79">
      <c r="A79" s="5" t="s">
        <v>1627</v>
      </c>
      <c r="B79" s="59">
        <f>vlookup(A79,IR_WR!B:F,5,)</f>
        <v>0.16</v>
      </c>
    </row>
    <row r="80">
      <c r="A80" s="5" t="s">
        <v>1628</v>
      </c>
      <c r="B80" s="21" t="str">
        <f>vlookup(A80,IR_WR!B:F,5,)</f>
        <v>#N/A</v>
      </c>
    </row>
    <row r="81">
      <c r="A81" s="5" t="s">
        <v>1629</v>
      </c>
      <c r="B81" s="59">
        <f>vlookup(A81,IR_WR!B:F,5,)</f>
        <v>0.4</v>
      </c>
    </row>
    <row r="82">
      <c r="A82" s="5" t="s">
        <v>1631</v>
      </c>
      <c r="B82" s="59">
        <f>vlookup(A82,IR_WR!B:F,5,)</f>
        <v>0.8</v>
      </c>
    </row>
    <row r="83">
      <c r="A83" s="5" t="s">
        <v>1632</v>
      </c>
      <c r="B83" s="59">
        <f>vlookup(A83,IR_WR!B:F,5,)</f>
        <v>0.08</v>
      </c>
    </row>
    <row r="84">
      <c r="A84" s="5" t="s">
        <v>1633</v>
      </c>
      <c r="B84" s="21" t="str">
        <f>vlookup(A84,IR_WR!B:F,5,)</f>
        <v>#N/A</v>
      </c>
    </row>
    <row r="85">
      <c r="A85" s="5" t="s">
        <v>1634</v>
      </c>
      <c r="B85" s="59">
        <f>vlookup(A85,IR_WR!B:F,5,)</f>
        <v>0.33</v>
      </c>
    </row>
    <row r="86">
      <c r="A86" s="5" t="s">
        <v>1635</v>
      </c>
      <c r="B86" s="59">
        <f>vlookup(A86,IR_WR!B:F,5,)</f>
        <v>0.08</v>
      </c>
    </row>
    <row r="87">
      <c r="A87" s="5" t="s">
        <v>1636</v>
      </c>
      <c r="B87" s="21" t="str">
        <f>vlookup(A87,IR_WR!B:F,5,)</f>
        <v>#N/A</v>
      </c>
    </row>
    <row r="88">
      <c r="A88" s="5" t="s">
        <v>1637</v>
      </c>
      <c r="B88" s="59">
        <f>vlookup(A88,IR_WR!B:F,5,)</f>
        <v>0.33</v>
      </c>
    </row>
    <row r="89">
      <c r="A89" s="5" t="s">
        <v>1638</v>
      </c>
      <c r="B89" s="59">
        <f>vlookup(A89,IR_WR!B:F,5,)</f>
        <v>0.34</v>
      </c>
    </row>
    <row r="90">
      <c r="A90" s="5" t="s">
        <v>1639</v>
      </c>
      <c r="B90" s="59">
        <f>vlookup(A90,IR_WR!B:F,5,)</f>
        <v>0.08</v>
      </c>
    </row>
    <row r="91">
      <c r="A91" s="5" t="s">
        <v>1640</v>
      </c>
      <c r="B91" s="21" t="str">
        <f>vlookup(A91,IR_WR!B:F,5,)</f>
        <v>#N/A</v>
      </c>
    </row>
    <row r="92">
      <c r="A92" s="5" t="s">
        <v>1641</v>
      </c>
      <c r="B92" s="59">
        <f>vlookup(A92,IR_WR!B:F,5,)</f>
        <v>0.57</v>
      </c>
    </row>
    <row r="93">
      <c r="A93" s="5" t="s">
        <v>1642</v>
      </c>
      <c r="B93" s="59">
        <f>vlookup(A93,IR_WR!B:F,5,)</f>
        <v>0.79</v>
      </c>
    </row>
    <row r="94">
      <c r="A94" s="5" t="s">
        <v>1643</v>
      </c>
      <c r="B94" s="59">
        <f>vlookup(A94,IR_WR!B:F,5,)</f>
        <v>0.82</v>
      </c>
    </row>
    <row r="95">
      <c r="A95" s="5" t="s">
        <v>1644</v>
      </c>
      <c r="B95" s="21" t="str">
        <f>vlookup(A95,IR_WR!B:F,5,)</f>
        <v>#N/A</v>
      </c>
    </row>
    <row r="96">
      <c r="A96" s="5" t="s">
        <v>1645</v>
      </c>
      <c r="B96" s="59">
        <f>vlookup(A96,IR_WR!B:F,5,)</f>
        <v>0.19</v>
      </c>
    </row>
    <row r="97">
      <c r="A97" s="5" t="s">
        <v>1646</v>
      </c>
      <c r="B97" s="21" t="str">
        <f>vlookup(A97,IR_WR!B:F,5,)</f>
        <v>#N/A</v>
      </c>
    </row>
    <row r="98">
      <c r="A98" s="5" t="s">
        <v>1647</v>
      </c>
      <c r="B98" s="59">
        <f>vlookup(A98,IR_WR!B:F,5,)</f>
        <v>0.37</v>
      </c>
    </row>
    <row r="99">
      <c r="A99" s="5" t="s">
        <v>1648</v>
      </c>
      <c r="B99" s="21" t="str">
        <f>vlookup(A99,IR_WR!B:F,5,)</f>
        <v>#N/A</v>
      </c>
    </row>
    <row r="100">
      <c r="A100" s="5" t="s">
        <v>1649</v>
      </c>
      <c r="B100" s="59">
        <f>vlookup(A100,IR_WR!B:F,5,)</f>
        <v>0.64</v>
      </c>
    </row>
    <row r="101">
      <c r="A101" s="5" t="s">
        <v>1650</v>
      </c>
      <c r="B101" s="59">
        <f>vlookup(A101,IR_WR!B:F,5,)</f>
        <v>0.21</v>
      </c>
    </row>
    <row r="102">
      <c r="A102" s="5" t="s">
        <v>1651</v>
      </c>
      <c r="B102" s="59">
        <f>vlookup(A102,IR_WR!B:F,5,)</f>
        <v>0.86</v>
      </c>
    </row>
    <row r="103">
      <c r="A103" s="5" t="s">
        <v>1652</v>
      </c>
      <c r="B103" s="59">
        <f>vlookup(A103,IR_WR!B:F,5,)</f>
        <v>0.8</v>
      </c>
    </row>
    <row r="104">
      <c r="A104" s="5" t="s">
        <v>1653</v>
      </c>
      <c r="B104" s="21" t="str">
        <f>vlookup(A104,IR_WR!B:F,5,)</f>
        <v>#N/A</v>
      </c>
    </row>
    <row r="105">
      <c r="A105" s="5" t="s">
        <v>1654</v>
      </c>
      <c r="B105" s="21" t="str">
        <f>vlookup(A105,IR_WR!B:F,5,)</f>
        <v>#N/A</v>
      </c>
    </row>
    <row r="106">
      <c r="A106" s="5" t="s">
        <v>1655</v>
      </c>
      <c r="B106" s="59">
        <f>vlookup(A106,IR_WR!B:F,5,)</f>
        <v>0.6</v>
      </c>
    </row>
    <row r="107">
      <c r="A107" s="5" t="s">
        <v>1656</v>
      </c>
      <c r="B107" s="59">
        <f>vlookup(A107,IR_WR!B:F,5,)</f>
        <v>0.92</v>
      </c>
    </row>
    <row r="108">
      <c r="A108" s="5" t="s">
        <v>1657</v>
      </c>
      <c r="B108" s="59">
        <f>vlookup(A108,IR_WR!B:F,5,)</f>
        <v>0.61</v>
      </c>
    </row>
    <row r="109">
      <c r="A109" s="5" t="s">
        <v>1658</v>
      </c>
      <c r="B109" s="59">
        <f>vlookup(A109,IR_WR!B:F,5,)</f>
        <v>0.08</v>
      </c>
    </row>
    <row r="110">
      <c r="A110" s="5" t="s">
        <v>1659</v>
      </c>
      <c r="B110" s="59">
        <f>vlookup(A110,IR_WR!B:F,5,)</f>
        <v>0.43</v>
      </c>
    </row>
    <row r="111">
      <c r="A111" s="5" t="s">
        <v>1660</v>
      </c>
      <c r="B111" s="21" t="str">
        <f>vlookup(A111,IR_WR!B:F,5,)</f>
        <v>#N/A</v>
      </c>
    </row>
    <row r="112">
      <c r="A112" s="5" t="s">
        <v>1661</v>
      </c>
      <c r="B112" s="59">
        <f>vlookup(A112,IR_WR!B:F,5,)</f>
        <v>0.49</v>
      </c>
    </row>
    <row r="113">
      <c r="A113" s="5" t="s">
        <v>1662</v>
      </c>
      <c r="B113" s="59">
        <f>vlookup(A113,IR_WR!B:F,5,)</f>
        <v>0.08</v>
      </c>
    </row>
    <row r="114">
      <c r="A114" s="5" t="s">
        <v>1663</v>
      </c>
      <c r="B114" s="59">
        <f>vlookup(A114,IR_WR!B:F,5,)</f>
        <v>0.95</v>
      </c>
    </row>
    <row r="115">
      <c r="A115" s="5" t="s">
        <v>1664</v>
      </c>
      <c r="B115" s="59">
        <f>vlookup(A115,IR_WR!B:F,5,)</f>
        <v>0.29</v>
      </c>
    </row>
    <row r="116">
      <c r="A116" s="5" t="s">
        <v>1665</v>
      </c>
      <c r="B116" s="59">
        <f>vlookup(A116,IR_WR!B:F,5,)</f>
        <v>0.22</v>
      </c>
    </row>
    <row r="117">
      <c r="A117" s="5" t="s">
        <v>1666</v>
      </c>
      <c r="B117" s="59">
        <f>vlookup(A117,IR_WR!B:F,5,)</f>
        <v>0.6</v>
      </c>
    </row>
    <row r="118">
      <c r="A118" s="5" t="s">
        <v>1667</v>
      </c>
      <c r="B118" s="59">
        <f>vlookup(A118,IR_WR!B:F,5,)</f>
        <v>0.09</v>
      </c>
    </row>
    <row r="119">
      <c r="A119" s="2" t="s">
        <v>1668</v>
      </c>
      <c r="B119" s="21" t="str">
        <f>vlookup(A119,IR_WR!B:F,5,)</f>
        <v>#N/A</v>
      </c>
    </row>
    <row r="120">
      <c r="A120" s="5" t="s">
        <v>1669</v>
      </c>
      <c r="B120" s="59">
        <f>vlookup(A120,IR_WR!B:F,5,)</f>
        <v>0.3</v>
      </c>
    </row>
    <row r="121">
      <c r="A121" s="5" t="s">
        <v>1670</v>
      </c>
      <c r="B121" s="59">
        <f>vlookup(A121,IR_WR!B:F,5,)</f>
        <v>0.91</v>
      </c>
    </row>
    <row r="122">
      <c r="A122" s="5" t="s">
        <v>1671</v>
      </c>
      <c r="B122" s="59">
        <f>vlookup(A122,IR_WR!B:F,5,)</f>
        <v>0.57</v>
      </c>
    </row>
    <row r="123">
      <c r="A123" s="5" t="s">
        <v>1672</v>
      </c>
      <c r="B123" s="21" t="str">
        <f>vlookup(A123,IR_WR!B:F,5,)</f>
        <v>#N/A</v>
      </c>
    </row>
    <row r="124">
      <c r="A124" s="5" t="s">
        <v>1673</v>
      </c>
      <c r="B124" s="59">
        <f>vlookup(A124,IR_WR!B:F,5,)</f>
        <v>0.73</v>
      </c>
    </row>
    <row r="125">
      <c r="A125" s="5" t="s">
        <v>1674</v>
      </c>
      <c r="B125" s="59">
        <f>vlookup(A125,IR_WR!B:F,5,)</f>
        <v>0.33</v>
      </c>
    </row>
    <row r="126">
      <c r="A126" s="5" t="s">
        <v>1675</v>
      </c>
      <c r="B126" s="59">
        <f>vlookup(A126,IR_WR!B:F,5,)</f>
        <v>0.59</v>
      </c>
    </row>
    <row r="127">
      <c r="A127" s="5" t="s">
        <v>1676</v>
      </c>
      <c r="B127" s="59">
        <f>vlookup(A127,IR_WR!B:F,5,)</f>
        <v>0.89</v>
      </c>
    </row>
    <row r="128">
      <c r="A128" s="5" t="s">
        <v>1677</v>
      </c>
      <c r="B128" s="59">
        <f>vlookup(A128,IR_WR!B:F,5,)</f>
        <v>0.67</v>
      </c>
    </row>
    <row r="129">
      <c r="A129" s="5" t="s">
        <v>1678</v>
      </c>
      <c r="B129" s="59">
        <f>vlookup(A129,IR_WR!B:F,5,)</f>
        <v>0.63</v>
      </c>
    </row>
    <row r="130">
      <c r="A130" s="5" t="s">
        <v>1679</v>
      </c>
      <c r="B130" s="59">
        <f>vlookup(A130,IR_WR!B:F,5,)</f>
        <v>0.25</v>
      </c>
    </row>
    <row r="131">
      <c r="A131" s="5" t="s">
        <v>1680</v>
      </c>
      <c r="B131" s="21" t="str">
        <f>vlookup(A131,IR_WR!B:F,5,)</f>
        <v>#N/A</v>
      </c>
    </row>
    <row r="132">
      <c r="A132" s="5" t="s">
        <v>1681</v>
      </c>
      <c r="B132" s="59">
        <f>vlookup(A132,IR_WR!B:F,5,)</f>
        <v>0.58</v>
      </c>
    </row>
    <row r="133">
      <c r="A133" s="5" t="s">
        <v>1682</v>
      </c>
      <c r="B133" s="59">
        <f>vlookup(A133,IR_WR!B:F,5,)</f>
        <v>0.16</v>
      </c>
    </row>
    <row r="134">
      <c r="A134" s="5" t="s">
        <v>1683</v>
      </c>
      <c r="B134" s="59">
        <f>vlookup(A134,IR_WR!B:F,5,)</f>
        <v>0.09</v>
      </c>
    </row>
    <row r="135">
      <c r="A135" s="5" t="s">
        <v>1684</v>
      </c>
      <c r="B135" s="59">
        <f>vlookup(A135,IR_WR!B:F,5,)</f>
        <v>0.39</v>
      </c>
    </row>
    <row r="136">
      <c r="A136" s="5" t="s">
        <v>1685</v>
      </c>
      <c r="B136" s="59">
        <f>vlookup(A136,IR_WR!B:F,5,)</f>
        <v>0.78</v>
      </c>
    </row>
    <row r="137">
      <c r="A137" s="5" t="s">
        <v>1686</v>
      </c>
      <c r="B137" s="59">
        <f>vlookup(A137,IR_WR!B:F,5,)</f>
        <v>0.3</v>
      </c>
    </row>
    <row r="138">
      <c r="A138" s="5" t="s">
        <v>1687</v>
      </c>
      <c r="B138" s="59">
        <f>vlookup(A138,IR_WR!B:F,5,)</f>
        <v>0.91</v>
      </c>
    </row>
    <row r="139">
      <c r="A139" s="5" t="s">
        <v>1688</v>
      </c>
      <c r="B139" s="21" t="str">
        <f>vlookup(A139,IR_WR!B:F,5,)</f>
        <v>#N/A</v>
      </c>
    </row>
    <row r="140">
      <c r="A140" s="5" t="s">
        <v>1689</v>
      </c>
      <c r="B140" s="59">
        <f>vlookup(A140,IR_WR!B:F,5,)</f>
        <v>0.55</v>
      </c>
    </row>
    <row r="141">
      <c r="A141" s="5" t="s">
        <v>1690</v>
      </c>
      <c r="B141" s="59">
        <f>vlookup(A141,IR_WR!B:F,5,)</f>
        <v>0.55</v>
      </c>
    </row>
    <row r="142">
      <c r="A142" s="5" t="s">
        <v>1691</v>
      </c>
      <c r="B142" s="59">
        <f>vlookup(A142,IR_WR!B:F,5,)</f>
        <v>0.23</v>
      </c>
    </row>
    <row r="143">
      <c r="A143" s="5" t="s">
        <v>1692</v>
      </c>
      <c r="B143" s="59">
        <f>vlookup(A143,IR_WR!B:F,5,)</f>
        <v>0.36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88"/>
  </cols>
  <sheetData>
    <row r="1">
      <c r="A1" s="5" t="s">
        <v>1862</v>
      </c>
      <c r="B1" s="38">
        <v>0.35</v>
      </c>
    </row>
    <row r="2">
      <c r="A2" s="5" t="s">
        <v>1863</v>
      </c>
      <c r="B2" s="38">
        <v>0.34</v>
      </c>
    </row>
    <row r="3">
      <c r="A3" s="5" t="s">
        <v>1864</v>
      </c>
      <c r="B3" s="38">
        <v>0.22</v>
      </c>
    </row>
    <row r="4">
      <c r="A4" s="5" t="s">
        <v>1866</v>
      </c>
      <c r="B4" s="38">
        <v>0.16</v>
      </c>
    </row>
    <row r="5">
      <c r="A5" s="5" t="s">
        <v>1868</v>
      </c>
      <c r="B5" s="38">
        <v>0.42</v>
      </c>
    </row>
    <row r="6">
      <c r="A6" s="5" t="s">
        <v>1870</v>
      </c>
      <c r="B6" s="38">
        <v>0.08</v>
      </c>
    </row>
    <row r="7">
      <c r="A7" s="5" t="s">
        <v>1871</v>
      </c>
      <c r="B7" s="38">
        <v>0.79</v>
      </c>
    </row>
    <row r="8">
      <c r="A8" s="5" t="s">
        <v>1872</v>
      </c>
      <c r="B8" s="38">
        <v>0.39</v>
      </c>
    </row>
    <row r="9">
      <c r="A9" s="5" t="s">
        <v>1874</v>
      </c>
      <c r="B9" s="38">
        <v>0.29</v>
      </c>
    </row>
    <row r="10">
      <c r="A10" s="5" t="s">
        <v>1876</v>
      </c>
      <c r="B10" s="38">
        <v>0.22</v>
      </c>
    </row>
    <row r="11">
      <c r="A11" s="5" t="s">
        <v>1877</v>
      </c>
      <c r="B11" s="38">
        <v>0.64</v>
      </c>
    </row>
    <row r="12">
      <c r="A12" s="5" t="s">
        <v>1878</v>
      </c>
      <c r="B12" s="38">
        <v>0.25</v>
      </c>
    </row>
    <row r="13">
      <c r="A13" s="5" t="s">
        <v>1879</v>
      </c>
      <c r="B13" s="38">
        <v>0.36</v>
      </c>
    </row>
    <row r="14">
      <c r="A14" s="5" t="s">
        <v>1881</v>
      </c>
      <c r="B14" s="38">
        <v>0.44</v>
      </c>
    </row>
    <row r="15">
      <c r="A15" s="5" t="s">
        <v>1882</v>
      </c>
      <c r="B15" s="38">
        <v>0.35</v>
      </c>
    </row>
    <row r="16">
      <c r="A16" s="5" t="s">
        <v>1884</v>
      </c>
      <c r="B16" s="38">
        <v>0.79</v>
      </c>
    </row>
    <row r="17">
      <c r="A17" s="5" t="s">
        <v>1886</v>
      </c>
      <c r="B17" s="38">
        <v>0.45</v>
      </c>
    </row>
    <row r="18">
      <c r="A18" s="5" t="s">
        <v>1888</v>
      </c>
      <c r="B18" s="38">
        <v>0.56</v>
      </c>
    </row>
    <row r="19">
      <c r="A19" s="5" t="s">
        <v>1889</v>
      </c>
      <c r="B19" s="38">
        <v>0.12</v>
      </c>
    </row>
    <row r="20">
      <c r="A20" s="5" t="s">
        <v>1891</v>
      </c>
      <c r="B20" s="38">
        <v>0.24</v>
      </c>
    </row>
    <row r="21">
      <c r="A21" s="5" t="s">
        <v>1893</v>
      </c>
      <c r="B21" s="38">
        <v>0.39</v>
      </c>
    </row>
    <row r="22">
      <c r="A22" s="5" t="s">
        <v>1894</v>
      </c>
      <c r="B22" s="38">
        <v>0.16</v>
      </c>
    </row>
    <row r="23">
      <c r="A23" s="5" t="s">
        <v>1895</v>
      </c>
      <c r="B23" s="38">
        <v>0.89</v>
      </c>
    </row>
    <row r="24">
      <c r="A24" s="5" t="s">
        <v>1896</v>
      </c>
      <c r="B24" s="38">
        <v>0.3</v>
      </c>
    </row>
    <row r="25">
      <c r="A25" s="5" t="s">
        <v>1898</v>
      </c>
      <c r="B25" s="38">
        <v>0.79</v>
      </c>
    </row>
    <row r="26">
      <c r="A26" s="5" t="s">
        <v>1899</v>
      </c>
      <c r="B26" s="38">
        <v>0.1</v>
      </c>
    </row>
    <row r="27">
      <c r="A27" s="5" t="s">
        <v>1901</v>
      </c>
      <c r="B27" s="38">
        <v>0.48</v>
      </c>
    </row>
    <row r="28">
      <c r="A28" s="5" t="s">
        <v>1902</v>
      </c>
      <c r="B28" s="38">
        <v>0.23</v>
      </c>
    </row>
    <row r="29">
      <c r="A29" s="5" t="s">
        <v>1903</v>
      </c>
      <c r="B29" s="38">
        <v>0.08</v>
      </c>
    </row>
    <row r="30">
      <c r="A30" s="5" t="s">
        <v>1905</v>
      </c>
      <c r="B30" s="38">
        <v>0.49</v>
      </c>
    </row>
    <row r="31">
      <c r="A31" s="5" t="s">
        <v>1906</v>
      </c>
      <c r="B31" s="38">
        <v>0.23</v>
      </c>
    </row>
    <row r="32">
      <c r="A32" s="5" t="s">
        <v>1907</v>
      </c>
      <c r="B32" s="38">
        <v>0.41</v>
      </c>
    </row>
    <row r="33">
      <c r="A33" s="2" t="s">
        <v>1909</v>
      </c>
      <c r="B33" s="38">
        <v>0.62</v>
      </c>
    </row>
    <row r="34">
      <c r="A34" s="5" t="s">
        <v>1910</v>
      </c>
      <c r="B34" s="38">
        <v>0.25</v>
      </c>
    </row>
    <row r="35">
      <c r="A35" s="5" t="s">
        <v>1912</v>
      </c>
      <c r="B35" s="38">
        <v>0.59</v>
      </c>
    </row>
    <row r="36">
      <c r="A36" s="5" t="s">
        <v>1913</v>
      </c>
      <c r="B36" s="38">
        <v>0.24</v>
      </c>
    </row>
    <row r="37">
      <c r="A37" s="5" t="s">
        <v>1914</v>
      </c>
      <c r="B37" s="38">
        <v>0.22</v>
      </c>
    </row>
    <row r="38">
      <c r="A38" s="5" t="s">
        <v>1915</v>
      </c>
      <c r="B38" s="38">
        <v>0.33</v>
      </c>
    </row>
    <row r="39">
      <c r="A39" s="5" t="s">
        <v>1916</v>
      </c>
      <c r="B39" s="38">
        <v>0.33</v>
      </c>
    </row>
    <row r="40">
      <c r="A40" s="5" t="s">
        <v>1917</v>
      </c>
      <c r="B40" s="38">
        <v>0.62</v>
      </c>
    </row>
    <row r="41">
      <c r="A41" s="5" t="s">
        <v>1919</v>
      </c>
      <c r="B41" s="38">
        <v>0.17</v>
      </c>
    </row>
    <row r="42">
      <c r="A42" s="5" t="s">
        <v>1921</v>
      </c>
      <c r="B42" s="38">
        <v>0.8</v>
      </c>
    </row>
    <row r="43">
      <c r="A43" s="5" t="s">
        <v>1922</v>
      </c>
      <c r="B43" s="38">
        <v>0.3</v>
      </c>
    </row>
    <row r="44">
      <c r="A44" s="5" t="s">
        <v>1923</v>
      </c>
      <c r="B44" s="38">
        <v>0.36</v>
      </c>
    </row>
    <row r="45">
      <c r="A45" s="5" t="s">
        <v>1924</v>
      </c>
      <c r="B45" s="38">
        <v>0.45</v>
      </c>
    </row>
    <row r="46">
      <c r="A46" s="5" t="s">
        <v>1926</v>
      </c>
      <c r="B46" s="38">
        <v>0.32</v>
      </c>
    </row>
    <row r="47">
      <c r="A47" s="5" t="s">
        <v>1928</v>
      </c>
      <c r="B47" s="38">
        <v>0.25</v>
      </c>
    </row>
    <row r="48">
      <c r="A48" s="5" t="s">
        <v>1929</v>
      </c>
      <c r="B48" s="38">
        <v>0.23</v>
      </c>
    </row>
    <row r="49">
      <c r="A49" s="5" t="s">
        <v>1930</v>
      </c>
      <c r="B49" s="38">
        <v>0.33</v>
      </c>
    </row>
    <row r="50">
      <c r="A50" s="5" t="s">
        <v>1932</v>
      </c>
      <c r="B50" s="38">
        <v>0.91</v>
      </c>
    </row>
    <row r="51">
      <c r="A51" s="5" t="s">
        <v>1934</v>
      </c>
      <c r="B51" s="38">
        <v>0.26</v>
      </c>
    </row>
    <row r="52">
      <c r="A52" s="5" t="s">
        <v>1936</v>
      </c>
      <c r="B52" s="38">
        <v>0.34</v>
      </c>
    </row>
    <row r="53">
      <c r="A53" s="5" t="s">
        <v>1937</v>
      </c>
      <c r="B53" s="38">
        <v>0.51</v>
      </c>
    </row>
    <row r="54">
      <c r="A54" s="5" t="s">
        <v>1938</v>
      </c>
      <c r="B54" s="38">
        <v>0.93</v>
      </c>
    </row>
    <row r="55">
      <c r="A55" s="5" t="s">
        <v>1939</v>
      </c>
      <c r="B55" s="38">
        <v>0.23</v>
      </c>
    </row>
    <row r="56">
      <c r="A56" s="5" t="s">
        <v>1941</v>
      </c>
      <c r="B56" s="38">
        <v>0.35</v>
      </c>
    </row>
    <row r="57">
      <c r="A57" s="5" t="s">
        <v>1942</v>
      </c>
      <c r="B57" s="38">
        <v>0.27</v>
      </c>
    </row>
    <row r="58">
      <c r="A58" s="5" t="s">
        <v>1943</v>
      </c>
      <c r="B58" s="38">
        <v>0.22</v>
      </c>
    </row>
    <row r="59">
      <c r="A59" s="5" t="s">
        <v>1944</v>
      </c>
      <c r="B59" s="38">
        <v>0.62</v>
      </c>
    </row>
    <row r="60">
      <c r="A60" s="5" t="s">
        <v>1945</v>
      </c>
      <c r="B60" s="38">
        <v>0.31</v>
      </c>
    </row>
    <row r="61">
      <c r="A61" s="5" t="s">
        <v>1947</v>
      </c>
      <c r="B61" s="38">
        <v>0.71</v>
      </c>
    </row>
    <row r="63">
      <c r="B63" s="5" t="s">
        <v>2255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9.38"/>
  </cols>
  <sheetData>
    <row r="1">
      <c r="A1" s="5" t="s">
        <v>1796</v>
      </c>
      <c r="B1" s="59">
        <f>vlookup(A1,IR_QB!B:F,5,)</f>
        <v>0.39</v>
      </c>
    </row>
    <row r="2">
      <c r="A2" s="5" t="s">
        <v>1797</v>
      </c>
      <c r="B2" s="59">
        <f>vlookup(A2,IR_QB!B:F,5,)</f>
        <v>0.49</v>
      </c>
    </row>
    <row r="3">
      <c r="A3" s="2" t="s">
        <v>1798</v>
      </c>
      <c r="B3" s="21" t="str">
        <f>vlookup(A3,IR_QB!B:F,5,)</f>
        <v>#N/A</v>
      </c>
    </row>
    <row r="4">
      <c r="A4" s="5" t="s">
        <v>1799</v>
      </c>
      <c r="B4" s="59">
        <f>vlookup(A4,IR_QB!B:F,5,)</f>
        <v>0.59</v>
      </c>
    </row>
    <row r="5">
      <c r="A5" s="5" t="s">
        <v>1800</v>
      </c>
      <c r="B5" s="59">
        <f>vlookup(A5,IR_QB!B:F,5,)</f>
        <v>0.19</v>
      </c>
    </row>
    <row r="6">
      <c r="A6" s="5" t="s">
        <v>1801</v>
      </c>
      <c r="B6" s="59">
        <f>vlookup(A6,IR_QB!B:F,5,)</f>
        <v>0.18</v>
      </c>
    </row>
    <row r="7">
      <c r="A7" s="5" t="s">
        <v>1802</v>
      </c>
      <c r="B7" s="59">
        <f>vlookup(A7,IR_QB!B:F,5,)</f>
        <v>0.31</v>
      </c>
    </row>
    <row r="8">
      <c r="A8" s="5" t="s">
        <v>1803</v>
      </c>
      <c r="B8" s="59">
        <f>vlookup(A8,IR_QB!B:F,5,)</f>
        <v>0.24</v>
      </c>
    </row>
    <row r="9">
      <c r="A9" s="5" t="s">
        <v>1804</v>
      </c>
      <c r="B9" s="21" t="str">
        <f>vlookup(A9,IR_QB!B:F,5,)</f>
        <v>#N/A</v>
      </c>
    </row>
    <row r="10">
      <c r="A10" s="5" t="s">
        <v>1805</v>
      </c>
      <c r="B10" s="21" t="str">
        <f>vlookup(A10,IR_QB!B:F,5,)</f>
        <v>#N/A</v>
      </c>
    </row>
    <row r="11">
      <c r="A11" s="5" t="s">
        <v>1807</v>
      </c>
      <c r="B11" s="59">
        <f>vlookup(A11,IR_QB!B:F,5,)</f>
        <v>0.51</v>
      </c>
    </row>
    <row r="12">
      <c r="A12" s="5" t="s">
        <v>1808</v>
      </c>
      <c r="B12" s="59">
        <f>vlookup(A12,IR_QB!B:F,5,)</f>
        <v>0.64</v>
      </c>
    </row>
    <row r="13">
      <c r="A13" s="5" t="s">
        <v>1809</v>
      </c>
      <c r="B13" s="59">
        <f>vlookup(A13,IR_QB!B:F,5,)</f>
        <v>0.18</v>
      </c>
    </row>
    <row r="14">
      <c r="A14" s="5" t="s">
        <v>1810</v>
      </c>
      <c r="B14" s="59">
        <f>vlookup(A14,IR_QB!B:F,5,)</f>
        <v>0.07</v>
      </c>
    </row>
    <row r="15">
      <c r="A15" s="5" t="s">
        <v>1811</v>
      </c>
      <c r="B15" s="59">
        <f>vlookup(A15,IR_QB!B:F,5,)</f>
        <v>0.06</v>
      </c>
    </row>
    <row r="16">
      <c r="A16" s="5" t="s">
        <v>1813</v>
      </c>
      <c r="B16" s="59">
        <f>vlookup(A16,IR_QB!B:F,5,)</f>
        <v>0.26</v>
      </c>
    </row>
    <row r="17">
      <c r="A17" s="5" t="s">
        <v>1814</v>
      </c>
      <c r="B17" s="21" t="str">
        <f>vlookup(A17,IR_QB!B:F,5,)</f>
        <v>#N/A</v>
      </c>
    </row>
    <row r="18">
      <c r="A18" s="5" t="s">
        <v>1815</v>
      </c>
      <c r="B18" s="59">
        <f>vlookup(A18,IR_QB!B:F,5,)</f>
        <v>0.14</v>
      </c>
    </row>
    <row r="19">
      <c r="A19" s="5" t="s">
        <v>1816</v>
      </c>
      <c r="B19" s="59">
        <f>vlookup(A19,IR_QB!B:F,5,)</f>
        <v>0.2</v>
      </c>
    </row>
    <row r="20">
      <c r="A20" s="5" t="s">
        <v>1817</v>
      </c>
      <c r="B20" s="59">
        <f>vlookup(A20,IR_QB!B:F,5,)</f>
        <v>0.35</v>
      </c>
    </row>
    <row r="21">
      <c r="A21" s="5" t="s">
        <v>1819</v>
      </c>
      <c r="B21" s="59">
        <f>vlookup(A21,IR_QB!B:F,5,)</f>
        <v>0.07</v>
      </c>
    </row>
    <row r="22">
      <c r="A22" s="5" t="s">
        <v>1821</v>
      </c>
      <c r="B22" s="59">
        <f>vlookup(A22,IR_QB!B:F,5,)</f>
        <v>0.59</v>
      </c>
    </row>
    <row r="23">
      <c r="A23" s="5" t="s">
        <v>1822</v>
      </c>
      <c r="B23" s="59">
        <f>vlookup(A23,IR_QB!B:F,5,)</f>
        <v>0.18</v>
      </c>
    </row>
    <row r="24">
      <c r="A24" s="5" t="s">
        <v>1824</v>
      </c>
      <c r="B24" s="59">
        <f>vlookup(A24,IR_QB!B:F,5,)</f>
        <v>0.65</v>
      </c>
    </row>
    <row r="25">
      <c r="A25" s="5" t="s">
        <v>1825</v>
      </c>
      <c r="B25" s="59">
        <f>vlookup(A25,IR_QB!B:F,5,)</f>
        <v>0.58</v>
      </c>
    </row>
    <row r="26">
      <c r="A26" s="5" t="s">
        <v>1827</v>
      </c>
      <c r="B26" s="59">
        <f>vlookup(A26,IR_QB!B:F,5,)</f>
        <v>0.22</v>
      </c>
    </row>
    <row r="27">
      <c r="A27" s="5" t="s">
        <v>1828</v>
      </c>
      <c r="B27" s="59">
        <f>vlookup(A27,IR_QB!B:F,5,)</f>
        <v>0.13</v>
      </c>
    </row>
    <row r="28">
      <c r="A28" s="2" t="s">
        <v>1829</v>
      </c>
      <c r="B28" s="21" t="str">
        <f>vlookup(A28,IR_QB!B:F,5,)</f>
        <v>#N/A</v>
      </c>
    </row>
    <row r="29">
      <c r="A29" s="5" t="s">
        <v>1830</v>
      </c>
      <c r="B29" s="59">
        <f>vlookup(A29,IR_QB!B:F,5,)</f>
        <v>0.67</v>
      </c>
    </row>
    <row r="30">
      <c r="A30" s="5" t="s">
        <v>1831</v>
      </c>
      <c r="B30" s="59">
        <f>vlookup(A30,IR_QB!B:F,5,)</f>
        <v>0.3</v>
      </c>
    </row>
    <row r="31">
      <c r="A31" s="5" t="s">
        <v>1833</v>
      </c>
      <c r="B31" s="59">
        <f>vlookup(A31,IR_QB!B:F,5,)</f>
        <v>0.06</v>
      </c>
    </row>
    <row r="32">
      <c r="A32" s="5" t="s">
        <v>1834</v>
      </c>
      <c r="B32" s="59">
        <f>vlookup(A32,IR_QB!B:F,5,)</f>
        <v>0.1</v>
      </c>
    </row>
    <row r="33">
      <c r="A33" s="5" t="s">
        <v>1835</v>
      </c>
      <c r="B33" s="59">
        <f>vlookup(A33,IR_QB!B:F,5,)</f>
        <v>0.58</v>
      </c>
    </row>
    <row r="34">
      <c r="A34" s="5" t="s">
        <v>1836</v>
      </c>
      <c r="B34" s="59">
        <f>vlookup(A34,IR_QB!B:F,5,)</f>
        <v>0.52</v>
      </c>
    </row>
    <row r="35">
      <c r="A35" s="5" t="s">
        <v>1838</v>
      </c>
      <c r="B35" s="59">
        <f>vlookup(A35,IR_QB!B:F,5,)</f>
        <v>0.37</v>
      </c>
    </row>
    <row r="36">
      <c r="A36" s="5" t="s">
        <v>1839</v>
      </c>
      <c r="B36" s="59">
        <f>vlookup(A36,IR_QB!B:F,5,)</f>
        <v>0.21</v>
      </c>
    </row>
    <row r="37">
      <c r="A37" s="5" t="s">
        <v>1841</v>
      </c>
      <c r="B37" s="59">
        <f>vlookup(A37,IR_QB!B:F,5,)</f>
        <v>0.61</v>
      </c>
    </row>
    <row r="38">
      <c r="A38" s="5" t="s">
        <v>1842</v>
      </c>
      <c r="B38" s="59">
        <f>vlookup(A38,IR_QB!B:F,5,)</f>
        <v>0.58</v>
      </c>
    </row>
    <row r="39">
      <c r="A39" s="5" t="s">
        <v>1843</v>
      </c>
      <c r="B39" s="59">
        <f>vlookup(A39,IR_QB!B:F,5,)</f>
        <v>0.25</v>
      </c>
    </row>
    <row r="40">
      <c r="A40" s="5" t="s">
        <v>1844</v>
      </c>
      <c r="B40" s="59">
        <f>vlookup(A40,IR_QB!B:F,5,)</f>
        <v>0.49</v>
      </c>
    </row>
    <row r="41">
      <c r="A41" s="5" t="s">
        <v>1846</v>
      </c>
      <c r="B41" s="59">
        <f>vlookup(A41,IR_QB!B:F,5,)</f>
        <v>0.3</v>
      </c>
    </row>
    <row r="42">
      <c r="A42" s="5" t="s">
        <v>1848</v>
      </c>
      <c r="B42" s="59">
        <f>vlookup(A42,IR_QB!B:F,5,)</f>
        <v>0.63</v>
      </c>
    </row>
    <row r="43">
      <c r="A43" s="5" t="s">
        <v>1849</v>
      </c>
      <c r="B43" s="59">
        <f>vlookup(A43,IR_QB!B:F,5,)</f>
        <v>0.35</v>
      </c>
    </row>
    <row r="44">
      <c r="A44" s="5" t="s">
        <v>1850</v>
      </c>
      <c r="B44" s="59">
        <f>vlookup(A44,IR_QB!B:F,5,)</f>
        <v>0.3</v>
      </c>
    </row>
    <row r="45">
      <c r="A45" s="5" t="s">
        <v>1851</v>
      </c>
      <c r="B45" s="59">
        <f>vlookup(A45,IR_QB!B:F,5,)</f>
        <v>0.5</v>
      </c>
    </row>
    <row r="46">
      <c r="A46" s="5" t="s">
        <v>1853</v>
      </c>
      <c r="B46" s="59">
        <f>vlookup(A46,IR_QB!B:F,5,)</f>
        <v>0.17</v>
      </c>
    </row>
    <row r="47">
      <c r="A47" s="5" t="s">
        <v>1855</v>
      </c>
      <c r="B47" s="21" t="str">
        <f>vlookup(A47,IR_QB!B:F,5,)</f>
        <v>#N/A</v>
      </c>
    </row>
    <row r="48">
      <c r="A48" s="5" t="s">
        <v>1856</v>
      </c>
      <c r="B48" s="59">
        <f>vlookup(A48,IR_QB!B:F,5,)</f>
        <v>0.84</v>
      </c>
    </row>
    <row r="49">
      <c r="A49" s="5" t="s">
        <v>1857</v>
      </c>
      <c r="B49" s="59">
        <f>vlookup(A49,IR_QB!B:F,5,)</f>
        <v>0.92</v>
      </c>
    </row>
    <row r="50">
      <c r="A50" s="5" t="s">
        <v>1859</v>
      </c>
      <c r="B50" s="59">
        <f>vlookup(A50,IR_QB!B:F,5,)</f>
        <v>0.35</v>
      </c>
    </row>
    <row r="51">
      <c r="A51" s="5" t="s">
        <v>1860</v>
      </c>
      <c r="B51" s="59">
        <f>vlookup(A51,IR_QB!B:F,5,)</f>
        <v>0.33</v>
      </c>
    </row>
    <row r="52">
      <c r="B52" s="21"/>
    </row>
    <row r="53">
      <c r="B53" s="21"/>
    </row>
    <row r="54">
      <c r="B54" s="21"/>
    </row>
    <row r="55">
      <c r="B55" s="21"/>
    </row>
    <row r="56">
      <c r="B56" s="21"/>
    </row>
    <row r="57">
      <c r="B57" s="21"/>
    </row>
    <row r="58">
      <c r="B58" s="21"/>
    </row>
    <row r="59">
      <c r="B59" s="21"/>
    </row>
    <row r="60">
      <c r="B60" s="21"/>
    </row>
    <row r="61">
      <c r="B61" s="21"/>
    </row>
    <row r="62">
      <c r="B62" s="21"/>
    </row>
    <row r="63">
      <c r="B63" s="21"/>
    </row>
    <row r="64">
      <c r="B64" s="21"/>
    </row>
    <row r="65">
      <c r="B65" s="21"/>
    </row>
    <row r="66">
      <c r="B66" s="21"/>
    </row>
    <row r="67">
      <c r="B67" s="21"/>
    </row>
    <row r="68">
      <c r="B68" s="21"/>
    </row>
    <row r="69">
      <c r="B69" s="21"/>
    </row>
    <row r="70">
      <c r="B70" s="21"/>
    </row>
    <row r="71">
      <c r="B71" s="21"/>
    </row>
    <row r="72">
      <c r="B72" s="21"/>
    </row>
    <row r="73">
      <c r="B73" s="21"/>
    </row>
    <row r="74">
      <c r="B74" s="21"/>
    </row>
    <row r="75">
      <c r="B75" s="21"/>
    </row>
    <row r="76">
      <c r="B76" s="21"/>
    </row>
    <row r="77">
      <c r="B77" s="21"/>
    </row>
    <row r="78">
      <c r="B78" s="21"/>
    </row>
    <row r="79">
      <c r="B79" s="21"/>
    </row>
    <row r="80">
      <c r="B80" s="21"/>
    </row>
    <row r="81">
      <c r="B81" s="21"/>
    </row>
    <row r="82">
      <c r="B82" s="21"/>
    </row>
    <row r="83">
      <c r="B83" s="21"/>
    </row>
    <row r="84">
      <c r="B84" s="21"/>
    </row>
    <row r="85">
      <c r="B85" s="21"/>
    </row>
    <row r="86">
      <c r="B86" s="21"/>
    </row>
    <row r="87">
      <c r="B87" s="21"/>
    </row>
    <row r="88">
      <c r="B88" s="21"/>
    </row>
    <row r="89">
      <c r="B89" s="21"/>
    </row>
    <row r="90">
      <c r="B90" s="21"/>
    </row>
    <row r="91">
      <c r="B91" s="21"/>
    </row>
    <row r="92">
      <c r="B92" s="21"/>
    </row>
    <row r="93">
      <c r="B93" s="21"/>
    </row>
    <row r="94">
      <c r="B94" s="21"/>
    </row>
    <row r="95">
      <c r="B95" s="21"/>
    </row>
    <row r="96">
      <c r="B96" s="21"/>
    </row>
    <row r="97">
      <c r="B97" s="21"/>
    </row>
    <row r="98">
      <c r="B98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</cols>
  <sheetData>
    <row r="1">
      <c r="A1" s="21" t="str">
        <f>IFERROR(__xludf.DUMMYFUNCTION("IMPORTHTML(""https://www.draftsharks.com/injury-predictor/rb"",""table"",1)"),"Player")</f>
        <v>Player</v>
      </c>
      <c r="B1" s="5"/>
      <c r="C1" s="5" t="str">
        <f>IFERROR(__xludf.DUMMYFUNCTION("""COMPUTED_VALUE"""),"Historic Stats")</f>
        <v>Historic Stats</v>
      </c>
      <c r="D1" s="5"/>
      <c r="E1" s="5" t="str">
        <f>IFERROR(__xludf.DUMMYFUNCTION("""COMPUTED_VALUE"""),"Injury Probabilities")</f>
        <v>Injury Probabilities</v>
      </c>
      <c r="F1" s="5"/>
      <c r="G1" s="5"/>
      <c r="H1" s="5"/>
      <c r="I1" s="5"/>
      <c r="J1" s="5" t="str">
        <f>IFERROR(__xludf.DUMMYFUNCTION("""COMPUTED_VALUE"""),"Projected Points")</f>
        <v>Projected Points</v>
      </c>
    </row>
    <row r="2">
      <c r="A2" s="5" t="str">
        <f>IFERROR(__xludf.DUMMYFUNCTION("""COMPUTED_VALUE"""),"Player")</f>
        <v>Player</v>
      </c>
      <c r="B2" s="5"/>
      <c r="C2" s="5" t="str">
        <f>IFERROR(__xludf.DUMMYFUNCTION("""COMPUTED_VALUE"""),"Career Injuries")</f>
        <v>Career Injuries</v>
      </c>
      <c r="D2" s="5"/>
      <c r="E2" s="5" t="str">
        <f>IFERROR(__xludf.DUMMYFUNCTION("""COMPUTED_VALUE"""),"Injury Risk")</f>
        <v>Injury Risk</v>
      </c>
      <c r="F2" s="5" t="str">
        <f>IFERROR(__xludf.DUMMYFUNCTION("""COMPUTED_VALUE"""),"Probability of Injury In the Season")</f>
        <v>Probability of Injury In the Season</v>
      </c>
      <c r="G2" s="5" t="str">
        <f>IFERROR(__xludf.DUMMYFUNCTION("""COMPUTED_VALUE"""),"Projected Games Missed")</f>
        <v>Projected Games Missed</v>
      </c>
      <c r="H2" s="5" t="str">
        <f>IFERROR(__xludf.DUMMYFUNCTION("""COMPUTED_VALUE"""),"Probability of Injury Per Game")</f>
        <v>Probability of Injury Per Game</v>
      </c>
      <c r="I2" s="5" t="str">
        <f>IFERROR(__xludf.DUMMYFUNCTION("""COMPUTED_VALUE"""),"Durability")</f>
        <v>Durability</v>
      </c>
      <c r="J2" s="5" t="str">
        <f>IFERROR(__xludf.DUMMYFUNCTION("""COMPUTED_VALUE"""),"PPR Points")</f>
        <v>PPR Points</v>
      </c>
    </row>
    <row r="3">
      <c r="A3" s="5"/>
      <c r="B3" s="5" t="str">
        <f>IFERROR(__xludf.DUMMYFUNCTION("""COMPUTED_VALUE"""),"Christian McCaffrey, RB SF")</f>
        <v>Christian McCaffrey, RB SF</v>
      </c>
      <c r="C3" s="5" t="str">
        <f>IFERROR(__xludf.DUMMYFUNCTION("""COMPUTED_VALUE"""),"7 | | | | | | |")</f>
        <v>7 | | | | | | |</v>
      </c>
      <c r="D3" s="5" t="str">
        <f>IFERROR(__xludf.DUMMYFUNCTION("""COMPUTED_VALUE"""),"+ Show History »")</f>
        <v>+ Show History »</v>
      </c>
      <c r="E3" s="5" t="str">
        <f>IFERROR(__xludf.DUMMYFUNCTION("""COMPUTED_VALUE"""),"Very High Risk")</f>
        <v>Very High Risk</v>
      </c>
      <c r="F3" s="38">
        <f>IFERROR(__xludf.DUMMYFUNCTION("""COMPUTED_VALUE"""),0.82)</f>
        <v>0.82</v>
      </c>
      <c r="G3" s="5">
        <f>IFERROR(__xludf.DUMMYFUNCTION("""COMPUTED_VALUE"""),3.0)</f>
        <v>3</v>
      </c>
      <c r="H3" s="60">
        <f>IFERROR(__xludf.DUMMYFUNCTION("""COMPUTED_VALUE"""),0.096)</f>
        <v>0.096</v>
      </c>
      <c r="I3" s="5">
        <f>IFERROR(__xludf.DUMMYFUNCTION("""COMPUTED_VALUE"""),2.92)</f>
        <v>2.92</v>
      </c>
      <c r="J3" s="5">
        <f>IFERROR(__xludf.DUMMYFUNCTION("""COMPUTED_VALUE"""),284.2)</f>
        <v>284.2</v>
      </c>
    </row>
    <row r="4">
      <c r="A4" s="5" t="str">
        <f>IFERROR(__xludf.DUMMYFUNCTION("""COMPUTED_VALUE"""),"*Very High Risk*
1
2
2
1
1
X
Christian McCaffreyRB SF
Seasons:6
Height:5'11""
Weight:202
Bye:9
View Player Profile »
Injury History [TABLE]")</f>
        <v>*Very High Risk*
1
2
2
1
1
X
Christian McCaffreyRB SF
Seasons:6
Height:5'11"
Weight:202
Bye:9
View Player Profile »
Injury History [TABLE]</v>
      </c>
      <c r="B4" s="5"/>
      <c r="C4" s="5"/>
      <c r="D4" s="5"/>
      <c r="E4" s="5"/>
      <c r="F4" s="5"/>
      <c r="G4" s="5"/>
      <c r="H4" s="5"/>
      <c r="I4" s="5"/>
      <c r="J4" s="5"/>
    </row>
    <row r="5">
      <c r="A5" s="5"/>
      <c r="B5" s="5" t="str">
        <f>IFERROR(__xludf.DUMMYFUNCTION("""COMPUTED_VALUE"""),"Kyren Williams, RB LAR")</f>
        <v>Kyren Williams, RB LAR</v>
      </c>
      <c r="C5" s="5" t="str">
        <f>IFERROR(__xludf.DUMMYFUNCTION("""COMPUTED_VALUE"""),"3 | | |")</f>
        <v>3 | | |</v>
      </c>
      <c r="D5" s="5" t="str">
        <f>IFERROR(__xludf.DUMMYFUNCTION("""COMPUTED_VALUE"""),"+ Show History »")</f>
        <v>+ Show History »</v>
      </c>
      <c r="E5" s="5" t="str">
        <f>IFERROR(__xludf.DUMMYFUNCTION("""COMPUTED_VALUE"""),"Low Risk")</f>
        <v>Low Risk</v>
      </c>
      <c r="F5" s="38">
        <f>IFERROR(__xludf.DUMMYFUNCTION("""COMPUTED_VALUE"""),0.35)</f>
        <v>0.35</v>
      </c>
      <c r="G5" s="5">
        <f>IFERROR(__xludf.DUMMYFUNCTION("""COMPUTED_VALUE"""),0.95)</f>
        <v>0.95</v>
      </c>
      <c r="H5" s="60">
        <f>IFERROR(__xludf.DUMMYFUNCTION("""COMPUTED_VALUE"""),0.025)</f>
        <v>0.025</v>
      </c>
      <c r="I5" s="5">
        <f>IFERROR(__xludf.DUMMYFUNCTION("""COMPUTED_VALUE"""),1.0)</f>
        <v>1</v>
      </c>
      <c r="J5" s="5">
        <f>IFERROR(__xludf.DUMMYFUNCTION("""COMPUTED_VALUE"""),230.7)</f>
        <v>230.7</v>
      </c>
    </row>
    <row r="6">
      <c r="A6" s="5" t="str">
        <f>IFERROR(__xludf.DUMMYFUNCTION("""COMPUTED_VALUE"""),"*Low Risk*
3
X
Kyren WilliamsRB LAR
Seasons:2
Height:5'9""
Weight:194
Bye:10
View Player Profile »
Injury History [TABLE]")</f>
        <v>*Low Risk*
3
X
Kyren WilliamsRB LAR
Seasons:2
Height:5'9"
Weight:194
Bye:10
View Player Profile »
Injury History [TABLE]</v>
      </c>
      <c r="B6" s="5"/>
      <c r="C6" s="5"/>
      <c r="D6" s="5"/>
      <c r="E6" s="5"/>
      <c r="F6" s="5"/>
      <c r="G6" s="5"/>
      <c r="H6" s="5"/>
      <c r="I6" s="5"/>
      <c r="J6" s="5"/>
    </row>
    <row r="7">
      <c r="A7" s="5"/>
      <c r="B7" s="5" t="str">
        <f>IFERROR(__xludf.DUMMYFUNCTION("""COMPUTED_VALUE"""),"Rachaad White, RB TB")</f>
        <v>Rachaad White, RB TB</v>
      </c>
      <c r="C7" s="5" t="str">
        <f>IFERROR(__xludf.DUMMYFUNCTION("""COMPUTED_VALUE"""),"1 |")</f>
        <v>1 |</v>
      </c>
      <c r="D7" s="5" t="str">
        <f>IFERROR(__xludf.DUMMYFUNCTION("""COMPUTED_VALUE"""),"+ Show History »")</f>
        <v>+ Show History »</v>
      </c>
      <c r="E7" s="5" t="str">
        <f>IFERROR(__xludf.DUMMYFUNCTION("""COMPUTED_VALUE"""),"High Risk")</f>
        <v>High Risk</v>
      </c>
      <c r="F7" s="38">
        <f>IFERROR(__xludf.DUMMYFUNCTION("""COMPUTED_VALUE"""),0.61)</f>
        <v>0.61</v>
      </c>
      <c r="G7" s="5">
        <f>IFERROR(__xludf.DUMMYFUNCTION("""COMPUTED_VALUE"""),2.4)</f>
        <v>2.4</v>
      </c>
      <c r="H7" s="60">
        <f>IFERROR(__xludf.DUMMYFUNCTION("""COMPUTED_VALUE"""),0.054)</f>
        <v>0.054</v>
      </c>
      <c r="I7" s="5">
        <f>IFERROR(__xludf.DUMMYFUNCTION("""COMPUTED_VALUE"""),5.0)</f>
        <v>5</v>
      </c>
      <c r="J7" s="5">
        <f>IFERROR(__xludf.DUMMYFUNCTION("""COMPUTED_VALUE"""),227.1)</f>
        <v>227.1</v>
      </c>
    </row>
    <row r="8">
      <c r="A8" s="5" t="str">
        <f>IFERROR(__xludf.DUMMYFUNCTION("""COMPUTED_VALUE"""),"*High Risk*
1
X
Rachaad WhiteRB TB
Seasons:2
Height:6'0""
Weight:214
Bye:5
View Player Profile »
Injury History [TABLE]")</f>
        <v>*High Risk*
1
X
Rachaad WhiteRB TB
Seasons:2
Height:6'0"
Weight:214
Bye:5
View Player Profile »
Injury History [TABLE]</v>
      </c>
      <c r="B8" s="5"/>
      <c r="C8" s="5"/>
      <c r="D8" s="5"/>
      <c r="E8" s="5"/>
      <c r="F8" s="5"/>
      <c r="G8" s="5"/>
      <c r="H8" s="5"/>
      <c r="I8" s="5"/>
      <c r="J8" s="5"/>
    </row>
    <row r="9">
      <c r="A9" s="5"/>
      <c r="B9" s="5" t="str">
        <f>IFERROR(__xludf.DUMMYFUNCTION("""COMPUTED_VALUE"""),"Alvin Kamara, RB NO")</f>
        <v>Alvin Kamara, RB NO</v>
      </c>
      <c r="C9" s="5" t="str">
        <f>IFERROR(__xludf.DUMMYFUNCTION("""COMPUTED_VALUE"""),"7 | | | | | | |")</f>
        <v>7 | | | | | | |</v>
      </c>
      <c r="D9" s="5" t="str">
        <f>IFERROR(__xludf.DUMMYFUNCTION("""COMPUTED_VALUE"""),"+ Show History »")</f>
        <v>+ Show History »</v>
      </c>
      <c r="E9" s="5" t="str">
        <f>IFERROR(__xludf.DUMMYFUNCTION("""COMPUTED_VALUE"""),"High Risk")</f>
        <v>High Risk</v>
      </c>
      <c r="F9" s="38">
        <f>IFERROR(__xludf.DUMMYFUNCTION("""COMPUTED_VALUE"""),0.73)</f>
        <v>0.73</v>
      </c>
      <c r="G9" s="5">
        <f>IFERROR(__xludf.DUMMYFUNCTION("""COMPUTED_VALUE"""),1.7)</f>
        <v>1.7</v>
      </c>
      <c r="H9" s="60">
        <f>IFERROR(__xludf.DUMMYFUNCTION("""COMPUTED_VALUE"""),0.074)</f>
        <v>0.074</v>
      </c>
      <c r="I9" s="5">
        <f>IFERROR(__xludf.DUMMYFUNCTION("""COMPUTED_VALUE"""),3.43)</f>
        <v>3.43</v>
      </c>
      <c r="J9" s="5">
        <f>IFERROR(__xludf.DUMMYFUNCTION("""COMPUTED_VALUE"""),216.6)</f>
        <v>216.6</v>
      </c>
    </row>
    <row r="10">
      <c r="A10" s="5" t="str">
        <f>IFERROR(__xludf.DUMMYFUNCTION("""COMPUTED_VALUE"""),"*High Risk*
1
4
1
1
X
Alvin KamaraRB NO
Seasons:6
Height:5'10""
Weight:214
Bye:11
View Player Profile »
Injury History [TABLE]")</f>
        <v>*High Risk*
1
4
1
1
X
Alvin KamaraRB NO
Seasons:6
Height:5'10"
Weight:214
Bye:11
View Player Profile »
Injury History [TABLE]</v>
      </c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 t="str">
        <f>IFERROR(__xludf.DUMMYFUNCTION("""COMPUTED_VALUE"""),"Jahmyr Gibbs, RB DET")</f>
        <v>Jahmyr Gibbs, RB DET</v>
      </c>
      <c r="C11" s="5" t="str">
        <f>IFERROR(__xludf.DUMMYFUNCTION("""COMPUTED_VALUE"""),"2 | |")</f>
        <v>2 | |</v>
      </c>
      <c r="D11" s="5" t="str">
        <f>IFERROR(__xludf.DUMMYFUNCTION("""COMPUTED_VALUE"""),"+ Show History »")</f>
        <v>+ Show History »</v>
      </c>
      <c r="E11" s="5" t="str">
        <f>IFERROR(__xludf.DUMMYFUNCTION("""COMPUTED_VALUE"""),"Medium Risk")</f>
        <v>Medium Risk</v>
      </c>
      <c r="F11" s="38">
        <f>IFERROR(__xludf.DUMMYFUNCTION("""COMPUTED_VALUE"""),0.42)</f>
        <v>0.42</v>
      </c>
      <c r="G11" s="5">
        <f>IFERROR(__xludf.DUMMYFUNCTION("""COMPUTED_VALUE"""),0.7)</f>
        <v>0.7</v>
      </c>
      <c r="H11" s="60">
        <f>IFERROR(__xludf.DUMMYFUNCTION("""COMPUTED_VALUE"""),0.032)</f>
        <v>0.032</v>
      </c>
      <c r="I11" s="5">
        <f>IFERROR(__xludf.DUMMYFUNCTION("""COMPUTED_VALUE"""),5.0)</f>
        <v>5</v>
      </c>
      <c r="J11" s="5">
        <f>IFERROR(__xludf.DUMMYFUNCTION("""COMPUTED_VALUE"""),210.6)</f>
        <v>210.6</v>
      </c>
    </row>
    <row r="12">
      <c r="A12" s="5" t="str">
        <f>IFERROR(__xludf.DUMMYFUNCTION("""COMPUTED_VALUE"""),"*Medium Risk*
1
1
X
Jahmyr GibbsRB DET
Seasons:0
Height:5'9""
Weight:199
Bye:9
View Player Profile »
Injury History [TABLE]")</f>
        <v>*Medium Risk*
1
1
X
Jahmyr GibbsRB DET
Seasons:0
Height:5'9"
Weight:199
Bye:9
View Player Profile »
Injury History [TABLE]</v>
      </c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 t="str">
        <f>IFERROR(__xludf.DUMMYFUNCTION("""COMPUTED_VALUE"""),"James Cook, RB BUF")</f>
        <v>James Cook, RB BUF</v>
      </c>
      <c r="C13" s="5" t="str">
        <f>IFERROR(__xludf.DUMMYFUNCTION("""COMPUTED_VALUE"""),"3 | | |")</f>
        <v>3 | | |</v>
      </c>
      <c r="D13" s="5" t="str">
        <f>IFERROR(__xludf.DUMMYFUNCTION("""COMPUTED_VALUE"""),"+ Show History »")</f>
        <v>+ Show History »</v>
      </c>
      <c r="E13" s="5" t="str">
        <f>IFERROR(__xludf.DUMMYFUNCTION("""COMPUTED_VALUE"""),"Low Risk")</f>
        <v>Low Risk</v>
      </c>
      <c r="F13" s="38">
        <f>IFERROR(__xludf.DUMMYFUNCTION("""COMPUTED_VALUE"""),0.34)</f>
        <v>0.34</v>
      </c>
      <c r="G13" s="5">
        <f>IFERROR(__xludf.DUMMYFUNCTION("""COMPUTED_VALUE"""),0.78)</f>
        <v>0.78</v>
      </c>
      <c r="H13" s="60">
        <f>IFERROR(__xludf.DUMMYFUNCTION("""COMPUTED_VALUE"""),0.024)</f>
        <v>0.024</v>
      </c>
      <c r="I13" s="5">
        <f>IFERROR(__xludf.DUMMYFUNCTION("""COMPUTED_VALUE"""),5.0)</f>
        <v>5</v>
      </c>
      <c r="J13" s="5">
        <f>IFERROR(__xludf.DUMMYFUNCTION("""COMPUTED_VALUE"""),207.7)</f>
        <v>207.7</v>
      </c>
    </row>
    <row r="14">
      <c r="A14" s="5" t="str">
        <f>IFERROR(__xludf.DUMMYFUNCTION("""COMPUTED_VALUE"""),"*Low Risk*
1
1
1
X
James CookRB BUF
Seasons:2
Height:5'11""
Weight:190
Bye:13
View Player Profile »
Injury History [TABLE]")</f>
        <v>*Low Risk*
1
1
1
X
James CookRB BUF
Seasons:2
Height:5'11"
Weight:190
Bye:13
View Player Profile »
Injury History [TABLE]</v>
      </c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 t="str">
        <f>IFERROR(__xludf.DUMMYFUNCTION("""COMPUTED_VALUE"""),"Raheem Mostert, RB MIA")</f>
        <v>Raheem Mostert, RB MIA</v>
      </c>
      <c r="C15" s="5" t="str">
        <f>IFERROR(__xludf.DUMMYFUNCTION("""COMPUTED_VALUE"""),"12 | | | | | | | | | | | |")</f>
        <v>12 | | | | | | | | | | | |</v>
      </c>
      <c r="D15" s="5" t="str">
        <f>IFERROR(__xludf.DUMMYFUNCTION("""COMPUTED_VALUE"""),"+ Show History »")</f>
        <v>+ Show History »</v>
      </c>
      <c r="E15" s="5" t="str">
        <f>IFERROR(__xludf.DUMMYFUNCTION("""COMPUTED_VALUE"""),"Very High Risk")</f>
        <v>Very High Risk</v>
      </c>
      <c r="F15" s="38">
        <f>IFERROR(__xludf.DUMMYFUNCTION("""COMPUTED_VALUE"""),0.85)</f>
        <v>0.85</v>
      </c>
      <c r="G15" s="5">
        <f>IFERROR(__xludf.DUMMYFUNCTION("""COMPUTED_VALUE"""),3.4)</f>
        <v>3.4</v>
      </c>
      <c r="H15" s="60">
        <f>IFERROR(__xludf.DUMMYFUNCTION("""COMPUTED_VALUE"""),0.106)</f>
        <v>0.106</v>
      </c>
      <c r="I15" s="5">
        <f>IFERROR(__xludf.DUMMYFUNCTION("""COMPUTED_VALUE"""),1.48)</f>
        <v>1.48</v>
      </c>
      <c r="J15" s="5">
        <f>IFERROR(__xludf.DUMMYFUNCTION("""COMPUTED_VALUE"""),206.7)</f>
        <v>206.7</v>
      </c>
    </row>
    <row r="16">
      <c r="A16" s="5" t="str">
        <f>IFERROR(__xludf.DUMMYFUNCTION("""COMPUTED_VALUE"""),"*Very High Risk*
1
5
2
1
1
1
1
X
Raheem MostertRB MIA
Seasons:7
Height:5'10""
Weight:195
Bye:10
View Player Profile »
Injury History [TABLE]")</f>
        <v>*Very High Risk*
1
5
2
1
1
1
1
X
Raheem MostertRB MIA
Seasons:7
Height:5'10"
Weight:195
Bye:10
View Player Profile »
Injury History [TABLE]</v>
      </c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 t="str">
        <f>IFERROR(__xludf.DUMMYFUNCTION("""COMPUTED_VALUE"""),"Travis Etienne, RB JAC")</f>
        <v>Travis Etienne, RB JAC</v>
      </c>
      <c r="C17" s="5" t="str">
        <f>IFERROR(__xludf.DUMMYFUNCTION("""COMPUTED_VALUE"""),"3 | | |")</f>
        <v>3 | | |</v>
      </c>
      <c r="D17" s="5" t="str">
        <f>IFERROR(__xludf.DUMMYFUNCTION("""COMPUTED_VALUE"""),"+ Show History »")</f>
        <v>+ Show History »</v>
      </c>
      <c r="E17" s="5" t="str">
        <f>IFERROR(__xludf.DUMMYFUNCTION("""COMPUTED_VALUE"""),"High Risk")</f>
        <v>High Risk</v>
      </c>
      <c r="F17" s="38">
        <f>IFERROR(__xludf.DUMMYFUNCTION("""COMPUTED_VALUE"""),0.6)</f>
        <v>0.6</v>
      </c>
      <c r="G17" s="5">
        <f>IFERROR(__xludf.DUMMYFUNCTION("""COMPUTED_VALUE"""),1.81)</f>
        <v>1.81</v>
      </c>
      <c r="H17" s="60">
        <f>IFERROR(__xludf.DUMMYFUNCTION("""COMPUTED_VALUE"""),0.052)</f>
        <v>0.052</v>
      </c>
      <c r="I17" s="5">
        <f>IFERROR(__xludf.DUMMYFUNCTION("""COMPUTED_VALUE"""),1.06)</f>
        <v>1.06</v>
      </c>
      <c r="J17" s="5">
        <f>IFERROR(__xludf.DUMMYFUNCTION("""COMPUTED_VALUE"""),201.3)</f>
        <v>201.3</v>
      </c>
    </row>
    <row r="18">
      <c r="A18" s="5" t="str">
        <f>IFERROR(__xludf.DUMMYFUNCTION("""COMPUTED_VALUE"""),"*High Risk*
1
1
1
X
Travis EtienneRB JAC
Seasons:3
Height:5'10""
Weight:215
Bye:9
View Player Profile »
Injury History [TABLE]")</f>
        <v>*High Risk*
1
1
1
X
Travis EtienneRB JAC
Seasons:3
Height:5'10"
Weight:215
Bye:9
View Player Profile »
Injury History [TABLE]</v>
      </c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 t="str">
        <f>IFERROR(__xludf.DUMMYFUNCTION("""COMPUTED_VALUE"""),"Jonathan Taylor, RB IND")</f>
        <v>Jonathan Taylor, RB IND</v>
      </c>
      <c r="C19" s="5" t="str">
        <f>IFERROR(__xludf.DUMMYFUNCTION("""COMPUTED_VALUE"""),"6 | | | | | |")</f>
        <v>6 | | | | | |</v>
      </c>
      <c r="D19" s="5" t="str">
        <f>IFERROR(__xludf.DUMMYFUNCTION("""COMPUTED_VALUE"""),"+ Show History »")</f>
        <v>+ Show History »</v>
      </c>
      <c r="E19" s="5" t="str">
        <f>IFERROR(__xludf.DUMMYFUNCTION("""COMPUTED_VALUE"""),"High Risk")</f>
        <v>High Risk</v>
      </c>
      <c r="F19" s="38">
        <f>IFERROR(__xludf.DUMMYFUNCTION("""COMPUTED_VALUE"""),0.75)</f>
        <v>0.75</v>
      </c>
      <c r="G19" s="5">
        <f>IFERROR(__xludf.DUMMYFUNCTION("""COMPUTED_VALUE"""),2.4)</f>
        <v>2.4</v>
      </c>
      <c r="H19" s="60">
        <f>IFERROR(__xludf.DUMMYFUNCTION("""COMPUTED_VALUE"""),0.078)</f>
        <v>0.078</v>
      </c>
      <c r="I19" s="5">
        <f>IFERROR(__xludf.DUMMYFUNCTION("""COMPUTED_VALUE"""),5.0)</f>
        <v>5</v>
      </c>
      <c r="J19" s="5">
        <f>IFERROR(__xludf.DUMMYFUNCTION("""COMPUTED_VALUE"""),201.2)</f>
        <v>201.2</v>
      </c>
    </row>
    <row r="20">
      <c r="A20" s="5" t="str">
        <f>IFERROR(__xludf.DUMMYFUNCTION("""COMPUTED_VALUE"""),"*High Risk*
1
3
1
1
X
Jonathan TaylorRB IND
Seasons:3
Height:5'10""
Weight:226
Bye:11
View Player Profile »
Injury History [TABLE]")</f>
        <v>*High Risk*
1
3
1
1
X
Jonathan TaylorRB IND
Seasons:3
Height:5'10"
Weight:226
Bye:11
View Player Profile »
Injury History [TABLE]</v>
      </c>
      <c r="B20" s="5"/>
      <c r="C20" s="5"/>
      <c r="D20" s="5"/>
      <c r="E20" s="5"/>
      <c r="F20" s="5"/>
      <c r="G20" s="5"/>
      <c r="H20" s="5"/>
      <c r="I20" s="5"/>
      <c r="J20" s="5"/>
    </row>
    <row r="21">
      <c r="A21" s="5"/>
      <c r="B21" s="5" t="str">
        <f>IFERROR(__xludf.DUMMYFUNCTION("""COMPUTED_VALUE"""),"Bijan Robinson, RB ATL")</f>
        <v>Bijan Robinson, RB ATL</v>
      </c>
      <c r="C21" s="5" t="str">
        <f>IFERROR(__xludf.DUMMYFUNCTION("""COMPUTED_VALUE"""),"1 |")</f>
        <v>1 |</v>
      </c>
      <c r="D21" s="5" t="str">
        <f>IFERROR(__xludf.DUMMYFUNCTION("""COMPUTED_VALUE"""),"+ Show History »")</f>
        <v>+ Show History »</v>
      </c>
      <c r="E21" s="5" t="str">
        <f>IFERROR(__xludf.DUMMYFUNCTION("""COMPUTED_VALUE"""),"Medium Risk")</f>
        <v>Medium Risk</v>
      </c>
      <c r="F21" s="38">
        <f>IFERROR(__xludf.DUMMYFUNCTION("""COMPUTED_VALUE"""),0.57)</f>
        <v>0.57</v>
      </c>
      <c r="G21" s="5">
        <f>IFERROR(__xludf.DUMMYFUNCTION("""COMPUTED_VALUE"""),2.4)</f>
        <v>2.4</v>
      </c>
      <c r="H21" s="60">
        <f>IFERROR(__xludf.DUMMYFUNCTION("""COMPUTED_VALUE"""),0.048)</f>
        <v>0.048</v>
      </c>
      <c r="I21" s="5">
        <f>IFERROR(__xludf.DUMMYFUNCTION("""COMPUTED_VALUE"""),5.0)</f>
        <v>5</v>
      </c>
      <c r="J21" s="5">
        <f>IFERROR(__xludf.DUMMYFUNCTION("""COMPUTED_VALUE"""),201.0)</f>
        <v>201</v>
      </c>
    </row>
    <row r="22">
      <c r="A22" s="5" t="str">
        <f>IFERROR(__xludf.DUMMYFUNCTION("""COMPUTED_VALUE"""),"*Medium Risk*
1
X
Bijan RobinsonRB ATL
Seasons:0
Height:5'11""
Weight:215
Bye:11
View Player Profile »
Injury History [TABLE]")</f>
        <v>*Medium Risk*
1
X
Bijan RobinsonRB ATL
Seasons:0
Height:5'11"
Weight:215
Bye:11
View Player Profile »
Injury History [TABLE]</v>
      </c>
      <c r="B22" s="5"/>
      <c r="C22" s="5"/>
      <c r="D22" s="5"/>
      <c r="E22" s="5"/>
      <c r="F22" s="5"/>
      <c r="G22" s="5"/>
      <c r="H22" s="5"/>
      <c r="I22" s="5"/>
      <c r="J22" s="5"/>
    </row>
    <row r="23">
      <c r="A23" s="5"/>
      <c r="B23" s="5" t="str">
        <f>IFERROR(__xludf.DUMMYFUNCTION("""COMPUTED_VALUE"""),"David Montgomery, RB DET")</f>
        <v>David Montgomery, RB DET</v>
      </c>
      <c r="C23" s="5" t="str">
        <f>IFERROR(__xludf.DUMMYFUNCTION("""COMPUTED_VALUE"""),"7 | | | | | | |")</f>
        <v>7 | | | | | | |</v>
      </c>
      <c r="D23" s="5" t="str">
        <f>IFERROR(__xludf.DUMMYFUNCTION("""COMPUTED_VALUE"""),"+ Show History »")</f>
        <v>+ Show History »</v>
      </c>
      <c r="E23" s="5" t="str">
        <f>IFERROR(__xludf.DUMMYFUNCTION("""COMPUTED_VALUE"""),"High Risk")</f>
        <v>High Risk</v>
      </c>
      <c r="F23" s="38">
        <f>IFERROR(__xludf.DUMMYFUNCTION("""COMPUTED_VALUE"""),0.67)</f>
        <v>0.67</v>
      </c>
      <c r="G23" s="5">
        <f>IFERROR(__xludf.DUMMYFUNCTION("""COMPUTED_VALUE"""),2.01)</f>
        <v>2.01</v>
      </c>
      <c r="H23" s="60">
        <f>IFERROR(__xludf.DUMMYFUNCTION("""COMPUTED_VALUE"""),0.063)</f>
        <v>0.063</v>
      </c>
      <c r="I23" s="5">
        <f>IFERROR(__xludf.DUMMYFUNCTION("""COMPUTED_VALUE"""),5.0)</f>
        <v>5</v>
      </c>
      <c r="J23" s="5">
        <f>IFERROR(__xludf.DUMMYFUNCTION("""COMPUTED_VALUE"""),200.6)</f>
        <v>200.6</v>
      </c>
    </row>
    <row r="24">
      <c r="A24" s="5" t="str">
        <f>IFERROR(__xludf.DUMMYFUNCTION("""COMPUTED_VALUE"""),"*High Risk*
1
1
1
1
1
1
1
X
David MontgomeryRB DET
Seasons:4
Height:5'11""
Weight:219
Bye:9
View Player Profile »
Injury History [TABLE]")</f>
        <v>*High Risk*
1
1
1
1
1
1
1
X
David MontgomeryRB DET
Seasons:4
Height:5'11"
Weight:219
Bye:9
View Player Profile »
Injury History [TABLE]</v>
      </c>
      <c r="B24" s="5"/>
      <c r="C24" s="5"/>
      <c r="D24" s="5"/>
      <c r="E24" s="5"/>
      <c r="F24" s="5"/>
      <c r="G24" s="5"/>
      <c r="H24" s="5"/>
      <c r="I24" s="5"/>
      <c r="J24" s="5"/>
    </row>
    <row r="25">
      <c r="A25" s="5"/>
      <c r="B25" s="5" t="str">
        <f>IFERROR(__xludf.DUMMYFUNCTION("""COMPUTED_VALUE"""),"Derrick Henry, RB TEN")</f>
        <v>Derrick Henry, RB TEN</v>
      </c>
      <c r="C25" s="5" t="str">
        <f>IFERROR(__xludf.DUMMYFUNCTION("""COMPUTED_VALUE"""),"5 | | | | |")</f>
        <v>5 | | | | |</v>
      </c>
      <c r="D25" s="5" t="str">
        <f>IFERROR(__xludf.DUMMYFUNCTION("""COMPUTED_VALUE"""),"+ Show History »")</f>
        <v>+ Show History »</v>
      </c>
      <c r="E25" s="5" t="str">
        <f>IFERROR(__xludf.DUMMYFUNCTION("""COMPUTED_VALUE"""),"Medium Risk")</f>
        <v>Medium Risk</v>
      </c>
      <c r="F25" s="38">
        <f>IFERROR(__xludf.DUMMYFUNCTION("""COMPUTED_VALUE"""),0.56)</f>
        <v>0.56</v>
      </c>
      <c r="G25" s="5">
        <f>IFERROR(__xludf.DUMMYFUNCTION("""COMPUTED_VALUE"""),0.81)</f>
        <v>0.81</v>
      </c>
      <c r="H25" s="60">
        <f>IFERROR(__xludf.DUMMYFUNCTION("""COMPUTED_VALUE"""),0.047)</f>
        <v>0.047</v>
      </c>
      <c r="I25" s="5">
        <f>IFERROR(__xludf.DUMMYFUNCTION("""COMPUTED_VALUE"""),5.0)</f>
        <v>5</v>
      </c>
      <c r="J25" s="5">
        <f>IFERROR(__xludf.DUMMYFUNCTION("""COMPUTED_VALUE"""),198.5)</f>
        <v>198.5</v>
      </c>
    </row>
    <row r="26">
      <c r="A26" s="5" t="str">
        <f>IFERROR(__xludf.DUMMYFUNCTION("""COMPUTED_VALUE"""),"*Medium Risk*
1
1
1
2
X
Derrick HenryRB TEN
Seasons:7
Height:6'3""
Weight:247
Bye:7
View Player Profile »
Injury History [TABLE]")</f>
        <v>*Medium Risk*
1
1
1
2
X
Derrick HenryRB TEN
Seasons:7
Height:6'3"
Weight:247
Bye:7
View Player Profile »
Injury History [TABLE]</v>
      </c>
      <c r="B26" s="5"/>
      <c r="C26" s="5"/>
      <c r="D26" s="5"/>
      <c r="E26" s="5"/>
      <c r="F26" s="5"/>
      <c r="G26" s="5"/>
      <c r="H26" s="5"/>
      <c r="I26" s="5"/>
      <c r="J26" s="5"/>
    </row>
    <row r="27">
      <c r="A27" s="5"/>
      <c r="B27" s="5" t="str">
        <f>IFERROR(__xludf.DUMMYFUNCTION("""COMPUTED_VALUE"""),"Joe Mixon, RB CIN")</f>
        <v>Joe Mixon, RB CIN</v>
      </c>
      <c r="C27" s="5" t="str">
        <f>IFERROR(__xludf.DUMMYFUNCTION("""COMPUTED_VALUE"""),"8 | | | | | | | |")</f>
        <v>8 | | | | | | | |</v>
      </c>
      <c r="D27" s="5" t="str">
        <f>IFERROR(__xludf.DUMMYFUNCTION("""COMPUTED_VALUE"""),"+ Show History »")</f>
        <v>+ Show History »</v>
      </c>
      <c r="E27" s="5" t="str">
        <f>IFERROR(__xludf.DUMMYFUNCTION("""COMPUTED_VALUE"""),"Very High Risk")</f>
        <v>Very High Risk</v>
      </c>
      <c r="F27" s="38">
        <f>IFERROR(__xludf.DUMMYFUNCTION("""COMPUTED_VALUE"""),0.87)</f>
        <v>0.87</v>
      </c>
      <c r="G27" s="5">
        <f>IFERROR(__xludf.DUMMYFUNCTION("""COMPUTED_VALUE"""),2.23)</f>
        <v>2.23</v>
      </c>
      <c r="H27" s="60">
        <f>IFERROR(__xludf.DUMMYFUNCTION("""COMPUTED_VALUE"""),0.113)</f>
        <v>0.113</v>
      </c>
      <c r="I27" s="5">
        <f>IFERROR(__xludf.DUMMYFUNCTION("""COMPUTED_VALUE"""),4.44)</f>
        <v>4.44</v>
      </c>
      <c r="J27" s="5">
        <f>IFERROR(__xludf.DUMMYFUNCTION("""COMPUTED_VALUE"""),198.2)</f>
        <v>198.2</v>
      </c>
    </row>
    <row r="28">
      <c r="A28" s="5" t="str">
        <f>IFERROR(__xludf.DUMMYFUNCTION("""COMPUTED_VALUE"""),"*Very High Risk*
2
4
1
1
X
Joe MixonRB CIN
Seasons:6
Height:6'1""
Weight:226
Bye:7
View Player Profile »
Injury History [TABLE]")</f>
        <v>*Very High Risk*
2
4
1
1
X
Joe MixonRB CIN
Seasons:6
Height:6'1"
Weight:226
Bye:7
View Player Profile »
Injury History [TABLE]</v>
      </c>
      <c r="B28" s="5"/>
      <c r="C28" s="5"/>
      <c r="D28" s="5"/>
      <c r="E28" s="5"/>
      <c r="F28" s="5"/>
      <c r="G28" s="5"/>
      <c r="H28" s="5"/>
      <c r="I28" s="5"/>
      <c r="J28" s="5"/>
    </row>
    <row r="29">
      <c r="A29" s="5"/>
      <c r="B29" s="5" t="str">
        <f>IFERROR(__xludf.DUMMYFUNCTION("""COMPUTED_VALUE"""),"D'Andre Swift, RB PHI")</f>
        <v>D'Andre Swift, RB PHI</v>
      </c>
      <c r="C29" s="5" t="str">
        <f>IFERROR(__xludf.DUMMYFUNCTION("""COMPUTED_VALUE"""),"7 | | | | | | |")</f>
        <v>7 | | | | | | |</v>
      </c>
      <c r="D29" s="5" t="str">
        <f>IFERROR(__xludf.DUMMYFUNCTION("""COMPUTED_VALUE"""),"+ Show History »")</f>
        <v>+ Show History »</v>
      </c>
      <c r="E29" s="5" t="str">
        <f>IFERROR(__xludf.DUMMYFUNCTION("""COMPUTED_VALUE"""),"High Risk")</f>
        <v>High Risk</v>
      </c>
      <c r="F29" s="38">
        <f>IFERROR(__xludf.DUMMYFUNCTION("""COMPUTED_VALUE"""),0.64)</f>
        <v>0.64</v>
      </c>
      <c r="G29" s="5">
        <f>IFERROR(__xludf.DUMMYFUNCTION("""COMPUTED_VALUE"""),2.4)</f>
        <v>2.4</v>
      </c>
      <c r="H29" s="60">
        <f>IFERROR(__xludf.DUMMYFUNCTION("""COMPUTED_VALUE"""),0.058)</f>
        <v>0.058</v>
      </c>
      <c r="I29" s="5">
        <f>IFERROR(__xludf.DUMMYFUNCTION("""COMPUTED_VALUE"""),3.72)</f>
        <v>3.72</v>
      </c>
      <c r="J29" s="5">
        <f>IFERROR(__xludf.DUMMYFUNCTION("""COMPUTED_VALUE"""),198.0)</f>
        <v>198</v>
      </c>
    </row>
    <row r="30">
      <c r="A30" s="5" t="str">
        <f>IFERROR(__xludf.DUMMYFUNCTION("""COMPUTED_VALUE"""),"*High Risk*
3
1
2
1
X
D'Andre SwiftRB PHI
Seasons:3
Height:5'9""
Weight:215
Bye:10
View Player Profile »
Injury History [TABLE]")</f>
        <v>*High Risk*
3
1
2
1
X
D'Andre SwiftRB PHI
Seasons:3
Height:5'9"
Weight:215
Bye:10
View Player Profile »
Injury History [TABLE]</v>
      </c>
      <c r="B30" s="5"/>
      <c r="C30" s="5"/>
      <c r="D30" s="5"/>
      <c r="E30" s="5"/>
      <c r="F30" s="5"/>
      <c r="G30" s="5"/>
      <c r="H30" s="5"/>
      <c r="I30" s="5"/>
      <c r="J30" s="5"/>
    </row>
    <row r="31">
      <c r="A31" s="5"/>
      <c r="B31" s="5" t="str">
        <f>IFERROR(__xludf.DUMMYFUNCTION("""COMPUTED_VALUE"""),"Saquon Barkley, RB NYG")</f>
        <v>Saquon Barkley, RB NYG</v>
      </c>
      <c r="C31" s="5" t="str">
        <f>IFERROR(__xludf.DUMMYFUNCTION("""COMPUTED_VALUE"""),"9 | | | | | | | | |")</f>
        <v>9 | | | | | | | | |</v>
      </c>
      <c r="D31" s="5" t="str">
        <f>IFERROR(__xludf.DUMMYFUNCTION("""COMPUTED_VALUE"""),"+ Show History »")</f>
        <v>+ Show History »</v>
      </c>
      <c r="E31" s="5" t="str">
        <f>IFERROR(__xludf.DUMMYFUNCTION("""COMPUTED_VALUE"""),"High Risk")</f>
        <v>High Risk</v>
      </c>
      <c r="F31" s="38">
        <f>IFERROR(__xludf.DUMMYFUNCTION("""COMPUTED_VALUE"""),0.62)</f>
        <v>0.62</v>
      </c>
      <c r="G31" s="5">
        <f>IFERROR(__xludf.DUMMYFUNCTION("""COMPUTED_VALUE"""),2.4)</f>
        <v>2.4</v>
      </c>
      <c r="H31" s="60">
        <f>IFERROR(__xludf.DUMMYFUNCTION("""COMPUTED_VALUE"""),0.055)</f>
        <v>0.055</v>
      </c>
      <c r="I31" s="5">
        <f>IFERROR(__xludf.DUMMYFUNCTION("""COMPUTED_VALUE"""),5.0)</f>
        <v>5</v>
      </c>
      <c r="J31" s="5">
        <f>IFERROR(__xludf.DUMMYFUNCTION("""COMPUTED_VALUE"""),195.5)</f>
        <v>195.5</v>
      </c>
    </row>
    <row r="32">
      <c r="A32" s="5" t="str">
        <f>IFERROR(__xludf.DUMMYFUNCTION("""COMPUTED_VALUE"""),"*High Risk*
5
1
2
1
X
Saquon BarkleyRB NYG
Seasons:5
Height:6'0""
Weight:233
Bye:13
View Player Profile »
Injury History [TABLE]")</f>
        <v>*High Risk*
5
1
2
1
X
Saquon BarkleyRB NYG
Seasons:5
Height:6'0"
Weight:233
Bye:13
View Player Profile »
Injury History [TABLE]</v>
      </c>
      <c r="B32" s="5"/>
      <c r="C32" s="5"/>
      <c r="D32" s="5"/>
      <c r="E32" s="5"/>
      <c r="F32" s="5"/>
      <c r="G32" s="5"/>
      <c r="H32" s="5"/>
      <c r="I32" s="5"/>
      <c r="J32" s="5"/>
    </row>
    <row r="33">
      <c r="A33" s="5"/>
      <c r="B33" s="5" t="str">
        <f>IFERROR(__xludf.DUMMYFUNCTION("""COMPUTED_VALUE"""),"Tony Pollard, RB DAL")</f>
        <v>Tony Pollard, RB DAL</v>
      </c>
      <c r="C33" s="5" t="str">
        <f>IFERROR(__xludf.DUMMYFUNCTION("""COMPUTED_VALUE"""),"3 | | |")</f>
        <v>3 | | |</v>
      </c>
      <c r="D33" s="5" t="str">
        <f>IFERROR(__xludf.DUMMYFUNCTION("""COMPUTED_VALUE"""),"+ Show History »")</f>
        <v>+ Show History »</v>
      </c>
      <c r="E33" s="5" t="str">
        <f>IFERROR(__xludf.DUMMYFUNCTION("""COMPUTED_VALUE"""),"Medium Risk")</f>
        <v>Medium Risk</v>
      </c>
      <c r="F33" s="38">
        <f>IFERROR(__xludf.DUMMYFUNCTION("""COMPUTED_VALUE"""),0.52)</f>
        <v>0.52</v>
      </c>
      <c r="G33" s="5">
        <f>IFERROR(__xludf.DUMMYFUNCTION("""COMPUTED_VALUE"""),1.38)</f>
        <v>1.38</v>
      </c>
      <c r="H33" s="60">
        <f>IFERROR(__xludf.DUMMYFUNCTION("""COMPUTED_VALUE"""),0.042)</f>
        <v>0.042</v>
      </c>
      <c r="I33" s="5">
        <f>IFERROR(__xludf.DUMMYFUNCTION("""COMPUTED_VALUE"""),5.0)</f>
        <v>5</v>
      </c>
      <c r="J33" s="5">
        <f>IFERROR(__xludf.DUMMYFUNCTION("""COMPUTED_VALUE"""),195.1)</f>
        <v>195.1</v>
      </c>
    </row>
    <row r="34">
      <c r="A34" s="5" t="str">
        <f>IFERROR(__xludf.DUMMYFUNCTION("""COMPUTED_VALUE"""),"*Medium Risk*
2
1
X
Tony PollardRB DAL
Seasons:4
Height:6'0""
Weight:210
Bye:7
View Player Profile »
Injury History [TABLE]")</f>
        <v>*Medium Risk*
2
1
X
Tony PollardRB DAL
Seasons:4
Height:6'0"
Weight:210
Bye:7
View Player Profile »
Injury History [TABLE]</v>
      </c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 t="str">
        <f>IFERROR(__xludf.DUMMYFUNCTION("""COMPUTED_VALUE"""),"Breece Hall, RB NYJ")</f>
        <v>Breece Hall, RB NYJ</v>
      </c>
      <c r="C35" s="5" t="str">
        <f>IFERROR(__xludf.DUMMYFUNCTION("""COMPUTED_VALUE"""),"2 | |")</f>
        <v>2 | |</v>
      </c>
      <c r="D35" s="5" t="str">
        <f>IFERROR(__xludf.DUMMYFUNCTION("""COMPUTED_VALUE"""),"+ Show History »")</f>
        <v>+ Show History »</v>
      </c>
      <c r="E35" s="5" t="str">
        <f>IFERROR(__xludf.DUMMYFUNCTION("""COMPUTED_VALUE"""),"Very High Risk")</f>
        <v>Very High Risk</v>
      </c>
      <c r="F35" s="38">
        <f>IFERROR(__xludf.DUMMYFUNCTION("""COMPUTED_VALUE"""),0.8)</f>
        <v>0.8</v>
      </c>
      <c r="G35" s="5">
        <f>IFERROR(__xludf.DUMMYFUNCTION("""COMPUTED_VALUE"""),2.55)</f>
        <v>2.55</v>
      </c>
      <c r="H35" s="38">
        <f>IFERROR(__xludf.DUMMYFUNCTION("""COMPUTED_VALUE"""),0.09)</f>
        <v>0.09</v>
      </c>
      <c r="I35" s="5">
        <f>IFERROR(__xludf.DUMMYFUNCTION("""COMPUTED_VALUE"""),1.86)</f>
        <v>1.86</v>
      </c>
      <c r="J35" s="5">
        <f>IFERROR(__xludf.DUMMYFUNCTION("""COMPUTED_VALUE"""),194.2)</f>
        <v>194.2</v>
      </c>
    </row>
    <row r="36">
      <c r="A36" s="5" t="str">
        <f>IFERROR(__xludf.DUMMYFUNCTION("""COMPUTED_VALUE"""),"*Very High Risk*
2
X
Breece HallRB NYJ
Seasons:2
Height:6'1""
Weight:220
Bye:7
View Player Profile »
Injury History [TABLE]")</f>
        <v>*Very High Risk*
2
X
Breece HallRB NYJ
Seasons:2
Height:6'1"
Weight:220
Bye:7
View Player Profile »
Injury History [TABLE]</v>
      </c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 t="str">
        <f>IFERROR(__xludf.DUMMYFUNCTION("""COMPUTED_VALUE"""),"De'Von Achane, RB MIA")</f>
        <v>De'Von Achane, RB MIA</v>
      </c>
      <c r="C37" s="5" t="str">
        <f>IFERROR(__xludf.DUMMYFUNCTION("""COMPUTED_VALUE"""),"3 | | |")</f>
        <v>3 | | |</v>
      </c>
      <c r="D37" s="5" t="str">
        <f>IFERROR(__xludf.DUMMYFUNCTION("""COMPUTED_VALUE"""),"+ Show History »")</f>
        <v>+ Show History »</v>
      </c>
      <c r="E37" s="5" t="str">
        <f>IFERROR(__xludf.DUMMYFUNCTION("""COMPUTED_VALUE"""),"Medium Risk")</f>
        <v>Medium Risk</v>
      </c>
      <c r="F37" s="38">
        <f>IFERROR(__xludf.DUMMYFUNCTION("""COMPUTED_VALUE"""),0.55)</f>
        <v>0.55</v>
      </c>
      <c r="G37" s="5">
        <f>IFERROR(__xludf.DUMMYFUNCTION("""COMPUTED_VALUE"""),2.5)</f>
        <v>2.5</v>
      </c>
      <c r="H37" s="60">
        <f>IFERROR(__xludf.DUMMYFUNCTION("""COMPUTED_VALUE"""),0.046)</f>
        <v>0.046</v>
      </c>
      <c r="I37" s="5">
        <f>IFERROR(__xludf.DUMMYFUNCTION("""COMPUTED_VALUE"""),5.0)</f>
        <v>5</v>
      </c>
      <c r="J37" s="5">
        <f>IFERROR(__xludf.DUMMYFUNCTION("""COMPUTED_VALUE"""),193.5)</f>
        <v>193.5</v>
      </c>
    </row>
    <row r="38">
      <c r="A38" s="5" t="str">
        <f>IFERROR(__xludf.DUMMYFUNCTION("""COMPUTED_VALUE"""),"*Medium Risk*
1
1
1
X
De'Von AchaneRB MIA
Seasons:0
Height:5'8""
Weight:188
Bye:10
View Player Profile »
Injury History [TABLE]")</f>
        <v>*Medium Risk*
1
1
1
X
De'Von AchaneRB MIA
Seasons:0
Height:5'8"
Weight:188
Bye:10
View Player Profile »
Injury History [TABLE]</v>
      </c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 t="str">
        <f>IFERROR(__xludf.DUMMYFUNCTION("""COMPUTED_VALUE"""),"Devin Singletary, RB HOU")</f>
        <v>Devin Singletary, RB HOU</v>
      </c>
      <c r="C39" s="5" t="str">
        <f>IFERROR(__xludf.DUMMYFUNCTION("""COMPUTED_VALUE"""),"1 |")</f>
        <v>1 |</v>
      </c>
      <c r="D39" s="5" t="str">
        <f>IFERROR(__xludf.DUMMYFUNCTION("""COMPUTED_VALUE"""),"+ Show History »")</f>
        <v>+ Show History »</v>
      </c>
      <c r="E39" s="5" t="str">
        <f>IFERROR(__xludf.DUMMYFUNCTION("""COMPUTED_VALUE"""),"Medium Risk")</f>
        <v>Medium Risk</v>
      </c>
      <c r="F39" s="38">
        <f>IFERROR(__xludf.DUMMYFUNCTION("""COMPUTED_VALUE"""),0.57)</f>
        <v>0.57</v>
      </c>
      <c r="G39" s="5">
        <f>IFERROR(__xludf.DUMMYFUNCTION("""COMPUTED_VALUE"""),2.07)</f>
        <v>2.07</v>
      </c>
      <c r="H39" s="60">
        <f>IFERROR(__xludf.DUMMYFUNCTION("""COMPUTED_VALUE"""),0.048)</f>
        <v>0.048</v>
      </c>
      <c r="I39" s="5">
        <f>IFERROR(__xludf.DUMMYFUNCTION("""COMPUTED_VALUE"""),5.0)</f>
        <v>5</v>
      </c>
      <c r="J39" s="5">
        <f>IFERROR(__xludf.DUMMYFUNCTION("""COMPUTED_VALUE"""),192.8)</f>
        <v>192.8</v>
      </c>
    </row>
    <row r="40">
      <c r="A40" s="5" t="str">
        <f>IFERROR(__xludf.DUMMYFUNCTION("""COMPUTED_VALUE"""),"*Medium Risk*
1
X
Devin SingletaryRB HOU
Seasons:4
Height:5'8""
Weight:203
Bye:7
View Player Profile »
Injury History [TABLE]")</f>
        <v>*Medium Risk*
1
X
Devin SingletaryRB HOU
Seasons:4
Height:5'8"
Weight:203
Bye:7
View Player Profile »
Injury History [TABLE]</v>
      </c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 t="str">
        <f>IFERROR(__xludf.DUMMYFUNCTION("""COMPUTED_VALUE"""),"Josh Jacobs, RB LVR")</f>
        <v>Josh Jacobs, RB LVR</v>
      </c>
      <c r="C41" s="5" t="str">
        <f>IFERROR(__xludf.DUMMYFUNCTION("""COMPUTED_VALUE"""),"8 | | | | | | | |")</f>
        <v>8 | | | | | | | |</v>
      </c>
      <c r="D41" s="5" t="str">
        <f>IFERROR(__xludf.DUMMYFUNCTION("""COMPUTED_VALUE"""),"+ Show History »")</f>
        <v>+ Show History »</v>
      </c>
      <c r="E41" s="5" t="str">
        <f>IFERROR(__xludf.DUMMYFUNCTION("""COMPUTED_VALUE"""),"High Risk")</f>
        <v>High Risk</v>
      </c>
      <c r="F41" s="38">
        <f>IFERROR(__xludf.DUMMYFUNCTION("""COMPUTED_VALUE"""),0.61)</f>
        <v>0.61</v>
      </c>
      <c r="G41" s="5">
        <f>IFERROR(__xludf.DUMMYFUNCTION("""COMPUTED_VALUE"""),2.14)</f>
        <v>2.14</v>
      </c>
      <c r="H41" s="60">
        <f>IFERROR(__xludf.DUMMYFUNCTION("""COMPUTED_VALUE"""),0.054)</f>
        <v>0.054</v>
      </c>
      <c r="I41" s="5">
        <f>IFERROR(__xludf.DUMMYFUNCTION("""COMPUTED_VALUE"""),5.0)</f>
        <v>5</v>
      </c>
      <c r="J41" s="5">
        <f>IFERROR(__xludf.DUMMYFUNCTION("""COMPUTED_VALUE"""),191.0)</f>
        <v>191</v>
      </c>
    </row>
    <row r="42">
      <c r="A42" s="5" t="str">
        <f>IFERROR(__xludf.DUMMYFUNCTION("""COMPUTED_VALUE"""),"*High Risk*
1
1
4
1
1
X
Josh JacobsRB LVR
Seasons:4
Height:5'10""
Weight:220
Bye:13
View Player Profile »
Injury History [TABLE]")</f>
        <v>*High Risk*
1
1
4
1
1
X
Josh JacobsRB LVR
Seasons:4
Height:5'10"
Weight:220
Bye:13
View Player Profile »
Injury History [TABLE]</v>
      </c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 t="str">
        <f>IFERROR(__xludf.DUMMYFUNCTION("""COMPUTED_VALUE"""),"Kenneth Walker III, RB SEA")</f>
        <v>Kenneth Walker III, RB SEA</v>
      </c>
      <c r="C43" s="5" t="str">
        <f>IFERROR(__xludf.DUMMYFUNCTION("""COMPUTED_VALUE"""),"5 | | | | |")</f>
        <v>5 | | | | |</v>
      </c>
      <c r="D43" s="5" t="str">
        <f>IFERROR(__xludf.DUMMYFUNCTION("""COMPUTED_VALUE"""),"+ Show History »")</f>
        <v>+ Show History »</v>
      </c>
      <c r="E43" s="5" t="str">
        <f>IFERROR(__xludf.DUMMYFUNCTION("""COMPUTED_VALUE"""),"High Risk")</f>
        <v>High Risk</v>
      </c>
      <c r="F43" s="38">
        <f>IFERROR(__xludf.DUMMYFUNCTION("""COMPUTED_VALUE"""),0.67)</f>
        <v>0.67</v>
      </c>
      <c r="G43" s="5">
        <f>IFERROR(__xludf.DUMMYFUNCTION("""COMPUTED_VALUE"""),2.32)</f>
        <v>2.32</v>
      </c>
      <c r="H43" s="60">
        <f>IFERROR(__xludf.DUMMYFUNCTION("""COMPUTED_VALUE"""),0.063)</f>
        <v>0.063</v>
      </c>
      <c r="I43" s="5">
        <f>IFERROR(__xludf.DUMMYFUNCTION("""COMPUTED_VALUE"""),5.0)</f>
        <v>5</v>
      </c>
      <c r="J43" s="5">
        <f>IFERROR(__xludf.DUMMYFUNCTION("""COMPUTED_VALUE"""),189.6)</f>
        <v>189.6</v>
      </c>
    </row>
    <row r="44">
      <c r="A44" s="5" t="str">
        <f>IFERROR(__xludf.DUMMYFUNCTION("""COMPUTED_VALUE"""),"*High Risk*
2
2
1
X
Kenneth Walker IIIRB SEA
Seasons:2
Height:5'9""
Weight:211
Bye:5
View Player Profile »
Injury History [TABLE]")</f>
        <v>*High Risk*
2
2
1
X
Kenneth Walker IIIRB SEA
Seasons:2
Height:5'9"
Weight:211
Bye:5
View Player Profile »
Injury History [TABLE]</v>
      </c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 t="str">
        <f>IFERROR(__xludf.DUMMYFUNCTION("""COMPUTED_VALUE"""),"Austin Ekeler, RB LAC")</f>
        <v>Austin Ekeler, RB LAC</v>
      </c>
      <c r="C45" s="5" t="str">
        <f>IFERROR(__xludf.DUMMYFUNCTION("""COMPUTED_VALUE"""),"11 | | | | | | | | | | |")</f>
        <v>11 | | | | | | | | | | |</v>
      </c>
      <c r="D45" s="5" t="str">
        <f>IFERROR(__xludf.DUMMYFUNCTION("""COMPUTED_VALUE"""),"+ Show History »")</f>
        <v>+ Show History »</v>
      </c>
      <c r="E45" s="5" t="str">
        <f>IFERROR(__xludf.DUMMYFUNCTION("""COMPUTED_VALUE"""),"Very High Risk")</f>
        <v>Very High Risk</v>
      </c>
      <c r="F45" s="38">
        <f>IFERROR(__xludf.DUMMYFUNCTION("""COMPUTED_VALUE"""),0.78)</f>
        <v>0.78</v>
      </c>
      <c r="G45" s="5">
        <f>IFERROR(__xludf.DUMMYFUNCTION("""COMPUTED_VALUE"""),2.17)</f>
        <v>2.17</v>
      </c>
      <c r="H45" s="60">
        <f>IFERROR(__xludf.DUMMYFUNCTION("""COMPUTED_VALUE"""),0.085)</f>
        <v>0.085</v>
      </c>
      <c r="I45" s="5">
        <f>IFERROR(__xludf.DUMMYFUNCTION("""COMPUTED_VALUE"""),5.0)</f>
        <v>5</v>
      </c>
      <c r="J45" s="5">
        <f>IFERROR(__xludf.DUMMYFUNCTION("""COMPUTED_VALUE"""),188.9)</f>
        <v>188.9</v>
      </c>
    </row>
    <row r="46">
      <c r="A46" s="5" t="str">
        <f>IFERROR(__xludf.DUMMYFUNCTION("""COMPUTED_VALUE"""),"*Very High Risk*
3
1
2
2
1
1
1
X
Austin EkelerRB LAC
Seasons:6
Height:5'10""
Weight:195
Bye:5
View Player Profile »
Injury History [TABLE]")</f>
        <v>*Very High Risk*
3
1
2
2
1
1
1
X
Austin EkelerRB LAC
Seasons:6
Height:5'10"
Weight:195
Bye:5
View Player Profile »
Injury History [TABLE]</v>
      </c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 t="str">
        <f>IFERROR(__xludf.DUMMYFUNCTION("""COMPUTED_VALUE"""),"Isiah Pacheco, RB KC")</f>
        <v>Isiah Pacheco, RB KC</v>
      </c>
      <c r="C47" s="5" t="str">
        <f>IFERROR(__xludf.DUMMYFUNCTION("""COMPUTED_VALUE"""),"3 | | |")</f>
        <v>3 | | |</v>
      </c>
      <c r="D47" s="5" t="str">
        <f>IFERROR(__xludf.DUMMYFUNCTION("""COMPUTED_VALUE"""),"+ Show History »")</f>
        <v>+ Show History »</v>
      </c>
      <c r="E47" s="5" t="str">
        <f>IFERROR(__xludf.DUMMYFUNCTION("""COMPUTED_VALUE"""),"Very High Risk")</f>
        <v>Very High Risk</v>
      </c>
      <c r="F47" s="38">
        <f>IFERROR(__xludf.DUMMYFUNCTION("""COMPUTED_VALUE"""),0.94)</f>
        <v>0.94</v>
      </c>
      <c r="G47" s="5">
        <f>IFERROR(__xludf.DUMMYFUNCTION("""COMPUTED_VALUE"""),3.4)</f>
        <v>3.4</v>
      </c>
      <c r="H47" s="60">
        <f>IFERROR(__xludf.DUMMYFUNCTION("""COMPUTED_VALUE"""),0.153)</f>
        <v>0.153</v>
      </c>
      <c r="I47" s="5">
        <f>IFERROR(__xludf.DUMMYFUNCTION("""COMPUTED_VALUE"""),5.0)</f>
        <v>5</v>
      </c>
      <c r="J47" s="5">
        <f>IFERROR(__xludf.DUMMYFUNCTION("""COMPUTED_VALUE"""),188.8)</f>
        <v>188.8</v>
      </c>
    </row>
    <row r="48">
      <c r="A48" s="5" t="str">
        <f>IFERROR(__xludf.DUMMYFUNCTION("""COMPUTED_VALUE"""),"*Very High Risk*
1
1
1
X
Isiah PachecoRB KC
Seasons:2
Height:5'10""
Weight:216
Bye:10
View Player Profile »
Injury History [TABLE]")</f>
        <v>*Very High Risk*
1
1
1
X
Isiah PachecoRB KC
Seasons:2
Height:5'10"
Weight:216
Bye:10
View Player Profile »
Injury History [TABLE]</v>
      </c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 t="str">
        <f>IFERROR(__xludf.DUMMYFUNCTION("""COMPUTED_VALUE"""),"Javonte Williams, RB DEN")</f>
        <v>Javonte Williams, RB DEN</v>
      </c>
      <c r="C49" s="5" t="str">
        <f>IFERROR(__xludf.DUMMYFUNCTION("""COMPUTED_VALUE"""),"4 | | | |")</f>
        <v>4 | | | |</v>
      </c>
      <c r="D49" s="5" t="str">
        <f>IFERROR(__xludf.DUMMYFUNCTION("""COMPUTED_VALUE"""),"+ Show History »")</f>
        <v>+ Show History »</v>
      </c>
      <c r="E49" s="5" t="str">
        <f>IFERROR(__xludf.DUMMYFUNCTION("""COMPUTED_VALUE"""),"Medium Risk")</f>
        <v>Medium Risk</v>
      </c>
      <c r="F49" s="38">
        <f>IFERROR(__xludf.DUMMYFUNCTION("""COMPUTED_VALUE"""),0.57)</f>
        <v>0.57</v>
      </c>
      <c r="G49" s="5">
        <f>IFERROR(__xludf.DUMMYFUNCTION("""COMPUTED_VALUE"""),3.0)</f>
        <v>3</v>
      </c>
      <c r="H49" s="60">
        <f>IFERROR(__xludf.DUMMYFUNCTION("""COMPUTED_VALUE"""),0.048)</f>
        <v>0.048</v>
      </c>
      <c r="I49" s="5">
        <f>IFERROR(__xludf.DUMMYFUNCTION("""COMPUTED_VALUE"""),1.56)</f>
        <v>1.56</v>
      </c>
      <c r="J49" s="5">
        <f>IFERROR(__xludf.DUMMYFUNCTION("""COMPUTED_VALUE"""),186.9)</f>
        <v>186.9</v>
      </c>
    </row>
    <row r="50">
      <c r="A50" s="5" t="str">
        <f>IFERROR(__xludf.DUMMYFUNCTION("""COMPUTED_VALUE"""),"*Medium Risk*
1
3
X
Javonte WilliamsRB DEN
Seasons:2
Height:5'10""
Weight:220
Bye:9
View Player Profile »
Injury History [TABLE]")</f>
        <v>*Medium Risk*
1
3
X
Javonte WilliamsRB DEN
Seasons:2
Height:5'10"
Weight:220
Bye:9
View Player Profile »
Injury History [TABLE]</v>
      </c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 t="str">
        <f>IFERROR(__xludf.DUMMYFUNCTION("""COMPUTED_VALUE"""),"Najee Harris, RB PIT")</f>
        <v>Najee Harris, RB PIT</v>
      </c>
      <c r="C51" s="5" t="str">
        <f>IFERROR(__xludf.DUMMYFUNCTION("""COMPUTED_VALUE"""),"7 | | | | | | |")</f>
        <v>7 | | | | | | |</v>
      </c>
      <c r="D51" s="5" t="str">
        <f>IFERROR(__xludf.DUMMYFUNCTION("""COMPUTED_VALUE"""),"+ Show History »")</f>
        <v>+ Show History »</v>
      </c>
      <c r="E51" s="5" t="str">
        <f>IFERROR(__xludf.DUMMYFUNCTION("""COMPUTED_VALUE"""),"High Risk")</f>
        <v>High Risk</v>
      </c>
      <c r="F51" s="38">
        <f>IFERROR(__xludf.DUMMYFUNCTION("""COMPUTED_VALUE"""),0.67)</f>
        <v>0.67</v>
      </c>
      <c r="G51" s="5">
        <f>IFERROR(__xludf.DUMMYFUNCTION("""COMPUTED_VALUE"""),1.4)</f>
        <v>1.4</v>
      </c>
      <c r="H51" s="60">
        <f>IFERROR(__xludf.DUMMYFUNCTION("""COMPUTED_VALUE"""),0.063)</f>
        <v>0.063</v>
      </c>
      <c r="I51" s="5">
        <f>IFERROR(__xludf.DUMMYFUNCTION("""COMPUTED_VALUE"""),5.0)</f>
        <v>5</v>
      </c>
      <c r="J51" s="5">
        <f>IFERROR(__xludf.DUMMYFUNCTION("""COMPUTED_VALUE"""),184.9)</f>
        <v>184.9</v>
      </c>
    </row>
    <row r="52">
      <c r="A52" s="5" t="str">
        <f>IFERROR(__xludf.DUMMYFUNCTION("""COMPUTED_VALUE"""),"*High Risk*
1
5
1
X
Najee HarrisRB PIT
Seasons:2
Height:6'2""
Weight:230
Bye:6
View Player Profile »
Injury History [TABLE]")</f>
        <v>*High Risk*
1
5
1
X
Najee HarrisRB PIT
Seasons:2
Height:6'2"
Weight:230
Bye:6
View Player Profile »
Injury History [TABLE]</v>
      </c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 t="str">
        <f>IFERROR(__xludf.DUMMYFUNCTION("""COMPUTED_VALUE"""),"Aaron Jones, RB GB")</f>
        <v>Aaron Jones, RB GB</v>
      </c>
      <c r="C53" s="5" t="str">
        <f>IFERROR(__xludf.DUMMYFUNCTION("""COMPUTED_VALUE"""),"11 | | | | | | | | | | |")</f>
        <v>11 | | | | | | | | | | |</v>
      </c>
      <c r="D53" s="5" t="str">
        <f>IFERROR(__xludf.DUMMYFUNCTION("""COMPUTED_VALUE"""),"+ Show History »")</f>
        <v>+ Show History »</v>
      </c>
      <c r="E53" s="5" t="str">
        <f>IFERROR(__xludf.DUMMYFUNCTION("""COMPUTED_VALUE"""),"Very High Risk")</f>
        <v>Very High Risk</v>
      </c>
      <c r="F53" s="38">
        <f>IFERROR(__xludf.DUMMYFUNCTION("""COMPUTED_VALUE"""),0.87)</f>
        <v>0.87</v>
      </c>
      <c r="G53" s="5">
        <f>IFERROR(__xludf.DUMMYFUNCTION("""COMPUTED_VALUE"""),2.29)</f>
        <v>2.29</v>
      </c>
      <c r="H53" s="60">
        <f>IFERROR(__xludf.DUMMYFUNCTION("""COMPUTED_VALUE"""),0.113)</f>
        <v>0.113</v>
      </c>
      <c r="I53" s="5">
        <f>IFERROR(__xludf.DUMMYFUNCTION("""COMPUTED_VALUE"""),5.0)</f>
        <v>5</v>
      </c>
      <c r="J53" s="5">
        <f>IFERROR(__xludf.DUMMYFUNCTION("""COMPUTED_VALUE"""),184.1)</f>
        <v>184.1</v>
      </c>
    </row>
    <row r="54">
      <c r="A54" s="5" t="str">
        <f>IFERROR(__xludf.DUMMYFUNCTION("""COMPUTED_VALUE"""),"*Very High Risk*
3
1
5
1
1
X
Aaron JonesRB GB
Seasons:6
Height:5'9""
Weight:208
Bye:6
View Player Profile »
Injury History [TABLE]")</f>
        <v>*Very High Risk*
3
1
5
1
1
X
Aaron JonesRB GB
Seasons:6
Height:5'9"
Weight:208
Bye:6
View Player Profile »
Injury History [TABLE]</v>
      </c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 t="str">
        <f>IFERROR(__xludf.DUMMYFUNCTION("""COMPUTED_VALUE"""),"Gus Edwards, RB BAL")</f>
        <v>Gus Edwards, RB BAL</v>
      </c>
      <c r="C55" s="5" t="str">
        <f>IFERROR(__xludf.DUMMYFUNCTION("""COMPUTED_VALUE"""),"6 | | | | | |")</f>
        <v>6 | | | | | |</v>
      </c>
      <c r="D55" s="5" t="str">
        <f>IFERROR(__xludf.DUMMYFUNCTION("""COMPUTED_VALUE"""),"+ Show History »")</f>
        <v>+ Show History »</v>
      </c>
      <c r="E55" s="5" t="str">
        <f>IFERROR(__xludf.DUMMYFUNCTION("""COMPUTED_VALUE"""),"Medium Risk")</f>
        <v>Medium Risk</v>
      </c>
      <c r="F55" s="38">
        <f>IFERROR(__xludf.DUMMYFUNCTION("""COMPUTED_VALUE"""),0.6)</f>
        <v>0.6</v>
      </c>
      <c r="G55" s="5">
        <f>IFERROR(__xludf.DUMMYFUNCTION("""COMPUTED_VALUE"""),3.33)</f>
        <v>3.33</v>
      </c>
      <c r="H55" s="60">
        <f>IFERROR(__xludf.DUMMYFUNCTION("""COMPUTED_VALUE"""),0.052)</f>
        <v>0.052</v>
      </c>
      <c r="I55" s="5">
        <f>IFERROR(__xludf.DUMMYFUNCTION("""COMPUTED_VALUE"""),1.4)</f>
        <v>1.4</v>
      </c>
      <c r="J55" s="5">
        <f>IFERROR(__xludf.DUMMYFUNCTION("""COMPUTED_VALUE"""),182.3)</f>
        <v>182.3</v>
      </c>
    </row>
    <row r="56">
      <c r="A56" s="5" t="str">
        <f>IFERROR(__xludf.DUMMYFUNCTION("""COMPUTED_VALUE"""),"*Medium Risk*
1
1
1
1
2
X
Gus EdwardsRB BAL
Seasons:5
Height:6'1""
Weight:235
Bye:13
View Player Profile »
Injury History [TABLE]")</f>
        <v>*Medium Risk*
1
1
1
1
2
X
Gus EdwardsRB BAL
Seasons:5
Height:6'1"
Weight:235
Bye:13
View Player Profile »
Injury History [TABLE]</v>
      </c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 t="str">
        <f>IFERROR(__xludf.DUMMYFUNCTION("""COMPUTED_VALUE"""),"James Conner, RB ARI")</f>
        <v>James Conner, RB ARI</v>
      </c>
      <c r="C57" s="5" t="str">
        <f>IFERROR(__xludf.DUMMYFUNCTION("""COMPUTED_VALUE"""),"14 | | | | | | | | | | | | | |")</f>
        <v>14 | | | | | | | | | | | | | |</v>
      </c>
      <c r="D57" s="5" t="str">
        <f>IFERROR(__xludf.DUMMYFUNCTION("""COMPUTED_VALUE"""),"+ Show History »")</f>
        <v>+ Show History »</v>
      </c>
      <c r="E57" s="5" t="str">
        <f>IFERROR(__xludf.DUMMYFUNCTION("""COMPUTED_VALUE"""),"Very High Risk")</f>
        <v>Very High Risk</v>
      </c>
      <c r="F57" s="38">
        <f>IFERROR(__xludf.DUMMYFUNCTION("""COMPUTED_VALUE"""),0.88)</f>
        <v>0.88</v>
      </c>
      <c r="G57" s="5">
        <f>IFERROR(__xludf.DUMMYFUNCTION("""COMPUTED_VALUE"""),4.15)</f>
        <v>4.15</v>
      </c>
      <c r="H57" s="60">
        <f>IFERROR(__xludf.DUMMYFUNCTION("""COMPUTED_VALUE"""),0.117)</f>
        <v>0.117</v>
      </c>
      <c r="I57" s="5">
        <f>IFERROR(__xludf.DUMMYFUNCTION("""COMPUTED_VALUE"""),5.0)</f>
        <v>5</v>
      </c>
      <c r="J57" s="5">
        <f>IFERROR(__xludf.DUMMYFUNCTION("""COMPUTED_VALUE"""),181.6)</f>
        <v>181.6</v>
      </c>
    </row>
    <row r="58">
      <c r="A58" s="5" t="str">
        <f>IFERROR(__xludf.DUMMYFUNCTION("""COMPUTED_VALUE"""),"*Very High Risk*
1
3
2
5
1
2
X
James ConnerRB ARI
Seasons:6
Height:6'1""
Weight:223
Bye:14
View Player Profile »
Injury History [TABLE]")</f>
        <v>*Very High Risk*
1
3
2
5
1
2
X
James ConnerRB ARI
Seasons:6
Height:6'1"
Weight:223
Bye:14
View Player Profile »
Injury History [TABLE]</v>
      </c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 t="str">
        <f>IFERROR(__xludf.DUMMYFUNCTION("""COMPUTED_VALUE"""),"Jerome Ford, RB CLE")</f>
        <v>Jerome Ford, RB CLE</v>
      </c>
      <c r="C59" s="5" t="str">
        <f>IFERROR(__xludf.DUMMYFUNCTION("""COMPUTED_VALUE"""),"5 | | | | |")</f>
        <v>5 | | | | |</v>
      </c>
      <c r="D59" s="5" t="str">
        <f>IFERROR(__xludf.DUMMYFUNCTION("""COMPUTED_VALUE"""),"+ Show History »")</f>
        <v>+ Show History »</v>
      </c>
      <c r="E59" s="5" t="str">
        <f>IFERROR(__xludf.DUMMYFUNCTION("""COMPUTED_VALUE"""),"Medium Risk")</f>
        <v>Medium Risk</v>
      </c>
      <c r="F59" s="38">
        <f>IFERROR(__xludf.DUMMYFUNCTION("""COMPUTED_VALUE"""),0.42)</f>
        <v>0.42</v>
      </c>
      <c r="G59" s="5">
        <f>IFERROR(__xludf.DUMMYFUNCTION("""COMPUTED_VALUE"""),2.0)</f>
        <v>2</v>
      </c>
      <c r="H59" s="60">
        <f>IFERROR(__xludf.DUMMYFUNCTION("""COMPUTED_VALUE"""),0.032)</f>
        <v>0.032</v>
      </c>
      <c r="I59" s="5">
        <f>IFERROR(__xludf.DUMMYFUNCTION("""COMPUTED_VALUE"""),2.24)</f>
        <v>2.24</v>
      </c>
      <c r="J59" s="5">
        <f>IFERROR(__xludf.DUMMYFUNCTION("""COMPUTED_VALUE"""),180.7)</f>
        <v>180.7</v>
      </c>
    </row>
    <row r="60">
      <c r="A60" s="5" t="str">
        <f>IFERROR(__xludf.DUMMYFUNCTION("""COMPUTED_VALUE"""),"*Medium Risk*
4
1
X
Jerome FordRB CLE
Seasons:2
Height:5'10""
Weight:210
Bye:5
View Player Profile »
Injury History [TABLE]")</f>
        <v>*Medium Risk*
4
1
X
Jerome FordRB CLE
Seasons:2
Height:5'10"
Weight:210
Bye:5
View Player Profile »
Injury History [TABLE]</v>
      </c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 t="str">
        <f>IFERROR(__xludf.DUMMYFUNCTION("""COMPUTED_VALUE"""),"Ezekiel Elliott, RB NE")</f>
        <v>Ezekiel Elliott, RB NE</v>
      </c>
      <c r="C61" s="5" t="str">
        <f>IFERROR(__xludf.DUMMYFUNCTION("""COMPUTED_VALUE"""),"8 | | | | | | | |")</f>
        <v>8 | | | | | | | |</v>
      </c>
      <c r="D61" s="5" t="str">
        <f>IFERROR(__xludf.DUMMYFUNCTION("""COMPUTED_VALUE"""),"+ Show History »")</f>
        <v>+ Show History »</v>
      </c>
      <c r="E61" s="5" t="str">
        <f>IFERROR(__xludf.DUMMYFUNCTION("""COMPUTED_VALUE"""),"High Risk")</f>
        <v>High Risk</v>
      </c>
      <c r="F61" s="38">
        <f>IFERROR(__xludf.DUMMYFUNCTION("""COMPUTED_VALUE"""),0.73)</f>
        <v>0.73</v>
      </c>
      <c r="G61" s="5">
        <f>IFERROR(__xludf.DUMMYFUNCTION("""COMPUTED_VALUE"""),3.22)</f>
        <v>3.22</v>
      </c>
      <c r="H61" s="60">
        <f>IFERROR(__xludf.DUMMYFUNCTION("""COMPUTED_VALUE"""),0.074)</f>
        <v>0.074</v>
      </c>
      <c r="I61" s="5">
        <f>IFERROR(__xludf.DUMMYFUNCTION("""COMPUTED_VALUE"""),5.0)</f>
        <v>5</v>
      </c>
      <c r="J61" s="5">
        <f>IFERROR(__xludf.DUMMYFUNCTION("""COMPUTED_VALUE"""),180.5)</f>
        <v>180.5</v>
      </c>
    </row>
    <row r="62">
      <c r="A62" s="5" t="str">
        <f>IFERROR(__xludf.DUMMYFUNCTION("""COMPUTED_VALUE"""),"*High Risk*
4
1
1
1
1
X
Ezekiel ElliottRB NE
Seasons:7
Height:6'0""
Weight:225
Bye:11
View Player Profile »
Injury History [TABLE]")</f>
        <v>*High Risk*
4
1
1
1
1
X
Ezekiel ElliottRB NE
Seasons:7
Height:6'0"
Weight:225
Bye:11
View Player Profile »
Injury History [TABLE]</v>
      </c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 t="str">
        <f>IFERROR(__xludf.DUMMYFUNCTION("""COMPUTED_VALUE"""),"Ty Chandler, RB MIN")</f>
        <v>Ty Chandler, RB MIN</v>
      </c>
      <c r="C63" s="5" t="str">
        <f>IFERROR(__xludf.DUMMYFUNCTION("""COMPUTED_VALUE"""),"1 |")</f>
        <v>1 |</v>
      </c>
      <c r="D63" s="5" t="str">
        <f>IFERROR(__xludf.DUMMYFUNCTION("""COMPUTED_VALUE"""),"+ Show History »")</f>
        <v>+ Show History »</v>
      </c>
      <c r="E63" s="5" t="str">
        <f>IFERROR(__xludf.DUMMYFUNCTION("""COMPUTED_VALUE"""),"Very Low Risk")</f>
        <v>Very Low Risk</v>
      </c>
      <c r="F63" s="38">
        <f>IFERROR(__xludf.DUMMYFUNCTION("""COMPUTED_VALUE"""),0.22)</f>
        <v>0.22</v>
      </c>
      <c r="G63" s="5">
        <f>IFERROR(__xludf.DUMMYFUNCTION("""COMPUTED_VALUE"""),0.9)</f>
        <v>0.9</v>
      </c>
      <c r="H63" s="60">
        <f>IFERROR(__xludf.DUMMYFUNCTION("""COMPUTED_VALUE"""),0.015)</f>
        <v>0.015</v>
      </c>
      <c r="I63" s="5">
        <f>IFERROR(__xludf.DUMMYFUNCTION("""COMPUTED_VALUE"""),5.0)</f>
        <v>5</v>
      </c>
      <c r="J63" s="5">
        <f>IFERROR(__xludf.DUMMYFUNCTION("""COMPUTED_VALUE"""),176.7)</f>
        <v>176.7</v>
      </c>
    </row>
    <row r="64">
      <c r="A64" s="5" t="str">
        <f>IFERROR(__xludf.DUMMYFUNCTION("""COMPUTED_VALUE"""),"*Very Low Risk*
1
X
Ty ChandlerRB MIN
Seasons:2
Height:5'11""
Weight:204
Bye:13
View Player Profile »
Injury History [TABLE]")</f>
        <v>*Very Low Risk*
1
X
Ty ChandlerRB MIN
Seasons:2
Height:5'11"
Weight:204
Bye:13
View Player Profile »
Injury History [TABLE]</v>
      </c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 t="str">
        <f>IFERROR(__xludf.DUMMYFUNCTION("""COMPUTED_VALUE"""),"Justice Hill, RB BAL")</f>
        <v>Justice Hill, RB BAL</v>
      </c>
      <c r="C65" s="5" t="str">
        <f>IFERROR(__xludf.DUMMYFUNCTION("""COMPUTED_VALUE"""),"5 | | | | |")</f>
        <v>5 | | | | |</v>
      </c>
      <c r="D65" s="5" t="str">
        <f>IFERROR(__xludf.DUMMYFUNCTION("""COMPUTED_VALUE"""),"+ Show History »")</f>
        <v>+ Show History »</v>
      </c>
      <c r="E65" s="5" t="str">
        <f>IFERROR(__xludf.DUMMYFUNCTION("""COMPUTED_VALUE"""),"Very Low Risk")</f>
        <v>Very Low Risk</v>
      </c>
      <c r="F65" s="38">
        <f>IFERROR(__xludf.DUMMYFUNCTION("""COMPUTED_VALUE"""),0.24)</f>
        <v>0.24</v>
      </c>
      <c r="G65" s="5">
        <f>IFERROR(__xludf.DUMMYFUNCTION("""COMPUTED_VALUE"""),1.47)</f>
        <v>1.47</v>
      </c>
      <c r="H65" s="60">
        <f>IFERROR(__xludf.DUMMYFUNCTION("""COMPUTED_VALUE"""),0.016)</f>
        <v>0.016</v>
      </c>
      <c r="I65" s="5">
        <f>IFERROR(__xludf.DUMMYFUNCTION("""COMPUTED_VALUE"""),1.64)</f>
        <v>1.64</v>
      </c>
      <c r="J65" s="5">
        <f>IFERROR(__xludf.DUMMYFUNCTION("""COMPUTED_VALUE"""),176.4)</f>
        <v>176.4</v>
      </c>
    </row>
    <row r="66">
      <c r="A66" s="5" t="str">
        <f>IFERROR(__xludf.DUMMYFUNCTION("""COMPUTED_VALUE"""),"*Very Low Risk*
2
2
1
X
Justice HillRB BAL
Seasons:4
Height:5'10""
Weight:198
Bye:13
View Player Profile »
Injury History [TABLE]")</f>
        <v>*Very Low Risk*
2
2
1
X
Justice HillRB BAL
Seasons:4
Height:5'10"
Weight:198
Bye:13
View Player Profile »
Injury History [TABLE]</v>
      </c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 t="str">
        <f>IFERROR(__xludf.DUMMYFUNCTION("""COMPUTED_VALUE"""),"Brian Robinson Jr., RB WAS")</f>
        <v>Brian Robinson Jr., RB WAS</v>
      </c>
      <c r="C67" s="5" t="str">
        <f>IFERROR(__xludf.DUMMYFUNCTION("""COMPUTED_VALUE"""),"3 | | |")</f>
        <v>3 | | |</v>
      </c>
      <c r="D67" s="5" t="str">
        <f>IFERROR(__xludf.DUMMYFUNCTION("""COMPUTED_VALUE"""),"+ Show History »")</f>
        <v>+ Show History »</v>
      </c>
      <c r="E67" s="5" t="str">
        <f>IFERROR(__xludf.DUMMYFUNCTION("""COMPUTED_VALUE"""),"Medium Risk")</f>
        <v>Medium Risk</v>
      </c>
      <c r="F67" s="38">
        <f>IFERROR(__xludf.DUMMYFUNCTION("""COMPUTED_VALUE"""),0.54)</f>
        <v>0.54</v>
      </c>
      <c r="G67" s="5">
        <f>IFERROR(__xludf.DUMMYFUNCTION("""COMPUTED_VALUE"""),1.3)</f>
        <v>1.3</v>
      </c>
      <c r="H67" s="60">
        <f>IFERROR(__xludf.DUMMYFUNCTION("""COMPUTED_VALUE"""),0.045)</f>
        <v>0.045</v>
      </c>
      <c r="I67" s="5">
        <f>IFERROR(__xludf.DUMMYFUNCTION("""COMPUTED_VALUE"""),5.0)</f>
        <v>5</v>
      </c>
      <c r="J67" s="5">
        <f>IFERROR(__xludf.DUMMYFUNCTION("""COMPUTED_VALUE"""),175.8)</f>
        <v>175.8</v>
      </c>
    </row>
    <row r="68">
      <c r="A68" s="5" t="str">
        <f>IFERROR(__xludf.DUMMYFUNCTION("""COMPUTED_VALUE"""),"*Medium Risk*
1
1
1
X
Brian Robinson Jr.RB WAS
Seasons:2
Height:6'1""
Weight:228
Bye:14
View Player Profile »
Injury History [TABLE]")</f>
        <v>*Medium Risk*
1
1
1
X
Brian Robinson Jr.RB WAS
Seasons:2
Height:6'1"
Weight:228
Bye:14
View Player Profile »
Injury History [TABLE]</v>
      </c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 t="str">
        <f>IFERROR(__xludf.DUMMYFUNCTION("""COMPUTED_VALUE"""),"Jaylen Warren, RB PIT")</f>
        <v>Jaylen Warren, RB PIT</v>
      </c>
      <c r="C69" s="5" t="str">
        <f>IFERROR(__xludf.DUMMYFUNCTION("""COMPUTED_VALUE"""),"1 |")</f>
        <v>1 |</v>
      </c>
      <c r="D69" s="5" t="str">
        <f>IFERROR(__xludf.DUMMYFUNCTION("""COMPUTED_VALUE"""),"+ Show History »")</f>
        <v>+ Show History »</v>
      </c>
      <c r="E69" s="5" t="str">
        <f>IFERROR(__xludf.DUMMYFUNCTION("""COMPUTED_VALUE"""),"Medium Risk")</f>
        <v>Medium Risk</v>
      </c>
      <c r="F69" s="38">
        <f>IFERROR(__xludf.DUMMYFUNCTION("""COMPUTED_VALUE"""),0.57)</f>
        <v>0.57</v>
      </c>
      <c r="G69" s="5">
        <f>IFERROR(__xludf.DUMMYFUNCTION("""COMPUTED_VALUE"""),1.97)</f>
        <v>1.97</v>
      </c>
      <c r="H69" s="60">
        <f>IFERROR(__xludf.DUMMYFUNCTION("""COMPUTED_VALUE"""),0.048)</f>
        <v>0.048</v>
      </c>
      <c r="I69" s="5">
        <f>IFERROR(__xludf.DUMMYFUNCTION("""COMPUTED_VALUE"""),5.0)</f>
        <v>5</v>
      </c>
      <c r="J69" s="5">
        <f>IFERROR(__xludf.DUMMYFUNCTION("""COMPUTED_VALUE"""),175.6)</f>
        <v>175.6</v>
      </c>
    </row>
    <row r="70">
      <c r="A70" s="5" t="str">
        <f>IFERROR(__xludf.DUMMYFUNCTION("""COMPUTED_VALUE"""),"*Medium Risk*
1
X
Jaylen WarrenRB PIT
Seasons:2
Height:5'8""
Weight:215
Bye:6
View Player Profile »
Injury History [TABLE]")</f>
        <v>*Medium Risk*
1
X
Jaylen WarrenRB PIT
Seasons:2
Height:5'8"
Weight:215
Bye:6
View Player Profile »
Injury History [TABLE]</v>
      </c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 t="str">
        <f>IFERROR(__xludf.DUMMYFUNCTION("""COMPUTED_VALUE"""),"Chuba Hubbard, RB CAR")</f>
        <v>Chuba Hubbard, RB CAR</v>
      </c>
      <c r="C71" s="5" t="str">
        <f>IFERROR(__xludf.DUMMYFUNCTION("""COMPUTED_VALUE"""),"3 | | |")</f>
        <v>3 | | |</v>
      </c>
      <c r="D71" s="5" t="str">
        <f>IFERROR(__xludf.DUMMYFUNCTION("""COMPUTED_VALUE"""),"+ Show History »")</f>
        <v>+ Show History »</v>
      </c>
      <c r="E71" s="5" t="str">
        <f>IFERROR(__xludf.DUMMYFUNCTION("""COMPUTED_VALUE"""),"Low Risk")</f>
        <v>Low Risk</v>
      </c>
      <c r="F71" s="38">
        <f>IFERROR(__xludf.DUMMYFUNCTION("""COMPUTED_VALUE"""),0.33)</f>
        <v>0.33</v>
      </c>
      <c r="G71" s="5">
        <f>IFERROR(__xludf.DUMMYFUNCTION("""COMPUTED_VALUE"""),1.38)</f>
        <v>1.38</v>
      </c>
      <c r="H71" s="60">
        <f>IFERROR(__xludf.DUMMYFUNCTION("""COMPUTED_VALUE"""),0.023)</f>
        <v>0.023</v>
      </c>
      <c r="I71" s="5">
        <f>IFERROR(__xludf.DUMMYFUNCTION("""COMPUTED_VALUE"""),5.0)</f>
        <v>5</v>
      </c>
      <c r="J71" s="5">
        <f>IFERROR(__xludf.DUMMYFUNCTION("""COMPUTED_VALUE"""),175.1)</f>
        <v>175.1</v>
      </c>
    </row>
    <row r="72">
      <c r="A72" s="5" t="str">
        <f>IFERROR(__xludf.DUMMYFUNCTION("""COMPUTED_VALUE"""),"*Low Risk*
3
X
Chuba HubbardRB CAR
Seasons:2
Height:6'0""
Weight:208
Bye:7
View Player Profile »
Injury History [TABLE]")</f>
        <v>*Low Risk*
3
X
Chuba HubbardRB CAR
Seasons:2
Height:6'0"
Weight:208
Bye:7
View Player Profile »
Injury History [TABLE]</v>
      </c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 t="str">
        <f>IFERROR(__xludf.DUMMYFUNCTION("""COMPUTED_VALUE"""),"Zach Charbonnet, RB SEA")</f>
        <v>Zach Charbonnet, RB SEA</v>
      </c>
      <c r="C73" s="5" t="str">
        <f>IFERROR(__xludf.DUMMYFUNCTION("""COMPUTED_VALUE"""),"3 | | |")</f>
        <v>3 | | |</v>
      </c>
      <c r="D73" s="5" t="str">
        <f>IFERROR(__xludf.DUMMYFUNCTION("""COMPUTED_VALUE"""),"+ Show History »")</f>
        <v>+ Show History »</v>
      </c>
      <c r="E73" s="5" t="str">
        <f>IFERROR(__xludf.DUMMYFUNCTION("""COMPUTED_VALUE"""),"Low Risk")</f>
        <v>Low Risk</v>
      </c>
      <c r="F73" s="38">
        <f>IFERROR(__xludf.DUMMYFUNCTION("""COMPUTED_VALUE"""),0.4)</f>
        <v>0.4</v>
      </c>
      <c r="G73" s="5">
        <f>IFERROR(__xludf.DUMMYFUNCTION("""COMPUTED_VALUE"""),0.8)</f>
        <v>0.8</v>
      </c>
      <c r="H73" s="38">
        <f>IFERROR(__xludf.DUMMYFUNCTION("""COMPUTED_VALUE"""),0.03)</f>
        <v>0.03</v>
      </c>
      <c r="I73" s="5">
        <f>IFERROR(__xludf.DUMMYFUNCTION("""COMPUTED_VALUE"""),5.0)</f>
        <v>5</v>
      </c>
      <c r="J73" s="5">
        <f>IFERROR(__xludf.DUMMYFUNCTION("""COMPUTED_VALUE"""),173.0)</f>
        <v>173</v>
      </c>
    </row>
    <row r="74">
      <c r="A74" s="5" t="str">
        <f>IFERROR(__xludf.DUMMYFUNCTION("""COMPUTED_VALUE"""),"*Low Risk*
1
1
1
X
Zach CharbonnetRB SEA
Seasons:0
Height:6'0""
Weight:214
Bye:5
View Player Profile »
Injury History [TABLE]")</f>
        <v>*Low Risk*
1
1
1
X
Zach CharbonnetRB SEA
Seasons:0
Height:6'0"
Weight:214
Bye:5
View Player Profile »
Injury History [TABLE]</v>
      </c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 t="str">
        <f>IFERROR(__xludf.DUMMYFUNCTION("""COMPUTED_VALUE"""),"Kareem Hunt, RB CLE")</f>
        <v>Kareem Hunt, RB CLE</v>
      </c>
      <c r="C75" s="5" t="str">
        <f>IFERROR(__xludf.DUMMYFUNCTION("""COMPUTED_VALUE"""),"6 | | | | | |")</f>
        <v>6 | | | | | |</v>
      </c>
      <c r="D75" s="5" t="str">
        <f>IFERROR(__xludf.DUMMYFUNCTION("""COMPUTED_VALUE"""),"+ Show History »")</f>
        <v>+ Show History »</v>
      </c>
      <c r="E75" s="5" t="str">
        <f>IFERROR(__xludf.DUMMYFUNCTION("""COMPUTED_VALUE"""),"Low Risk")</f>
        <v>Low Risk</v>
      </c>
      <c r="F75" s="38">
        <f>IFERROR(__xludf.DUMMYFUNCTION("""COMPUTED_VALUE"""),0.36)</f>
        <v>0.36</v>
      </c>
      <c r="G75" s="5">
        <f>IFERROR(__xludf.DUMMYFUNCTION("""COMPUTED_VALUE"""),1.01)</f>
        <v>1.01</v>
      </c>
      <c r="H75" s="60">
        <f>IFERROR(__xludf.DUMMYFUNCTION("""COMPUTED_VALUE"""),0.026)</f>
        <v>0.026</v>
      </c>
      <c r="I75" s="5">
        <f>IFERROR(__xludf.DUMMYFUNCTION("""COMPUTED_VALUE"""),5.0)</f>
        <v>5</v>
      </c>
      <c r="J75" s="5">
        <f>IFERROR(__xludf.DUMMYFUNCTION("""COMPUTED_VALUE"""),162.2)</f>
        <v>162.2</v>
      </c>
    </row>
    <row r="76">
      <c r="A76" s="5" t="str">
        <f>IFERROR(__xludf.DUMMYFUNCTION("""COMPUTED_VALUE"""),"*Low Risk*
1
1
1
1
1
1
X
Kareem HuntRB CLE
Seasons:6
Height:5'10""
Weight:216
Bye:5
View Player Profile »
Injury History [TABLE]")</f>
        <v>*Low Risk*
1
1
1
1
1
1
X
Kareem HuntRB CLE
Seasons:6
Height:5'10"
Weight:216
Bye:5
View Player Profile »
Injury History [TABLE]</v>
      </c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 t="str">
        <f>IFERROR(__xludf.DUMMYFUNCTION("""COMPUTED_VALUE"""),"D'Onta Foreman, RB CHI")</f>
        <v>D'Onta Foreman, RB CHI</v>
      </c>
      <c r="C77" s="5" t="str">
        <f>IFERROR(__xludf.DUMMYFUNCTION("""COMPUTED_VALUE"""),"1 |")</f>
        <v>1 |</v>
      </c>
      <c r="D77" s="5" t="str">
        <f>IFERROR(__xludf.DUMMYFUNCTION("""COMPUTED_VALUE"""),"+ Show History »")</f>
        <v>+ Show History »</v>
      </c>
      <c r="E77" s="5" t="str">
        <f>IFERROR(__xludf.DUMMYFUNCTION("""COMPUTED_VALUE"""),"Very Low Risk")</f>
        <v>Very Low Risk</v>
      </c>
      <c r="F77" s="38">
        <f>IFERROR(__xludf.DUMMYFUNCTION("""COMPUTED_VALUE"""),0.24)</f>
        <v>0.24</v>
      </c>
      <c r="G77" s="5">
        <f>IFERROR(__xludf.DUMMYFUNCTION("""COMPUTED_VALUE"""),1.7)</f>
        <v>1.7</v>
      </c>
      <c r="H77" s="60">
        <f>IFERROR(__xludf.DUMMYFUNCTION("""COMPUTED_VALUE"""),0.016)</f>
        <v>0.016</v>
      </c>
      <c r="I77" s="5">
        <f>IFERROR(__xludf.DUMMYFUNCTION("""COMPUTED_VALUE"""),5.0)</f>
        <v>5</v>
      </c>
      <c r="J77" s="5">
        <f>IFERROR(__xludf.DUMMYFUNCTION("""COMPUTED_VALUE"""),153.9)</f>
        <v>153.9</v>
      </c>
    </row>
    <row r="78">
      <c r="A78" s="5" t="str">
        <f>IFERROR(__xludf.DUMMYFUNCTION("""COMPUTED_VALUE"""),"*Very Low Risk*
1
X
D'Onta ForemanRB CHI
Seasons:6
Height:6'0""
Weight:233
Bye:13
View Player Profile »
Injury History [TABLE]")</f>
        <v>*Very Low Risk*
1
X
D'Onta ForemanRB CHI
Seasons:6
Height:6'0"
Weight:233
Bye:13
View Player Profile »
Injury History [TABLE]</v>
      </c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 t="str">
        <f>IFERROR(__xludf.DUMMYFUNCTION("""COMPUTED_VALUE"""),"Antonio Gibson, RB WAS")</f>
        <v>Antonio Gibson, RB WAS</v>
      </c>
      <c r="C79" s="5" t="str">
        <f>IFERROR(__xludf.DUMMYFUNCTION("""COMPUTED_VALUE"""),"7 | | | | | | |")</f>
        <v>7 | | | | | | |</v>
      </c>
      <c r="D79" s="5" t="str">
        <f>IFERROR(__xludf.DUMMYFUNCTION("""COMPUTED_VALUE"""),"+ Show History »")</f>
        <v>+ Show History »</v>
      </c>
      <c r="E79" s="5" t="str">
        <f>IFERROR(__xludf.DUMMYFUNCTION("""COMPUTED_VALUE"""),"High Risk")</f>
        <v>High Risk</v>
      </c>
      <c r="F79" s="38">
        <f>IFERROR(__xludf.DUMMYFUNCTION("""COMPUTED_VALUE"""),0.63)</f>
        <v>0.63</v>
      </c>
      <c r="G79" s="5">
        <f>IFERROR(__xludf.DUMMYFUNCTION("""COMPUTED_VALUE"""),2.4)</f>
        <v>2.4</v>
      </c>
      <c r="H79" s="60">
        <f>IFERROR(__xludf.DUMMYFUNCTION("""COMPUTED_VALUE"""),0.057)</f>
        <v>0.057</v>
      </c>
      <c r="I79" s="5">
        <f>IFERROR(__xludf.DUMMYFUNCTION("""COMPUTED_VALUE"""),5.0)</f>
        <v>5</v>
      </c>
      <c r="J79" s="5">
        <f>IFERROR(__xludf.DUMMYFUNCTION("""COMPUTED_VALUE"""),148.5)</f>
        <v>148.5</v>
      </c>
    </row>
    <row r="80">
      <c r="A80" s="5" t="str">
        <f>IFERROR(__xludf.DUMMYFUNCTION("""COMPUTED_VALUE"""),"*High Risk*
1
3
1
2
X
Antonio GibsonRB WAS
Seasons:3
Height:6'0""
Weight:228
Bye:14
View Player Profile »
Injury History [TABLE]")</f>
        <v>*High Risk*
1
3
1
2
X
Antonio GibsonRB WAS
Seasons:3
Height:6'0"
Weight:228
Bye:14
View Player Profile »
Injury History [TABLE]</v>
      </c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 t="str">
        <f>IFERROR(__xludf.DUMMYFUNCTION("""COMPUTED_VALUE"""),"Tyjae Spears, RB TEN")</f>
        <v>Tyjae Spears, RB TEN</v>
      </c>
      <c r="C81" s="5" t="str">
        <f>IFERROR(__xludf.DUMMYFUNCTION("""COMPUTED_VALUE"""),"3 | | |")</f>
        <v>3 | | |</v>
      </c>
      <c r="D81" s="5" t="str">
        <f>IFERROR(__xludf.DUMMYFUNCTION("""COMPUTED_VALUE"""),"+ Show History »")</f>
        <v>+ Show History »</v>
      </c>
      <c r="E81" s="5" t="str">
        <f>IFERROR(__xludf.DUMMYFUNCTION("""COMPUTED_VALUE"""),"Very Low Risk")</f>
        <v>Very Low Risk</v>
      </c>
      <c r="F81" s="38">
        <f>IFERROR(__xludf.DUMMYFUNCTION("""COMPUTED_VALUE"""),0.24)</f>
        <v>0.24</v>
      </c>
      <c r="G81" s="5">
        <f>IFERROR(__xludf.DUMMYFUNCTION("""COMPUTED_VALUE"""),0.6)</f>
        <v>0.6</v>
      </c>
      <c r="H81" s="60">
        <f>IFERROR(__xludf.DUMMYFUNCTION("""COMPUTED_VALUE"""),0.016)</f>
        <v>0.016</v>
      </c>
      <c r="I81" s="5">
        <f>IFERROR(__xludf.DUMMYFUNCTION("""COMPUTED_VALUE"""),2.74)</f>
        <v>2.74</v>
      </c>
      <c r="J81" s="5">
        <f>IFERROR(__xludf.DUMMYFUNCTION("""COMPUTED_VALUE"""),143.2)</f>
        <v>143.2</v>
      </c>
    </row>
    <row r="82">
      <c r="A82" s="5" t="str">
        <f>IFERROR(__xludf.DUMMYFUNCTION("""COMPUTED_VALUE"""),"*Very Low Risk*
3
X
Tyjae SpearsRB TEN
Seasons:0
Height:5'9""
Weight:201
Bye:7
View Player Profile »
Injury History [TABLE]")</f>
        <v>*Very Low Risk*
3
X
Tyjae SpearsRB TEN
Seasons:0
Height:5'9"
Weight:201
Bye:7
View Player Profile »
Injury History [TABLE]</v>
      </c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 t="str">
        <f>IFERROR(__xludf.DUMMYFUNCTION("""COMPUTED_VALUE"""),"Kenneth Gainwell, RB PHI")</f>
        <v>Kenneth Gainwell, RB PHI</v>
      </c>
      <c r="C83" s="5">
        <f>IFERROR(__xludf.DUMMYFUNCTION("""COMPUTED_VALUE"""),0.0)</f>
        <v>0</v>
      </c>
      <c r="D83" s="5" t="str">
        <f>IFERROR(__xludf.DUMMYFUNCTION("""COMPUTED_VALUE"""),"+ Show History »")</f>
        <v>+ Show History »</v>
      </c>
      <c r="E83" s="5" t="str">
        <f>IFERROR(__xludf.DUMMYFUNCTION("""COMPUTED_VALUE"""),"Very Low Risk")</f>
        <v>Very Low Risk</v>
      </c>
      <c r="F83" s="38">
        <f>IFERROR(__xludf.DUMMYFUNCTION("""COMPUTED_VALUE"""),0.22)</f>
        <v>0.22</v>
      </c>
      <c r="G83" s="5">
        <f>IFERROR(__xludf.DUMMYFUNCTION("""COMPUTED_VALUE"""),0.63)</f>
        <v>0.63</v>
      </c>
      <c r="H83" s="60">
        <f>IFERROR(__xludf.DUMMYFUNCTION("""COMPUTED_VALUE"""),0.015)</f>
        <v>0.015</v>
      </c>
      <c r="I83" s="5">
        <f>IFERROR(__xludf.DUMMYFUNCTION("""COMPUTED_VALUE"""),5.0)</f>
        <v>5</v>
      </c>
      <c r="J83" s="5">
        <f>IFERROR(__xludf.DUMMYFUNCTION("""COMPUTED_VALUE"""),142.9)</f>
        <v>142.9</v>
      </c>
    </row>
    <row r="84">
      <c r="A84" s="5" t="str">
        <f>IFERROR(__xludf.DUMMYFUNCTION("""COMPUTED_VALUE"""),"*Very Low Risk*
X
Kenneth GainwellRB PHI
Seasons:2
Height:5'11""
Weight:195
Bye:10
View Player Profile »
Injury History [TABLE]")</f>
        <v>*Very Low Risk*
X
Kenneth GainwellRB PHI
Seasons:2
Height:5'11"
Weight:195
Bye:10
View Player Profile »
Injury History [TABLE]</v>
      </c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 t="str">
        <f>IFERROR(__xludf.DUMMYFUNCTION("""COMPUTED_VALUE"""),"A.J. Dillon, RB GB")</f>
        <v>A.J. Dillon, RB GB</v>
      </c>
      <c r="C85" s="5" t="str">
        <f>IFERROR(__xludf.DUMMYFUNCTION("""COMPUTED_VALUE"""),"5 | | | | |")</f>
        <v>5 | | | | |</v>
      </c>
      <c r="D85" s="5" t="str">
        <f>IFERROR(__xludf.DUMMYFUNCTION("""COMPUTED_VALUE"""),"+ Show History »")</f>
        <v>+ Show History »</v>
      </c>
      <c r="E85" s="5" t="str">
        <f>IFERROR(__xludf.DUMMYFUNCTION("""COMPUTED_VALUE"""),"Medium Risk")</f>
        <v>Medium Risk</v>
      </c>
      <c r="F85" s="38">
        <f>IFERROR(__xludf.DUMMYFUNCTION("""COMPUTED_VALUE"""),0.53)</f>
        <v>0.53</v>
      </c>
      <c r="G85" s="5">
        <f>IFERROR(__xludf.DUMMYFUNCTION("""COMPUTED_VALUE"""),1.23)</f>
        <v>1.23</v>
      </c>
      <c r="H85" s="60">
        <f>IFERROR(__xludf.DUMMYFUNCTION("""COMPUTED_VALUE"""),0.043)</f>
        <v>0.043</v>
      </c>
      <c r="I85" s="5">
        <f>IFERROR(__xludf.DUMMYFUNCTION("""COMPUTED_VALUE"""),5.0)</f>
        <v>5</v>
      </c>
      <c r="J85" s="5">
        <f>IFERROR(__xludf.DUMMYFUNCTION("""COMPUTED_VALUE"""),138.1)</f>
        <v>138.1</v>
      </c>
    </row>
    <row r="86">
      <c r="A86" s="5" t="str">
        <f>IFERROR(__xludf.DUMMYFUNCTION("""COMPUTED_VALUE"""),"*Medium Risk*
1
2
2
X
A.J. DillonRB GB
Seasons:3
Height:6'0""
Weight:247
Bye:6
View Player Profile »
Injury History [TABLE]")</f>
        <v>*Medium Risk*
1
2
2
X
A.J. DillonRB GB
Seasons:3
Height:6'0"
Weight:247
Bye:6
View Player Profile »
Injury History [TABLE]</v>
      </c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 t="str">
        <f>IFERROR(__xludf.DUMMYFUNCTION("""COMPUTED_VALUE"""),"Clyde Edwards-Helaire, RB KC")</f>
        <v>Clyde Edwards-Helaire, RB KC</v>
      </c>
      <c r="C87" s="5" t="str">
        <f>IFERROR(__xludf.DUMMYFUNCTION("""COMPUTED_VALUE"""),"7 | | | | | | |")</f>
        <v>7 | | | | | | |</v>
      </c>
      <c r="D87" s="5" t="str">
        <f>IFERROR(__xludf.DUMMYFUNCTION("""COMPUTED_VALUE"""),"+ Show History »")</f>
        <v>+ Show History »</v>
      </c>
      <c r="E87" s="5" t="str">
        <f>IFERROR(__xludf.DUMMYFUNCTION("""COMPUTED_VALUE"""),"Very High Risk")</f>
        <v>Very High Risk</v>
      </c>
      <c r="F87" s="38">
        <f>IFERROR(__xludf.DUMMYFUNCTION("""COMPUTED_VALUE"""),0.78)</f>
        <v>0.78</v>
      </c>
      <c r="G87" s="5">
        <f>IFERROR(__xludf.DUMMYFUNCTION("""COMPUTED_VALUE"""),3.4)</f>
        <v>3.4</v>
      </c>
      <c r="H87" s="60">
        <f>IFERROR(__xludf.DUMMYFUNCTION("""COMPUTED_VALUE"""),0.085)</f>
        <v>0.085</v>
      </c>
      <c r="I87" s="5">
        <f>IFERROR(__xludf.DUMMYFUNCTION("""COMPUTED_VALUE"""),1.69)</f>
        <v>1.69</v>
      </c>
      <c r="J87" s="5">
        <f>IFERROR(__xludf.DUMMYFUNCTION("""COMPUTED_VALUE"""),137.8)</f>
        <v>137.8</v>
      </c>
    </row>
    <row r="88">
      <c r="A88" s="5" t="str">
        <f>IFERROR(__xludf.DUMMYFUNCTION("""COMPUTED_VALUE"""),"*Very High Risk*
3
1
1
1
1
X
Clyde Edwards-HelaireRB KC
Seasons:3
Height:5'7""
Weight:207
Bye:10
View Player Profile »
Injury History [TABLE]")</f>
        <v>*Very High Risk*
3
1
1
1
1
X
Clyde Edwards-HelaireRB KC
Seasons:3
Height:5'7"
Weight:207
Bye:10
View Player Profile »
Injury History [TABLE]</v>
      </c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 t="str">
        <f>IFERROR(__xludf.DUMMYFUNCTION("""COMPUTED_VALUE"""),"Alexander Mattison, RB MIN")</f>
        <v>Alexander Mattison, RB MIN</v>
      </c>
      <c r="C89" s="5" t="str">
        <f>IFERROR(__xludf.DUMMYFUNCTION("""COMPUTED_VALUE"""),"4 | | | |")</f>
        <v>4 | | | |</v>
      </c>
      <c r="D89" s="5" t="str">
        <f>IFERROR(__xludf.DUMMYFUNCTION("""COMPUTED_VALUE"""),"+ Show History »")</f>
        <v>+ Show History »</v>
      </c>
      <c r="E89" s="5" t="str">
        <f>IFERROR(__xludf.DUMMYFUNCTION("""COMPUTED_VALUE"""),"Medium Risk")</f>
        <v>Medium Risk</v>
      </c>
      <c r="F89" s="38">
        <f>IFERROR(__xludf.DUMMYFUNCTION("""COMPUTED_VALUE"""),0.57)</f>
        <v>0.57</v>
      </c>
      <c r="G89" s="5">
        <f>IFERROR(__xludf.DUMMYFUNCTION("""COMPUTED_VALUE"""),0.75)</f>
        <v>0.75</v>
      </c>
      <c r="H89" s="60">
        <f>IFERROR(__xludf.DUMMYFUNCTION("""COMPUTED_VALUE"""),0.048)</f>
        <v>0.048</v>
      </c>
      <c r="I89" s="5">
        <f>IFERROR(__xludf.DUMMYFUNCTION("""COMPUTED_VALUE"""),5.0)</f>
        <v>5</v>
      </c>
      <c r="J89" s="5">
        <f>IFERROR(__xludf.DUMMYFUNCTION("""COMPUTED_VALUE"""),136.4)</f>
        <v>136.4</v>
      </c>
    </row>
    <row r="90">
      <c r="A90" s="5" t="str">
        <f>IFERROR(__xludf.DUMMYFUNCTION("""COMPUTED_VALUE"""),"*Medium Risk*
2
1
1
X
Alexander MattisonRB MIN
Seasons:4
Height:5'11""
Weight:218
Bye:13
View Player Profile »
Injury History [TABLE]")</f>
        <v>*Medium Risk*
2
1
1
X
Alexander MattisonRB MIN
Seasons:4
Height:5'11"
Weight:218
Bye:13
View Player Profile »
Injury History [TABLE]</v>
      </c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 t="str">
        <f>IFERROR(__xludf.DUMMYFUNCTION("""COMPUTED_VALUE"""),"Khalil Herbert, RB CHI")</f>
        <v>Khalil Herbert, RB CHI</v>
      </c>
      <c r="C91" s="5" t="str">
        <f>IFERROR(__xludf.DUMMYFUNCTION("""COMPUTED_VALUE"""),"4 | | | |")</f>
        <v>4 | | | |</v>
      </c>
      <c r="D91" s="5" t="str">
        <f>IFERROR(__xludf.DUMMYFUNCTION("""COMPUTED_VALUE"""),"+ Show History »")</f>
        <v>+ Show History »</v>
      </c>
      <c r="E91" s="5" t="str">
        <f>IFERROR(__xludf.DUMMYFUNCTION("""COMPUTED_VALUE"""),"Very High Risk")</f>
        <v>Very High Risk</v>
      </c>
      <c r="F91" s="38">
        <f>IFERROR(__xludf.DUMMYFUNCTION("""COMPUTED_VALUE"""),0.92)</f>
        <v>0.92</v>
      </c>
      <c r="G91" s="5">
        <f>IFERROR(__xludf.DUMMYFUNCTION("""COMPUTED_VALUE"""),2.4)</f>
        <v>2.4</v>
      </c>
      <c r="H91" s="60">
        <f>IFERROR(__xludf.DUMMYFUNCTION("""COMPUTED_VALUE"""),0.138)</f>
        <v>0.138</v>
      </c>
      <c r="I91" s="5">
        <f>IFERROR(__xludf.DUMMYFUNCTION("""COMPUTED_VALUE"""),4.83)</f>
        <v>4.83</v>
      </c>
      <c r="J91" s="5">
        <f>IFERROR(__xludf.DUMMYFUNCTION("""COMPUTED_VALUE"""),133.7)</f>
        <v>133.7</v>
      </c>
    </row>
    <row r="92">
      <c r="A92" s="5" t="str">
        <f>IFERROR(__xludf.DUMMYFUNCTION("""COMPUTED_VALUE"""),"*Very High Risk*
1
1
2
X
Khalil HerbertRB CHI
Seasons:3
Height:5'9""
Weight:210
Bye:13
View Player Profile »
Injury History [TABLE]")</f>
        <v>*Very High Risk*
1
1
2
X
Khalil HerbertRB CHI
Seasons:3
Height:5'9"
Weight:210
Bye:13
View Player Profile »
Injury History [TABLE]</v>
      </c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 t="str">
        <f>IFERROR(__xludf.DUMMYFUNCTION("""COMPUTED_VALUE"""),"Zack Moss, RB IND")</f>
        <v>Zack Moss, RB IND</v>
      </c>
      <c r="C93" s="5" t="str">
        <f>IFERROR(__xludf.DUMMYFUNCTION("""COMPUTED_VALUE"""),"7 | | | | | | |")</f>
        <v>7 | | | | | | |</v>
      </c>
      <c r="D93" s="5" t="str">
        <f>IFERROR(__xludf.DUMMYFUNCTION("""COMPUTED_VALUE"""),"+ Show History »")</f>
        <v>+ Show History »</v>
      </c>
      <c r="E93" s="5" t="str">
        <f>IFERROR(__xludf.DUMMYFUNCTION("""COMPUTED_VALUE"""),"Low Risk")</f>
        <v>Low Risk</v>
      </c>
      <c r="F93" s="38">
        <f>IFERROR(__xludf.DUMMYFUNCTION("""COMPUTED_VALUE"""),0.33)</f>
        <v>0.33</v>
      </c>
      <c r="G93" s="5">
        <f>IFERROR(__xludf.DUMMYFUNCTION("""COMPUTED_VALUE"""),0.71)</f>
        <v>0.71</v>
      </c>
      <c r="H93" s="60">
        <f>IFERROR(__xludf.DUMMYFUNCTION("""COMPUTED_VALUE"""),0.023)</f>
        <v>0.023</v>
      </c>
      <c r="I93" s="5">
        <f>IFERROR(__xludf.DUMMYFUNCTION("""COMPUTED_VALUE"""),3.32)</f>
        <v>3.32</v>
      </c>
      <c r="J93" s="5">
        <f>IFERROR(__xludf.DUMMYFUNCTION("""COMPUTED_VALUE"""),132.3)</f>
        <v>132.3</v>
      </c>
    </row>
    <row r="94">
      <c r="A94" s="5" t="str">
        <f>IFERROR(__xludf.DUMMYFUNCTION("""COMPUTED_VALUE"""),"*Low Risk*
1
1
1
2
1
1
X
Zack MossRB IND
Seasons:3
Height:5'9""
Weight:223
Bye:11
View Player Profile »
Injury History [TABLE]")</f>
        <v>*Low Risk*
1
1
1
2
1
1
X
Zack MossRB IND
Seasons:3
Height:5'9"
Weight:223
Bye:11
View Player Profile »
Injury History [TABLE]</v>
      </c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 t="str">
        <f>IFERROR(__xludf.DUMMYFUNCTION("""COMPUTED_VALUE"""),"Zamir White, RB LVR")</f>
        <v>Zamir White, RB LVR</v>
      </c>
      <c r="C95" s="5" t="str">
        <f>IFERROR(__xludf.DUMMYFUNCTION("""COMPUTED_VALUE"""),"2 | |")</f>
        <v>2 | |</v>
      </c>
      <c r="D95" s="5" t="str">
        <f>IFERROR(__xludf.DUMMYFUNCTION("""COMPUTED_VALUE"""),"+ Show History »")</f>
        <v>+ Show History »</v>
      </c>
      <c r="E95" s="5" t="str">
        <f>IFERROR(__xludf.DUMMYFUNCTION("""COMPUTED_VALUE"""),"Very Low Risk")</f>
        <v>Very Low Risk</v>
      </c>
      <c r="F95" s="38">
        <f>IFERROR(__xludf.DUMMYFUNCTION("""COMPUTED_VALUE"""),0.22)</f>
        <v>0.22</v>
      </c>
      <c r="G95" s="5">
        <f>IFERROR(__xludf.DUMMYFUNCTION("""COMPUTED_VALUE"""),0.59)</f>
        <v>0.59</v>
      </c>
      <c r="H95" s="60">
        <f>IFERROR(__xludf.DUMMYFUNCTION("""COMPUTED_VALUE"""),0.015)</f>
        <v>0.015</v>
      </c>
      <c r="I95" s="5">
        <f>IFERROR(__xludf.DUMMYFUNCTION("""COMPUTED_VALUE"""),1.25)</f>
        <v>1.25</v>
      </c>
      <c r="J95" s="5">
        <f>IFERROR(__xludf.DUMMYFUNCTION("""COMPUTED_VALUE"""),132.2)</f>
        <v>132.2</v>
      </c>
    </row>
    <row r="96">
      <c r="A96" s="5" t="str">
        <f>IFERROR(__xludf.DUMMYFUNCTION("""COMPUTED_VALUE"""),"*Very Low Risk*
2
X
Zamir WhiteRB LVR
Seasons:2
Height:6'0""
Weight:215
Bye:13
View Player Profile »
Injury History [TABLE]")</f>
        <v>*Very Low Risk*
2
X
Zamir WhiteRB LVR
Seasons:2
Height:6'0"
Weight:215
Bye:13
View Player Profile »
Injury History [TABLE]</v>
      </c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 t="str">
        <f>IFERROR(__xludf.DUMMYFUNCTION("""COMPUTED_VALUE"""),"Tyler Allgeier, RB ATL")</f>
        <v>Tyler Allgeier, RB ATL</v>
      </c>
      <c r="C97" s="5">
        <f>IFERROR(__xludf.DUMMYFUNCTION("""COMPUTED_VALUE"""),0.0)</f>
        <v>0</v>
      </c>
      <c r="D97" s="5" t="str">
        <f>IFERROR(__xludf.DUMMYFUNCTION("""COMPUTED_VALUE"""),"+ Show History »")</f>
        <v>+ Show History »</v>
      </c>
      <c r="E97" s="5" t="str">
        <f>IFERROR(__xludf.DUMMYFUNCTION("""COMPUTED_VALUE"""),"Low Risk")</f>
        <v>Low Risk</v>
      </c>
      <c r="F97" s="38">
        <f>IFERROR(__xludf.DUMMYFUNCTION("""COMPUTED_VALUE"""),0.32)</f>
        <v>0.32</v>
      </c>
      <c r="G97" s="5">
        <f>IFERROR(__xludf.DUMMYFUNCTION("""COMPUTED_VALUE"""),1.42)</f>
        <v>1.42</v>
      </c>
      <c r="H97" s="60">
        <f>IFERROR(__xludf.DUMMYFUNCTION("""COMPUTED_VALUE"""),0.022)</f>
        <v>0.022</v>
      </c>
      <c r="I97" s="5">
        <f>IFERROR(__xludf.DUMMYFUNCTION("""COMPUTED_VALUE"""),5.0)</f>
        <v>5</v>
      </c>
      <c r="J97" s="5">
        <f>IFERROR(__xludf.DUMMYFUNCTION("""COMPUTED_VALUE"""),129.4)</f>
        <v>129.4</v>
      </c>
    </row>
    <row r="98">
      <c r="A98" s="5" t="str">
        <f>IFERROR(__xludf.DUMMYFUNCTION("""COMPUTED_VALUE"""),"*Low Risk*
X
Tyler AllgeierRB ATL
Seasons:2
Height:5'11""
Weight:220
Bye:11
View Player Profile »
Injury History [TABLE]")</f>
        <v>*Low Risk*
X
Tyler AllgeierRB ATL
Seasons:2
Height:5'11"
Weight:220
Bye:11
View Player Profile »
Injury History [TABLE]</v>
      </c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 t="str">
        <f>IFERROR(__xludf.DUMMYFUNCTION("""COMPUTED_VALUE"""),"Jamaal Williams, RB NO")</f>
        <v>Jamaal Williams, RB NO</v>
      </c>
      <c r="C99" s="5" t="str">
        <f>IFERROR(__xludf.DUMMYFUNCTION("""COMPUTED_VALUE"""),"11 | | | | | | | | | | |")</f>
        <v>11 | | | | | | | | | | |</v>
      </c>
      <c r="D99" s="5" t="str">
        <f>IFERROR(__xludf.DUMMYFUNCTION("""COMPUTED_VALUE"""),"+ Show History »")</f>
        <v>+ Show History »</v>
      </c>
      <c r="E99" s="5" t="str">
        <f>IFERROR(__xludf.DUMMYFUNCTION("""COMPUTED_VALUE"""),"Very High Risk")</f>
        <v>Very High Risk</v>
      </c>
      <c r="F99" s="38">
        <f>IFERROR(__xludf.DUMMYFUNCTION("""COMPUTED_VALUE"""),0.86)</f>
        <v>0.86</v>
      </c>
      <c r="G99" s="5">
        <f>IFERROR(__xludf.DUMMYFUNCTION("""COMPUTED_VALUE"""),2.4)</f>
        <v>2.4</v>
      </c>
      <c r="H99" s="60">
        <f>IFERROR(__xludf.DUMMYFUNCTION("""COMPUTED_VALUE"""),0.109)</f>
        <v>0.109</v>
      </c>
      <c r="I99" s="5">
        <f>IFERROR(__xludf.DUMMYFUNCTION("""COMPUTED_VALUE"""),5.0)</f>
        <v>5</v>
      </c>
      <c r="J99" s="5">
        <f>IFERROR(__xludf.DUMMYFUNCTION("""COMPUTED_VALUE"""),128.5)</f>
        <v>128.5</v>
      </c>
    </row>
    <row r="100">
      <c r="A100" s="5" t="str">
        <f>IFERROR(__xludf.DUMMYFUNCTION("""COMPUTED_VALUE"""),"*Very High Risk*
2
1
1
1
1
3
2
X
Jamaal WilliamsRB NO
Seasons:6
Height:6'2""
Weight:215
Bye:11
View Player Profile »
Injury History [TABLE]")</f>
        <v>*Very High Risk*
2
1
1
1
1
3
2
X
Jamaal WilliamsRB NO
Seasons:6
Height:6'2"
Weight:215
Bye:11
View Player Profile »
Injury History [TABLE]</v>
      </c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 t="str">
        <f>IFERROR(__xludf.DUMMYFUNCTION("""COMPUTED_VALUE"""),"Samaje Perine, RB DEN")</f>
        <v>Samaje Perine, RB DEN</v>
      </c>
      <c r="C101" s="5" t="str">
        <f>IFERROR(__xludf.DUMMYFUNCTION("""COMPUTED_VALUE"""),"4 | | | |")</f>
        <v>4 | | | |</v>
      </c>
      <c r="D101" s="5" t="str">
        <f>IFERROR(__xludf.DUMMYFUNCTION("""COMPUTED_VALUE"""),"+ Show History »")</f>
        <v>+ Show History »</v>
      </c>
      <c r="E101" s="5" t="str">
        <f>IFERROR(__xludf.DUMMYFUNCTION("""COMPUTED_VALUE"""),"Low Risk")</f>
        <v>Low Risk</v>
      </c>
      <c r="F101" s="38">
        <f>IFERROR(__xludf.DUMMYFUNCTION("""COMPUTED_VALUE"""),0.39)</f>
        <v>0.39</v>
      </c>
      <c r="G101" s="5">
        <f>IFERROR(__xludf.DUMMYFUNCTION("""COMPUTED_VALUE"""),1.28)</f>
        <v>1.28</v>
      </c>
      <c r="H101" s="60">
        <f>IFERROR(__xludf.DUMMYFUNCTION("""COMPUTED_VALUE"""),0.029)</f>
        <v>0.029</v>
      </c>
      <c r="I101" s="5">
        <f>IFERROR(__xludf.DUMMYFUNCTION("""COMPUTED_VALUE"""),5.0)</f>
        <v>5</v>
      </c>
      <c r="J101" s="5">
        <f>IFERROR(__xludf.DUMMYFUNCTION("""COMPUTED_VALUE"""),126.1)</f>
        <v>126.1</v>
      </c>
    </row>
    <row r="102">
      <c r="A102" s="5" t="str">
        <f>IFERROR(__xludf.DUMMYFUNCTION("""COMPUTED_VALUE"""),"*Low Risk*
2
2
X
Samaje PerineRB DEN
Seasons:6
Height:5'10""
Weight:235
Bye:9
View Player Profile »
Injury History [TABLE]")</f>
        <v>*Low Risk*
2
2
X
Samaje PerineRB DEN
Seasons:6
Height:5'10"
Weight:235
Bye:9
View Player Profile »
Injury History [TABLE]</v>
      </c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 t="str">
        <f>IFERROR(__xludf.DUMMYFUNCTION("""COMPUTED_VALUE"""),"Rhamondre Stevenson, RB NE")</f>
        <v>Rhamondre Stevenson, RB NE</v>
      </c>
      <c r="C103" s="5" t="str">
        <f>IFERROR(__xludf.DUMMYFUNCTION("""COMPUTED_VALUE"""),"4 | | | |")</f>
        <v>4 | | | |</v>
      </c>
      <c r="D103" s="5" t="str">
        <f>IFERROR(__xludf.DUMMYFUNCTION("""COMPUTED_VALUE"""),"+ Show History »")</f>
        <v>+ Show History »</v>
      </c>
      <c r="E103" s="5" t="str">
        <f>IFERROR(__xludf.DUMMYFUNCTION("""COMPUTED_VALUE"""),"Very High Risk")</f>
        <v>Very High Risk</v>
      </c>
      <c r="F103" s="38">
        <f>IFERROR(__xludf.DUMMYFUNCTION("""COMPUTED_VALUE"""),0.81)</f>
        <v>0.81</v>
      </c>
      <c r="G103" s="5">
        <f>IFERROR(__xludf.DUMMYFUNCTION("""COMPUTED_VALUE"""),2.4)</f>
        <v>2.4</v>
      </c>
      <c r="H103" s="60">
        <f>IFERROR(__xludf.DUMMYFUNCTION("""COMPUTED_VALUE"""),0.093)</f>
        <v>0.093</v>
      </c>
      <c r="I103" s="5">
        <f>IFERROR(__xludf.DUMMYFUNCTION("""COMPUTED_VALUE"""),5.0)</f>
        <v>5</v>
      </c>
      <c r="J103" s="5">
        <f>IFERROR(__xludf.DUMMYFUNCTION("""COMPUTED_VALUE"""),122.7)</f>
        <v>122.7</v>
      </c>
    </row>
    <row r="104">
      <c r="A104" s="5" t="str">
        <f>IFERROR(__xludf.DUMMYFUNCTION("""COMPUTED_VALUE"""),"*Very High Risk*
1
1
1
1
X
Rhamondre StevensonRB NE
Seasons:2
Height:6'0""
Weight:246
Bye:11
View Player Profile »
Injury History [TABLE]")</f>
        <v>*Very High Risk*
1
1
1
1
X
Rhamondre StevensonRB NE
Seasons:2
Height:6'0"
Weight:246
Bye:11
View Player Profile »
Injury History [TABLE]</v>
      </c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 t="str">
        <f>IFERROR(__xludf.DUMMYFUNCTION("""COMPUTED_VALUE"""),"Miles Sanders, RB CAR")</f>
        <v>Miles Sanders, RB CAR</v>
      </c>
      <c r="C105" s="5" t="str">
        <f>IFERROR(__xludf.DUMMYFUNCTION("""COMPUTED_VALUE"""),"10 | | | | | | | | | |")</f>
        <v>10 | | | | | | | | | |</v>
      </c>
      <c r="D105" s="5" t="str">
        <f>IFERROR(__xludf.DUMMYFUNCTION("""COMPUTED_VALUE"""),"+ Show History »")</f>
        <v>+ Show History »</v>
      </c>
      <c r="E105" s="5" t="str">
        <f>IFERROR(__xludf.DUMMYFUNCTION("""COMPUTED_VALUE"""),"High Risk")</f>
        <v>High Risk</v>
      </c>
      <c r="F105" s="38">
        <f>IFERROR(__xludf.DUMMYFUNCTION("""COMPUTED_VALUE"""),0.77)</f>
        <v>0.77</v>
      </c>
      <c r="G105" s="5">
        <f>IFERROR(__xludf.DUMMYFUNCTION("""COMPUTED_VALUE"""),3.4)</f>
        <v>3.4</v>
      </c>
      <c r="H105" s="60">
        <f>IFERROR(__xludf.DUMMYFUNCTION("""COMPUTED_VALUE"""),0.083)</f>
        <v>0.083</v>
      </c>
      <c r="I105" s="5">
        <f>IFERROR(__xludf.DUMMYFUNCTION("""COMPUTED_VALUE"""),5.0)</f>
        <v>5</v>
      </c>
      <c r="J105" s="5">
        <f>IFERROR(__xludf.DUMMYFUNCTION("""COMPUTED_VALUE"""),117.6)</f>
        <v>117.6</v>
      </c>
    </row>
    <row r="106">
      <c r="A106" s="5" t="str">
        <f>IFERROR(__xludf.DUMMYFUNCTION("""COMPUTED_VALUE"""),"*High Risk*
1
2
1
3
3
X
Miles SandersRB CAR
Seasons:4
Height:5'11""
Weight:211
Bye:7
View Player Profile »
Injury History [TABLE]")</f>
        <v>*High Risk*
1
2
1
3
3
X
Miles SandersRB CAR
Seasons:4
Height:5'11"
Weight:211
Bye:7
View Player Profile »
Injury History [TABLE]</v>
      </c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 t="str">
        <f>IFERROR(__xludf.DUMMYFUNCTION("""COMPUTED_VALUE"""),"Trey Sermon, RB IND")</f>
        <v>Trey Sermon, RB IND</v>
      </c>
      <c r="C107" s="5" t="str">
        <f>IFERROR(__xludf.DUMMYFUNCTION("""COMPUTED_VALUE"""),"6 | | | | | |")</f>
        <v>6 | | | | | |</v>
      </c>
      <c r="D107" s="5" t="str">
        <f>IFERROR(__xludf.DUMMYFUNCTION("""COMPUTED_VALUE"""),"+ Show History »")</f>
        <v>+ Show History »</v>
      </c>
      <c r="E107" s="5" t="str">
        <f>IFERROR(__xludf.DUMMYFUNCTION("""COMPUTED_VALUE"""),"Low Risk")</f>
        <v>Low Risk</v>
      </c>
      <c r="F107" s="38">
        <f>IFERROR(__xludf.DUMMYFUNCTION("""COMPUTED_VALUE"""),0.31)</f>
        <v>0.31</v>
      </c>
      <c r="G107" s="5">
        <f>IFERROR(__xludf.DUMMYFUNCTION("""COMPUTED_VALUE"""),0.75)</f>
        <v>0.75</v>
      </c>
      <c r="H107" s="60">
        <f>IFERROR(__xludf.DUMMYFUNCTION("""COMPUTED_VALUE"""),0.022)</f>
        <v>0.022</v>
      </c>
      <c r="I107" s="5">
        <f>IFERROR(__xludf.DUMMYFUNCTION("""COMPUTED_VALUE"""),1.13)</f>
        <v>1.13</v>
      </c>
      <c r="J107" s="5">
        <f>IFERROR(__xludf.DUMMYFUNCTION("""COMPUTED_VALUE"""),114.9)</f>
        <v>114.9</v>
      </c>
    </row>
    <row r="108">
      <c r="A108" s="5" t="str">
        <f>IFERROR(__xludf.DUMMYFUNCTION("""COMPUTED_VALUE"""),"*Low Risk*
1
2
1
2
X
Trey SermonRB IND
Seasons:2
Height:6'1""
Weight:215
Bye:11
View Player Profile »
Injury History [TABLE]")</f>
        <v>*Low Risk*
1
2
1
2
X
Trey SermonRB IND
Seasons:2
Height:6'1"
Weight:215
Bye:11
View Player Profile »
Injury History [TABLE]</v>
      </c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 t="str">
        <f>IFERROR(__xludf.DUMMYFUNCTION("""COMPUTED_VALUE"""),"Isaiah Spiller, RB LAC")</f>
        <v>Isaiah Spiller, RB LAC</v>
      </c>
      <c r="C109" s="5" t="str">
        <f>IFERROR(__xludf.DUMMYFUNCTION("""COMPUTED_VALUE"""),"4 | | | |")</f>
        <v>4 | | | |</v>
      </c>
      <c r="D109" s="5" t="str">
        <f>IFERROR(__xludf.DUMMYFUNCTION("""COMPUTED_VALUE"""),"+ Show History »")</f>
        <v>+ Show History »</v>
      </c>
      <c r="E109" s="5" t="str">
        <f>IFERROR(__xludf.DUMMYFUNCTION("""COMPUTED_VALUE"""),"Low Risk")</f>
        <v>Low Risk</v>
      </c>
      <c r="F109" s="38">
        <f>IFERROR(__xludf.DUMMYFUNCTION("""COMPUTED_VALUE"""),0.32)</f>
        <v>0.32</v>
      </c>
      <c r="G109" s="5">
        <f>IFERROR(__xludf.DUMMYFUNCTION("""COMPUTED_VALUE"""),0.84)</f>
        <v>0.84</v>
      </c>
      <c r="H109" s="60">
        <f>IFERROR(__xludf.DUMMYFUNCTION("""COMPUTED_VALUE"""),0.022)</f>
        <v>0.022</v>
      </c>
      <c r="I109" s="5">
        <f>IFERROR(__xludf.DUMMYFUNCTION("""COMPUTED_VALUE"""),5.0)</f>
        <v>5</v>
      </c>
      <c r="J109" s="5">
        <f>IFERROR(__xludf.DUMMYFUNCTION("""COMPUTED_VALUE"""),97.5)</f>
        <v>97.5</v>
      </c>
    </row>
    <row r="110">
      <c r="A110" s="5" t="str">
        <f>IFERROR(__xludf.DUMMYFUNCTION("""COMPUTED_VALUE"""),"*Low Risk*
2
1
1
X
Isaiah SpillerRB LAC
Seasons:2
Height:6'1""
Weight:215
Bye:5
View Player Profile »
Injury History [TABLE]")</f>
        <v>*Low Risk*
2
1
1
X
Isaiah SpillerRB LAC
Seasons:2
Height:6'1"
Weight:215
Bye:5
View Player Profile »
Injury History [TABLE]</v>
      </c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 t="str">
        <f>IFERROR(__xludf.DUMMYFUNCTION("""COMPUTED_VALUE"""),"Ameer Abdullah, RB LVR")</f>
        <v>Ameer Abdullah, RB LVR</v>
      </c>
      <c r="C111" s="5" t="str">
        <f>IFERROR(__xludf.DUMMYFUNCTION("""COMPUTED_VALUE"""),"4 | | | |")</f>
        <v>4 | | | |</v>
      </c>
      <c r="D111" s="5" t="str">
        <f>IFERROR(__xludf.DUMMYFUNCTION("""COMPUTED_VALUE"""),"+ Show History »")</f>
        <v>+ Show History »</v>
      </c>
      <c r="E111" s="5" t="str">
        <f>IFERROR(__xludf.DUMMYFUNCTION("""COMPUTED_VALUE"""),"Very Low Risk")</f>
        <v>Very Low Risk</v>
      </c>
      <c r="F111" s="38">
        <f>IFERROR(__xludf.DUMMYFUNCTION("""COMPUTED_VALUE"""),0.07)</f>
        <v>0.07</v>
      </c>
      <c r="G111" s="5">
        <f>IFERROR(__xludf.DUMMYFUNCTION("""COMPUTED_VALUE"""),0.41)</f>
        <v>0.41</v>
      </c>
      <c r="H111" s="60">
        <f>IFERROR(__xludf.DUMMYFUNCTION("""COMPUTED_VALUE"""),0.004)</f>
        <v>0.004</v>
      </c>
      <c r="I111" s="5">
        <f>IFERROR(__xludf.DUMMYFUNCTION("""COMPUTED_VALUE"""),5.0)</f>
        <v>5</v>
      </c>
      <c r="J111" s="5">
        <f>IFERROR(__xludf.DUMMYFUNCTION("""COMPUTED_VALUE"""),94.5)</f>
        <v>94.5</v>
      </c>
    </row>
    <row r="112">
      <c r="A112" s="5" t="str">
        <f>IFERROR(__xludf.DUMMYFUNCTION("""COMPUTED_VALUE"""),"*Very Low Risk*
1
1
1
1
X
Ameer AbdullahRB LVR
Seasons:8
Height:5'9""
Weight:205
Bye:13
View Player Profile »
Injury History [TABLE]")</f>
        <v>*Very Low Risk*
1
1
1
1
X
Ameer AbdullahRB LVR
Seasons:8
Height:5'9"
Weight:205
Bye:13
View Player Profile »
Injury History [TABLE]</v>
      </c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 t="str">
        <f>IFERROR(__xludf.DUMMYFUNCTION("""COMPUTED_VALUE"""),"Royce Freeman, RB LAR")</f>
        <v>Royce Freeman, RB LAR</v>
      </c>
      <c r="C113" s="5" t="str">
        <f>IFERROR(__xludf.DUMMYFUNCTION("""COMPUTED_VALUE"""),"2 | |")</f>
        <v>2 | |</v>
      </c>
      <c r="D113" s="5" t="str">
        <f>IFERROR(__xludf.DUMMYFUNCTION("""COMPUTED_VALUE"""),"+ Show History »")</f>
        <v>+ Show History »</v>
      </c>
      <c r="E113" s="5" t="str">
        <f>IFERROR(__xludf.DUMMYFUNCTION("""COMPUTED_VALUE"""),"Low Risk")</f>
        <v>Low Risk</v>
      </c>
      <c r="F113" s="38">
        <f>IFERROR(__xludf.DUMMYFUNCTION("""COMPUTED_VALUE"""),0.44)</f>
        <v>0.44</v>
      </c>
      <c r="G113" s="5">
        <f>IFERROR(__xludf.DUMMYFUNCTION("""COMPUTED_VALUE"""),0.8)</f>
        <v>0.8</v>
      </c>
      <c r="H113" s="60">
        <f>IFERROR(__xludf.DUMMYFUNCTION("""COMPUTED_VALUE"""),0.034)</f>
        <v>0.034</v>
      </c>
      <c r="I113" s="5">
        <f>IFERROR(__xludf.DUMMYFUNCTION("""COMPUTED_VALUE"""),5.0)</f>
        <v>5</v>
      </c>
      <c r="J113" s="5">
        <f>IFERROR(__xludf.DUMMYFUNCTION("""COMPUTED_VALUE"""),91.2)</f>
        <v>91.2</v>
      </c>
    </row>
    <row r="114">
      <c r="A114" s="5" t="str">
        <f>IFERROR(__xludf.DUMMYFUNCTION("""COMPUTED_VALUE"""),"*Low Risk*
1
1
X
Royce FreemanRB LAR
Seasons:5
Height:6'0""
Weight:229
Bye:10
View Player Profile »
Injury History [TABLE]")</f>
        <v>*Low Risk*
1
1
X
Royce FreemanRB LAR
Seasons:5
Height:6'0"
Weight:229
Bye:10
View Player Profile »
Injury History [TABLE]</v>
      </c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 t="str">
        <f>IFERROR(__xludf.DUMMYFUNCTION("""COMPUTED_VALUE"""),"Dameon Pierce, RB HOU")</f>
        <v>Dameon Pierce, RB HOU</v>
      </c>
      <c r="C115" s="5" t="str">
        <f>IFERROR(__xludf.DUMMYFUNCTION("""COMPUTED_VALUE"""),"2 | |")</f>
        <v>2 | |</v>
      </c>
      <c r="D115" s="5" t="str">
        <f>IFERROR(__xludf.DUMMYFUNCTION("""COMPUTED_VALUE"""),"+ Show History »")</f>
        <v>+ Show History »</v>
      </c>
      <c r="E115" s="5" t="str">
        <f>IFERROR(__xludf.DUMMYFUNCTION("""COMPUTED_VALUE"""),"Medium Risk")</f>
        <v>Medium Risk</v>
      </c>
      <c r="F115" s="38">
        <f>IFERROR(__xludf.DUMMYFUNCTION("""COMPUTED_VALUE"""),0.57)</f>
        <v>0.57</v>
      </c>
      <c r="G115" s="5">
        <f>IFERROR(__xludf.DUMMYFUNCTION("""COMPUTED_VALUE"""),2.3)</f>
        <v>2.3</v>
      </c>
      <c r="H115" s="60">
        <f>IFERROR(__xludf.DUMMYFUNCTION("""COMPUTED_VALUE"""),0.048)</f>
        <v>0.048</v>
      </c>
      <c r="I115" s="5">
        <f>IFERROR(__xludf.DUMMYFUNCTION("""COMPUTED_VALUE"""),4.35)</f>
        <v>4.35</v>
      </c>
      <c r="J115" s="5">
        <f>IFERROR(__xludf.DUMMYFUNCTION("""COMPUTED_VALUE"""),88.5)</f>
        <v>88.5</v>
      </c>
    </row>
    <row r="116">
      <c r="A116" s="5" t="str">
        <f>IFERROR(__xludf.DUMMYFUNCTION("""COMPUTED_VALUE"""),"*Medium Risk*
1
1
X
Dameon PierceRB HOU
Seasons:2
Height:5'10""
Weight:218
Bye:7
View Player Profile »
Injury History [TABLE]")</f>
        <v>*Medium Risk*
1
1
X
Dameon PierceRB HOU
Seasons:2
Height:5'10"
Weight:218
Bye:7
View Player Profile »
Injury History [TABLE]</v>
      </c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 t="str">
        <f>IFERROR(__xludf.DUMMYFUNCTION("""COMPUTED_VALUE"""),"Jeff Wilson Jr., RB MIA")</f>
        <v>Jeff Wilson Jr., RB MIA</v>
      </c>
      <c r="C117" s="5" t="str">
        <f>IFERROR(__xludf.DUMMYFUNCTION("""COMPUTED_VALUE"""),"8 | | | | | | | |")</f>
        <v>8 | | | | | | | |</v>
      </c>
      <c r="D117" s="5" t="str">
        <f>IFERROR(__xludf.DUMMYFUNCTION("""COMPUTED_VALUE"""),"+ Show History »")</f>
        <v>+ Show History »</v>
      </c>
      <c r="E117" s="5" t="str">
        <f>IFERROR(__xludf.DUMMYFUNCTION("""COMPUTED_VALUE"""),"Very High Risk")</f>
        <v>Very High Risk</v>
      </c>
      <c r="F117" s="38">
        <f>IFERROR(__xludf.DUMMYFUNCTION("""COMPUTED_VALUE"""),0.8)</f>
        <v>0.8</v>
      </c>
      <c r="G117" s="5">
        <f>IFERROR(__xludf.DUMMYFUNCTION("""COMPUTED_VALUE"""),2.0)</f>
        <v>2</v>
      </c>
      <c r="H117" s="38">
        <f>IFERROR(__xludf.DUMMYFUNCTION("""COMPUTED_VALUE"""),0.09)</f>
        <v>0.09</v>
      </c>
      <c r="I117" s="5">
        <f>IFERROR(__xludf.DUMMYFUNCTION("""COMPUTED_VALUE"""),3.23)</f>
        <v>3.23</v>
      </c>
      <c r="J117" s="5">
        <f>IFERROR(__xludf.DUMMYFUNCTION("""COMPUTED_VALUE"""),78.0)</f>
        <v>78</v>
      </c>
    </row>
    <row r="118">
      <c r="A118" s="5" t="str">
        <f>IFERROR(__xludf.DUMMYFUNCTION("""COMPUTED_VALUE"""),"*Very High Risk*
1
1
2
2
2
X
Jeff Wilson Jr.RB MIA
Seasons:6
Height:6'0""
Weight:213
Bye:10
View Player Profile »
Injury History [TABLE]")</f>
        <v>*Very High Risk*
1
1
2
2
2
X
Jeff Wilson Jr.RB MIA
Seasons:6
Height:6'0"
Weight:213
Bye:10
View Player Profile »
Injury History [TABLE]</v>
      </c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 t="str">
        <f>IFERROR(__xludf.DUMMYFUNCTION("""COMPUTED_VALUE"""),"Joshua Kelley, RB LAC")</f>
        <v>Joshua Kelley, RB LAC</v>
      </c>
      <c r="C119" s="5" t="str">
        <f>IFERROR(__xludf.DUMMYFUNCTION("""COMPUTED_VALUE"""),"2 | |")</f>
        <v>2 | |</v>
      </c>
      <c r="D119" s="5" t="str">
        <f>IFERROR(__xludf.DUMMYFUNCTION("""COMPUTED_VALUE"""),"+ Show History »")</f>
        <v>+ Show History »</v>
      </c>
      <c r="E119" s="5" t="str">
        <f>IFERROR(__xludf.DUMMYFUNCTION("""COMPUTED_VALUE"""),"Medium Risk")</f>
        <v>Medium Risk</v>
      </c>
      <c r="F119" s="38">
        <f>IFERROR(__xludf.DUMMYFUNCTION("""COMPUTED_VALUE"""),0.5)</f>
        <v>0.5</v>
      </c>
      <c r="G119" s="5">
        <f>IFERROR(__xludf.DUMMYFUNCTION("""COMPUTED_VALUE"""),2.4)</f>
        <v>2.4</v>
      </c>
      <c r="H119" s="38">
        <f>IFERROR(__xludf.DUMMYFUNCTION("""COMPUTED_VALUE"""),0.04)</f>
        <v>0.04</v>
      </c>
      <c r="I119" s="5">
        <f>IFERROR(__xludf.DUMMYFUNCTION("""COMPUTED_VALUE"""),5.0)</f>
        <v>5</v>
      </c>
      <c r="J119" s="5">
        <f>IFERROR(__xludf.DUMMYFUNCTION("""COMPUTED_VALUE"""),77.1)</f>
        <v>77.1</v>
      </c>
    </row>
    <row r="120">
      <c r="A120" s="5" t="str">
        <f>IFERROR(__xludf.DUMMYFUNCTION("""COMPUTED_VALUE"""),"*Medium Risk*
2
X
Joshua KelleyRB LAC
Seasons:3
Height:5'11""
Weight:212
Bye:5
View Player Profile »
Injury History [TABLE]")</f>
        <v>*Medium Risk*
2
X
Joshua KelleyRB LAC
Seasons:3
Height:5'11"
Weight:212
Bye:5
View Player Profile »
Injury History [TABLE]</v>
      </c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 t="str">
        <f>IFERROR(__xludf.DUMMYFUNCTION("""COMPUTED_VALUE"""),"Dalvin Cook, RB BAL")</f>
        <v>Dalvin Cook, RB BAL</v>
      </c>
      <c r="C121" s="5" t="str">
        <f>IFERROR(__xludf.DUMMYFUNCTION("""COMPUTED_VALUE"""),"13 | | | | | | | | | | | | |")</f>
        <v>13 | | | | | | | | | | | | |</v>
      </c>
      <c r="D121" s="5" t="str">
        <f>IFERROR(__xludf.DUMMYFUNCTION("""COMPUTED_VALUE"""),"+ Show History »")</f>
        <v>+ Show History »</v>
      </c>
      <c r="E121" s="5" t="str">
        <f>IFERROR(__xludf.DUMMYFUNCTION("""COMPUTED_VALUE"""),"Very High Risk")</f>
        <v>Very High Risk</v>
      </c>
      <c r="F121" s="38">
        <f>IFERROR(__xludf.DUMMYFUNCTION("""COMPUTED_VALUE"""),0.81)</f>
        <v>0.81</v>
      </c>
      <c r="G121" s="5">
        <f>IFERROR(__xludf.DUMMYFUNCTION("""COMPUTED_VALUE"""),2.2)</f>
        <v>2.2</v>
      </c>
      <c r="H121" s="60">
        <f>IFERROR(__xludf.DUMMYFUNCTION("""COMPUTED_VALUE"""),0.093)</f>
        <v>0.093</v>
      </c>
      <c r="I121" s="5">
        <f>IFERROR(__xludf.DUMMYFUNCTION("""COMPUTED_VALUE"""),2.89)</f>
        <v>2.89</v>
      </c>
      <c r="J121" s="5">
        <f>IFERROR(__xludf.DUMMYFUNCTION("""COMPUTED_VALUE"""),75.9)</f>
        <v>75.9</v>
      </c>
    </row>
    <row r="122">
      <c r="A122" s="5" t="str">
        <f>IFERROR(__xludf.DUMMYFUNCTION("""COMPUTED_VALUE"""),"*Very High Risk*
6
3
1
2
1
X
Dalvin CookRB BAL
Seasons:6
Height:5'11""
Weight:213
Bye:13
View Player Profile »
Injury History [TABLE]")</f>
        <v>*Very High Risk*
6
3
1
2
1
X
Dalvin CookRB BAL
Seasons:6
Height:5'11"
Weight:213
Bye:13
View Player Profile »
Injury History [TABLE]</v>
      </c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 t="str">
        <f>IFERROR(__xludf.DUMMYFUNCTION("""COMPUTED_VALUE"""),"Latavius Murray, RB BUF")</f>
        <v>Latavius Murray, RB BUF</v>
      </c>
      <c r="C123" s="5" t="str">
        <f>IFERROR(__xludf.DUMMYFUNCTION("""COMPUTED_VALUE"""),"9 | | | | | | | | |")</f>
        <v>9 | | | | | | | | |</v>
      </c>
      <c r="D123" s="5" t="str">
        <f>IFERROR(__xludf.DUMMYFUNCTION("""COMPUTED_VALUE"""),"+ Show History »")</f>
        <v>+ Show History »</v>
      </c>
      <c r="E123" s="5" t="str">
        <f>IFERROR(__xludf.DUMMYFUNCTION("""COMPUTED_VALUE"""),"Low Risk")</f>
        <v>Low Risk</v>
      </c>
      <c r="F123" s="38">
        <f>IFERROR(__xludf.DUMMYFUNCTION("""COMPUTED_VALUE"""),0.33)</f>
        <v>0.33</v>
      </c>
      <c r="G123" s="5">
        <f>IFERROR(__xludf.DUMMYFUNCTION("""COMPUTED_VALUE"""),1.17)</f>
        <v>1.17</v>
      </c>
      <c r="H123" s="60">
        <f>IFERROR(__xludf.DUMMYFUNCTION("""COMPUTED_VALUE"""),0.023)</f>
        <v>0.023</v>
      </c>
      <c r="I123" s="5">
        <f>IFERROR(__xludf.DUMMYFUNCTION("""COMPUTED_VALUE"""),3.4)</f>
        <v>3.4</v>
      </c>
      <c r="J123" s="5">
        <f>IFERROR(__xludf.DUMMYFUNCTION("""COMPUTED_VALUE"""),73.5)</f>
        <v>73.5</v>
      </c>
    </row>
    <row r="124">
      <c r="A124" s="5" t="str">
        <f>IFERROR(__xludf.DUMMYFUNCTION("""COMPUTED_VALUE"""),"*Low Risk*
4
1
2
1
1
X
Latavius MurrayRB BUF
Seasons:10
Height:6'2""
Weight:224
Bye:13
View Player Profile »
Injury History [TABLE]")</f>
        <v>*Low Risk*
4
1
2
1
1
X
Latavius MurrayRB BUF
Seasons:10
Height:6'2"
Weight:224
Bye:13
View Player Profile »
Injury History [TABLE]</v>
      </c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 t="str">
        <f>IFERROR(__xludf.DUMMYFUNCTION("""COMPUTED_VALUE"""),"Jordan Mason, RB SF")</f>
        <v>Jordan Mason, RB SF</v>
      </c>
      <c r="C125" s="5" t="str">
        <f>IFERROR(__xludf.DUMMYFUNCTION("""COMPUTED_VALUE"""),"1 |")</f>
        <v>1 |</v>
      </c>
      <c r="D125" s="5" t="str">
        <f>IFERROR(__xludf.DUMMYFUNCTION("""COMPUTED_VALUE"""),"+ Show History »")</f>
        <v>+ Show History »</v>
      </c>
      <c r="E125" s="5" t="str">
        <f>IFERROR(__xludf.DUMMYFUNCTION("""COMPUTED_VALUE"""),"Very Low Risk")</f>
        <v>Very Low Risk</v>
      </c>
      <c r="F125" s="38">
        <f>IFERROR(__xludf.DUMMYFUNCTION("""COMPUTED_VALUE"""),0.18)</f>
        <v>0.18</v>
      </c>
      <c r="G125" s="5">
        <f>IFERROR(__xludf.DUMMYFUNCTION("""COMPUTED_VALUE"""),0.4)</f>
        <v>0.4</v>
      </c>
      <c r="H125" s="60">
        <f>IFERROR(__xludf.DUMMYFUNCTION("""COMPUTED_VALUE"""),0.012)</f>
        <v>0.012</v>
      </c>
      <c r="I125" s="5">
        <f>IFERROR(__xludf.DUMMYFUNCTION("""COMPUTED_VALUE"""),5.0)</f>
        <v>5</v>
      </c>
      <c r="J125" s="5">
        <f>IFERROR(__xludf.DUMMYFUNCTION("""COMPUTED_VALUE"""),72.1)</f>
        <v>72.1</v>
      </c>
    </row>
    <row r="126">
      <c r="A126" s="5" t="str">
        <f>IFERROR(__xludf.DUMMYFUNCTION("""COMPUTED_VALUE"""),"*Very Low Risk*
1
X
Jordan MasonRB SF
Seasons:2
Height:5'11""
Weight:223
Bye:9
View Player Profile »
Injury History [TABLE]")</f>
        <v>*Very Low Risk*
1
X
Jordan MasonRB SF
Seasons:2
Height:5'11"
Weight:223
Bye:9
View Player Profile »
Injury History [TABLE]</v>
      </c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 t="str">
        <f>IFERROR(__xludf.DUMMYFUNCTION("""COMPUTED_VALUE"""),"Michael Carter, RB ARI")</f>
        <v>Michael Carter, RB ARI</v>
      </c>
      <c r="C127" s="5" t="str">
        <f>IFERROR(__xludf.DUMMYFUNCTION("""COMPUTED_VALUE"""),"4 | | | |")</f>
        <v>4 | | | |</v>
      </c>
      <c r="D127" s="5" t="str">
        <f>IFERROR(__xludf.DUMMYFUNCTION("""COMPUTED_VALUE"""),"+ Show History »")</f>
        <v>+ Show History »</v>
      </c>
      <c r="E127" s="5" t="str">
        <f>IFERROR(__xludf.DUMMYFUNCTION("""COMPUTED_VALUE"""),"Medium Risk")</f>
        <v>Medium Risk</v>
      </c>
      <c r="F127" s="38">
        <f>IFERROR(__xludf.DUMMYFUNCTION("""COMPUTED_VALUE"""),0.57)</f>
        <v>0.57</v>
      </c>
      <c r="G127" s="5">
        <f>IFERROR(__xludf.DUMMYFUNCTION("""COMPUTED_VALUE"""),1.33)</f>
        <v>1.33</v>
      </c>
      <c r="H127" s="60">
        <f>IFERROR(__xludf.DUMMYFUNCTION("""COMPUTED_VALUE"""),0.048)</f>
        <v>0.048</v>
      </c>
      <c r="I127" s="5">
        <f>IFERROR(__xludf.DUMMYFUNCTION("""COMPUTED_VALUE"""),4.14)</f>
        <v>4.14</v>
      </c>
      <c r="J127" s="5">
        <f>IFERROR(__xludf.DUMMYFUNCTION("""COMPUTED_VALUE"""),70.9)</f>
        <v>70.9</v>
      </c>
    </row>
    <row r="128">
      <c r="A128" s="5" t="str">
        <f>IFERROR(__xludf.DUMMYFUNCTION("""COMPUTED_VALUE"""),"*Medium Risk*
2
1
1
X
Michael CarterRB ARI
Seasons:2
Height:5'8""
Weight:198
Bye:14
View Player Profile »
Injury History [TABLE]")</f>
        <v>*Medium Risk*
2
1
1
X
Michael CarterRB ARI
Seasons:2
Height:5'8"
Weight:198
Bye:14
View Player Profile »
Injury History [TABLE]</v>
      </c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 t="str">
        <f>IFERROR(__xludf.DUMMYFUNCTION("""COMPUTED_VALUE"""),"Elijah Mitchell, RB SF")</f>
        <v>Elijah Mitchell, RB SF</v>
      </c>
      <c r="C129" s="5" t="str">
        <f>IFERROR(__xludf.DUMMYFUNCTION("""COMPUTED_VALUE"""),"10 | | | | | | | | | |")</f>
        <v>10 | | | | | | | | | |</v>
      </c>
      <c r="D129" s="5" t="str">
        <f>IFERROR(__xludf.DUMMYFUNCTION("""COMPUTED_VALUE"""),"+ Show History »")</f>
        <v>+ Show History »</v>
      </c>
      <c r="E129" s="5" t="str">
        <f>IFERROR(__xludf.DUMMYFUNCTION("""COMPUTED_VALUE"""),"Very High Risk")</f>
        <v>Very High Risk</v>
      </c>
      <c r="F129" s="38">
        <f>IFERROR(__xludf.DUMMYFUNCTION("""COMPUTED_VALUE"""),0.94)</f>
        <v>0.94</v>
      </c>
      <c r="G129" s="5">
        <f>IFERROR(__xludf.DUMMYFUNCTION("""COMPUTED_VALUE"""),4.5)</f>
        <v>4.5</v>
      </c>
      <c r="H129" s="60">
        <f>IFERROR(__xludf.DUMMYFUNCTION("""COMPUTED_VALUE"""),0.153)</f>
        <v>0.153</v>
      </c>
      <c r="I129" s="5">
        <f>IFERROR(__xludf.DUMMYFUNCTION("""COMPUTED_VALUE"""),0.72)</f>
        <v>0.72</v>
      </c>
      <c r="J129" s="5">
        <f>IFERROR(__xludf.DUMMYFUNCTION("""COMPUTED_VALUE"""),60.5)</f>
        <v>60.5</v>
      </c>
    </row>
    <row r="130">
      <c r="A130" s="5" t="str">
        <f>IFERROR(__xludf.DUMMYFUNCTION("""COMPUTED_VALUE"""),"*Very High Risk*
4
1
1
1
1
1
1
X
Elijah MitchellRB SF
Seasons:2
Height:5'10""
Weight:201
Bye:9
View Player Profile »
Injury History [TABLE]")</f>
        <v>*Very High Risk*
4
1
1
1
1
1
1
X
Elijah MitchellRB SF
Seasons:2
Height:5'10"
Weight:201
Bye:9
View Player Profile »
Injury History [TABLE]</v>
      </c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 t="str">
        <f>IFERROR(__xludf.DUMMYFUNCTION("""COMPUTED_VALUE"""),"Leonard Fournette, RB BUF")</f>
        <v>Leonard Fournette, RB BUF</v>
      </c>
      <c r="C131" s="5" t="str">
        <f>IFERROR(__xludf.DUMMYFUNCTION("""COMPUTED_VALUE"""),"12 | | | | | | | | | | | |")</f>
        <v>12 | | | | | | | | | | | |</v>
      </c>
      <c r="D131" s="5" t="str">
        <f>IFERROR(__xludf.DUMMYFUNCTION("""COMPUTED_VALUE"""),"+ Show History »")</f>
        <v>+ Show History »</v>
      </c>
      <c r="E131" s="5" t="str">
        <f>IFERROR(__xludf.DUMMYFUNCTION("""COMPUTED_VALUE"""),"Very High Risk")</f>
        <v>Very High Risk</v>
      </c>
      <c r="F131" s="38">
        <f>IFERROR(__xludf.DUMMYFUNCTION("""COMPUTED_VALUE"""),0.92)</f>
        <v>0.92</v>
      </c>
      <c r="G131" s="5">
        <f>IFERROR(__xludf.DUMMYFUNCTION("""COMPUTED_VALUE"""),3.4)</f>
        <v>3.4</v>
      </c>
      <c r="H131" s="60">
        <f>IFERROR(__xludf.DUMMYFUNCTION("""COMPUTED_VALUE"""),0.138)</f>
        <v>0.138</v>
      </c>
      <c r="I131" s="5">
        <f>IFERROR(__xludf.DUMMYFUNCTION("""COMPUTED_VALUE"""),3.31)</f>
        <v>3.31</v>
      </c>
      <c r="J131" s="5">
        <f>IFERROR(__xludf.DUMMYFUNCTION("""COMPUTED_VALUE"""),59.6)</f>
        <v>59.6</v>
      </c>
    </row>
    <row r="132">
      <c r="A132" s="5" t="str">
        <f>IFERROR(__xludf.DUMMYFUNCTION("""COMPUTED_VALUE"""),"*Very High Risk*
1
6
1
2
1
1
X
Leonard FournetteRB BUF
Seasons:6
Height:6'0""
Weight:228
Bye:13
View Player Profile »
Injury History [TABLE]")</f>
        <v>*Very High Risk*
1
6
1
2
1
1
X
Leonard FournetteRB BUF
Seasons:6
Height:6'0"
Weight:228
Bye:13
View Player Profile »
Injury History [TABLE]</v>
      </c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 t="str">
        <f>IFERROR(__xludf.DUMMYFUNCTION("""COMPUTED_VALUE"""),"Cordarrelle Patterson, RB ATL")</f>
        <v>Cordarrelle Patterson, RB ATL</v>
      </c>
      <c r="C133" s="5" t="str">
        <f>IFERROR(__xludf.DUMMYFUNCTION("""COMPUTED_VALUE"""),"11 | | | | | | | | | | |")</f>
        <v>11 | | | | | | | | | | |</v>
      </c>
      <c r="D133" s="5" t="str">
        <f>IFERROR(__xludf.DUMMYFUNCTION("""COMPUTED_VALUE"""),"+ Show History »")</f>
        <v>+ Show History »</v>
      </c>
      <c r="E133" s="5" t="str">
        <f>IFERROR(__xludf.DUMMYFUNCTION("""COMPUTED_VALUE"""),"High Risk")</f>
        <v>High Risk</v>
      </c>
      <c r="F133" s="38">
        <f>IFERROR(__xludf.DUMMYFUNCTION("""COMPUTED_VALUE"""),0.62)</f>
        <v>0.62</v>
      </c>
      <c r="G133" s="5">
        <f>IFERROR(__xludf.DUMMYFUNCTION("""COMPUTED_VALUE"""),3.4)</f>
        <v>3.4</v>
      </c>
      <c r="H133" s="60">
        <f>IFERROR(__xludf.DUMMYFUNCTION("""COMPUTED_VALUE"""),0.055)</f>
        <v>0.055</v>
      </c>
      <c r="I133" s="5">
        <f>IFERROR(__xludf.DUMMYFUNCTION("""COMPUTED_VALUE"""),5.0)</f>
        <v>5</v>
      </c>
      <c r="J133" s="5">
        <f>IFERROR(__xludf.DUMMYFUNCTION("""COMPUTED_VALUE"""),56.2)</f>
        <v>56.2</v>
      </c>
    </row>
    <row r="134">
      <c r="A134" s="5" t="str">
        <f>IFERROR(__xludf.DUMMYFUNCTION("""COMPUTED_VALUE"""),"*High Risk*
3
2
1
2
1
1
1
X
Cordarrelle PattersonRB ATL
Seasons:10
Height:6'2""
Weight:215
Bye:11
View Player Profile »
Injury History [TABLE]")</f>
        <v>*High Risk*
3
2
1
2
1
1
1
X
Cordarrelle PattersonRB ATL
Seasons:10
Height:6'2"
Weight:215
Bye:11
View Player Profile »
Injury History [TABLE]</v>
      </c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 t="str">
        <f>IFERROR(__xludf.DUMMYFUNCTION("""COMPUTED_VALUE"""),"Pierre Strong Jr., RB CLE")</f>
        <v>Pierre Strong Jr., RB CLE</v>
      </c>
      <c r="C135" s="5" t="str">
        <f>IFERROR(__xludf.DUMMYFUNCTION("""COMPUTED_VALUE"""),"4 | | | |")</f>
        <v>4 | | | |</v>
      </c>
      <c r="D135" s="5" t="str">
        <f>IFERROR(__xludf.DUMMYFUNCTION("""COMPUTED_VALUE"""),"+ Show History »")</f>
        <v>+ Show History »</v>
      </c>
      <c r="E135" s="5" t="str">
        <f>IFERROR(__xludf.DUMMYFUNCTION("""COMPUTED_VALUE"""),"Low Risk")</f>
        <v>Low Risk</v>
      </c>
      <c r="F135" s="38">
        <f>IFERROR(__xludf.DUMMYFUNCTION("""COMPUTED_VALUE"""),0.33)</f>
        <v>0.33</v>
      </c>
      <c r="G135" s="5">
        <f>IFERROR(__xludf.DUMMYFUNCTION("""COMPUTED_VALUE"""),0.75)</f>
        <v>0.75</v>
      </c>
      <c r="H135" s="60">
        <f>IFERROR(__xludf.DUMMYFUNCTION("""COMPUTED_VALUE"""),0.023)</f>
        <v>0.023</v>
      </c>
      <c r="I135" s="5">
        <f>IFERROR(__xludf.DUMMYFUNCTION("""COMPUTED_VALUE"""),1.9)</f>
        <v>1.9</v>
      </c>
      <c r="J135" s="5">
        <f>IFERROR(__xludf.DUMMYFUNCTION("""COMPUTED_VALUE"""),53.7)</f>
        <v>53.7</v>
      </c>
    </row>
    <row r="136">
      <c r="A136" s="5" t="str">
        <f>IFERROR(__xludf.DUMMYFUNCTION("""COMPUTED_VALUE"""),"*Low Risk*
1
1
1
1
X
Pierre Strong Jr.RB CLE
Seasons:2
Height:5'11""
Weight:205
Bye:5
View Player Profile »
Injury History [TABLE]")</f>
        <v>*Low Risk*
1
1
1
1
X
Pierre Strong Jr.RB CLE
Seasons:2
Height:5'11"
Weight:205
Bye:5
View Player Profile »
Injury History [TABLE]</v>
      </c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 t="str">
        <f>IFERROR(__xludf.DUMMYFUNCTION("""COMPUTED_VALUE"""),"Trayveon Williams, RB CIN")</f>
        <v>Trayveon Williams, RB CIN</v>
      </c>
      <c r="C137" s="5" t="str">
        <f>IFERROR(__xludf.DUMMYFUNCTION("""COMPUTED_VALUE"""),"3 | | |")</f>
        <v>3 | | |</v>
      </c>
      <c r="D137" s="5" t="str">
        <f>IFERROR(__xludf.DUMMYFUNCTION("""COMPUTED_VALUE"""),"+ Show History »")</f>
        <v>+ Show History »</v>
      </c>
      <c r="E137" s="5" t="str">
        <f>IFERROR(__xludf.DUMMYFUNCTION("""COMPUTED_VALUE"""),"Very Low Risk")</f>
        <v>Very Low Risk</v>
      </c>
      <c r="F137" s="38">
        <f>IFERROR(__xludf.DUMMYFUNCTION("""COMPUTED_VALUE"""),0.18)</f>
        <v>0.18</v>
      </c>
      <c r="G137" s="5">
        <f>IFERROR(__xludf.DUMMYFUNCTION("""COMPUTED_VALUE"""),0.62)</f>
        <v>0.62</v>
      </c>
      <c r="H137" s="60">
        <f>IFERROR(__xludf.DUMMYFUNCTION("""COMPUTED_VALUE"""),0.012)</f>
        <v>0.012</v>
      </c>
      <c r="I137" s="5">
        <f>IFERROR(__xludf.DUMMYFUNCTION("""COMPUTED_VALUE"""),2.76)</f>
        <v>2.76</v>
      </c>
      <c r="J137" s="5">
        <f>IFERROR(__xludf.DUMMYFUNCTION("""COMPUTED_VALUE"""),48.0)</f>
        <v>48</v>
      </c>
    </row>
    <row r="138">
      <c r="A138" s="5" t="str">
        <f>IFERROR(__xludf.DUMMYFUNCTION("""COMPUTED_VALUE"""),"*Very Low Risk*
2
1
X
Trayveon WilliamsRB CIN
Seasons:4
Height:5'8""
Weight:208
Bye:7
View Player Profile »
Injury History [TABLE]")</f>
        <v>*Very Low Risk*
2
1
X
Trayveon WilliamsRB CIN
Seasons:4
Height:5'8"
Weight:208
Bye:7
View Player Profile »
Injury History [TABLE]</v>
      </c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 t="str">
        <f>IFERROR(__xludf.DUMMYFUNCTION("""COMPUTED_VALUE"""),"Chase Edmonds, RB TB")</f>
        <v>Chase Edmonds, RB TB</v>
      </c>
      <c r="C139" s="5" t="str">
        <f>IFERROR(__xludf.DUMMYFUNCTION("""COMPUTED_VALUE"""),"10 | | | | | | | | | |")</f>
        <v>10 | | | | | | | | | |</v>
      </c>
      <c r="D139" s="5" t="str">
        <f>IFERROR(__xludf.DUMMYFUNCTION("""COMPUTED_VALUE"""),"+ Show History »")</f>
        <v>+ Show History »</v>
      </c>
      <c r="E139" s="5" t="str">
        <f>IFERROR(__xludf.DUMMYFUNCTION("""COMPUTED_VALUE"""),"Very High Risk")</f>
        <v>Very High Risk</v>
      </c>
      <c r="F139" s="38">
        <f>IFERROR(__xludf.DUMMYFUNCTION("""COMPUTED_VALUE"""),0.87)</f>
        <v>0.87</v>
      </c>
      <c r="G139" s="5">
        <f>IFERROR(__xludf.DUMMYFUNCTION("""COMPUTED_VALUE"""),4.0)</f>
        <v>4</v>
      </c>
      <c r="H139" s="60">
        <f>IFERROR(__xludf.DUMMYFUNCTION("""COMPUTED_VALUE"""),0.113)</f>
        <v>0.113</v>
      </c>
      <c r="I139" s="5">
        <f>IFERROR(__xludf.DUMMYFUNCTION("""COMPUTED_VALUE"""),3.62)</f>
        <v>3.62</v>
      </c>
      <c r="J139" s="5">
        <f>IFERROR(__xludf.DUMMYFUNCTION("""COMPUTED_VALUE"""),46.9)</f>
        <v>46.9</v>
      </c>
    </row>
    <row r="140">
      <c r="A140" s="5" t="str">
        <f>IFERROR(__xludf.DUMMYFUNCTION("""COMPUTED_VALUE"""),"*Very High Risk*
3
1
1
1
1
3
X
Chase EdmondsRB TB
Seasons:5
Height:5'9""
Weight:205
Bye:5
View Player Profile »
Injury History [TABLE]")</f>
        <v>*Very High Risk*
3
1
1
1
1
3
X
Chase EdmondsRB TB
Seasons:5
Height:5'9"
Weight:205
Bye:5
View Player Profile »
Injury History [TABLE]</v>
      </c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 t="str">
        <f>IFERROR(__xludf.DUMMYFUNCTION("""COMPUTED_VALUE"""),"Matt Breida, RB NYG")</f>
        <v>Matt Breida, RB NYG</v>
      </c>
      <c r="C141" s="5" t="str">
        <f>IFERROR(__xludf.DUMMYFUNCTION("""COMPUTED_VALUE"""),"2 | |")</f>
        <v>2 | |</v>
      </c>
      <c r="D141" s="5" t="str">
        <f>IFERROR(__xludf.DUMMYFUNCTION("""COMPUTED_VALUE"""),"+ Show History »")</f>
        <v>+ Show History »</v>
      </c>
      <c r="E141" s="5" t="str">
        <f>IFERROR(__xludf.DUMMYFUNCTION("""COMPUTED_VALUE"""),"Low Risk")</f>
        <v>Low Risk</v>
      </c>
      <c r="F141" s="38">
        <f>IFERROR(__xludf.DUMMYFUNCTION("""COMPUTED_VALUE"""),0.32)</f>
        <v>0.32</v>
      </c>
      <c r="G141" s="5">
        <f>IFERROR(__xludf.DUMMYFUNCTION("""COMPUTED_VALUE"""),0.6)</f>
        <v>0.6</v>
      </c>
      <c r="H141" s="60">
        <f>IFERROR(__xludf.DUMMYFUNCTION("""COMPUTED_VALUE"""),0.022)</f>
        <v>0.022</v>
      </c>
      <c r="I141" s="5">
        <f>IFERROR(__xludf.DUMMYFUNCTION("""COMPUTED_VALUE"""),5.0)</f>
        <v>5</v>
      </c>
      <c r="J141" s="5">
        <f>IFERROR(__xludf.DUMMYFUNCTION("""COMPUTED_VALUE"""),46.1)</f>
        <v>46.1</v>
      </c>
    </row>
    <row r="142">
      <c r="A142" s="5" t="str">
        <f>IFERROR(__xludf.DUMMYFUNCTION("""COMPUTED_VALUE"""),"*Low Risk*
1
1
X
Matt BreidaRB NYG
Seasons:6
Height:5'11""
Weight:190
Bye:13
View Player Profile »
Injury History [TABLE]")</f>
        <v>*Low Risk*
1
1
X
Matt BreidaRB NYG
Seasons:6
Height:5'11"
Weight:190
Bye:13
View Player Profile »
Injury History [TABLE]</v>
      </c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 t="str">
        <f>IFERROR(__xludf.DUMMYFUNCTION("""COMPUTED_VALUE"""),"Kendre Miller, RB NO")</f>
        <v>Kendre Miller, RB NO</v>
      </c>
      <c r="C143" s="5" t="str">
        <f>IFERROR(__xludf.DUMMYFUNCTION("""COMPUTED_VALUE"""),"4 | | | |")</f>
        <v>4 | | | |</v>
      </c>
      <c r="D143" s="5" t="str">
        <f>IFERROR(__xludf.DUMMYFUNCTION("""COMPUTED_VALUE"""),"+ Show History »")</f>
        <v>+ Show History »</v>
      </c>
      <c r="E143" s="5" t="str">
        <f>IFERROR(__xludf.DUMMYFUNCTION("""COMPUTED_VALUE"""),"Medium Risk")</f>
        <v>Medium Risk</v>
      </c>
      <c r="F143" s="38">
        <f>IFERROR(__xludf.DUMMYFUNCTION("""COMPUTED_VALUE"""),0.46)</f>
        <v>0.46</v>
      </c>
      <c r="G143" s="5">
        <f>IFERROR(__xludf.DUMMYFUNCTION("""COMPUTED_VALUE"""),2.5)</f>
        <v>2.5</v>
      </c>
      <c r="H143" s="60">
        <f>IFERROR(__xludf.DUMMYFUNCTION("""COMPUTED_VALUE"""),0.036)</f>
        <v>0.036</v>
      </c>
      <c r="I143" s="5">
        <f>IFERROR(__xludf.DUMMYFUNCTION("""COMPUTED_VALUE"""),5.0)</f>
        <v>5</v>
      </c>
      <c r="J143" s="5">
        <f>IFERROR(__xludf.DUMMYFUNCTION("""COMPUTED_VALUE"""),45.5)</f>
        <v>45.5</v>
      </c>
    </row>
    <row r="144">
      <c r="A144" s="5" t="str">
        <f>IFERROR(__xludf.DUMMYFUNCTION("""COMPUTED_VALUE"""),"*Medium Risk*
1
1
2
X
Kendre MillerRB NO
Seasons:0
Height:5'11""
Weight:215
Bye:11
View Player Profile »
Injury History [TABLE]")</f>
        <v>*Medium Risk*
1
1
2
X
Kendre MillerRB NO
Seasons:0
Height:5'11"
Weight:215
Bye:11
View Player Profile »
Injury History [TABLE]</v>
      </c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 t="str">
        <f>IFERROR(__xludf.DUMMYFUNCTION("""COMPUTED_VALUE"""),"Tank Bigsby, RB JAC")</f>
        <v>Tank Bigsby, RB JAC</v>
      </c>
      <c r="C145" s="5">
        <f>IFERROR(__xludf.DUMMYFUNCTION("""COMPUTED_VALUE"""),0.0)</f>
        <v>0</v>
      </c>
      <c r="D145" s="5" t="str">
        <f>IFERROR(__xludf.DUMMYFUNCTION("""COMPUTED_VALUE"""),"+ Show History »")</f>
        <v>+ Show History »</v>
      </c>
      <c r="E145" s="5" t="str">
        <f>IFERROR(__xludf.DUMMYFUNCTION("""COMPUTED_VALUE"""),"Very Low Risk")</f>
        <v>Very Low Risk</v>
      </c>
      <c r="F145" s="38">
        <f>IFERROR(__xludf.DUMMYFUNCTION("""COMPUTED_VALUE"""),0.22)</f>
        <v>0.22</v>
      </c>
      <c r="G145" s="5">
        <f>IFERROR(__xludf.DUMMYFUNCTION("""COMPUTED_VALUE"""),1.2)</f>
        <v>1.2</v>
      </c>
      <c r="H145" s="60">
        <f>IFERROR(__xludf.DUMMYFUNCTION("""COMPUTED_VALUE"""),0.015)</f>
        <v>0.015</v>
      </c>
      <c r="I145" s="5">
        <f>IFERROR(__xludf.DUMMYFUNCTION("""COMPUTED_VALUE"""),5.0)</f>
        <v>5</v>
      </c>
      <c r="J145" s="5">
        <f>IFERROR(__xludf.DUMMYFUNCTION("""COMPUTED_VALUE"""),45.4)</f>
        <v>45.4</v>
      </c>
    </row>
    <row r="146">
      <c r="A146" s="5" t="str">
        <f>IFERROR(__xludf.DUMMYFUNCTION("""COMPUTED_VALUE"""),"*Very Low Risk*
X
Tank BigsbyRB JAC
Seasons:0
Height:5'11""
Weight:210
Bye:9
View Player Profile »
Injury History [TABLE]")</f>
        <v>*Very Low Risk*
X
Tank BigsbyRB JAC
Seasons:0
Height:5'11"
Weight:210
Bye:9
View Player Profile »
Injury History [TABLE]</v>
      </c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 t="str">
        <f>IFERROR(__xludf.DUMMYFUNCTION("""COMPUTED_VALUE"""),"Kevin Harris, RB NE")</f>
        <v>Kevin Harris, RB NE</v>
      </c>
      <c r="C147" s="5" t="str">
        <f>IFERROR(__xludf.DUMMYFUNCTION("""COMPUTED_VALUE"""),"4 | | | |")</f>
        <v>4 | | | |</v>
      </c>
      <c r="D147" s="5" t="str">
        <f>IFERROR(__xludf.DUMMYFUNCTION("""COMPUTED_VALUE"""),"+ Show History »")</f>
        <v>+ Show History »</v>
      </c>
      <c r="E147" s="5" t="str">
        <f>IFERROR(__xludf.DUMMYFUNCTION("""COMPUTED_VALUE"""),"Low Risk")</f>
        <v>Low Risk</v>
      </c>
      <c r="F147" s="38">
        <f>IFERROR(__xludf.DUMMYFUNCTION("""COMPUTED_VALUE"""),0.3)</f>
        <v>0.3</v>
      </c>
      <c r="G147" s="5">
        <f>IFERROR(__xludf.DUMMYFUNCTION("""COMPUTED_VALUE"""),1.3)</f>
        <v>1.3</v>
      </c>
      <c r="H147" s="60">
        <f>IFERROR(__xludf.DUMMYFUNCTION("""COMPUTED_VALUE"""),0.021)</f>
        <v>0.021</v>
      </c>
      <c r="I147" s="5">
        <f>IFERROR(__xludf.DUMMYFUNCTION("""COMPUTED_VALUE"""),0.92)</f>
        <v>0.92</v>
      </c>
      <c r="J147" s="5">
        <f>IFERROR(__xludf.DUMMYFUNCTION("""COMPUTED_VALUE"""),37.8)</f>
        <v>37.8</v>
      </c>
    </row>
    <row r="148">
      <c r="A148" s="5" t="str">
        <f>IFERROR(__xludf.DUMMYFUNCTION("""COMPUTED_VALUE"""),"*Low Risk*
2
1
1
X
Kevin HarrisRB NE
Seasons:2
Height:5'10""
Weight:225
Bye:11
View Player Profile »
Injury History [TABLE]")</f>
        <v>*Low Risk*
2
1
1
X
Kevin HarrisRB NE
Seasons:2
Height:5'10"
Weight:225
Bye:11
View Player Profile »
Injury History [TABLE]</v>
      </c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 t="str">
        <f>IFERROR(__xludf.DUMMYFUNCTION("""COMPUTED_VALUE"""),"Kene Nwangwu, RB MIN")</f>
        <v>Kene Nwangwu, RB MIN</v>
      </c>
      <c r="C149" s="5">
        <f>IFERROR(__xludf.DUMMYFUNCTION("""COMPUTED_VALUE"""),0.0)</f>
        <v>0</v>
      </c>
      <c r="D149" s="5" t="str">
        <f>IFERROR(__xludf.DUMMYFUNCTION("""COMPUTED_VALUE"""),"+ Show History »")</f>
        <v>+ Show History »</v>
      </c>
      <c r="E149" s="5" t="str">
        <f>IFERROR(__xludf.DUMMYFUNCTION("""COMPUTED_VALUE"""),"Very Low Risk")</f>
        <v>Very Low Risk</v>
      </c>
      <c r="F149" s="38">
        <f>IFERROR(__xludf.DUMMYFUNCTION("""COMPUTED_VALUE"""),0.17)</f>
        <v>0.17</v>
      </c>
      <c r="G149" s="5">
        <f>IFERROR(__xludf.DUMMYFUNCTION("""COMPUTED_VALUE"""),0.2)</f>
        <v>0.2</v>
      </c>
      <c r="H149" s="60">
        <f>IFERROR(__xludf.DUMMYFUNCTION("""COMPUTED_VALUE"""),0.011)</f>
        <v>0.011</v>
      </c>
      <c r="I149" s="5">
        <f>IFERROR(__xludf.DUMMYFUNCTION("""COMPUTED_VALUE"""),5.0)</f>
        <v>5</v>
      </c>
      <c r="J149" s="5">
        <f>IFERROR(__xludf.DUMMYFUNCTION("""COMPUTED_VALUE"""),34.4)</f>
        <v>34.4</v>
      </c>
    </row>
    <row r="150">
      <c r="A150" s="5" t="str">
        <f>IFERROR(__xludf.DUMMYFUNCTION("""COMPUTED_VALUE"""),"*Very Low Risk*
X
Kene NwangwuRB MIN
Seasons:2
Height:6'0""
Weight:210
Bye:13
View Player Profile »
Injury History [TABLE]")</f>
        <v>*Very Low Risk*
X
Kene NwangwuRB MIN
Seasons:2
Height:6'0"
Weight:210
Bye:13
View Player Profile »
Injury History [TABLE]</v>
      </c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 t="str">
        <f>IFERROR(__xludf.DUMMYFUNCTION("""COMPUTED_VALUE"""),"Kenyan Drake, RB GB")</f>
        <v>Kenyan Drake, RB GB</v>
      </c>
      <c r="C151" s="5" t="str">
        <f>IFERROR(__xludf.DUMMYFUNCTION("""COMPUTED_VALUE"""),"9 | | | | | | | | |")</f>
        <v>9 | | | | | | | | |</v>
      </c>
      <c r="D151" s="5" t="str">
        <f>IFERROR(__xludf.DUMMYFUNCTION("""COMPUTED_VALUE"""),"+ Show History »")</f>
        <v>+ Show History »</v>
      </c>
      <c r="E151" s="5" t="str">
        <f>IFERROR(__xludf.DUMMYFUNCTION("""COMPUTED_VALUE"""),"Low Risk")</f>
        <v>Low Risk</v>
      </c>
      <c r="F151" s="38">
        <f>IFERROR(__xludf.DUMMYFUNCTION("""COMPUTED_VALUE"""),0.42)</f>
        <v>0.42</v>
      </c>
      <c r="G151" s="5">
        <f>IFERROR(__xludf.DUMMYFUNCTION("""COMPUTED_VALUE"""),1.83)</f>
        <v>1.83</v>
      </c>
      <c r="H151" s="60">
        <f>IFERROR(__xludf.DUMMYFUNCTION("""COMPUTED_VALUE"""),0.032)</f>
        <v>0.032</v>
      </c>
      <c r="I151" s="5">
        <f>IFERROR(__xludf.DUMMYFUNCTION("""COMPUTED_VALUE"""),5.0)</f>
        <v>5</v>
      </c>
      <c r="J151" s="5">
        <f>IFERROR(__xludf.DUMMYFUNCTION("""COMPUTED_VALUE"""),32.7)</f>
        <v>32.7</v>
      </c>
    </row>
    <row r="152">
      <c r="A152" s="5" t="str">
        <f>IFERROR(__xludf.DUMMYFUNCTION("""COMPUTED_VALUE"""),"*Low Risk*
3
1
1
2
1
1
X
Kenyan DrakeRB GB
Seasons:7
Height:6'1""
Weight:210
Bye:6
View Player Profile »
Injury History [TABLE]")</f>
        <v>*Low Risk*
3
1
1
2
1
1
X
Kenyan DrakeRB GB
Seasons:7
Height:6'1"
Weight:210
Bye:6
View Player Profile »
Injury History [TABLE]</v>
      </c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 t="str">
        <f>IFERROR(__xludf.DUMMYFUNCTION("""COMPUTED_VALUE"""),"Melvin Gordon, RB BAL")</f>
        <v>Melvin Gordon, RB BAL</v>
      </c>
      <c r="C153" s="5" t="str">
        <f>IFERROR(__xludf.DUMMYFUNCTION("""COMPUTED_VALUE"""),"15 | | | | | | | | | | | | | | |")</f>
        <v>15 | | | | | | | | | | | | | | |</v>
      </c>
      <c r="D153" s="5" t="str">
        <f>IFERROR(__xludf.DUMMYFUNCTION("""COMPUTED_VALUE"""),"+ Show History »")</f>
        <v>+ Show History »</v>
      </c>
      <c r="E153" s="5" t="str">
        <f>IFERROR(__xludf.DUMMYFUNCTION("""COMPUTED_VALUE"""),"High Risk")</f>
        <v>High Risk</v>
      </c>
      <c r="F153" s="38">
        <f>IFERROR(__xludf.DUMMYFUNCTION("""COMPUTED_VALUE"""),0.68)</f>
        <v>0.68</v>
      </c>
      <c r="G153" s="5">
        <f>IFERROR(__xludf.DUMMYFUNCTION("""COMPUTED_VALUE"""),2.0)</f>
        <v>2</v>
      </c>
      <c r="H153" s="60">
        <f>IFERROR(__xludf.DUMMYFUNCTION("""COMPUTED_VALUE"""),0.065)</f>
        <v>0.065</v>
      </c>
      <c r="I153" s="5">
        <f>IFERROR(__xludf.DUMMYFUNCTION("""COMPUTED_VALUE"""),5.0)</f>
        <v>5</v>
      </c>
      <c r="J153" s="5">
        <f>IFERROR(__xludf.DUMMYFUNCTION("""COMPUTED_VALUE"""),32.6)</f>
        <v>32.6</v>
      </c>
    </row>
    <row r="154">
      <c r="A154" s="5" t="str">
        <f>IFERROR(__xludf.DUMMYFUNCTION("""COMPUTED_VALUE"""),"*High Risk*
2
2
3
1
2
1
3
1
X
Melvin GordonRB BAL
Seasons:8
Height:6'1""
Weight:215
Bye:13
View Player Profile »
Injury History [TABLE]")</f>
        <v>*High Risk*
2
2
3
1
2
1
3
1
X
Melvin GordonRB BAL
Seasons:8
Height:6'1"
Weight:215
Bye:13
View Player Profile »
Injury History [TABLE]</v>
      </c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 t="str">
        <f>IFERROR(__xludf.DUMMYFUNCTION("""COMPUTED_VALUE"""),"Darrynton Evans, RB MIA")</f>
        <v>Darrynton Evans, RB MIA</v>
      </c>
      <c r="C155" s="5" t="str">
        <f>IFERROR(__xludf.DUMMYFUNCTION("""COMPUTED_VALUE"""),"5 | | | | |")</f>
        <v>5 | | | | |</v>
      </c>
      <c r="D155" s="5" t="str">
        <f>IFERROR(__xludf.DUMMYFUNCTION("""COMPUTED_VALUE"""),"+ Show History »")</f>
        <v>+ Show History »</v>
      </c>
      <c r="E155" s="5" t="str">
        <f>IFERROR(__xludf.DUMMYFUNCTION("""COMPUTED_VALUE"""),"High Risk")</f>
        <v>High Risk</v>
      </c>
      <c r="F155" s="38">
        <f>IFERROR(__xludf.DUMMYFUNCTION("""COMPUTED_VALUE"""),0.78)</f>
        <v>0.78</v>
      </c>
      <c r="G155" s="5">
        <f>IFERROR(__xludf.DUMMYFUNCTION("""COMPUTED_VALUE"""),3.3)</f>
        <v>3.3</v>
      </c>
      <c r="H155" s="60">
        <f>IFERROR(__xludf.DUMMYFUNCTION("""COMPUTED_VALUE"""),0.085)</f>
        <v>0.085</v>
      </c>
      <c r="I155" s="5">
        <f>IFERROR(__xludf.DUMMYFUNCTION("""COMPUTED_VALUE"""),2.0)</f>
        <v>2</v>
      </c>
      <c r="J155" s="5">
        <f>IFERROR(__xludf.DUMMYFUNCTION("""COMPUTED_VALUE"""),31.3)</f>
        <v>31.3</v>
      </c>
    </row>
    <row r="156">
      <c r="A156" s="5" t="str">
        <f>IFERROR(__xludf.DUMMYFUNCTION("""COMPUTED_VALUE"""),"*High Risk*
3
2
X
Darrynton EvansRB MIA
Seasons:3
Height:5'10""
Weight:203
Bye:10
View Player Profile »
Injury History [TABLE]")</f>
        <v>*High Risk*
3
2
X
Darrynton EvansRB MIA
Seasons:3
Height:5'10"
Weight:203
Bye:10
View Player Profile »
Injury History [TABLE]</v>
      </c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 t="str">
        <f>IFERROR(__xludf.DUMMYFUNCTION("""COMPUTED_VALUE"""),"Ty Montgomery, RB UNS")</f>
        <v>Ty Montgomery, RB UNS</v>
      </c>
      <c r="C157" s="5" t="str">
        <f>IFERROR(__xludf.DUMMYFUNCTION("""COMPUTED_VALUE"""),"11 | | | | | | | | | | |")</f>
        <v>11 | | | | | | | | | | |</v>
      </c>
      <c r="D157" s="5" t="str">
        <f>IFERROR(__xludf.DUMMYFUNCTION("""COMPUTED_VALUE"""),"+ Show History »")</f>
        <v>+ Show History »</v>
      </c>
      <c r="E157" s="5" t="str">
        <f>IFERROR(__xludf.DUMMYFUNCTION("""COMPUTED_VALUE"""),"High Risk")</f>
        <v>High Risk</v>
      </c>
      <c r="F157" s="38">
        <f>IFERROR(__xludf.DUMMYFUNCTION("""COMPUTED_VALUE"""),0.76)</f>
        <v>0.76</v>
      </c>
      <c r="G157" s="5">
        <f>IFERROR(__xludf.DUMMYFUNCTION("""COMPUTED_VALUE"""),5.0)</f>
        <v>5</v>
      </c>
      <c r="H157" s="60">
        <f>IFERROR(__xludf.DUMMYFUNCTION("""COMPUTED_VALUE"""),0.081)</f>
        <v>0.081</v>
      </c>
      <c r="I157" s="5">
        <f>IFERROR(__xludf.DUMMYFUNCTION("""COMPUTED_VALUE"""),1.55)</f>
        <v>1.55</v>
      </c>
      <c r="J157" s="5">
        <f>IFERROR(__xludf.DUMMYFUNCTION("""COMPUTED_VALUE"""),26.4)</f>
        <v>26.4</v>
      </c>
    </row>
    <row r="158">
      <c r="A158" s="5" t="str">
        <f>IFERROR(__xludf.DUMMYFUNCTION("""COMPUTED_VALUE"""),"*High Risk*
2
1
2
3
2
1
X
Ty MontgomeryRB UNS
Seasons:8
Height:6'0""
Weight:221
Bye:1
View Player Profile »
Injury History [TABLE]")</f>
        <v>*High Risk*
2
1
2
3
2
1
X
Ty MontgomeryRB UNS
Seasons:8
Height:6'0"
Weight:221
Bye:1
View Player Profile »
Injury History [TABLE]</v>
      </c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 t="str">
        <f>IFERROR(__xludf.DUMMYFUNCTION("""COMPUTED_VALUE"""),"Myles Gaskin, RB MIN")</f>
        <v>Myles Gaskin, RB MIN</v>
      </c>
      <c r="C159" s="5" t="str">
        <f>IFERROR(__xludf.DUMMYFUNCTION("""COMPUTED_VALUE"""),"4 | | | |")</f>
        <v>4 | | | |</v>
      </c>
      <c r="D159" s="5" t="str">
        <f>IFERROR(__xludf.DUMMYFUNCTION("""COMPUTED_VALUE"""),"+ Show History »")</f>
        <v>+ Show History »</v>
      </c>
      <c r="E159" s="5" t="str">
        <f>IFERROR(__xludf.DUMMYFUNCTION("""COMPUTED_VALUE"""),"High Risk")</f>
        <v>High Risk</v>
      </c>
      <c r="F159" s="38">
        <f>IFERROR(__xludf.DUMMYFUNCTION("""COMPUTED_VALUE"""),0.85)</f>
        <v>0.85</v>
      </c>
      <c r="G159" s="5">
        <f>IFERROR(__xludf.DUMMYFUNCTION("""COMPUTED_VALUE"""),2.3)</f>
        <v>2.3</v>
      </c>
      <c r="H159" s="60">
        <f>IFERROR(__xludf.DUMMYFUNCTION("""COMPUTED_VALUE"""),0.106)</f>
        <v>0.106</v>
      </c>
      <c r="I159" s="5">
        <f>IFERROR(__xludf.DUMMYFUNCTION("""COMPUTED_VALUE"""),4.0)</f>
        <v>4</v>
      </c>
      <c r="J159" s="5">
        <f>IFERROR(__xludf.DUMMYFUNCTION("""COMPUTED_VALUE"""),25.6)</f>
        <v>25.6</v>
      </c>
    </row>
    <row r="160">
      <c r="A160" s="5" t="str">
        <f>IFERROR(__xludf.DUMMYFUNCTION("""COMPUTED_VALUE"""),"*High Risk*
1
1
2
X
Myles GaskinRB MIN
Seasons:4
Height:5'9""
Weight:205
Bye:13
View Player Profile »
Injury History [TABLE]")</f>
        <v>*High Risk*
1
1
2
X
Myles GaskinRB MIN
Seasons:4
Height:5'9"
Weight:205
Bye:13
View Player Profile »
Injury History [TABLE]</v>
      </c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 t="str">
        <f>IFERROR(__xludf.DUMMYFUNCTION("""COMPUTED_VALUE"""),"James Robinson, RB NO")</f>
        <v>James Robinson, RB NO</v>
      </c>
      <c r="C161" s="5" t="str">
        <f>IFERROR(__xludf.DUMMYFUNCTION("""COMPUTED_VALUE"""),"3 | | |")</f>
        <v>3 | | |</v>
      </c>
      <c r="D161" s="5" t="str">
        <f>IFERROR(__xludf.DUMMYFUNCTION("""COMPUTED_VALUE"""),"+ Show History »")</f>
        <v>+ Show History »</v>
      </c>
      <c r="E161" s="5" t="str">
        <f>IFERROR(__xludf.DUMMYFUNCTION("""COMPUTED_VALUE"""),"Very Low Risk")</f>
        <v>Very Low Risk</v>
      </c>
      <c r="F161" s="38">
        <f>IFERROR(__xludf.DUMMYFUNCTION("""COMPUTED_VALUE"""),0.17)</f>
        <v>0.17</v>
      </c>
      <c r="G161" s="5">
        <f>IFERROR(__xludf.DUMMYFUNCTION("""COMPUTED_VALUE"""),0.95)</f>
        <v>0.95</v>
      </c>
      <c r="H161" s="60">
        <f>IFERROR(__xludf.DUMMYFUNCTION("""COMPUTED_VALUE"""),0.011)</f>
        <v>0.011</v>
      </c>
      <c r="I161" s="5">
        <f>IFERROR(__xludf.DUMMYFUNCTION("""COMPUTED_VALUE"""),5.0)</f>
        <v>5</v>
      </c>
      <c r="J161" s="5">
        <f>IFERROR(__xludf.DUMMYFUNCTION("""COMPUTED_VALUE"""),25.2)</f>
        <v>25.2</v>
      </c>
    </row>
    <row r="162">
      <c r="A162" s="5" t="str">
        <f>IFERROR(__xludf.DUMMYFUNCTION("""COMPUTED_VALUE"""),"*Very Low Risk*
3
X
James RobinsonRB NO
Seasons:3
Height:5'9""
Weight:219
Bye:11
View Player Profile »
Injury History [TABLE]")</f>
        <v>*Very Low Risk*
3
X
James RobinsonRB NO
Seasons:3
Height:5'9"
Weight:219
Bye:11
View Player Profile »
Injury History [TABLE]</v>
      </c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 t="str">
        <f>IFERROR(__xludf.DUMMYFUNCTION("""COMPUTED_VALUE"""),"Darrell Henderson, RB UNS")</f>
        <v>Darrell Henderson, RB UNS</v>
      </c>
      <c r="C163" s="5" t="str">
        <f>IFERROR(__xludf.DUMMYFUNCTION("""COMPUTED_VALUE"""),"8 | | | | | | | |")</f>
        <v>8 | | | | | | | |</v>
      </c>
      <c r="D163" s="5" t="str">
        <f>IFERROR(__xludf.DUMMYFUNCTION("""COMPUTED_VALUE"""),"+ Show History »")</f>
        <v>+ Show History »</v>
      </c>
      <c r="E163" s="5" t="str">
        <f>IFERROR(__xludf.DUMMYFUNCTION("""COMPUTED_VALUE"""),"High Risk")</f>
        <v>High Risk</v>
      </c>
      <c r="F163" s="38">
        <f>IFERROR(__xludf.DUMMYFUNCTION("""COMPUTED_VALUE"""),0.6)</f>
        <v>0.6</v>
      </c>
      <c r="G163" s="5">
        <f>IFERROR(__xludf.DUMMYFUNCTION("""COMPUTED_VALUE"""),3.0)</f>
        <v>3</v>
      </c>
      <c r="H163" s="60">
        <f>IFERROR(__xludf.DUMMYFUNCTION("""COMPUTED_VALUE"""),0.052)</f>
        <v>0.052</v>
      </c>
      <c r="I163" s="5">
        <f>IFERROR(__xludf.DUMMYFUNCTION("""COMPUTED_VALUE"""),4.0)</f>
        <v>4</v>
      </c>
      <c r="J163" s="5">
        <f>IFERROR(__xludf.DUMMYFUNCTION("""COMPUTED_VALUE"""),25.0)</f>
        <v>25</v>
      </c>
    </row>
    <row r="164">
      <c r="A164" s="5" t="str">
        <f>IFERROR(__xludf.DUMMYFUNCTION("""COMPUTED_VALUE"""),"*High Risk*
1
2
1
1
2
1
X
Darrell HendersonRB UNS
Seasons:4
Height:5'8""
Weight:208
Bye:1
View Player Profile »
Injury History [TABLE]")</f>
        <v>*High Risk*
1
2
1
1
2
1
X
Darrell HendersonRB UNS
Seasons:4
Height:5'8"
Weight:208
Bye:1
View Player Profile »
Injury History [TABLE]</v>
      </c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 t="str">
        <f>IFERROR(__xludf.DUMMYFUNCTION("""COMPUTED_VALUE"""),"Tyrion Davis-Price, RB SF")</f>
        <v>Tyrion Davis-Price, RB SF</v>
      </c>
      <c r="C165" s="5" t="str">
        <f>IFERROR(__xludf.DUMMYFUNCTION("""COMPUTED_VALUE"""),"2 | |")</f>
        <v>2 | |</v>
      </c>
      <c r="D165" s="5" t="str">
        <f>IFERROR(__xludf.DUMMYFUNCTION("""COMPUTED_VALUE"""),"+ Show History »")</f>
        <v>+ Show History »</v>
      </c>
      <c r="E165" s="5" t="str">
        <f>IFERROR(__xludf.DUMMYFUNCTION("""COMPUTED_VALUE"""),"Very Low Risk")</f>
        <v>Very Low Risk</v>
      </c>
      <c r="F165" s="38">
        <f>IFERROR(__xludf.DUMMYFUNCTION("""COMPUTED_VALUE"""),0.24)</f>
        <v>0.24</v>
      </c>
      <c r="G165" s="5">
        <f>IFERROR(__xludf.DUMMYFUNCTION("""COMPUTED_VALUE"""),0.61)</f>
        <v>0.61</v>
      </c>
      <c r="H165" s="60">
        <f>IFERROR(__xludf.DUMMYFUNCTION("""COMPUTED_VALUE"""),0.016)</f>
        <v>0.016</v>
      </c>
      <c r="I165" s="5">
        <f>IFERROR(__xludf.DUMMYFUNCTION("""COMPUTED_VALUE"""),5.0)</f>
        <v>5</v>
      </c>
      <c r="J165" s="5">
        <f>IFERROR(__xludf.DUMMYFUNCTION("""COMPUTED_VALUE"""),23.9)</f>
        <v>23.9</v>
      </c>
    </row>
    <row r="166">
      <c r="A166" s="5" t="str">
        <f>IFERROR(__xludf.DUMMYFUNCTION("""COMPUTED_VALUE"""),"*Very Low Risk*
1
1
X
Tyrion Davis-PriceRB SF
Seasons:2
Height:6'1""
Weight:219
Bye:9
View Player Profile »
Injury History [TABLE]")</f>
        <v>*Very Low Risk*
1
1
X
Tyrion Davis-PriceRB SF
Seasons:2
Height:6'1"
Weight:219
Bye:9
View Player Profile »
Injury History [TABLE]</v>
      </c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 t="str">
        <f>IFERROR(__xludf.DUMMYFUNCTION("""COMPUTED_VALUE"""),"Rashaad Penny, RB PHI")</f>
        <v>Rashaad Penny, RB PHI</v>
      </c>
      <c r="C167" s="5" t="str">
        <f>IFERROR(__xludf.DUMMYFUNCTION("""COMPUTED_VALUE"""),"8 | | | | | | | |")</f>
        <v>8 | | | | | | | |</v>
      </c>
      <c r="D167" s="5" t="str">
        <f>IFERROR(__xludf.DUMMYFUNCTION("""COMPUTED_VALUE"""),"+ Show History »")</f>
        <v>+ Show History »</v>
      </c>
      <c r="E167" s="5" t="str">
        <f>IFERROR(__xludf.DUMMYFUNCTION("""COMPUTED_VALUE"""),"Very High Risk")</f>
        <v>Very High Risk</v>
      </c>
      <c r="F167" s="38">
        <f>IFERROR(__xludf.DUMMYFUNCTION("""COMPUTED_VALUE"""),0.91)</f>
        <v>0.91</v>
      </c>
      <c r="G167" s="5">
        <f>IFERROR(__xludf.DUMMYFUNCTION("""COMPUTED_VALUE"""),4.2)</f>
        <v>4.2</v>
      </c>
      <c r="H167" s="60">
        <f>IFERROR(__xludf.DUMMYFUNCTION("""COMPUTED_VALUE"""),0.132)</f>
        <v>0.132</v>
      </c>
      <c r="I167" s="5">
        <f>IFERROR(__xludf.DUMMYFUNCTION("""COMPUTED_VALUE"""),1.33)</f>
        <v>1.33</v>
      </c>
      <c r="J167" s="5">
        <f>IFERROR(__xludf.DUMMYFUNCTION("""COMPUTED_VALUE"""),20.8)</f>
        <v>20.8</v>
      </c>
    </row>
    <row r="168">
      <c r="A168" s="5" t="str">
        <f>IFERROR(__xludf.DUMMYFUNCTION("""COMPUTED_VALUE"""),"*Very High Risk*
2
2
3
1
X
Rashaad PennyRB PHI
Seasons:5
Height:5'11""
Weight:220
Bye:10
View Player Profile »
Injury History [TABLE]")</f>
        <v>*Very High Risk*
2
2
3
1
X
Rashaad PennyRB PHI
Seasons:5
Height:5'11"
Weight:220
Bye:10
View Player Profile »
Injury History [TABLE]</v>
      </c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 t="str">
        <f>IFERROR(__xludf.DUMMYFUNCTION("""COMPUTED_VALUE"""),"Damien Williams, RB UNS")</f>
        <v>Damien Williams, RB UNS</v>
      </c>
      <c r="C169" s="5" t="str">
        <f>IFERROR(__xludf.DUMMYFUNCTION("""COMPUTED_VALUE"""),"7 | | | | | | |")</f>
        <v>7 | | | | | | |</v>
      </c>
      <c r="D169" s="5" t="str">
        <f>IFERROR(__xludf.DUMMYFUNCTION("""COMPUTED_VALUE"""),"+ Show History »")</f>
        <v>+ Show History »</v>
      </c>
      <c r="E169" s="5" t="str">
        <f>IFERROR(__xludf.DUMMYFUNCTION("""COMPUTED_VALUE"""),"Very High Risk")</f>
        <v>Very High Risk</v>
      </c>
      <c r="F169" s="38">
        <f>IFERROR(__xludf.DUMMYFUNCTION("""COMPUTED_VALUE"""),0.92)</f>
        <v>0.92</v>
      </c>
      <c r="G169" s="5">
        <f>IFERROR(__xludf.DUMMYFUNCTION("""COMPUTED_VALUE"""),3.4)</f>
        <v>3.4</v>
      </c>
      <c r="H169" s="60">
        <f>IFERROR(__xludf.DUMMYFUNCTION("""COMPUTED_VALUE"""),0.138)</f>
        <v>0.138</v>
      </c>
      <c r="I169" s="5">
        <f>IFERROR(__xludf.DUMMYFUNCTION("""COMPUTED_VALUE"""),5.0)</f>
        <v>5</v>
      </c>
      <c r="J169" s="5">
        <f>IFERROR(__xludf.DUMMYFUNCTION("""COMPUTED_VALUE"""),17.8)</f>
        <v>17.8</v>
      </c>
    </row>
    <row r="170">
      <c r="A170" s="5" t="str">
        <f>IFERROR(__xludf.DUMMYFUNCTION("""COMPUTED_VALUE"""),"*Very High Risk*
2
2
1
1
1
X
Damien WilliamsRB UNS
Seasons:9
Height:5'11""
Weight:221
Bye:1
View Player Profile »
Injury History [TABLE]")</f>
        <v>*Very High Risk*
2
2
1
1
1
X
Damien WilliamsRB UNS
Seasons:9
Height:5'11"
Weight:221
Bye:1
View Player Profile »
Injury History [TABLE]</v>
      </c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 t="str">
        <f>IFERROR(__xludf.DUMMYFUNCTION("""COMPUTED_VALUE"""),"Damien Harris, RB BUF")</f>
        <v>Damien Harris, RB BUF</v>
      </c>
      <c r="C171" s="5" t="str">
        <f>IFERROR(__xludf.DUMMYFUNCTION("""COMPUTED_VALUE"""),"11 | | | | | | | | | | |")</f>
        <v>11 | | | | | | | | | | |</v>
      </c>
      <c r="D171" s="5" t="str">
        <f>IFERROR(__xludf.DUMMYFUNCTION("""COMPUTED_VALUE"""),"+ Show History »")</f>
        <v>+ Show History »</v>
      </c>
      <c r="E171" s="5" t="str">
        <f>IFERROR(__xludf.DUMMYFUNCTION("""COMPUTED_VALUE"""),"Very High Risk")</f>
        <v>Very High Risk</v>
      </c>
      <c r="F171" s="38">
        <f>IFERROR(__xludf.DUMMYFUNCTION("""COMPUTED_VALUE"""),0.92)</f>
        <v>0.92</v>
      </c>
      <c r="G171" s="5">
        <f>IFERROR(__xludf.DUMMYFUNCTION("""COMPUTED_VALUE"""),3.4)</f>
        <v>3.4</v>
      </c>
      <c r="H171" s="60">
        <f>IFERROR(__xludf.DUMMYFUNCTION("""COMPUTED_VALUE"""),0.138)</f>
        <v>0.138</v>
      </c>
      <c r="I171" s="5">
        <f>IFERROR(__xludf.DUMMYFUNCTION("""COMPUTED_VALUE"""),2.22)</f>
        <v>2.22</v>
      </c>
      <c r="J171" s="5">
        <f>IFERROR(__xludf.DUMMYFUNCTION("""COMPUTED_VALUE"""),14.7)</f>
        <v>14.7</v>
      </c>
    </row>
    <row r="172">
      <c r="A172" s="5" t="str">
        <f>IFERROR(__xludf.DUMMYFUNCTION("""COMPUTED_VALUE"""),"*Very High Risk*
1
4
1
2
1
1
1
X
Damien HarrisRB BUF
Seasons:4
Height:5'10""
Weight:216
Bye:13
View Player Profile »
Injury History [TABLE]")</f>
        <v>*Very High Risk*
1
4
1
2
1
1
1
X
Damien HarrisRB BUF
Seasons:4
Height:5'10"
Weight:216
Bye:13
View Player Profile »
Injury History [TABLE]</v>
      </c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 t="str">
        <f>IFERROR(__xludf.DUMMYFUNCTION("""COMPUTED_VALUE"""),"Jerick McKinnon, RB KC")</f>
        <v>Jerick McKinnon, RB KC</v>
      </c>
      <c r="C173" s="5" t="str">
        <f>IFERROR(__xludf.DUMMYFUNCTION("""COMPUTED_VALUE"""),"4 | | | |")</f>
        <v>4 | | | |</v>
      </c>
      <c r="D173" s="5" t="str">
        <f>IFERROR(__xludf.DUMMYFUNCTION("""COMPUTED_VALUE"""),"+ Show History »")</f>
        <v>+ Show History »</v>
      </c>
      <c r="E173" s="5" t="str">
        <f>IFERROR(__xludf.DUMMYFUNCTION("""COMPUTED_VALUE"""),"Very Low Risk")</f>
        <v>Very Low Risk</v>
      </c>
      <c r="F173" s="38">
        <f>IFERROR(__xludf.DUMMYFUNCTION("""COMPUTED_VALUE"""),0.23)</f>
        <v>0.23</v>
      </c>
      <c r="G173" s="5">
        <f>IFERROR(__xludf.DUMMYFUNCTION("""COMPUTED_VALUE"""),0.56)</f>
        <v>0.56</v>
      </c>
      <c r="H173" s="60">
        <f>IFERROR(__xludf.DUMMYFUNCTION("""COMPUTED_VALUE"""),0.015)</f>
        <v>0.015</v>
      </c>
      <c r="I173" s="5">
        <f>IFERROR(__xludf.DUMMYFUNCTION("""COMPUTED_VALUE"""),3.07)</f>
        <v>3.07</v>
      </c>
      <c r="J173" s="5">
        <f>IFERROR(__xludf.DUMMYFUNCTION("""COMPUTED_VALUE"""),0.0)</f>
        <v>0</v>
      </c>
    </row>
    <row r="174">
      <c r="A174" s="5" t="str">
        <f>IFERROR(__xludf.DUMMYFUNCTION("""COMPUTED_VALUE"""),"*Very Low Risk*
2
1
1
X
Jerick McKinnonRB KC
Seasons:9
Height:5'9""
Weight:209
Bye:10
View Player Profile »
Injury History [TABLE]")</f>
        <v>*Very Low Risk*
2
1
1
X
Jerick McKinnonRB KC
Seasons:9
Height:5'9"
Weight:209
Bye:10
View Player Profile »
Injury History [TABLE]</v>
      </c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 t="str">
        <f>IFERROR(__xludf.DUMMYFUNCTION("""COMPUTED_VALUE"""),"Ronald Jones, RB UNS")</f>
        <v>Ronald Jones, RB UNS</v>
      </c>
      <c r="C175" s="5" t="str">
        <f>IFERROR(__xludf.DUMMYFUNCTION("""COMPUTED_VALUE"""),"7 | | | | | | |")</f>
        <v>7 | | | | | | |</v>
      </c>
      <c r="D175" s="5" t="str">
        <f>IFERROR(__xludf.DUMMYFUNCTION("""COMPUTED_VALUE"""),"+ Show History »")</f>
        <v>+ Show History »</v>
      </c>
      <c r="E175" s="5" t="str">
        <f>IFERROR(__xludf.DUMMYFUNCTION("""COMPUTED_VALUE"""),"High Risk")</f>
        <v>High Risk</v>
      </c>
      <c r="F175" s="38">
        <f>IFERROR(__xludf.DUMMYFUNCTION("""COMPUTED_VALUE"""),0.72)</f>
        <v>0.72</v>
      </c>
      <c r="G175" s="5">
        <f>IFERROR(__xludf.DUMMYFUNCTION("""COMPUTED_VALUE"""),2.73)</f>
        <v>2.73</v>
      </c>
      <c r="H175" s="60">
        <f>IFERROR(__xludf.DUMMYFUNCTION("""COMPUTED_VALUE"""),0.072)</f>
        <v>0.072</v>
      </c>
      <c r="I175" s="5">
        <f>IFERROR(__xludf.DUMMYFUNCTION("""COMPUTED_VALUE"""),5.0)</f>
        <v>5</v>
      </c>
      <c r="J175" s="5">
        <f>IFERROR(__xludf.DUMMYFUNCTION("""COMPUTED_VALUE"""),0.0)</f>
        <v>0</v>
      </c>
    </row>
    <row r="176">
      <c r="A176" s="5" t="str">
        <f>IFERROR(__xludf.DUMMYFUNCTION("""COMPUTED_VALUE"""),"*High Risk*
1
2
2
2
X
Ronald JonesRB UNS
Seasons:5
Height:5'11""
Weight:205
Bye:1
View Player Profile »
Injury History [TABLE]")</f>
        <v>*High Risk*
1
2
2
2
X
Ronald JonesRB UNS
Seasons:5
Height:5'11"
Weight:205
Bye:1
View Player Profile »
Injury History [TABLE]</v>
      </c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 t="str">
        <f>IFERROR(__xludf.DUMMYFUNCTION("""COMPUTED_VALUE"""),"Nick Chubb, RB CLE")</f>
        <v>Nick Chubb, RB CLE</v>
      </c>
      <c r="C177" s="5" t="str">
        <f>IFERROR(__xludf.DUMMYFUNCTION("""COMPUTED_VALUE"""),"5 | | | | |")</f>
        <v>5 | | | | |</v>
      </c>
      <c r="D177" s="5" t="str">
        <f>IFERROR(__xludf.DUMMYFUNCTION("""COMPUTED_VALUE"""),"+ Show History »")</f>
        <v>+ Show History »</v>
      </c>
      <c r="E177" s="5" t="str">
        <f>IFERROR(__xludf.DUMMYFUNCTION("""COMPUTED_VALUE"""),"High Risk")</f>
        <v>High Risk</v>
      </c>
      <c r="F177" s="38">
        <f>IFERROR(__xludf.DUMMYFUNCTION("""COMPUTED_VALUE"""),0.63)</f>
        <v>0.63</v>
      </c>
      <c r="G177" s="5">
        <f>IFERROR(__xludf.DUMMYFUNCTION("""COMPUTED_VALUE"""),1.86)</f>
        <v>1.86</v>
      </c>
      <c r="H177" s="60">
        <f>IFERROR(__xludf.DUMMYFUNCTION("""COMPUTED_VALUE"""),0.057)</f>
        <v>0.057</v>
      </c>
      <c r="I177" s="5">
        <f>IFERROR(__xludf.DUMMYFUNCTION("""COMPUTED_VALUE"""),5.0)</f>
        <v>5</v>
      </c>
      <c r="J177" s="5">
        <f>IFERROR(__xludf.DUMMYFUNCTION("""COMPUTED_VALUE"""),0.0)</f>
        <v>0</v>
      </c>
    </row>
    <row r="178">
      <c r="A178" s="5" t="str">
        <f>IFERROR(__xludf.DUMMYFUNCTION("""COMPUTED_VALUE"""),"*High Risk*
3
1
1
X
Nick ChubbRB CLE
Seasons:5
Height:5'11""
Weight:228
Bye:5
View Player Profile »
Injury History [TABLE]")</f>
        <v>*High Risk*
3
1
1
X
Nick ChubbRB CLE
Seasons:5
Height:5'11"
Weight:228
Bye:5
View Player Profile »
Injury History [TABLE]</v>
      </c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 t="str">
        <f>IFERROR(__xludf.DUMMYFUNCTION("""COMPUTED_VALUE"""),"Ke'Shawn Vaughn, RB UNS")</f>
        <v>Ke'Shawn Vaughn, RB UNS</v>
      </c>
      <c r="C179" s="5" t="str">
        <f>IFERROR(__xludf.DUMMYFUNCTION("""COMPUTED_VALUE"""),"1 |")</f>
        <v>1 |</v>
      </c>
      <c r="D179" s="5" t="str">
        <f>IFERROR(__xludf.DUMMYFUNCTION("""COMPUTED_VALUE"""),"+ Show History »")</f>
        <v>+ Show History »</v>
      </c>
      <c r="E179" s="5" t="str">
        <f>IFERROR(__xludf.DUMMYFUNCTION("""COMPUTED_VALUE"""),"Low Risk")</f>
        <v>Low Risk</v>
      </c>
      <c r="F179" s="38">
        <f>IFERROR(__xludf.DUMMYFUNCTION("""COMPUTED_VALUE"""),0.24)</f>
        <v>0.24</v>
      </c>
      <c r="G179" s="5">
        <f>IFERROR(__xludf.DUMMYFUNCTION("""COMPUTED_VALUE"""),0.42)</f>
        <v>0.42</v>
      </c>
      <c r="H179" s="60">
        <f>IFERROR(__xludf.DUMMYFUNCTION("""COMPUTED_VALUE"""),0.016)</f>
        <v>0.016</v>
      </c>
      <c r="I179" s="5">
        <f>IFERROR(__xludf.DUMMYFUNCTION("""COMPUTED_VALUE"""),5.0)</f>
        <v>5</v>
      </c>
      <c r="J179" s="5">
        <f>IFERROR(__xludf.DUMMYFUNCTION("""COMPUTED_VALUE"""),0.0)</f>
        <v>0</v>
      </c>
    </row>
    <row r="180">
      <c r="A180" s="5" t="str">
        <f>IFERROR(__xludf.DUMMYFUNCTION("""COMPUTED_VALUE"""),"*Low Risk*
1
X
Ke'Shawn VaughnRB UNS
Seasons:3
Height:5'10""
Weight:214
Bye:1
View Player Profile »
Injury History [TABLE]")</f>
        <v>*Low Risk*
1
X
Ke'Shawn VaughnRB UNS
Seasons:3
Height:5'10"
Weight:214
Bye:1
View Player Profile »
Injury History [TABLE]</v>
      </c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 t="str">
        <f>IFERROR(__xludf.DUMMYFUNCTION("""COMPUTED_VALUE"""),"Cam Akers, RB MIN")</f>
        <v>Cam Akers, RB MIN</v>
      </c>
      <c r="C181" s="5" t="str">
        <f>IFERROR(__xludf.DUMMYFUNCTION("""COMPUTED_VALUE"""),"5 | | | | |")</f>
        <v>5 | | | | |</v>
      </c>
      <c r="D181" s="5" t="str">
        <f>IFERROR(__xludf.DUMMYFUNCTION("""COMPUTED_VALUE"""),"+ Show History »")</f>
        <v>+ Show History »</v>
      </c>
      <c r="E181" s="5" t="str">
        <f>IFERROR(__xludf.DUMMYFUNCTION("""COMPUTED_VALUE"""),"Medium Risk")</f>
        <v>Medium Risk</v>
      </c>
      <c r="F181" s="38">
        <f>IFERROR(__xludf.DUMMYFUNCTION("""COMPUTED_VALUE"""),0.48)</f>
        <v>0.48</v>
      </c>
      <c r="G181" s="5">
        <f>IFERROR(__xludf.DUMMYFUNCTION("""COMPUTED_VALUE"""),1.47)</f>
        <v>1.47</v>
      </c>
      <c r="H181" s="60">
        <f>IFERROR(__xludf.DUMMYFUNCTION("""COMPUTED_VALUE"""),0.038)</f>
        <v>0.038</v>
      </c>
      <c r="I181" s="5">
        <f>IFERROR(__xludf.DUMMYFUNCTION("""COMPUTED_VALUE"""),1.47)</f>
        <v>1.47</v>
      </c>
      <c r="J181" s="5">
        <f>IFERROR(__xludf.DUMMYFUNCTION("""COMPUTED_VALUE"""),0.0)</f>
        <v>0</v>
      </c>
    </row>
    <row r="182">
      <c r="A182" s="5" t="str">
        <f>IFERROR(__xludf.DUMMYFUNCTION("""COMPUTED_VALUE"""),"*Medium Risk*
3
1
1
X
Cam AkersRB MIN
Seasons:3
Height:5'10""
Weight:217
Bye:13
View Player Profile »
Injury History [TABLE]")</f>
        <v>*Medium Risk*
3
1
1
X
Cam AkersRB MIN
Seasons:3
Height:5'10"
Weight:217
Bye:13
View Player Profile »
Injury History [TABLE]</v>
      </c>
      <c r="B182" s="5"/>
      <c r="C182" s="5"/>
      <c r="D182" s="5"/>
      <c r="E182" s="5"/>
      <c r="F182" s="5"/>
      <c r="G182" s="5"/>
      <c r="H182" s="5"/>
      <c r="I182" s="5"/>
      <c r="J182" s="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0"/>
  </cols>
  <sheetData>
    <row r="1">
      <c r="A1" s="21" t="str">
        <f>IFERROR(__xludf.DUMMYFUNCTION("IMPORTHTML(""https://www.draftsharks.com/injury-predictor/wr"",""table"",1)"),"Player")</f>
        <v>Player</v>
      </c>
      <c r="B1" s="5"/>
      <c r="C1" s="5" t="str">
        <f>IFERROR(__xludf.DUMMYFUNCTION("""COMPUTED_VALUE"""),"Historic Stats")</f>
        <v>Historic Stats</v>
      </c>
      <c r="D1" s="5"/>
      <c r="E1" s="5" t="str">
        <f>IFERROR(__xludf.DUMMYFUNCTION("""COMPUTED_VALUE"""),"Injury Probabilities")</f>
        <v>Injury Probabilities</v>
      </c>
      <c r="F1" s="5"/>
      <c r="G1" s="5"/>
      <c r="H1" s="5"/>
      <c r="I1" s="5"/>
      <c r="J1" s="5" t="str">
        <f>IFERROR(__xludf.DUMMYFUNCTION("""COMPUTED_VALUE"""),"Projected Points")</f>
        <v>Projected Points</v>
      </c>
    </row>
    <row r="2">
      <c r="A2" s="5" t="str">
        <f>IFERROR(__xludf.DUMMYFUNCTION("""COMPUTED_VALUE"""),"Player")</f>
        <v>Player</v>
      </c>
      <c r="B2" s="5"/>
      <c r="C2" s="5" t="str">
        <f>IFERROR(__xludf.DUMMYFUNCTION("""COMPUTED_VALUE"""),"Career Injuries")</f>
        <v>Career Injuries</v>
      </c>
      <c r="D2" s="5"/>
      <c r="E2" s="5" t="str">
        <f>IFERROR(__xludf.DUMMYFUNCTION("""COMPUTED_VALUE"""),"Injury Risk")</f>
        <v>Injury Risk</v>
      </c>
      <c r="F2" s="5" t="str">
        <f>IFERROR(__xludf.DUMMYFUNCTION("""COMPUTED_VALUE"""),"Probability of Injury In the Season")</f>
        <v>Probability of Injury In the Season</v>
      </c>
      <c r="G2" s="5" t="str">
        <f>IFERROR(__xludf.DUMMYFUNCTION("""COMPUTED_VALUE"""),"Projected Games Missed")</f>
        <v>Projected Games Missed</v>
      </c>
      <c r="H2" s="5" t="str">
        <f>IFERROR(__xludf.DUMMYFUNCTION("""COMPUTED_VALUE"""),"Probability of Injury Per Game")</f>
        <v>Probability of Injury Per Game</v>
      </c>
      <c r="I2" s="5" t="str">
        <f>IFERROR(__xludf.DUMMYFUNCTION("""COMPUTED_VALUE"""),"Durability")</f>
        <v>Durability</v>
      </c>
      <c r="J2" s="5" t="str">
        <f>IFERROR(__xludf.DUMMYFUNCTION("""COMPUTED_VALUE"""),"PPR Points")</f>
        <v>PPR Points</v>
      </c>
    </row>
    <row r="3">
      <c r="A3" s="5"/>
      <c r="B3" s="5" t="str">
        <f>IFERROR(__xludf.DUMMYFUNCTION("""COMPUTED_VALUE"""),"CeeDee Lamb, WR DAL")</f>
        <v>CeeDee Lamb, WR DAL</v>
      </c>
      <c r="C3" s="5" t="str">
        <f>IFERROR(__xludf.DUMMYFUNCTION("""COMPUTED_VALUE"""),"6 | | | | | |")</f>
        <v>6 | | | | | |</v>
      </c>
      <c r="D3" s="5" t="str">
        <f>IFERROR(__xludf.DUMMYFUNCTION("""COMPUTED_VALUE"""),"+ Show History »")</f>
        <v>+ Show History »</v>
      </c>
      <c r="E3" s="5" t="str">
        <f>IFERROR(__xludf.DUMMYFUNCTION("""COMPUTED_VALUE"""),"High Risk")</f>
        <v>High Risk</v>
      </c>
      <c r="F3" s="38">
        <f>IFERROR(__xludf.DUMMYFUNCTION("""COMPUTED_VALUE"""),0.67)</f>
        <v>0.67</v>
      </c>
      <c r="G3" s="5">
        <f>IFERROR(__xludf.DUMMYFUNCTION("""COMPUTED_VALUE"""),2.4)</f>
        <v>2.4</v>
      </c>
      <c r="H3" s="60">
        <f>IFERROR(__xludf.DUMMYFUNCTION("""COMPUTED_VALUE"""),0.063)</f>
        <v>0.063</v>
      </c>
      <c r="I3" s="5">
        <f>IFERROR(__xludf.DUMMYFUNCTION("""COMPUTED_VALUE"""),5.0)</f>
        <v>5</v>
      </c>
      <c r="J3" s="5">
        <f>IFERROR(__xludf.DUMMYFUNCTION("""COMPUTED_VALUE"""),307.3)</f>
        <v>307.3</v>
      </c>
    </row>
    <row r="4">
      <c r="A4" s="5" t="str">
        <f>IFERROR(__xludf.DUMMYFUNCTION("""COMPUTED_VALUE"""),"*High Risk*
2
1
1
1
1
X
CeeDee LambWR DAL
Seasons:3
Height:6'2""
Weight:198
Bye:7
View Player Profile »
Injury History [TABLE]")</f>
        <v>*High Risk*
2
1
1
1
1
X
CeeDee LambWR DAL
Seasons:3
Height:6'2"
Weight:198
Bye:7
View Player Profile »
Injury History [TABLE]</v>
      </c>
      <c r="B4" s="5"/>
      <c r="C4" s="5"/>
      <c r="D4" s="5"/>
      <c r="E4" s="5"/>
      <c r="F4" s="5"/>
      <c r="G4" s="5"/>
      <c r="H4" s="5"/>
      <c r="I4" s="5"/>
      <c r="J4" s="5"/>
    </row>
    <row r="5">
      <c r="A5" s="5"/>
      <c r="B5" s="5" t="str">
        <f>IFERROR(__xludf.DUMMYFUNCTION("""COMPUTED_VALUE"""),"Tyreek Hill, WR MIA")</f>
        <v>Tyreek Hill, WR MIA</v>
      </c>
      <c r="C5" s="5" t="str">
        <f>IFERROR(__xludf.DUMMYFUNCTION("""COMPUTED_VALUE"""),"7 | | | | | | |")</f>
        <v>7 | | | | | | |</v>
      </c>
      <c r="D5" s="5" t="str">
        <f>IFERROR(__xludf.DUMMYFUNCTION("""COMPUTED_VALUE"""),"+ Show History »")</f>
        <v>+ Show History »</v>
      </c>
      <c r="E5" s="5" t="str">
        <f>IFERROR(__xludf.DUMMYFUNCTION("""COMPUTED_VALUE"""),"Very High Risk")</f>
        <v>Very High Risk</v>
      </c>
      <c r="F5" s="38">
        <f>IFERROR(__xludf.DUMMYFUNCTION("""COMPUTED_VALUE"""),0.91)</f>
        <v>0.91</v>
      </c>
      <c r="G5" s="5">
        <f>IFERROR(__xludf.DUMMYFUNCTION("""COMPUTED_VALUE"""),2.4)</f>
        <v>2.4</v>
      </c>
      <c r="H5" s="60">
        <f>IFERROR(__xludf.DUMMYFUNCTION("""COMPUTED_VALUE"""),0.132)</f>
        <v>0.132</v>
      </c>
      <c r="I5" s="5">
        <f>IFERROR(__xludf.DUMMYFUNCTION("""COMPUTED_VALUE"""),5.0)</f>
        <v>5</v>
      </c>
      <c r="J5" s="5">
        <f>IFERROR(__xludf.DUMMYFUNCTION("""COMPUTED_VALUE"""),295.0)</f>
        <v>295</v>
      </c>
    </row>
    <row r="6">
      <c r="A6" s="5" t="str">
        <f>IFERROR(__xludf.DUMMYFUNCTION("""COMPUTED_VALUE"""),"*Very High Risk*
1
2
3
1
X
Tyreek HillWR MIA
Seasons:7
Height:5'10""
Weight:185
Bye:10
View Player Profile »
Injury History [TABLE]")</f>
        <v>*Very High Risk*
1
2
3
1
X
Tyreek HillWR MIA
Seasons:7
Height:5'10"
Weight:185
Bye:10
View Player Profile »
Injury History [TABLE]</v>
      </c>
      <c r="B6" s="5"/>
      <c r="C6" s="5"/>
      <c r="D6" s="5"/>
      <c r="E6" s="5"/>
      <c r="F6" s="5"/>
      <c r="G6" s="5"/>
      <c r="H6" s="5"/>
      <c r="I6" s="5"/>
      <c r="J6" s="5"/>
    </row>
    <row r="7">
      <c r="A7" s="5"/>
      <c r="B7" s="5" t="str">
        <f>IFERROR(__xludf.DUMMYFUNCTION("""COMPUTED_VALUE"""),"A.J. Brown, WR PHI")</f>
        <v>A.J. Brown, WR PHI</v>
      </c>
      <c r="C7" s="5" t="str">
        <f>IFERROR(__xludf.DUMMYFUNCTION("""COMPUTED_VALUE"""),"6 | | | | | |")</f>
        <v>6 | | | | | |</v>
      </c>
      <c r="D7" s="5" t="str">
        <f>IFERROR(__xludf.DUMMYFUNCTION("""COMPUTED_VALUE"""),"+ Show History »")</f>
        <v>+ Show History »</v>
      </c>
      <c r="E7" s="5" t="str">
        <f>IFERROR(__xludf.DUMMYFUNCTION("""COMPUTED_VALUE"""),"High Risk")</f>
        <v>High Risk</v>
      </c>
      <c r="F7" s="38">
        <f>IFERROR(__xludf.DUMMYFUNCTION("""COMPUTED_VALUE"""),0.58)</f>
        <v>0.58</v>
      </c>
      <c r="G7" s="5">
        <f>IFERROR(__xludf.DUMMYFUNCTION("""COMPUTED_VALUE"""),2.02)</f>
        <v>2.02</v>
      </c>
      <c r="H7" s="38">
        <f>IFERROR(__xludf.DUMMYFUNCTION("""COMPUTED_VALUE"""),0.05)</f>
        <v>0.05</v>
      </c>
      <c r="I7" s="5">
        <f>IFERROR(__xludf.DUMMYFUNCTION("""COMPUTED_VALUE"""),5.0)</f>
        <v>5</v>
      </c>
      <c r="J7" s="5">
        <f>IFERROR(__xludf.DUMMYFUNCTION("""COMPUTED_VALUE"""),290.5)</f>
        <v>290.5</v>
      </c>
    </row>
    <row r="8">
      <c r="A8" s="5" t="str">
        <f>IFERROR(__xludf.DUMMYFUNCTION("""COMPUTED_VALUE"""),"*High Risk*
1
1
3
1
X
A.J. BrownWR PHI
Seasons:4
Height:6'1""
Weight:226
Bye:10
View Player Profile »
Injury History [TABLE]")</f>
        <v>*High Risk*
1
1
3
1
X
A.J. BrownWR PHI
Seasons:4
Height:6'1"
Weight:226
Bye:10
View Player Profile »
Injury History [TABLE]</v>
      </c>
      <c r="B8" s="5"/>
      <c r="C8" s="5"/>
      <c r="D8" s="5"/>
      <c r="E8" s="5"/>
      <c r="F8" s="5"/>
      <c r="G8" s="5"/>
      <c r="H8" s="5"/>
      <c r="I8" s="5"/>
      <c r="J8" s="5"/>
    </row>
    <row r="9">
      <c r="A9" s="5"/>
      <c r="B9" s="5" t="str">
        <f>IFERROR(__xludf.DUMMYFUNCTION("""COMPUTED_VALUE"""),"Amon-Ra St. Brown, WR DET")</f>
        <v>Amon-Ra St. Brown, WR DET</v>
      </c>
      <c r="C9" s="5" t="str">
        <f>IFERROR(__xludf.DUMMYFUNCTION("""COMPUTED_VALUE"""),"4 | | | |")</f>
        <v>4 | | | |</v>
      </c>
      <c r="D9" s="5" t="str">
        <f>IFERROR(__xludf.DUMMYFUNCTION("""COMPUTED_VALUE"""),"+ Show History »")</f>
        <v>+ Show History »</v>
      </c>
      <c r="E9" s="5" t="str">
        <f>IFERROR(__xludf.DUMMYFUNCTION("""COMPUTED_VALUE"""),"Low Risk")</f>
        <v>Low Risk</v>
      </c>
      <c r="F9" s="38">
        <f>IFERROR(__xludf.DUMMYFUNCTION("""COMPUTED_VALUE"""),0.36)</f>
        <v>0.36</v>
      </c>
      <c r="G9" s="5">
        <f>IFERROR(__xludf.DUMMYFUNCTION("""COMPUTED_VALUE"""),1.04)</f>
        <v>1.04</v>
      </c>
      <c r="H9" s="60">
        <f>IFERROR(__xludf.DUMMYFUNCTION("""COMPUTED_VALUE"""),0.026)</f>
        <v>0.026</v>
      </c>
      <c r="I9" s="5">
        <f>IFERROR(__xludf.DUMMYFUNCTION("""COMPUTED_VALUE"""),5.0)</f>
        <v>5</v>
      </c>
      <c r="J9" s="5">
        <f>IFERROR(__xludf.DUMMYFUNCTION("""COMPUTED_VALUE"""),286.0)</f>
        <v>286</v>
      </c>
    </row>
    <row r="10">
      <c r="A10" s="5" t="str">
        <f>IFERROR(__xludf.DUMMYFUNCTION("""COMPUTED_VALUE"""),"*Low Risk*
1
2
1
X
Amon-Ra St. BrownWR DET
Seasons:2
Height:6'1""
Weight:195
Bye:9
View Player Profile »
Injury History [TABLE]")</f>
        <v>*Low Risk*
1
2
1
X
Amon-Ra St. BrownWR DET
Seasons:2
Height:6'1"
Weight:195
Bye:9
View Player Profile »
Injury History [TABLE]</v>
      </c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 t="str">
        <f>IFERROR(__xludf.DUMMYFUNCTION("""COMPUTED_VALUE"""),"Mike Evans, WR TB")</f>
        <v>Mike Evans, WR TB</v>
      </c>
      <c r="C11" s="5" t="str">
        <f>IFERROR(__xludf.DUMMYFUNCTION("""COMPUTED_VALUE"""),"12 | | | | | | | | | | | |")</f>
        <v>12 | | | | | | | | | | | |</v>
      </c>
      <c r="D11" s="5" t="str">
        <f>IFERROR(__xludf.DUMMYFUNCTION("""COMPUTED_VALUE"""),"+ Show History »")</f>
        <v>+ Show History »</v>
      </c>
      <c r="E11" s="5" t="str">
        <f>IFERROR(__xludf.DUMMYFUNCTION("""COMPUTED_VALUE"""),"Very High Risk")</f>
        <v>Very High Risk</v>
      </c>
      <c r="F11" s="38">
        <f>IFERROR(__xludf.DUMMYFUNCTION("""COMPUTED_VALUE"""),0.86)</f>
        <v>0.86</v>
      </c>
      <c r="G11" s="5">
        <f>IFERROR(__xludf.DUMMYFUNCTION("""COMPUTED_VALUE"""),2.4)</f>
        <v>2.4</v>
      </c>
      <c r="H11" s="60">
        <f>IFERROR(__xludf.DUMMYFUNCTION("""COMPUTED_VALUE"""),0.109)</f>
        <v>0.109</v>
      </c>
      <c r="I11" s="5">
        <f>IFERROR(__xludf.DUMMYFUNCTION("""COMPUTED_VALUE"""),5.0)</f>
        <v>5</v>
      </c>
      <c r="J11" s="5">
        <f>IFERROR(__xludf.DUMMYFUNCTION("""COMPUTED_VALUE"""),248.2)</f>
        <v>248.2</v>
      </c>
    </row>
    <row r="12">
      <c r="A12" s="5" t="str">
        <f>IFERROR(__xludf.DUMMYFUNCTION("""COMPUTED_VALUE"""),"*Very High Risk*
6
1
1
1
2
1
X
Mike EvansWR TB
Seasons:9
Height:6'5""
Weight:231
Bye:5
View Player Profile »
Injury History [TABLE]")</f>
        <v>*Very High Risk*
6
1
1
1
2
1
X
Mike EvansWR TB
Seasons:9
Height:6'5"
Weight:231
Bye:5
View Player Profile »
Injury History [TABLE]</v>
      </c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 t="str">
        <f>IFERROR(__xludf.DUMMYFUNCTION("""COMPUTED_VALUE"""),"Stefon Diggs, WR BUF")</f>
        <v>Stefon Diggs, WR BUF</v>
      </c>
      <c r="C13" s="5" t="str">
        <f>IFERROR(__xludf.DUMMYFUNCTION("""COMPUTED_VALUE"""),"7 | | | | | | |")</f>
        <v>7 | | | | | | |</v>
      </c>
      <c r="D13" s="5" t="str">
        <f>IFERROR(__xludf.DUMMYFUNCTION("""COMPUTED_VALUE"""),"+ Show History »")</f>
        <v>+ Show History »</v>
      </c>
      <c r="E13" s="5" t="str">
        <f>IFERROR(__xludf.DUMMYFUNCTION("""COMPUTED_VALUE"""),"Low Risk")</f>
        <v>Low Risk</v>
      </c>
      <c r="F13" s="38">
        <f>IFERROR(__xludf.DUMMYFUNCTION("""COMPUTED_VALUE"""),0.33)</f>
        <v>0.33</v>
      </c>
      <c r="G13" s="5">
        <f>IFERROR(__xludf.DUMMYFUNCTION("""COMPUTED_VALUE"""),0.86)</f>
        <v>0.86</v>
      </c>
      <c r="H13" s="60">
        <f>IFERROR(__xludf.DUMMYFUNCTION("""COMPUTED_VALUE"""),0.023)</f>
        <v>0.023</v>
      </c>
      <c r="I13" s="5">
        <f>IFERROR(__xludf.DUMMYFUNCTION("""COMPUTED_VALUE"""),5.0)</f>
        <v>5</v>
      </c>
      <c r="J13" s="5">
        <f>IFERROR(__xludf.DUMMYFUNCTION("""COMPUTED_VALUE"""),248.2)</f>
        <v>248.2</v>
      </c>
    </row>
    <row r="14">
      <c r="A14" s="5" t="str">
        <f>IFERROR(__xludf.DUMMYFUNCTION("""COMPUTED_VALUE"""),"*Low Risk*
2
1
1
3
X
Stefon DiggsWR BUF
Seasons:8
Height:6'0""
Weight:195
Bye:13
View Player Profile »
Injury History [TABLE]")</f>
        <v>*Low Risk*
2
1
1
3
X
Stefon DiggsWR BUF
Seasons:8
Height:6'0"
Weight:195
Bye:13
View Player Profile »
Injury History [TABLE]</v>
      </c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 t="str">
        <f>IFERROR(__xludf.DUMMYFUNCTION("""COMPUTED_VALUE"""),"D.J. Moore, WR CHI")</f>
        <v>D.J. Moore, WR CHI</v>
      </c>
      <c r="C15" s="5" t="str">
        <f>IFERROR(__xludf.DUMMYFUNCTION("""COMPUTED_VALUE"""),"5 | | | | |")</f>
        <v>5 | | | | |</v>
      </c>
      <c r="D15" s="5" t="str">
        <f>IFERROR(__xludf.DUMMYFUNCTION("""COMPUTED_VALUE"""),"+ Show History »")</f>
        <v>+ Show History »</v>
      </c>
      <c r="E15" s="5" t="str">
        <f>IFERROR(__xludf.DUMMYFUNCTION("""COMPUTED_VALUE"""),"High Risk")</f>
        <v>High Risk</v>
      </c>
      <c r="F15" s="38">
        <f>IFERROR(__xludf.DUMMYFUNCTION("""COMPUTED_VALUE"""),0.6)</f>
        <v>0.6</v>
      </c>
      <c r="G15" s="5">
        <f>IFERROR(__xludf.DUMMYFUNCTION("""COMPUTED_VALUE"""),2.4)</f>
        <v>2.4</v>
      </c>
      <c r="H15" s="60">
        <f>IFERROR(__xludf.DUMMYFUNCTION("""COMPUTED_VALUE"""),0.052)</f>
        <v>0.052</v>
      </c>
      <c r="I15" s="5">
        <f>IFERROR(__xludf.DUMMYFUNCTION("""COMPUTED_VALUE"""),5.0)</f>
        <v>5</v>
      </c>
      <c r="J15" s="5">
        <f>IFERROR(__xludf.DUMMYFUNCTION("""COMPUTED_VALUE"""),240.4)</f>
        <v>240.4</v>
      </c>
    </row>
    <row r="16">
      <c r="A16" s="5" t="str">
        <f>IFERROR(__xludf.DUMMYFUNCTION("""COMPUTED_VALUE"""),"*High Risk*
1
1
1
1
1
X
D.J. MooreWR CHI
Seasons:5
Height:6'0""
Weight:210
Bye:13
View Player Profile »
Injury History [TABLE]")</f>
        <v>*High Risk*
1
1
1
1
1
X
D.J. MooreWR CHI
Seasons:5
Height:6'0"
Weight:210
Bye:13
View Player Profile »
Injury History [TABLE]</v>
      </c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 t="str">
        <f>IFERROR(__xludf.DUMMYFUNCTION("""COMPUTED_VALUE"""),"Deebo Samuel, WR SF")</f>
        <v>Deebo Samuel, WR SF</v>
      </c>
      <c r="C17" s="5" t="str">
        <f>IFERROR(__xludf.DUMMYFUNCTION("""COMPUTED_VALUE"""),"16 | | | | | | | | | | | | | | | |")</f>
        <v>16 | | | | | | | | | | | | | | | |</v>
      </c>
      <c r="D17" s="5" t="str">
        <f>IFERROR(__xludf.DUMMYFUNCTION("""COMPUTED_VALUE"""),"+ Show History »")</f>
        <v>+ Show History »</v>
      </c>
      <c r="E17" s="5" t="str">
        <f>IFERROR(__xludf.DUMMYFUNCTION("""COMPUTED_VALUE"""),"Very High Risk")</f>
        <v>Very High Risk</v>
      </c>
      <c r="F17" s="38">
        <f>IFERROR(__xludf.DUMMYFUNCTION("""COMPUTED_VALUE"""),0.92)</f>
        <v>0.92</v>
      </c>
      <c r="G17" s="5">
        <f>IFERROR(__xludf.DUMMYFUNCTION("""COMPUTED_VALUE"""),3.3)</f>
        <v>3.3</v>
      </c>
      <c r="H17" s="60">
        <f>IFERROR(__xludf.DUMMYFUNCTION("""COMPUTED_VALUE"""),0.138)</f>
        <v>0.138</v>
      </c>
      <c r="I17" s="5">
        <f>IFERROR(__xludf.DUMMYFUNCTION("""COMPUTED_VALUE"""),1.34)</f>
        <v>1.34</v>
      </c>
      <c r="J17" s="5">
        <f>IFERROR(__xludf.DUMMYFUNCTION("""COMPUTED_VALUE"""),234.5)</f>
        <v>234.5</v>
      </c>
    </row>
    <row r="18">
      <c r="A18" s="5" t="str">
        <f>IFERROR(__xludf.DUMMYFUNCTION("""COMPUTED_VALUE"""),"*Very High Risk*
1
2
2
6
2
3
X
Deebo SamuelWR SF
Seasons:4
Height:5'11""
Weight:214
Bye:9
View Player Profile »
Injury History [TABLE]")</f>
        <v>*Very High Risk*
1
2
2
6
2
3
X
Deebo SamuelWR SF
Seasons:4
Height:5'11"
Weight:214
Bye:9
View Player Profile »
Injury History [TABLE]</v>
      </c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 t="str">
        <f>IFERROR(__xludf.DUMMYFUNCTION("""COMPUTED_VALUE"""),"Michael Pittman Jr., WR IND")</f>
        <v>Michael Pittman Jr., WR IND</v>
      </c>
      <c r="C19" s="5" t="str">
        <f>IFERROR(__xludf.DUMMYFUNCTION("""COMPUTED_VALUE"""),"7 | | | | | | |")</f>
        <v>7 | | | | | | |</v>
      </c>
      <c r="D19" s="5" t="str">
        <f>IFERROR(__xludf.DUMMYFUNCTION("""COMPUTED_VALUE"""),"+ Show History »")</f>
        <v>+ Show History »</v>
      </c>
      <c r="E19" s="5" t="str">
        <f>IFERROR(__xludf.DUMMYFUNCTION("""COMPUTED_VALUE"""),"Medium Risk")</f>
        <v>Medium Risk</v>
      </c>
      <c r="F19" s="38">
        <f>IFERROR(__xludf.DUMMYFUNCTION("""COMPUTED_VALUE"""),0.44)</f>
        <v>0.44</v>
      </c>
      <c r="G19" s="5">
        <f>IFERROR(__xludf.DUMMYFUNCTION("""COMPUTED_VALUE"""),1.5)</f>
        <v>1.5</v>
      </c>
      <c r="H19" s="60">
        <f>IFERROR(__xludf.DUMMYFUNCTION("""COMPUTED_VALUE"""),0.034)</f>
        <v>0.034</v>
      </c>
      <c r="I19" s="5">
        <f>IFERROR(__xludf.DUMMYFUNCTION("""COMPUTED_VALUE"""),5.0)</f>
        <v>5</v>
      </c>
      <c r="J19" s="5">
        <f>IFERROR(__xludf.DUMMYFUNCTION("""COMPUTED_VALUE"""),234.4)</f>
        <v>234.4</v>
      </c>
    </row>
    <row r="20">
      <c r="A20" s="5" t="str">
        <f>IFERROR(__xludf.DUMMYFUNCTION("""COMPUTED_VALUE"""),"*Medium Risk*
2
1
2
2
X
Michael Pittman Jr.WR IND
Seasons:3
Height:6'4""
Weight:223
Bye:11
View Player Profile »
Injury History [TABLE]")</f>
        <v>*Medium Risk*
2
1
2
2
X
Michael Pittman Jr.WR IND
Seasons:3
Height:6'4"
Weight:223
Bye:11
View Player Profile »
Injury History [TABLE]</v>
      </c>
      <c r="B20" s="5"/>
      <c r="C20" s="5"/>
      <c r="D20" s="5"/>
      <c r="E20" s="5"/>
      <c r="F20" s="5"/>
      <c r="G20" s="5"/>
      <c r="H20" s="5"/>
      <c r="I20" s="5"/>
      <c r="J20" s="5"/>
    </row>
    <row r="21">
      <c r="A21" s="5"/>
      <c r="B21" s="5" t="str">
        <f>IFERROR(__xludf.DUMMYFUNCTION("""COMPUTED_VALUE"""),"Cooper Kupp, WR LAR")</f>
        <v>Cooper Kupp, WR LAR</v>
      </c>
      <c r="C21" s="5" t="str">
        <f>IFERROR(__xludf.DUMMYFUNCTION("""COMPUTED_VALUE"""),"8 | | | | | | | |")</f>
        <v>8 | | | | | | | |</v>
      </c>
      <c r="D21" s="5" t="str">
        <f>IFERROR(__xludf.DUMMYFUNCTION("""COMPUTED_VALUE"""),"+ Show History »")</f>
        <v>+ Show History »</v>
      </c>
      <c r="E21" s="5" t="str">
        <f>IFERROR(__xludf.DUMMYFUNCTION("""COMPUTED_VALUE"""),"Medium Risk")</f>
        <v>Medium Risk</v>
      </c>
      <c r="F21" s="38">
        <f>IFERROR(__xludf.DUMMYFUNCTION("""COMPUTED_VALUE"""),0.57)</f>
        <v>0.57</v>
      </c>
      <c r="G21" s="5">
        <f>IFERROR(__xludf.DUMMYFUNCTION("""COMPUTED_VALUE"""),1.5)</f>
        <v>1.5</v>
      </c>
      <c r="H21" s="60">
        <f>IFERROR(__xludf.DUMMYFUNCTION("""COMPUTED_VALUE"""),0.048)</f>
        <v>0.048</v>
      </c>
      <c r="I21" s="5">
        <f>IFERROR(__xludf.DUMMYFUNCTION("""COMPUTED_VALUE"""),4.5)</f>
        <v>4.5</v>
      </c>
      <c r="J21" s="5">
        <f>IFERROR(__xludf.DUMMYFUNCTION("""COMPUTED_VALUE"""),220.7)</f>
        <v>220.7</v>
      </c>
    </row>
    <row r="22">
      <c r="A22" s="5" t="str">
        <f>IFERROR(__xludf.DUMMYFUNCTION("""COMPUTED_VALUE"""),"*Medium Risk*
1
2
3
1
1
X
Cooper KuppWR LAR
Seasons:6
Height:6'2""
Weight:198
Bye:10
View Player Profile »
Injury History [TABLE]")</f>
        <v>*Medium Risk*
1
2
3
1
1
X
Cooper KuppWR LAR
Seasons:6
Height:6'2"
Weight:198
Bye:10
View Player Profile »
Injury History [TABLE]</v>
      </c>
      <c r="B22" s="5"/>
      <c r="C22" s="5"/>
      <c r="D22" s="5"/>
      <c r="E22" s="5"/>
      <c r="F22" s="5"/>
      <c r="G22" s="5"/>
      <c r="H22" s="5"/>
      <c r="I22" s="5"/>
      <c r="J22" s="5"/>
    </row>
    <row r="23">
      <c r="A23" s="5"/>
      <c r="B23" s="5" t="str">
        <f>IFERROR(__xludf.DUMMYFUNCTION("""COMPUTED_VALUE"""),"Justin Jefferson, WR MIN")</f>
        <v>Justin Jefferson, WR MIN</v>
      </c>
      <c r="C23" s="5" t="str">
        <f>IFERROR(__xludf.DUMMYFUNCTION("""COMPUTED_VALUE"""),"6 | | | | | |")</f>
        <v>6 | | | | | |</v>
      </c>
      <c r="D23" s="5" t="str">
        <f>IFERROR(__xludf.DUMMYFUNCTION("""COMPUTED_VALUE"""),"+ Show History »")</f>
        <v>+ Show History »</v>
      </c>
      <c r="E23" s="5" t="str">
        <f>IFERROR(__xludf.DUMMYFUNCTION("""COMPUTED_VALUE"""),"Medium Risk")</f>
        <v>Medium Risk</v>
      </c>
      <c r="F23" s="38">
        <f>IFERROR(__xludf.DUMMYFUNCTION("""COMPUTED_VALUE"""),0.4)</f>
        <v>0.4</v>
      </c>
      <c r="G23" s="5">
        <f>IFERROR(__xludf.DUMMYFUNCTION("""COMPUTED_VALUE"""),1.41)</f>
        <v>1.41</v>
      </c>
      <c r="H23" s="38">
        <f>IFERROR(__xludf.DUMMYFUNCTION("""COMPUTED_VALUE"""),0.03)</f>
        <v>0.03</v>
      </c>
      <c r="I23" s="5">
        <f>IFERROR(__xludf.DUMMYFUNCTION("""COMPUTED_VALUE"""),5.0)</f>
        <v>5</v>
      </c>
      <c r="J23" s="5">
        <f>IFERROR(__xludf.DUMMYFUNCTION("""COMPUTED_VALUE"""),217.4)</f>
        <v>217.4</v>
      </c>
    </row>
    <row r="24">
      <c r="A24" s="5" t="str">
        <f>IFERROR(__xludf.DUMMYFUNCTION("""COMPUTED_VALUE"""),"*Medium Risk*
1
1
3
1
X
Justin JeffersonWR MIN
Seasons:3
Height:6'1""
Weight:202
Bye:13
View Player Profile »
Injury History [TABLE]")</f>
        <v>*Medium Risk*
1
1
3
1
X
Justin JeffersonWR MIN
Seasons:3
Height:6'1"
Weight:202
Bye:13
View Player Profile »
Injury History [TABLE]</v>
      </c>
      <c r="B24" s="5"/>
      <c r="C24" s="5"/>
      <c r="D24" s="5"/>
      <c r="E24" s="5"/>
      <c r="F24" s="5"/>
      <c r="G24" s="5"/>
      <c r="H24" s="5"/>
      <c r="I24" s="5"/>
      <c r="J24" s="5"/>
    </row>
    <row r="25">
      <c r="A25" s="5"/>
      <c r="B25" s="5" t="str">
        <f>IFERROR(__xludf.DUMMYFUNCTION("""COMPUTED_VALUE"""),"Brandon Aiyuk, WR SF")</f>
        <v>Brandon Aiyuk, WR SF</v>
      </c>
      <c r="C25" s="5" t="str">
        <f>IFERROR(__xludf.DUMMYFUNCTION("""COMPUTED_VALUE"""),"5 | | | | |")</f>
        <v>5 | | | | |</v>
      </c>
      <c r="D25" s="5" t="str">
        <f>IFERROR(__xludf.DUMMYFUNCTION("""COMPUTED_VALUE"""),"+ Show History »")</f>
        <v>+ Show History »</v>
      </c>
      <c r="E25" s="5" t="str">
        <f>IFERROR(__xludf.DUMMYFUNCTION("""COMPUTED_VALUE"""),"Medium Risk")</f>
        <v>Medium Risk</v>
      </c>
      <c r="F25" s="38">
        <f>IFERROR(__xludf.DUMMYFUNCTION("""COMPUTED_VALUE"""),0.53)</f>
        <v>0.53</v>
      </c>
      <c r="G25" s="5">
        <f>IFERROR(__xludf.DUMMYFUNCTION("""COMPUTED_VALUE"""),2.4)</f>
        <v>2.4</v>
      </c>
      <c r="H25" s="60">
        <f>IFERROR(__xludf.DUMMYFUNCTION("""COMPUTED_VALUE"""),0.043)</f>
        <v>0.043</v>
      </c>
      <c r="I25" s="5">
        <f>IFERROR(__xludf.DUMMYFUNCTION("""COMPUTED_VALUE"""),5.0)</f>
        <v>5</v>
      </c>
      <c r="J25" s="5">
        <f>IFERROR(__xludf.DUMMYFUNCTION("""COMPUTED_VALUE"""),217.2)</f>
        <v>217.2</v>
      </c>
    </row>
    <row r="26">
      <c r="A26" s="5" t="str">
        <f>IFERROR(__xludf.DUMMYFUNCTION("""COMPUTED_VALUE"""),"*Medium Risk*
1
2
1
1
X
Brandon AiyukWR SF
Seasons:3
Height:6'0""
Weight:205
Bye:9
View Player Profile »
Injury History [TABLE]")</f>
        <v>*Medium Risk*
1
2
1
1
X
Brandon AiyukWR SF
Seasons:3
Height:6'0"
Weight:205
Bye:9
View Player Profile »
Injury History [TABLE]</v>
      </c>
      <c r="B26" s="5"/>
      <c r="C26" s="5"/>
      <c r="D26" s="5"/>
      <c r="E26" s="5"/>
      <c r="F26" s="5"/>
      <c r="G26" s="5"/>
      <c r="H26" s="5"/>
      <c r="I26" s="5"/>
      <c r="J26" s="5"/>
    </row>
    <row r="27">
      <c r="A27" s="5"/>
      <c r="B27" s="5" t="str">
        <f>IFERROR(__xludf.DUMMYFUNCTION("""COMPUTED_VALUE"""),"D.K. Metcalf, WR SEA")</f>
        <v>D.K. Metcalf, WR SEA</v>
      </c>
      <c r="C27" s="5" t="str">
        <f>IFERROR(__xludf.DUMMYFUNCTION("""COMPUTED_VALUE"""),"6 | | | | | |")</f>
        <v>6 | | | | | |</v>
      </c>
      <c r="D27" s="5" t="str">
        <f>IFERROR(__xludf.DUMMYFUNCTION("""COMPUTED_VALUE"""),"+ Show History »")</f>
        <v>+ Show History »</v>
      </c>
      <c r="E27" s="5" t="str">
        <f>IFERROR(__xludf.DUMMYFUNCTION("""COMPUTED_VALUE"""),"Medium Risk")</f>
        <v>Medium Risk</v>
      </c>
      <c r="F27" s="38">
        <f>IFERROR(__xludf.DUMMYFUNCTION("""COMPUTED_VALUE"""),0.44)</f>
        <v>0.44</v>
      </c>
      <c r="G27" s="5">
        <f>IFERROR(__xludf.DUMMYFUNCTION("""COMPUTED_VALUE"""),1.3)</f>
        <v>1.3</v>
      </c>
      <c r="H27" s="60">
        <f>IFERROR(__xludf.DUMMYFUNCTION("""COMPUTED_VALUE"""),0.034)</f>
        <v>0.034</v>
      </c>
      <c r="I27" s="5">
        <f>IFERROR(__xludf.DUMMYFUNCTION("""COMPUTED_VALUE"""),3.94)</f>
        <v>3.94</v>
      </c>
      <c r="J27" s="5">
        <f>IFERROR(__xludf.DUMMYFUNCTION("""COMPUTED_VALUE"""),214.5)</f>
        <v>214.5</v>
      </c>
    </row>
    <row r="28">
      <c r="A28" s="5" t="str">
        <f>IFERROR(__xludf.DUMMYFUNCTION("""COMPUTED_VALUE"""),"*Medium Risk*
2
2
1
1
X
D.K. MetcalfWR SEA
Seasons:4
Height:6'3""
Weight:228
Bye:5
View Player Profile »
Injury History [TABLE]")</f>
        <v>*Medium Risk*
2
2
1
1
X
D.K. MetcalfWR SEA
Seasons:4
Height:6'3"
Weight:228
Bye:5
View Player Profile »
Injury History [TABLE]</v>
      </c>
      <c r="B28" s="5"/>
      <c r="C28" s="5"/>
      <c r="D28" s="5"/>
      <c r="E28" s="5"/>
      <c r="F28" s="5"/>
      <c r="G28" s="5"/>
      <c r="H28" s="5"/>
      <c r="I28" s="5"/>
      <c r="J28" s="5"/>
    </row>
    <row r="29">
      <c r="A29" s="5"/>
      <c r="B29" s="5" t="str">
        <f>IFERROR(__xludf.DUMMYFUNCTION("""COMPUTED_VALUE"""),"Jaylen Waddle, WR MIA")</f>
        <v>Jaylen Waddle, WR MIA</v>
      </c>
      <c r="C29" s="5" t="str">
        <f>IFERROR(__xludf.DUMMYFUNCTION("""COMPUTED_VALUE"""),"4 | | | |")</f>
        <v>4 | | | |</v>
      </c>
      <c r="D29" s="5" t="str">
        <f>IFERROR(__xludf.DUMMYFUNCTION("""COMPUTED_VALUE"""),"+ Show History »")</f>
        <v>+ Show History »</v>
      </c>
      <c r="E29" s="5" t="str">
        <f>IFERROR(__xludf.DUMMYFUNCTION("""COMPUTED_VALUE"""),"Low Risk")</f>
        <v>Low Risk</v>
      </c>
      <c r="F29" s="38">
        <f>IFERROR(__xludf.DUMMYFUNCTION("""COMPUTED_VALUE"""),0.31)</f>
        <v>0.31</v>
      </c>
      <c r="G29" s="5">
        <f>IFERROR(__xludf.DUMMYFUNCTION("""COMPUTED_VALUE"""),0.79)</f>
        <v>0.79</v>
      </c>
      <c r="H29" s="60">
        <f>IFERROR(__xludf.DUMMYFUNCTION("""COMPUTED_VALUE"""),0.022)</f>
        <v>0.022</v>
      </c>
      <c r="I29" s="5">
        <f>IFERROR(__xludf.DUMMYFUNCTION("""COMPUTED_VALUE"""),4.26)</f>
        <v>4.26</v>
      </c>
      <c r="J29" s="5">
        <f>IFERROR(__xludf.DUMMYFUNCTION("""COMPUTED_VALUE"""),214.1)</f>
        <v>214.1</v>
      </c>
    </row>
    <row r="30">
      <c r="A30" s="5" t="str">
        <f>IFERROR(__xludf.DUMMYFUNCTION("""COMPUTED_VALUE"""),"*Low Risk*
1
1
2
X
Jaylen WaddleWR MIA
Seasons:2
Height:5'10""
Weight:182
Bye:10
View Player Profile »
Injury History [TABLE]")</f>
        <v>*Low Risk*
1
1
2
X
Jaylen WaddleWR MIA
Seasons:2
Height:5'10"
Weight:182
Bye:10
View Player Profile »
Injury History [TABLE]</v>
      </c>
      <c r="B30" s="5"/>
      <c r="C30" s="5"/>
      <c r="D30" s="5"/>
      <c r="E30" s="5"/>
      <c r="F30" s="5"/>
      <c r="G30" s="5"/>
      <c r="H30" s="5"/>
      <c r="I30" s="5"/>
      <c r="J30" s="5"/>
    </row>
    <row r="31">
      <c r="A31" s="5"/>
      <c r="B31" s="5" t="str">
        <f>IFERROR(__xludf.DUMMYFUNCTION("""COMPUTED_VALUE"""),"DeVonta Smith, WR PHI")</f>
        <v>DeVonta Smith, WR PHI</v>
      </c>
      <c r="C31" s="5" t="str">
        <f>IFERROR(__xludf.DUMMYFUNCTION("""COMPUTED_VALUE"""),"7 | | | | | | |")</f>
        <v>7 | | | | | | |</v>
      </c>
      <c r="D31" s="5" t="str">
        <f>IFERROR(__xludf.DUMMYFUNCTION("""COMPUTED_VALUE"""),"+ Show History »")</f>
        <v>+ Show History »</v>
      </c>
      <c r="E31" s="5" t="str">
        <f>IFERROR(__xludf.DUMMYFUNCTION("""COMPUTED_VALUE"""),"High Risk")</f>
        <v>High Risk</v>
      </c>
      <c r="F31" s="38">
        <f>IFERROR(__xludf.DUMMYFUNCTION("""COMPUTED_VALUE"""),0.67)</f>
        <v>0.67</v>
      </c>
      <c r="G31" s="5">
        <f>IFERROR(__xludf.DUMMYFUNCTION("""COMPUTED_VALUE"""),2.4)</f>
        <v>2.4</v>
      </c>
      <c r="H31" s="60">
        <f>IFERROR(__xludf.DUMMYFUNCTION("""COMPUTED_VALUE"""),0.063)</f>
        <v>0.063</v>
      </c>
      <c r="I31" s="5">
        <f>IFERROR(__xludf.DUMMYFUNCTION("""COMPUTED_VALUE"""),5.0)</f>
        <v>5</v>
      </c>
      <c r="J31" s="5">
        <f>IFERROR(__xludf.DUMMYFUNCTION("""COMPUTED_VALUE"""),212.3)</f>
        <v>212.3</v>
      </c>
    </row>
    <row r="32">
      <c r="A32" s="5" t="str">
        <f>IFERROR(__xludf.DUMMYFUNCTION("""COMPUTED_VALUE"""),"*High Risk*
1
1
2
1
1
1
X
DeVonta SmithWR PHI
Seasons:2
Height:6'0""
Weight:172
Bye:10
View Player Profile »
Injury History [TABLE]")</f>
        <v>*High Risk*
1
1
2
1
1
1
X
DeVonta SmithWR PHI
Seasons:2
Height:6'0"
Weight:172
Bye:10
View Player Profile »
Injury History [TABLE]</v>
      </c>
      <c r="B32" s="5"/>
      <c r="C32" s="5"/>
      <c r="D32" s="5"/>
      <c r="E32" s="5"/>
      <c r="F32" s="5"/>
      <c r="G32" s="5"/>
      <c r="H32" s="5"/>
      <c r="I32" s="5"/>
      <c r="J32" s="5"/>
    </row>
    <row r="33">
      <c r="A33" s="5"/>
      <c r="B33" s="5" t="str">
        <f>IFERROR(__xludf.DUMMYFUNCTION("""COMPUTED_VALUE"""),"Amari Cooper, WR CLE")</f>
        <v>Amari Cooper, WR CLE</v>
      </c>
      <c r="C33" s="5" t="str">
        <f>IFERROR(__xludf.DUMMYFUNCTION("""COMPUTED_VALUE"""),"17 | | | | | | | | | | | | | | | | |")</f>
        <v>17 | | | | | | | | | | | | | | | | |</v>
      </c>
      <c r="D33" s="5" t="str">
        <f>IFERROR(__xludf.DUMMYFUNCTION("""COMPUTED_VALUE"""),"+ Show History »")</f>
        <v>+ Show History »</v>
      </c>
      <c r="E33" s="5" t="str">
        <f>IFERROR(__xludf.DUMMYFUNCTION("""COMPUTED_VALUE"""),"Low Risk")</f>
        <v>Low Risk</v>
      </c>
      <c r="F33" s="38">
        <f>IFERROR(__xludf.DUMMYFUNCTION("""COMPUTED_VALUE"""),0.37)</f>
        <v>0.37</v>
      </c>
      <c r="G33" s="5">
        <f>IFERROR(__xludf.DUMMYFUNCTION("""COMPUTED_VALUE"""),1.59)</f>
        <v>1.59</v>
      </c>
      <c r="H33" s="60">
        <f>IFERROR(__xludf.DUMMYFUNCTION("""COMPUTED_VALUE"""),0.027)</f>
        <v>0.027</v>
      </c>
      <c r="I33" s="5">
        <f>IFERROR(__xludf.DUMMYFUNCTION("""COMPUTED_VALUE"""),5.0)</f>
        <v>5</v>
      </c>
      <c r="J33" s="5">
        <f>IFERROR(__xludf.DUMMYFUNCTION("""COMPUTED_VALUE"""),211.5)</f>
        <v>211.5</v>
      </c>
    </row>
    <row r="34">
      <c r="A34" s="5" t="str">
        <f>IFERROR(__xludf.DUMMYFUNCTION("""COMPUTED_VALUE"""),"*Low Risk*
2
2
1
2
8
1
1
X
Amari CooperWR CLE
Seasons:8
Height:6'1""
Weight:211
Bye:5
View Player Profile »
Injury History [TABLE]")</f>
        <v>*Low Risk*
2
2
1
2
8
1
1
X
Amari CooperWR CLE
Seasons:8
Height:6'1"
Weight:211
Bye:5
View Player Profile »
Injury History [TABLE]</v>
      </c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 t="str">
        <f>IFERROR(__xludf.DUMMYFUNCTION("""COMPUTED_VALUE"""),"Tee Higgins, WR CIN")</f>
        <v>Tee Higgins, WR CIN</v>
      </c>
      <c r="C35" s="5" t="str">
        <f>IFERROR(__xludf.DUMMYFUNCTION("""COMPUTED_VALUE"""),"10 | | | | | | | | | |")</f>
        <v>10 | | | | | | | | | |</v>
      </c>
      <c r="D35" s="5" t="str">
        <f>IFERROR(__xludf.DUMMYFUNCTION("""COMPUTED_VALUE"""),"+ Show History »")</f>
        <v>+ Show History »</v>
      </c>
      <c r="E35" s="5" t="str">
        <f>IFERROR(__xludf.DUMMYFUNCTION("""COMPUTED_VALUE"""),"Very High Risk")</f>
        <v>Very High Risk</v>
      </c>
      <c r="F35" s="38">
        <f>IFERROR(__xludf.DUMMYFUNCTION("""COMPUTED_VALUE"""),0.89)</f>
        <v>0.89</v>
      </c>
      <c r="G35" s="5">
        <f>IFERROR(__xludf.DUMMYFUNCTION("""COMPUTED_VALUE"""),2.5)</f>
        <v>2.5</v>
      </c>
      <c r="H35" s="60">
        <f>IFERROR(__xludf.DUMMYFUNCTION("""COMPUTED_VALUE"""),0.122)</f>
        <v>0.122</v>
      </c>
      <c r="I35" s="5">
        <f>IFERROR(__xludf.DUMMYFUNCTION("""COMPUTED_VALUE"""),5.0)</f>
        <v>5</v>
      </c>
      <c r="J35" s="5">
        <f>IFERROR(__xludf.DUMMYFUNCTION("""COMPUTED_VALUE"""),209.9)</f>
        <v>209.9</v>
      </c>
    </row>
    <row r="36">
      <c r="A36" s="5" t="str">
        <f>IFERROR(__xludf.DUMMYFUNCTION("""COMPUTED_VALUE"""),"*Very High Risk*
1
4
3
1
1
X
Tee HigginsWR CIN
Seasons:3
Height:6'4""
Weight:216
Bye:7
View Player Profile »
Injury History [TABLE]")</f>
        <v>*Very High Risk*
1
4
3
1
1
X
Tee HigginsWR CIN
Seasons:3
Height:6'4"
Weight:216
Bye:7
View Player Profile »
Injury History [TABLE]</v>
      </c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 t="str">
        <f>IFERROR(__xludf.DUMMYFUNCTION("""COMPUTED_VALUE"""),"Chris Olave, WR NO")</f>
        <v>Chris Olave, WR NO</v>
      </c>
      <c r="C37" s="5" t="str">
        <f>IFERROR(__xludf.DUMMYFUNCTION("""COMPUTED_VALUE"""),"4 | | | |")</f>
        <v>4 | | | |</v>
      </c>
      <c r="D37" s="5" t="str">
        <f>IFERROR(__xludf.DUMMYFUNCTION("""COMPUTED_VALUE"""),"+ Show History »")</f>
        <v>+ Show History »</v>
      </c>
      <c r="E37" s="5" t="str">
        <f>IFERROR(__xludf.DUMMYFUNCTION("""COMPUTED_VALUE"""),"High Risk")</f>
        <v>High Risk</v>
      </c>
      <c r="F37" s="38">
        <f>IFERROR(__xludf.DUMMYFUNCTION("""COMPUTED_VALUE"""),0.64)</f>
        <v>0.64</v>
      </c>
      <c r="G37" s="5">
        <f>IFERROR(__xludf.DUMMYFUNCTION("""COMPUTED_VALUE"""),1.5)</f>
        <v>1.5</v>
      </c>
      <c r="H37" s="60">
        <f>IFERROR(__xludf.DUMMYFUNCTION("""COMPUTED_VALUE"""),0.058)</f>
        <v>0.058</v>
      </c>
      <c r="I37" s="5">
        <f>IFERROR(__xludf.DUMMYFUNCTION("""COMPUTED_VALUE"""),5.0)</f>
        <v>5</v>
      </c>
      <c r="J37" s="5">
        <f>IFERROR(__xludf.DUMMYFUNCTION("""COMPUTED_VALUE"""),209.6)</f>
        <v>209.6</v>
      </c>
    </row>
    <row r="38">
      <c r="A38" s="5" t="str">
        <f>IFERROR(__xludf.DUMMYFUNCTION("""COMPUTED_VALUE"""),"*High Risk*
3
1
X
Chris OlaveWR NO
Seasons:2
Height:6'1""
Weight:189
Bye:11
View Player Profile »
Injury History [TABLE]")</f>
        <v>*High Risk*
3
1
X
Chris OlaveWR NO
Seasons:2
Height:6'1"
Weight:189
Bye:11
View Player Profile »
Injury History [TABLE]</v>
      </c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 t="str">
        <f>IFERROR(__xludf.DUMMYFUNCTION("""COMPUTED_VALUE"""),"Chris Godwin, WR TB")</f>
        <v>Chris Godwin, WR TB</v>
      </c>
      <c r="C39" s="5" t="str">
        <f>IFERROR(__xludf.DUMMYFUNCTION("""COMPUTED_VALUE"""),"8 | | | | | | | |")</f>
        <v>8 | | | | | | | |</v>
      </c>
      <c r="D39" s="5" t="str">
        <f>IFERROR(__xludf.DUMMYFUNCTION("""COMPUTED_VALUE"""),"+ Show History »")</f>
        <v>+ Show History »</v>
      </c>
      <c r="E39" s="5" t="str">
        <f>IFERROR(__xludf.DUMMYFUNCTION("""COMPUTED_VALUE"""),"Very High Risk")</f>
        <v>Very High Risk</v>
      </c>
      <c r="F39" s="38">
        <f>IFERROR(__xludf.DUMMYFUNCTION("""COMPUTED_VALUE"""),0.91)</f>
        <v>0.91</v>
      </c>
      <c r="G39" s="5">
        <f>IFERROR(__xludf.DUMMYFUNCTION("""COMPUTED_VALUE"""),2.5)</f>
        <v>2.5</v>
      </c>
      <c r="H39" s="60">
        <f>IFERROR(__xludf.DUMMYFUNCTION("""COMPUTED_VALUE"""),0.132)</f>
        <v>0.132</v>
      </c>
      <c r="I39" s="5">
        <f>IFERROR(__xludf.DUMMYFUNCTION("""COMPUTED_VALUE"""),5.0)</f>
        <v>5</v>
      </c>
      <c r="J39" s="5">
        <f>IFERROR(__xludf.DUMMYFUNCTION("""COMPUTED_VALUE"""),209.5)</f>
        <v>209.5</v>
      </c>
    </row>
    <row r="40">
      <c r="A40" s="5" t="str">
        <f>IFERROR(__xludf.DUMMYFUNCTION("""COMPUTED_VALUE"""),"*Very High Risk*
3
2
1
1
1
X
Chris GodwinWR TB
Seasons:6
Height:6'1""
Weight:209
Bye:5
View Player Profile »
Injury History [TABLE]")</f>
        <v>*Very High Risk*
3
2
1
1
1
X
Chris GodwinWR TB
Seasons:6
Height:6'1"
Weight:209
Bye:5
View Player Profile »
Injury History [TABLE]</v>
      </c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 t="str">
        <f>IFERROR(__xludf.DUMMYFUNCTION("""COMPUTED_VALUE"""),"Zay Flowers, WR BAL")</f>
        <v>Zay Flowers, WR BAL</v>
      </c>
      <c r="C41" s="5">
        <f>IFERROR(__xludf.DUMMYFUNCTION("""COMPUTED_VALUE"""),0.0)</f>
        <v>0</v>
      </c>
      <c r="D41" s="5" t="str">
        <f>IFERROR(__xludf.DUMMYFUNCTION("""COMPUTED_VALUE"""),"+ Show History »")</f>
        <v>+ Show History »</v>
      </c>
      <c r="E41" s="5" t="str">
        <f>IFERROR(__xludf.DUMMYFUNCTION("""COMPUTED_VALUE"""),"Very Low Risk")</f>
        <v>Very Low Risk</v>
      </c>
      <c r="F41" s="38">
        <f>IFERROR(__xludf.DUMMYFUNCTION("""COMPUTED_VALUE"""),0.23)</f>
        <v>0.23</v>
      </c>
      <c r="G41" s="5">
        <f>IFERROR(__xludf.DUMMYFUNCTION("""COMPUTED_VALUE"""),1.4)</f>
        <v>1.4</v>
      </c>
      <c r="H41" s="60">
        <f>IFERROR(__xludf.DUMMYFUNCTION("""COMPUTED_VALUE"""),0.015)</f>
        <v>0.015</v>
      </c>
      <c r="I41" s="5">
        <f>IFERROR(__xludf.DUMMYFUNCTION("""COMPUTED_VALUE"""),5.0)</f>
        <v>5</v>
      </c>
      <c r="J41" s="5">
        <f>IFERROR(__xludf.DUMMYFUNCTION("""COMPUTED_VALUE"""),209.5)</f>
        <v>209.5</v>
      </c>
    </row>
    <row r="42">
      <c r="A42" s="5" t="str">
        <f>IFERROR(__xludf.DUMMYFUNCTION("""COMPUTED_VALUE"""),"*Very Low Risk*
X
Zay FlowersWR BAL
Seasons:0
Height:5'9""
Weight:158
Bye:13
View Player Profile »
Injury History [TABLE]")</f>
        <v>*Very Low Risk*
X
Zay FlowersWR BAL
Seasons:0
Height:5'9"
Weight:158
Bye:13
View Player Profile »
Injury History [TABLE]</v>
      </c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 t="str">
        <f>IFERROR(__xludf.DUMMYFUNCTION("""COMPUTED_VALUE"""),"Davante Adams, WR LVR")</f>
        <v>Davante Adams, WR LVR</v>
      </c>
      <c r="C43" s="5" t="str">
        <f>IFERROR(__xludf.DUMMYFUNCTION("""COMPUTED_VALUE"""),"10 | | | | | | | | | |")</f>
        <v>10 | | | | | | | | | |</v>
      </c>
      <c r="D43" s="5" t="str">
        <f>IFERROR(__xludf.DUMMYFUNCTION("""COMPUTED_VALUE"""),"+ Show History »")</f>
        <v>+ Show History »</v>
      </c>
      <c r="E43" s="5" t="str">
        <f>IFERROR(__xludf.DUMMYFUNCTION("""COMPUTED_VALUE"""),"High Risk")</f>
        <v>High Risk</v>
      </c>
      <c r="F43" s="38">
        <f>IFERROR(__xludf.DUMMYFUNCTION("""COMPUTED_VALUE"""),0.64)</f>
        <v>0.64</v>
      </c>
      <c r="G43" s="5">
        <f>IFERROR(__xludf.DUMMYFUNCTION("""COMPUTED_VALUE"""),2.0)</f>
        <v>2</v>
      </c>
      <c r="H43" s="60">
        <f>IFERROR(__xludf.DUMMYFUNCTION("""COMPUTED_VALUE"""),0.058)</f>
        <v>0.058</v>
      </c>
      <c r="I43" s="5">
        <f>IFERROR(__xludf.DUMMYFUNCTION("""COMPUTED_VALUE"""),5.0)</f>
        <v>5</v>
      </c>
      <c r="J43" s="5">
        <f>IFERROR(__xludf.DUMMYFUNCTION("""COMPUTED_VALUE"""),208.7)</f>
        <v>208.7</v>
      </c>
    </row>
    <row r="44">
      <c r="A44" s="5" t="str">
        <f>IFERROR(__xludf.DUMMYFUNCTION("""COMPUTED_VALUE"""),"*High Risk*
4
1
2
3
X
Davante AdamsWR LVR
Seasons:9
Height:6'1""
Weight:212
Bye:13
View Player Profile »
Injury History [TABLE]")</f>
        <v>*High Risk*
4
1
2
3
X
Davante AdamsWR LVR
Seasons:9
Height:6'1"
Weight:212
Bye:13
View Player Profile »
Injury History [TABLE]</v>
      </c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 t="str">
        <f>IFERROR(__xludf.DUMMYFUNCTION("""COMPUTED_VALUE"""),"Rashee Rice, WR KC")</f>
        <v>Rashee Rice, WR KC</v>
      </c>
      <c r="C45" s="5" t="str">
        <f>IFERROR(__xludf.DUMMYFUNCTION("""COMPUTED_VALUE"""),"1 |")</f>
        <v>1 |</v>
      </c>
      <c r="D45" s="5" t="str">
        <f>IFERROR(__xludf.DUMMYFUNCTION("""COMPUTED_VALUE"""),"+ Show History »")</f>
        <v>+ Show History »</v>
      </c>
      <c r="E45" s="5" t="str">
        <f>IFERROR(__xludf.DUMMYFUNCTION("""COMPUTED_VALUE"""),"Low Risk")</f>
        <v>Low Risk</v>
      </c>
      <c r="F45" s="38">
        <f>IFERROR(__xludf.DUMMYFUNCTION("""COMPUTED_VALUE"""),0.29)</f>
        <v>0.29</v>
      </c>
      <c r="G45" s="5">
        <f>IFERROR(__xludf.DUMMYFUNCTION("""COMPUTED_VALUE"""),0.9)</f>
        <v>0.9</v>
      </c>
      <c r="H45" s="38">
        <f>IFERROR(__xludf.DUMMYFUNCTION("""COMPUTED_VALUE"""),0.02)</f>
        <v>0.02</v>
      </c>
      <c r="I45" s="5">
        <f>IFERROR(__xludf.DUMMYFUNCTION("""COMPUTED_VALUE"""),5.0)</f>
        <v>5</v>
      </c>
      <c r="J45" s="5">
        <f>IFERROR(__xludf.DUMMYFUNCTION("""COMPUTED_VALUE"""),208.3)</f>
        <v>208.3</v>
      </c>
    </row>
    <row r="46">
      <c r="A46" s="5" t="str">
        <f>IFERROR(__xludf.DUMMYFUNCTION("""COMPUTED_VALUE"""),"*Low Risk*
1
X
Rashee RiceWR KC
Seasons:0
Height:6'0""
Weight:204
Bye:10
View Player Profile »
Injury History [TABLE]")</f>
        <v>*Low Risk*
1
X
Rashee RiceWR KC
Seasons:0
Height:6'0"
Weight:204
Bye:10
View Player Profile »
Injury History [TABLE]</v>
      </c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 t="str">
        <f>IFERROR(__xludf.DUMMYFUNCTION("""COMPUTED_VALUE"""),"Garrett Wilson, WR NYJ")</f>
        <v>Garrett Wilson, WR NYJ</v>
      </c>
      <c r="C47" s="5" t="str">
        <f>IFERROR(__xludf.DUMMYFUNCTION("""COMPUTED_VALUE"""),"2 | |")</f>
        <v>2 | |</v>
      </c>
      <c r="D47" s="5" t="str">
        <f>IFERROR(__xludf.DUMMYFUNCTION("""COMPUTED_VALUE"""),"+ Show History »")</f>
        <v>+ Show History »</v>
      </c>
      <c r="E47" s="5" t="str">
        <f>IFERROR(__xludf.DUMMYFUNCTION("""COMPUTED_VALUE"""),"Low Risk")</f>
        <v>Low Risk</v>
      </c>
      <c r="F47" s="38">
        <f>IFERROR(__xludf.DUMMYFUNCTION("""COMPUTED_VALUE"""),0.33)</f>
        <v>0.33</v>
      </c>
      <c r="G47" s="5">
        <f>IFERROR(__xludf.DUMMYFUNCTION("""COMPUTED_VALUE"""),0.9)</f>
        <v>0.9</v>
      </c>
      <c r="H47" s="60">
        <f>IFERROR(__xludf.DUMMYFUNCTION("""COMPUTED_VALUE"""),0.023)</f>
        <v>0.023</v>
      </c>
      <c r="I47" s="5">
        <f>IFERROR(__xludf.DUMMYFUNCTION("""COMPUTED_VALUE"""),5.0)</f>
        <v>5</v>
      </c>
      <c r="J47" s="5">
        <f>IFERROR(__xludf.DUMMYFUNCTION("""COMPUTED_VALUE"""),207.7)</f>
        <v>207.7</v>
      </c>
    </row>
    <row r="48">
      <c r="A48" s="5" t="str">
        <f>IFERROR(__xludf.DUMMYFUNCTION("""COMPUTED_VALUE"""),"*Low Risk*
1
1
X
Garrett WilsonWR NYJ
Seasons:2
Height:6'0""
Weight:192
Bye:7
View Player Profile »
Injury History [TABLE]")</f>
        <v>*Low Risk*
1
1
X
Garrett WilsonWR NYJ
Seasons:2
Height:6'0"
Weight:192
Bye:7
View Player Profile »
Injury History [TABLE]</v>
      </c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 t="str">
        <f>IFERROR(__xludf.DUMMYFUNCTION("""COMPUTED_VALUE"""),"Keenan Allen, WR LAC")</f>
        <v>Keenan Allen, WR LAC</v>
      </c>
      <c r="C49" s="5" t="str">
        <f>IFERROR(__xludf.DUMMYFUNCTION("""COMPUTED_VALUE"""),"14 | | | | | | | | | | | | | |")</f>
        <v>14 | | | | | | | | | | | | | |</v>
      </c>
      <c r="D49" s="5" t="str">
        <f>IFERROR(__xludf.DUMMYFUNCTION("""COMPUTED_VALUE"""),"+ Show History »")</f>
        <v>+ Show History »</v>
      </c>
      <c r="E49" s="5" t="str">
        <f>IFERROR(__xludf.DUMMYFUNCTION("""COMPUTED_VALUE"""),"Low Risk")</f>
        <v>Low Risk</v>
      </c>
      <c r="F49" s="38">
        <f>IFERROR(__xludf.DUMMYFUNCTION("""COMPUTED_VALUE"""),0.33)</f>
        <v>0.33</v>
      </c>
      <c r="G49" s="5">
        <f>IFERROR(__xludf.DUMMYFUNCTION("""COMPUTED_VALUE"""),2.4)</f>
        <v>2.4</v>
      </c>
      <c r="H49" s="60">
        <f>IFERROR(__xludf.DUMMYFUNCTION("""COMPUTED_VALUE"""),0.023)</f>
        <v>0.023</v>
      </c>
      <c r="I49" s="5">
        <f>IFERROR(__xludf.DUMMYFUNCTION("""COMPUTED_VALUE"""),3.46)</f>
        <v>3.46</v>
      </c>
      <c r="J49" s="5">
        <f>IFERROR(__xludf.DUMMYFUNCTION("""COMPUTED_VALUE"""),206.4)</f>
        <v>206.4</v>
      </c>
    </row>
    <row r="50">
      <c r="A50" s="5" t="str">
        <f>IFERROR(__xludf.DUMMYFUNCTION("""COMPUTED_VALUE"""),"*Low Risk*
4
2
3
1
2
2
X
Keenan AllenWR LAC
Seasons:10
Height:6'2""
Weight:206
Bye:5
View Player Profile »
Injury History [TABLE]")</f>
        <v>*Low Risk*
4
2
3
1
2
2
X
Keenan AllenWR LAC
Seasons:10
Height:6'2"
Weight:206
Bye:5
View Player Profile »
Injury History [TABLE]</v>
      </c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 t="str">
        <f>IFERROR(__xludf.DUMMYFUNCTION("""COMPUTED_VALUE"""),"Courtland Sutton, WR DEN")</f>
        <v>Courtland Sutton, WR DEN</v>
      </c>
      <c r="C51" s="5" t="str">
        <f>IFERROR(__xludf.DUMMYFUNCTION("""COMPUTED_VALUE"""),"6 | | | | | |")</f>
        <v>6 | | | | | |</v>
      </c>
      <c r="D51" s="5" t="str">
        <f>IFERROR(__xludf.DUMMYFUNCTION("""COMPUTED_VALUE"""),"+ Show History »")</f>
        <v>+ Show History »</v>
      </c>
      <c r="E51" s="5" t="str">
        <f>IFERROR(__xludf.DUMMYFUNCTION("""COMPUTED_VALUE"""),"Medium Risk")</f>
        <v>Medium Risk</v>
      </c>
      <c r="F51" s="38">
        <f>IFERROR(__xludf.DUMMYFUNCTION("""COMPUTED_VALUE"""),0.56)</f>
        <v>0.56</v>
      </c>
      <c r="G51" s="5">
        <f>IFERROR(__xludf.DUMMYFUNCTION("""COMPUTED_VALUE"""),2.5)</f>
        <v>2.5</v>
      </c>
      <c r="H51" s="60">
        <f>IFERROR(__xludf.DUMMYFUNCTION("""COMPUTED_VALUE"""),0.047)</f>
        <v>0.047</v>
      </c>
      <c r="I51" s="5">
        <f>IFERROR(__xludf.DUMMYFUNCTION("""COMPUTED_VALUE"""),2.5)</f>
        <v>2.5</v>
      </c>
      <c r="J51" s="5">
        <f>IFERROR(__xludf.DUMMYFUNCTION("""COMPUTED_VALUE"""),205.6)</f>
        <v>205.6</v>
      </c>
    </row>
    <row r="52">
      <c r="A52" s="5" t="str">
        <f>IFERROR(__xludf.DUMMYFUNCTION("""COMPUTED_VALUE"""),"*Medium Risk*
1
1
2
1
1
X
Courtland SuttonWR DEN
Seasons:5
Height:6'3""
Weight:218
Bye:9
View Player Profile »
Injury History [TABLE]")</f>
        <v>*Medium Risk*
1
1
2
1
1
X
Courtland SuttonWR DEN
Seasons:5
Height:6'3"
Weight:218
Bye:9
View Player Profile »
Injury History [TABLE]</v>
      </c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 t="str">
        <f>IFERROR(__xludf.DUMMYFUNCTION("""COMPUTED_VALUE"""),"DeAndre Hopkins, WR TEN")</f>
        <v>DeAndre Hopkins, WR TEN</v>
      </c>
      <c r="C53" s="5" t="str">
        <f>IFERROR(__xludf.DUMMYFUNCTION("""COMPUTED_VALUE"""),"15 | | | | | | | | | | | | | | |")</f>
        <v>15 | | | | | | | | | | | | | | |</v>
      </c>
      <c r="D53" s="5" t="str">
        <f>IFERROR(__xludf.DUMMYFUNCTION("""COMPUTED_VALUE"""),"+ Show History »")</f>
        <v>+ Show History »</v>
      </c>
      <c r="E53" s="5" t="str">
        <f>IFERROR(__xludf.DUMMYFUNCTION("""COMPUTED_VALUE"""),"Very High Risk")</f>
        <v>Very High Risk</v>
      </c>
      <c r="F53" s="38">
        <f>IFERROR(__xludf.DUMMYFUNCTION("""COMPUTED_VALUE"""),0.78)</f>
        <v>0.78</v>
      </c>
      <c r="G53" s="5">
        <f>IFERROR(__xludf.DUMMYFUNCTION("""COMPUTED_VALUE"""),3.4)</f>
        <v>3.4</v>
      </c>
      <c r="H53" s="60">
        <f>IFERROR(__xludf.DUMMYFUNCTION("""COMPUTED_VALUE"""),0.085)</f>
        <v>0.085</v>
      </c>
      <c r="I53" s="5">
        <f>IFERROR(__xludf.DUMMYFUNCTION("""COMPUTED_VALUE"""),5.0)</f>
        <v>5</v>
      </c>
      <c r="J53" s="5">
        <f>IFERROR(__xludf.DUMMYFUNCTION("""COMPUTED_VALUE"""),204.4)</f>
        <v>204.4</v>
      </c>
    </row>
    <row r="54">
      <c r="A54" s="5" t="str">
        <f>IFERROR(__xludf.DUMMYFUNCTION("""COMPUTED_VALUE"""),"*Very High Risk*
2
3
1
1
1
2
1
1
2
1
X
DeAndre HopkinsWR TEN
Seasons:10
Height:6'1""
Weight:215
Bye:7
View Player Profile »
Injury History [TABLE]")</f>
        <v>*Very High Risk*
2
3
1
1
1
2
1
1
2
1
X
DeAndre HopkinsWR TEN
Seasons:10
Height:6'1"
Weight:215
Bye:7
View Player Profile »
Injury History [TABLE]</v>
      </c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 t="str">
        <f>IFERROR(__xludf.DUMMYFUNCTION("""COMPUTED_VALUE"""),"Drake London, WR ATL")</f>
        <v>Drake London, WR ATL</v>
      </c>
      <c r="C55" s="5" t="str">
        <f>IFERROR(__xludf.DUMMYFUNCTION("""COMPUTED_VALUE"""),"4 | | | |")</f>
        <v>4 | | | |</v>
      </c>
      <c r="D55" s="5" t="str">
        <f>IFERROR(__xludf.DUMMYFUNCTION("""COMPUTED_VALUE"""),"+ Show History »")</f>
        <v>+ Show History »</v>
      </c>
      <c r="E55" s="5" t="str">
        <f>IFERROR(__xludf.DUMMYFUNCTION("""COMPUTED_VALUE"""),"Medium Risk")</f>
        <v>Medium Risk</v>
      </c>
      <c r="F55" s="38">
        <f>IFERROR(__xludf.DUMMYFUNCTION("""COMPUTED_VALUE"""),0.57)</f>
        <v>0.57</v>
      </c>
      <c r="G55" s="5">
        <f>IFERROR(__xludf.DUMMYFUNCTION("""COMPUTED_VALUE"""),1.5)</f>
        <v>1.5</v>
      </c>
      <c r="H55" s="60">
        <f>IFERROR(__xludf.DUMMYFUNCTION("""COMPUTED_VALUE"""),0.048)</f>
        <v>0.048</v>
      </c>
      <c r="I55" s="5">
        <f>IFERROR(__xludf.DUMMYFUNCTION("""COMPUTED_VALUE"""),5.0)</f>
        <v>5</v>
      </c>
      <c r="J55" s="5">
        <f>IFERROR(__xludf.DUMMYFUNCTION("""COMPUTED_VALUE"""),200.7)</f>
        <v>200.7</v>
      </c>
    </row>
    <row r="56">
      <c r="A56" s="5" t="str">
        <f>IFERROR(__xludf.DUMMYFUNCTION("""COMPUTED_VALUE"""),"*Medium Risk*
1
1
1
1
X
Drake LondonWR ATL
Seasons:2
Height:6'4""
Weight:213
Bye:11
View Player Profile »
Injury History [TABLE]")</f>
        <v>*Medium Risk*
1
1
1
1
X
Drake LondonWR ATL
Seasons:2
Height:6'4"
Weight:213
Bye:11
View Player Profile »
Injury History [TABLE]</v>
      </c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 t="str">
        <f>IFERROR(__xludf.DUMMYFUNCTION("""COMPUTED_VALUE"""),"Tyler Lockett, WR SEA")</f>
        <v>Tyler Lockett, WR SEA</v>
      </c>
      <c r="C57" s="5" t="str">
        <f>IFERROR(__xludf.DUMMYFUNCTION("""COMPUTED_VALUE"""),"6 | | | | | |")</f>
        <v>6 | | | | | |</v>
      </c>
      <c r="D57" s="5" t="str">
        <f>IFERROR(__xludf.DUMMYFUNCTION("""COMPUTED_VALUE"""),"+ Show History »")</f>
        <v>+ Show History »</v>
      </c>
      <c r="E57" s="5" t="str">
        <f>IFERROR(__xludf.DUMMYFUNCTION("""COMPUTED_VALUE"""),"Very High Risk")</f>
        <v>Very High Risk</v>
      </c>
      <c r="F57" s="38">
        <f>IFERROR(__xludf.DUMMYFUNCTION("""COMPUTED_VALUE"""),0.78)</f>
        <v>0.78</v>
      </c>
      <c r="G57" s="5">
        <f>IFERROR(__xludf.DUMMYFUNCTION("""COMPUTED_VALUE"""),1.4)</f>
        <v>1.4</v>
      </c>
      <c r="H57" s="60">
        <f>IFERROR(__xludf.DUMMYFUNCTION("""COMPUTED_VALUE"""),0.085)</f>
        <v>0.085</v>
      </c>
      <c r="I57" s="5">
        <f>IFERROR(__xludf.DUMMYFUNCTION("""COMPUTED_VALUE"""),5.0)</f>
        <v>5</v>
      </c>
      <c r="J57" s="5">
        <f>IFERROR(__xludf.DUMMYFUNCTION("""COMPUTED_VALUE"""),200.5)</f>
        <v>200.5</v>
      </c>
    </row>
    <row r="58">
      <c r="A58" s="5" t="str">
        <f>IFERROR(__xludf.DUMMYFUNCTION("""COMPUTED_VALUE"""),"*Very High Risk*
1
1
2
2
X
Tyler LockettWR SEA
Seasons:8
Height:5'10""
Weight:182
Bye:5
View Player Profile »
Injury History [TABLE]")</f>
        <v>*Very High Risk*
1
1
2
2
X
Tyler LockettWR SEA
Seasons:8
Height:5'10"
Weight:182
Bye:5
View Player Profile »
Injury History [TABLE]</v>
      </c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 t="str">
        <f>IFERROR(__xludf.DUMMYFUNCTION("""COMPUTED_VALUE"""),"Nico Collins, WR HOU")</f>
        <v>Nico Collins, WR HOU</v>
      </c>
      <c r="C59" s="5" t="str">
        <f>IFERROR(__xludf.DUMMYFUNCTION("""COMPUTED_VALUE"""),"6 | | | | | |")</f>
        <v>6 | | | | | |</v>
      </c>
      <c r="D59" s="5" t="str">
        <f>IFERROR(__xludf.DUMMYFUNCTION("""COMPUTED_VALUE"""),"+ Show History »")</f>
        <v>+ Show History »</v>
      </c>
      <c r="E59" s="5" t="str">
        <f>IFERROR(__xludf.DUMMYFUNCTION("""COMPUTED_VALUE"""),"Very High Risk")</f>
        <v>Very High Risk</v>
      </c>
      <c r="F59" s="38">
        <f>IFERROR(__xludf.DUMMYFUNCTION("""COMPUTED_VALUE"""),0.92)</f>
        <v>0.92</v>
      </c>
      <c r="G59" s="5">
        <f>IFERROR(__xludf.DUMMYFUNCTION("""COMPUTED_VALUE"""),3.4)</f>
        <v>3.4</v>
      </c>
      <c r="H59" s="60">
        <f>IFERROR(__xludf.DUMMYFUNCTION("""COMPUTED_VALUE"""),0.138)</f>
        <v>0.138</v>
      </c>
      <c r="I59" s="5">
        <f>IFERROR(__xludf.DUMMYFUNCTION("""COMPUTED_VALUE"""),2.18)</f>
        <v>2.18</v>
      </c>
      <c r="J59" s="5">
        <f>IFERROR(__xludf.DUMMYFUNCTION("""COMPUTED_VALUE"""),197.2)</f>
        <v>197.2</v>
      </c>
    </row>
    <row r="60">
      <c r="A60" s="5" t="str">
        <f>IFERROR(__xludf.DUMMYFUNCTION("""COMPUTED_VALUE"""),"*Very High Risk*
1
2
2
1
X
Nico CollinsWR HOU
Seasons:2
Height:6'4""
Weight:215
Bye:7
View Player Profile »
Injury History [TABLE]")</f>
        <v>*Very High Risk*
1
2
2
1
X
Nico CollinsWR HOU
Seasons:2
Height:6'4"
Weight:215
Bye:7
View Player Profile »
Injury History [TABLE]</v>
      </c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 t="str">
        <f>IFERROR(__xludf.DUMMYFUNCTION("""COMPUTED_VALUE"""),"Calvin Ridley, WR JAC")</f>
        <v>Calvin Ridley, WR JAC</v>
      </c>
      <c r="C61" s="5" t="str">
        <f>IFERROR(__xludf.DUMMYFUNCTION("""COMPUTED_VALUE"""),"3 | | |")</f>
        <v>3 | | |</v>
      </c>
      <c r="D61" s="5" t="str">
        <f>IFERROR(__xludf.DUMMYFUNCTION("""COMPUTED_VALUE"""),"+ Show History »")</f>
        <v>+ Show History »</v>
      </c>
      <c r="E61" s="5" t="str">
        <f>IFERROR(__xludf.DUMMYFUNCTION("""COMPUTED_VALUE"""),"Low Risk")</f>
        <v>Low Risk</v>
      </c>
      <c r="F61" s="38">
        <f>IFERROR(__xludf.DUMMYFUNCTION("""COMPUTED_VALUE"""),0.34)</f>
        <v>0.34</v>
      </c>
      <c r="G61" s="5">
        <f>IFERROR(__xludf.DUMMYFUNCTION("""COMPUTED_VALUE"""),0.5)</f>
        <v>0.5</v>
      </c>
      <c r="H61" s="60">
        <f>IFERROR(__xludf.DUMMYFUNCTION("""COMPUTED_VALUE"""),0.024)</f>
        <v>0.024</v>
      </c>
      <c r="I61" s="5">
        <f>IFERROR(__xludf.DUMMYFUNCTION("""COMPUTED_VALUE"""),5.0)</f>
        <v>5</v>
      </c>
      <c r="J61" s="5">
        <f>IFERROR(__xludf.DUMMYFUNCTION("""COMPUTED_VALUE"""),192.8)</f>
        <v>192.8</v>
      </c>
    </row>
    <row r="62">
      <c r="A62" s="5" t="str">
        <f>IFERROR(__xludf.DUMMYFUNCTION("""COMPUTED_VALUE"""),"*Low Risk*
2
1
X
Calvin RidleyWR JAC
Seasons:5
Height:6'0""
Weight:189
Bye:9
View Player Profile »
Injury History [TABLE]")</f>
        <v>*Low Risk*
2
1
X
Calvin RidleyWR JAC
Seasons:5
Height:6'0"
Weight:189
Bye:9
View Player Profile »
Injury History [TABLE]</v>
      </c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 t="str">
        <f>IFERROR(__xludf.DUMMYFUNCTION("""COMPUTED_VALUE"""),"Jayden Reed, WR GB")</f>
        <v>Jayden Reed, WR GB</v>
      </c>
      <c r="C63" s="5" t="str">
        <f>IFERROR(__xludf.DUMMYFUNCTION("""COMPUTED_VALUE"""),"5 | | | | |")</f>
        <v>5 | | | | |</v>
      </c>
      <c r="D63" s="5" t="str">
        <f>IFERROR(__xludf.DUMMYFUNCTION("""COMPUTED_VALUE"""),"+ Show History »")</f>
        <v>+ Show History »</v>
      </c>
      <c r="E63" s="5" t="str">
        <f>IFERROR(__xludf.DUMMYFUNCTION("""COMPUTED_VALUE"""),"High Risk")</f>
        <v>High Risk</v>
      </c>
      <c r="F63" s="38">
        <f>IFERROR(__xludf.DUMMYFUNCTION("""COMPUTED_VALUE"""),0.63)</f>
        <v>0.63</v>
      </c>
      <c r="G63" s="5">
        <f>IFERROR(__xludf.DUMMYFUNCTION("""COMPUTED_VALUE"""),3.5)</f>
        <v>3.5</v>
      </c>
      <c r="H63" s="60">
        <f>IFERROR(__xludf.DUMMYFUNCTION("""COMPUTED_VALUE"""),0.057)</f>
        <v>0.057</v>
      </c>
      <c r="I63" s="5">
        <f>IFERROR(__xludf.DUMMYFUNCTION("""COMPUTED_VALUE"""),5.0)</f>
        <v>5</v>
      </c>
      <c r="J63" s="5">
        <f>IFERROR(__xludf.DUMMYFUNCTION("""COMPUTED_VALUE"""),189.8)</f>
        <v>189.8</v>
      </c>
    </row>
    <row r="64">
      <c r="A64" s="5" t="str">
        <f>IFERROR(__xludf.DUMMYFUNCTION("""COMPUTED_VALUE"""),"*High Risk*
2
1
2
X
Jayden ReedWR GB
Seasons:0
Height:5'10""
Weight:187
Bye:6
View Player Profile »
Injury History [TABLE]")</f>
        <v>*High Risk*
2
1
2
X
Jayden ReedWR GB
Seasons:0
Height:5'10"
Weight:187
Bye:6
View Player Profile »
Injury History [TABLE]</v>
      </c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 t="str">
        <f>IFERROR(__xludf.DUMMYFUNCTION("""COMPUTED_VALUE"""),"Jaxon Smith-Njigba, WR SEA")</f>
        <v>Jaxon Smith-Njigba, WR SEA</v>
      </c>
      <c r="C65" s="5" t="str">
        <f>IFERROR(__xludf.DUMMYFUNCTION("""COMPUTED_VALUE"""),"2 | |")</f>
        <v>2 | |</v>
      </c>
      <c r="D65" s="5" t="str">
        <f>IFERROR(__xludf.DUMMYFUNCTION("""COMPUTED_VALUE"""),"+ Show History »")</f>
        <v>+ Show History »</v>
      </c>
      <c r="E65" s="5" t="str">
        <f>IFERROR(__xludf.DUMMYFUNCTION("""COMPUTED_VALUE"""),"Medium Risk")</f>
        <v>Medium Risk</v>
      </c>
      <c r="F65" s="38">
        <f>IFERROR(__xludf.DUMMYFUNCTION("""COMPUTED_VALUE"""),0.56)</f>
        <v>0.56</v>
      </c>
      <c r="G65" s="5">
        <f>IFERROR(__xludf.DUMMYFUNCTION("""COMPUTED_VALUE"""),2.0)</f>
        <v>2</v>
      </c>
      <c r="H65" s="60">
        <f>IFERROR(__xludf.DUMMYFUNCTION("""COMPUTED_VALUE"""),0.047)</f>
        <v>0.047</v>
      </c>
      <c r="I65" s="5">
        <f>IFERROR(__xludf.DUMMYFUNCTION("""COMPUTED_VALUE"""),1.4)</f>
        <v>1.4</v>
      </c>
      <c r="J65" s="5">
        <f>IFERROR(__xludf.DUMMYFUNCTION("""COMPUTED_VALUE"""),186.9)</f>
        <v>186.9</v>
      </c>
    </row>
    <row r="66">
      <c r="A66" s="5" t="str">
        <f>IFERROR(__xludf.DUMMYFUNCTION("""COMPUTED_VALUE"""),"*Medium Risk*
1
1
X
Jaxon Smith-NjigbaWR SEA
Seasons:0
Height:6'1""
Weight:196
Bye:5
View Player Profile »
Injury History [TABLE]")</f>
        <v>*Medium Risk*
1
1
X
Jaxon Smith-NjigbaWR SEA
Seasons:0
Height:6'1"
Weight:196
Bye:5
View Player Profile »
Injury History [TABLE]</v>
      </c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 t="str">
        <f>IFERROR(__xludf.DUMMYFUNCTION("""COMPUTED_VALUE"""),"Terry McLaurin, WR WAS")</f>
        <v>Terry McLaurin, WR WAS</v>
      </c>
      <c r="C67" s="5" t="str">
        <f>IFERROR(__xludf.DUMMYFUNCTION("""COMPUTED_VALUE"""),"7 | | | | | | |")</f>
        <v>7 | | | | | | |</v>
      </c>
      <c r="D67" s="5" t="str">
        <f>IFERROR(__xludf.DUMMYFUNCTION("""COMPUTED_VALUE"""),"+ Show History »")</f>
        <v>+ Show History »</v>
      </c>
      <c r="E67" s="5" t="str">
        <f>IFERROR(__xludf.DUMMYFUNCTION("""COMPUTED_VALUE"""),"High Risk")</f>
        <v>High Risk</v>
      </c>
      <c r="F67" s="38">
        <f>IFERROR(__xludf.DUMMYFUNCTION("""COMPUTED_VALUE"""),0.63)</f>
        <v>0.63</v>
      </c>
      <c r="G67" s="5">
        <f>IFERROR(__xludf.DUMMYFUNCTION("""COMPUTED_VALUE"""),2.3)</f>
        <v>2.3</v>
      </c>
      <c r="H67" s="60">
        <f>IFERROR(__xludf.DUMMYFUNCTION("""COMPUTED_VALUE"""),0.057)</f>
        <v>0.057</v>
      </c>
      <c r="I67" s="5">
        <f>IFERROR(__xludf.DUMMYFUNCTION("""COMPUTED_VALUE"""),5.0)</f>
        <v>5</v>
      </c>
      <c r="J67" s="5">
        <f>IFERROR(__xludf.DUMMYFUNCTION("""COMPUTED_VALUE"""),185.4)</f>
        <v>185.4</v>
      </c>
    </row>
    <row r="68">
      <c r="A68" s="5" t="str">
        <f>IFERROR(__xludf.DUMMYFUNCTION("""COMPUTED_VALUE"""),"*High Risk*
3
2
2
X
Terry McLaurinWR WAS
Seasons:4
Height:6'0""
Weight:208
Bye:14
View Player Profile »
Injury History [TABLE]")</f>
        <v>*High Risk*
3
2
2
X
Terry McLaurinWR WAS
Seasons:4
Height:6'0"
Weight:208
Bye:14
View Player Profile »
Injury History [TABLE]</v>
      </c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 t="str">
        <f>IFERROR(__xludf.DUMMYFUNCTION("""COMPUTED_VALUE"""),"Jordan Addison, WR MIN")</f>
        <v>Jordan Addison, WR MIN</v>
      </c>
      <c r="C69" s="5" t="str">
        <f>IFERROR(__xludf.DUMMYFUNCTION("""COMPUTED_VALUE"""),"2 | |")</f>
        <v>2 | |</v>
      </c>
      <c r="D69" s="5" t="str">
        <f>IFERROR(__xludf.DUMMYFUNCTION("""COMPUTED_VALUE"""),"+ Show History »")</f>
        <v>+ Show History »</v>
      </c>
      <c r="E69" s="5" t="str">
        <f>IFERROR(__xludf.DUMMYFUNCTION("""COMPUTED_VALUE"""),"Low Risk")</f>
        <v>Low Risk</v>
      </c>
      <c r="F69" s="38">
        <f>IFERROR(__xludf.DUMMYFUNCTION("""COMPUTED_VALUE"""),0.32)</f>
        <v>0.32</v>
      </c>
      <c r="G69" s="5">
        <f>IFERROR(__xludf.DUMMYFUNCTION("""COMPUTED_VALUE"""),0.3)</f>
        <v>0.3</v>
      </c>
      <c r="H69" s="60">
        <f>IFERROR(__xludf.DUMMYFUNCTION("""COMPUTED_VALUE"""),0.022)</f>
        <v>0.022</v>
      </c>
      <c r="I69" s="5">
        <f>IFERROR(__xludf.DUMMYFUNCTION("""COMPUTED_VALUE"""),5.0)</f>
        <v>5</v>
      </c>
      <c r="J69" s="5">
        <f>IFERROR(__xludf.DUMMYFUNCTION("""COMPUTED_VALUE"""),183.8)</f>
        <v>183.8</v>
      </c>
    </row>
    <row r="70">
      <c r="A70" s="5" t="str">
        <f>IFERROR(__xludf.DUMMYFUNCTION("""COMPUTED_VALUE"""),"*Low Risk*
1
1
X
Jordan AddisonWR MIN
Seasons:0
Height:6'0""
Weight:175
Bye:13
View Player Profile »
Injury History [TABLE]")</f>
        <v>*Low Risk*
1
1
X
Jordan AddisonWR MIN
Seasons:0
Height:6'0"
Weight:175
Bye:13
View Player Profile »
Injury History [TABLE]</v>
      </c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 t="str">
        <f>IFERROR(__xludf.DUMMYFUNCTION("""COMPUTED_VALUE"""),"Diontae Johnson, WR PIT")</f>
        <v>Diontae Johnson, WR PIT</v>
      </c>
      <c r="C71" s="5" t="str">
        <f>IFERROR(__xludf.DUMMYFUNCTION("""COMPUTED_VALUE"""),"7 | | | | | | |")</f>
        <v>7 | | | | | | |</v>
      </c>
      <c r="D71" s="5" t="str">
        <f>IFERROR(__xludf.DUMMYFUNCTION("""COMPUTED_VALUE"""),"+ Show History »")</f>
        <v>+ Show History »</v>
      </c>
      <c r="E71" s="5" t="str">
        <f>IFERROR(__xludf.DUMMYFUNCTION("""COMPUTED_VALUE"""),"Medium Risk")</f>
        <v>Medium Risk</v>
      </c>
      <c r="F71" s="38">
        <f>IFERROR(__xludf.DUMMYFUNCTION("""COMPUTED_VALUE"""),0.52)</f>
        <v>0.52</v>
      </c>
      <c r="G71" s="5">
        <f>IFERROR(__xludf.DUMMYFUNCTION("""COMPUTED_VALUE"""),2.15)</f>
        <v>2.15</v>
      </c>
      <c r="H71" s="60">
        <f>IFERROR(__xludf.DUMMYFUNCTION("""COMPUTED_VALUE"""),0.042)</f>
        <v>0.042</v>
      </c>
      <c r="I71" s="5">
        <f>IFERROR(__xludf.DUMMYFUNCTION("""COMPUTED_VALUE"""),5.0)</f>
        <v>5</v>
      </c>
      <c r="J71" s="5">
        <f>IFERROR(__xludf.DUMMYFUNCTION("""COMPUTED_VALUE"""),181.6)</f>
        <v>181.6</v>
      </c>
    </row>
    <row r="72">
      <c r="A72" s="5" t="str">
        <f>IFERROR(__xludf.DUMMYFUNCTION("""COMPUTED_VALUE"""),"*Medium Risk*
1
1
1
1
1
2
X
Diontae JohnsonWR PIT
Seasons:4
Height:5'10""
Weight:183
Bye:6
View Player Profile »
Injury History [TABLE]")</f>
        <v>*Medium Risk*
1
1
1
1
1
2
X
Diontae JohnsonWR PIT
Seasons:4
Height:5'10"
Weight:183
Bye:6
View Player Profile »
Injury History [TABLE]</v>
      </c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 t="str">
        <f>IFERROR(__xludf.DUMMYFUNCTION("""COMPUTED_VALUE"""),"Brandin Cooks, WR DAL")</f>
        <v>Brandin Cooks, WR DAL</v>
      </c>
      <c r="C73" s="5" t="str">
        <f>IFERROR(__xludf.DUMMYFUNCTION("""COMPUTED_VALUE"""),"6 | | | | | |")</f>
        <v>6 | | | | | |</v>
      </c>
      <c r="D73" s="5" t="str">
        <f>IFERROR(__xludf.DUMMYFUNCTION("""COMPUTED_VALUE"""),"+ Show History »")</f>
        <v>+ Show History »</v>
      </c>
      <c r="E73" s="5" t="str">
        <f>IFERROR(__xludf.DUMMYFUNCTION("""COMPUTED_VALUE"""),"Low Risk")</f>
        <v>Low Risk</v>
      </c>
      <c r="F73" s="38">
        <f>IFERROR(__xludf.DUMMYFUNCTION("""COMPUTED_VALUE"""),0.35)</f>
        <v>0.35</v>
      </c>
      <c r="G73" s="5">
        <f>IFERROR(__xludf.DUMMYFUNCTION("""COMPUTED_VALUE"""),2.14)</f>
        <v>2.14</v>
      </c>
      <c r="H73" s="60">
        <f>IFERROR(__xludf.DUMMYFUNCTION("""COMPUTED_VALUE"""),0.025)</f>
        <v>0.025</v>
      </c>
      <c r="I73" s="5">
        <f>IFERROR(__xludf.DUMMYFUNCTION("""COMPUTED_VALUE"""),5.0)</f>
        <v>5</v>
      </c>
      <c r="J73" s="5">
        <f>IFERROR(__xludf.DUMMYFUNCTION("""COMPUTED_VALUE"""),179.1)</f>
        <v>179.1</v>
      </c>
    </row>
    <row r="74">
      <c r="A74" s="5" t="str">
        <f>IFERROR(__xludf.DUMMYFUNCTION("""COMPUTED_VALUE"""),"*Low Risk*
2
3
1
X
Brandin CooksWR DAL
Seasons:9
Height:5'10""
Weight:189
Bye:7
View Player Profile »
Injury History [TABLE]")</f>
        <v>*Low Risk*
2
3
1
X
Brandin CooksWR DAL
Seasons:9
Height:5'10"
Weight:189
Bye:7
View Player Profile »
Injury History [TABLE]</v>
      </c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 t="str">
        <f>IFERROR(__xludf.DUMMYFUNCTION("""COMPUTED_VALUE"""),"Jakobi Meyers, WR LVR")</f>
        <v>Jakobi Meyers, WR LVR</v>
      </c>
      <c r="C75" s="5" t="str">
        <f>IFERROR(__xludf.DUMMYFUNCTION("""COMPUTED_VALUE"""),"4 | | | |")</f>
        <v>4 | | | |</v>
      </c>
      <c r="D75" s="5" t="str">
        <f>IFERROR(__xludf.DUMMYFUNCTION("""COMPUTED_VALUE"""),"+ Show History »")</f>
        <v>+ Show History »</v>
      </c>
      <c r="E75" s="5" t="str">
        <f>IFERROR(__xludf.DUMMYFUNCTION("""COMPUTED_VALUE"""),"Medium Risk")</f>
        <v>Medium Risk</v>
      </c>
      <c r="F75" s="38">
        <f>IFERROR(__xludf.DUMMYFUNCTION("""COMPUTED_VALUE"""),0.54)</f>
        <v>0.54</v>
      </c>
      <c r="G75" s="5">
        <f>IFERROR(__xludf.DUMMYFUNCTION("""COMPUTED_VALUE"""),2.5)</f>
        <v>2.5</v>
      </c>
      <c r="H75" s="60">
        <f>IFERROR(__xludf.DUMMYFUNCTION("""COMPUTED_VALUE"""),0.045)</f>
        <v>0.045</v>
      </c>
      <c r="I75" s="5">
        <f>IFERROR(__xludf.DUMMYFUNCTION("""COMPUTED_VALUE"""),5.0)</f>
        <v>5</v>
      </c>
      <c r="J75" s="5">
        <f>IFERROR(__xludf.DUMMYFUNCTION("""COMPUTED_VALUE"""),177.4)</f>
        <v>177.4</v>
      </c>
    </row>
    <row r="76">
      <c r="A76" s="5" t="str">
        <f>IFERROR(__xludf.DUMMYFUNCTION("""COMPUTED_VALUE"""),"*Medium Risk*
2
1
1
X
Jakobi MeyersWR LVR
Seasons:4
Height:6'2""
Weight:203
Bye:13
View Player Profile »
Injury History [TABLE]")</f>
        <v>*Medium Risk*
2
1
1
X
Jakobi MeyersWR LVR
Seasons:4
Height:6'2"
Weight:203
Bye:13
View Player Profile »
Injury History [TABLE]</v>
      </c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 t="str">
        <f>IFERROR(__xludf.DUMMYFUNCTION("""COMPUTED_VALUE"""),"Adam Thielen, WR CAR")</f>
        <v>Adam Thielen, WR CAR</v>
      </c>
      <c r="C77" s="5" t="str">
        <f>IFERROR(__xludf.DUMMYFUNCTION("""COMPUTED_VALUE"""),"7 | | | | | | |")</f>
        <v>7 | | | | | | |</v>
      </c>
      <c r="D77" s="5" t="str">
        <f>IFERROR(__xludf.DUMMYFUNCTION("""COMPUTED_VALUE"""),"+ Show History »")</f>
        <v>+ Show History »</v>
      </c>
      <c r="E77" s="5" t="str">
        <f>IFERROR(__xludf.DUMMYFUNCTION("""COMPUTED_VALUE"""),"High Risk")</f>
        <v>High Risk</v>
      </c>
      <c r="F77" s="38">
        <f>IFERROR(__xludf.DUMMYFUNCTION("""COMPUTED_VALUE"""),0.58)</f>
        <v>0.58</v>
      </c>
      <c r="G77" s="5">
        <f>IFERROR(__xludf.DUMMYFUNCTION("""COMPUTED_VALUE"""),1.77)</f>
        <v>1.77</v>
      </c>
      <c r="H77" s="38">
        <f>IFERROR(__xludf.DUMMYFUNCTION("""COMPUTED_VALUE"""),0.05)</f>
        <v>0.05</v>
      </c>
      <c r="I77" s="5">
        <f>IFERROR(__xludf.DUMMYFUNCTION("""COMPUTED_VALUE"""),5.0)</f>
        <v>5</v>
      </c>
      <c r="J77" s="5">
        <f>IFERROR(__xludf.DUMMYFUNCTION("""COMPUTED_VALUE"""),175.9)</f>
        <v>175.9</v>
      </c>
    </row>
    <row r="78">
      <c r="A78" s="5" t="str">
        <f>IFERROR(__xludf.DUMMYFUNCTION("""COMPUTED_VALUE"""),"*High Risk*
3
1
2
1
X
Adam ThielenWR CAR
Seasons:9
Height:6'3""
Weight:201
Bye:7
View Player Profile »
Injury History [TABLE]")</f>
        <v>*High Risk*
3
1
2
1
X
Adam ThielenWR CAR
Seasons:9
Height:6'3"
Weight:201
Bye:7
View Player Profile »
Injury History [TABLE]</v>
      </c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 t="str">
        <f>IFERROR(__xludf.DUMMYFUNCTION("""COMPUTED_VALUE"""),"Ja'Marr Chase, WR CIN")</f>
        <v>Ja'Marr Chase, WR CIN</v>
      </c>
      <c r="C79" s="5" t="str">
        <f>IFERROR(__xludf.DUMMYFUNCTION("""COMPUTED_VALUE"""),"3 | | |")</f>
        <v>3 | | |</v>
      </c>
      <c r="D79" s="5" t="str">
        <f>IFERROR(__xludf.DUMMYFUNCTION("""COMPUTED_VALUE"""),"+ Show History »")</f>
        <v>+ Show History »</v>
      </c>
      <c r="E79" s="5" t="str">
        <f>IFERROR(__xludf.DUMMYFUNCTION("""COMPUTED_VALUE"""),"Very High Risk")</f>
        <v>Very High Risk</v>
      </c>
      <c r="F79" s="38">
        <f>IFERROR(__xludf.DUMMYFUNCTION("""COMPUTED_VALUE"""),0.86)</f>
        <v>0.86</v>
      </c>
      <c r="G79" s="5">
        <f>IFERROR(__xludf.DUMMYFUNCTION("""COMPUTED_VALUE"""),2.4)</f>
        <v>2.4</v>
      </c>
      <c r="H79" s="60">
        <f>IFERROR(__xludf.DUMMYFUNCTION("""COMPUTED_VALUE"""),0.109)</f>
        <v>0.109</v>
      </c>
      <c r="I79" s="5">
        <f>IFERROR(__xludf.DUMMYFUNCTION("""COMPUTED_VALUE"""),5.0)</f>
        <v>5</v>
      </c>
      <c r="J79" s="5">
        <f>IFERROR(__xludf.DUMMYFUNCTION("""COMPUTED_VALUE"""),175.5)</f>
        <v>175.5</v>
      </c>
    </row>
    <row r="80">
      <c r="A80" s="5" t="str">
        <f>IFERROR(__xludf.DUMMYFUNCTION("""COMPUTED_VALUE"""),"*Very High Risk*
2
1
X
Ja'Marr ChaseWR CIN
Seasons:2
Height:6'0""
Weight:210
Bye:7
View Player Profile »
Injury History [TABLE]")</f>
        <v>*Very High Risk*
2
1
X
Ja'Marr ChaseWR CIN
Seasons:2
Height:6'0"
Weight:210
Bye:7
View Player Profile »
Injury History [TABLE]</v>
      </c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 t="str">
        <f>IFERROR(__xludf.DUMMYFUNCTION("""COMPUTED_VALUE"""),"Jerry Jeudy, WR DEN")</f>
        <v>Jerry Jeudy, WR DEN</v>
      </c>
      <c r="C81" s="5" t="str">
        <f>IFERROR(__xludf.DUMMYFUNCTION("""COMPUTED_VALUE"""),"9 | | | | | | | | |")</f>
        <v>9 | | | | | | | | |</v>
      </c>
      <c r="D81" s="5" t="str">
        <f>IFERROR(__xludf.DUMMYFUNCTION("""COMPUTED_VALUE"""),"+ Show History »")</f>
        <v>+ Show History »</v>
      </c>
      <c r="E81" s="5" t="str">
        <f>IFERROR(__xludf.DUMMYFUNCTION("""COMPUTED_VALUE"""),"High Risk")</f>
        <v>High Risk</v>
      </c>
      <c r="F81" s="38">
        <f>IFERROR(__xludf.DUMMYFUNCTION("""COMPUTED_VALUE"""),0.71)</f>
        <v>0.71</v>
      </c>
      <c r="G81" s="5">
        <f>IFERROR(__xludf.DUMMYFUNCTION("""COMPUTED_VALUE"""),2.3)</f>
        <v>2.3</v>
      </c>
      <c r="H81" s="38">
        <f>IFERROR(__xludf.DUMMYFUNCTION("""COMPUTED_VALUE"""),0.07)</f>
        <v>0.07</v>
      </c>
      <c r="I81" s="5">
        <f>IFERROR(__xludf.DUMMYFUNCTION("""COMPUTED_VALUE"""),4.0)</f>
        <v>4</v>
      </c>
      <c r="J81" s="5">
        <f>IFERROR(__xludf.DUMMYFUNCTION("""COMPUTED_VALUE"""),175.2)</f>
        <v>175.2</v>
      </c>
    </row>
    <row r="82">
      <c r="A82" s="5" t="str">
        <f>IFERROR(__xludf.DUMMYFUNCTION("""COMPUTED_VALUE"""),"*High Risk*
1
3
2
1
1
1
X
Jerry JeudyWR DEN
Seasons:3
Height:6'1""
Weight:193
Bye:9
View Player Profile »
Injury History [TABLE]")</f>
        <v>*High Risk*
1
3
2
1
1
1
X
Jerry JeudyWR DEN
Seasons:3
Height:6'1"
Weight:193
Bye:9
View Player Profile »
Injury History [TABLE]</v>
      </c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 t="str">
        <f>IFERROR(__xludf.DUMMYFUNCTION("""COMPUTED_VALUE"""),"Curtis Samuel, WR WAS")</f>
        <v>Curtis Samuel, WR WAS</v>
      </c>
      <c r="C83" s="5" t="str">
        <f>IFERROR(__xludf.DUMMYFUNCTION("""COMPUTED_VALUE"""),"7 | | | | | | |")</f>
        <v>7 | | | | | | |</v>
      </c>
      <c r="D83" s="5" t="str">
        <f>IFERROR(__xludf.DUMMYFUNCTION("""COMPUTED_VALUE"""),"+ Show History »")</f>
        <v>+ Show History »</v>
      </c>
      <c r="E83" s="5" t="str">
        <f>IFERROR(__xludf.DUMMYFUNCTION("""COMPUTED_VALUE"""),"Very High Risk")</f>
        <v>Very High Risk</v>
      </c>
      <c r="F83" s="38">
        <f>IFERROR(__xludf.DUMMYFUNCTION("""COMPUTED_VALUE"""),0.82)</f>
        <v>0.82</v>
      </c>
      <c r="G83" s="5">
        <f>IFERROR(__xludf.DUMMYFUNCTION("""COMPUTED_VALUE"""),2.4)</f>
        <v>2.4</v>
      </c>
      <c r="H83" s="60">
        <f>IFERROR(__xludf.DUMMYFUNCTION("""COMPUTED_VALUE"""),0.096)</f>
        <v>0.096</v>
      </c>
      <c r="I83" s="5">
        <f>IFERROR(__xludf.DUMMYFUNCTION("""COMPUTED_VALUE"""),3.41)</f>
        <v>3.41</v>
      </c>
      <c r="J83" s="5">
        <f>IFERROR(__xludf.DUMMYFUNCTION("""COMPUTED_VALUE"""),172.1)</f>
        <v>172.1</v>
      </c>
    </row>
    <row r="84">
      <c r="A84" s="5" t="str">
        <f>IFERROR(__xludf.DUMMYFUNCTION("""COMPUTED_VALUE"""),"*Very High Risk*
2
2
1
1
1
X
Curtis SamuelWR WAS
Seasons:6
Height:5'11""
Weight:197
Bye:14
View Player Profile »
Injury History [TABLE]")</f>
        <v>*Very High Risk*
2
2
1
1
1
X
Curtis SamuelWR WAS
Seasons:6
Height:5'11"
Weight:197
Bye:14
View Player Profile »
Injury History [TABLE]</v>
      </c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 t="str">
        <f>IFERROR(__xludf.DUMMYFUNCTION("""COMPUTED_VALUE"""),"Rashid Shaheed, WR NO")</f>
        <v>Rashid Shaheed, WR NO</v>
      </c>
      <c r="C85" s="5" t="str">
        <f>IFERROR(__xludf.DUMMYFUNCTION("""COMPUTED_VALUE"""),"2 | |")</f>
        <v>2 | |</v>
      </c>
      <c r="D85" s="5" t="str">
        <f>IFERROR(__xludf.DUMMYFUNCTION("""COMPUTED_VALUE"""),"+ Show History »")</f>
        <v>+ Show History »</v>
      </c>
      <c r="E85" s="5" t="str">
        <f>IFERROR(__xludf.DUMMYFUNCTION("""COMPUTED_VALUE"""),"Very Low Risk")</f>
        <v>Very Low Risk</v>
      </c>
      <c r="F85" s="38">
        <f>IFERROR(__xludf.DUMMYFUNCTION("""COMPUTED_VALUE"""),0.22)</f>
        <v>0.22</v>
      </c>
      <c r="G85" s="5">
        <f>IFERROR(__xludf.DUMMYFUNCTION("""COMPUTED_VALUE"""),1.1)</f>
        <v>1.1</v>
      </c>
      <c r="H85" s="60">
        <f>IFERROR(__xludf.DUMMYFUNCTION("""COMPUTED_VALUE"""),0.015)</f>
        <v>0.015</v>
      </c>
      <c r="I85" s="5">
        <f>IFERROR(__xludf.DUMMYFUNCTION("""COMPUTED_VALUE"""),5.0)</f>
        <v>5</v>
      </c>
      <c r="J85" s="5">
        <f>IFERROR(__xludf.DUMMYFUNCTION("""COMPUTED_VALUE"""),172.0)</f>
        <v>172</v>
      </c>
    </row>
    <row r="86">
      <c r="A86" s="5" t="str">
        <f>IFERROR(__xludf.DUMMYFUNCTION("""COMPUTED_VALUE"""),"*Very Low Risk*
1
1
X
Rashid ShaheedWR NO
Seasons:2
Height:6'0""
Weight:180
Bye:11
View Player Profile »
Injury History [TABLE]")</f>
        <v>*Very Low Risk*
1
1
X
Rashid ShaheedWR NO
Seasons:2
Height:6'0"
Weight:180
Bye:11
View Player Profile »
Injury History [TABLE]</v>
      </c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 t="str">
        <f>IFERROR(__xludf.DUMMYFUNCTION("""COMPUTED_VALUE"""),"Gabriel Davis, WR BUF")</f>
        <v>Gabriel Davis, WR BUF</v>
      </c>
      <c r="C87" s="5" t="str">
        <f>IFERROR(__xludf.DUMMYFUNCTION("""COMPUTED_VALUE"""),"3 | | |")</f>
        <v>3 | | |</v>
      </c>
      <c r="D87" s="5" t="str">
        <f>IFERROR(__xludf.DUMMYFUNCTION("""COMPUTED_VALUE"""),"+ Show History »")</f>
        <v>+ Show History »</v>
      </c>
      <c r="E87" s="5" t="str">
        <f>IFERROR(__xludf.DUMMYFUNCTION("""COMPUTED_VALUE"""),"Low Risk")</f>
        <v>Low Risk</v>
      </c>
      <c r="F87" s="38">
        <f>IFERROR(__xludf.DUMMYFUNCTION("""COMPUTED_VALUE"""),0.36)</f>
        <v>0.36</v>
      </c>
      <c r="G87" s="5">
        <f>IFERROR(__xludf.DUMMYFUNCTION("""COMPUTED_VALUE"""),1.4)</f>
        <v>1.4</v>
      </c>
      <c r="H87" s="60">
        <f>IFERROR(__xludf.DUMMYFUNCTION("""COMPUTED_VALUE"""),0.026)</f>
        <v>0.026</v>
      </c>
      <c r="I87" s="5">
        <f>IFERROR(__xludf.DUMMYFUNCTION("""COMPUTED_VALUE"""),5.0)</f>
        <v>5</v>
      </c>
      <c r="J87" s="5">
        <f>IFERROR(__xludf.DUMMYFUNCTION("""COMPUTED_VALUE"""),169.0)</f>
        <v>169</v>
      </c>
    </row>
    <row r="88">
      <c r="A88" s="5" t="str">
        <f>IFERROR(__xludf.DUMMYFUNCTION("""COMPUTED_VALUE"""),"*Low Risk*
3
X
Gabriel DavisWR BUF
Seasons:3
Height:6'2""
Weight:216
Bye:13
View Player Profile »
Injury History [TABLE]")</f>
        <v>*Low Risk*
3
X
Gabriel DavisWR BUF
Seasons:3
Height:6'2"
Weight:216
Bye:13
View Player Profile »
Injury History [TABLE]</v>
      </c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 t="str">
        <f>IFERROR(__xludf.DUMMYFUNCTION("""COMPUTED_VALUE"""),"Jonathan Mingo, WR CAR")</f>
        <v>Jonathan Mingo, WR CAR</v>
      </c>
      <c r="C89" s="5" t="str">
        <f>IFERROR(__xludf.DUMMYFUNCTION("""COMPUTED_VALUE"""),"3 | | |")</f>
        <v>3 | | |</v>
      </c>
      <c r="D89" s="5" t="str">
        <f>IFERROR(__xludf.DUMMYFUNCTION("""COMPUTED_VALUE"""),"+ Show History »")</f>
        <v>+ Show History »</v>
      </c>
      <c r="E89" s="5" t="str">
        <f>IFERROR(__xludf.DUMMYFUNCTION("""COMPUTED_VALUE"""),"Very Low Risk")</f>
        <v>Very Low Risk</v>
      </c>
      <c r="F89" s="38">
        <f>IFERROR(__xludf.DUMMYFUNCTION("""COMPUTED_VALUE"""),0.28)</f>
        <v>0.28</v>
      </c>
      <c r="G89" s="5">
        <f>IFERROR(__xludf.DUMMYFUNCTION("""COMPUTED_VALUE"""),1.2)</f>
        <v>1.2</v>
      </c>
      <c r="H89" s="60">
        <f>IFERROR(__xludf.DUMMYFUNCTION("""COMPUTED_VALUE"""),0.019)</f>
        <v>0.019</v>
      </c>
      <c r="I89" s="5">
        <f>IFERROR(__xludf.DUMMYFUNCTION("""COMPUTED_VALUE"""),2.43)</f>
        <v>2.43</v>
      </c>
      <c r="J89" s="5">
        <f>IFERROR(__xludf.DUMMYFUNCTION("""COMPUTED_VALUE"""),168.6)</f>
        <v>168.6</v>
      </c>
    </row>
    <row r="90">
      <c r="A90" s="5" t="str">
        <f>IFERROR(__xludf.DUMMYFUNCTION("""COMPUTED_VALUE"""),"*Very Low Risk*
1
2
X
Jonathan MingoWR CAR
Seasons:0
Height:6'1""
Weight:220
Bye:7
View Player Profile »
Injury History [TABLE]")</f>
        <v>*Very Low Risk*
1
2
X
Jonathan MingoWR CAR
Seasons:0
Height:6'1"
Weight:220
Bye:7
View Player Profile »
Injury History [TABLE]</v>
      </c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 t="str">
        <f>IFERROR(__xludf.DUMMYFUNCTION("""COMPUTED_VALUE"""),"Odell Beckham Jr., WR BAL")</f>
        <v>Odell Beckham Jr., WR BAL</v>
      </c>
      <c r="C91" s="5" t="str">
        <f>IFERROR(__xludf.DUMMYFUNCTION("""COMPUTED_VALUE"""),"18 | | | | | | | | | | | | | | | | | |")</f>
        <v>18 | | | | | | | | | | | | | | | | | |</v>
      </c>
      <c r="D91" s="5" t="str">
        <f>IFERROR(__xludf.DUMMYFUNCTION("""COMPUTED_VALUE"""),"+ Show History »")</f>
        <v>+ Show History »</v>
      </c>
      <c r="E91" s="5" t="str">
        <f>IFERROR(__xludf.DUMMYFUNCTION("""COMPUTED_VALUE"""),"High Risk")</f>
        <v>High Risk</v>
      </c>
      <c r="F91" s="38">
        <f>IFERROR(__xludf.DUMMYFUNCTION("""COMPUTED_VALUE"""),0.61)</f>
        <v>0.61</v>
      </c>
      <c r="G91" s="5">
        <f>IFERROR(__xludf.DUMMYFUNCTION("""COMPUTED_VALUE"""),4.4)</f>
        <v>4.4</v>
      </c>
      <c r="H91" s="60">
        <f>IFERROR(__xludf.DUMMYFUNCTION("""COMPUTED_VALUE"""),0.054)</f>
        <v>0.054</v>
      </c>
      <c r="I91" s="5">
        <f>IFERROR(__xludf.DUMMYFUNCTION("""COMPUTED_VALUE"""),2.43)</f>
        <v>2.43</v>
      </c>
      <c r="J91" s="5">
        <f>IFERROR(__xludf.DUMMYFUNCTION("""COMPUTED_VALUE"""),168.5)</f>
        <v>168.5</v>
      </c>
    </row>
    <row r="92">
      <c r="A92" s="5" t="str">
        <f>IFERROR(__xludf.DUMMYFUNCTION("""COMPUTED_VALUE"""),"*High Risk*
4
2
4
1
2
1
1
3
X
Odell Beckham Jr.WR BAL
Seasons:9
Height:5'11""
Weight:198
Bye:13
View Player Profile »
Injury History [TABLE]")</f>
        <v>*High Risk*
4
2
4
1
2
1
1
3
X
Odell Beckham Jr.WR BAL
Seasons:9
Height:5'11"
Weight:198
Bye:13
View Player Profile »
Injury History [TABLE]</v>
      </c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 t="str">
        <f>IFERROR(__xludf.DUMMYFUNCTION("""COMPUTED_VALUE"""),"Josh Downs, WR IND")</f>
        <v>Josh Downs, WR IND</v>
      </c>
      <c r="C93" s="5" t="str">
        <f>IFERROR(__xludf.DUMMYFUNCTION("""COMPUTED_VALUE"""),"2 | |")</f>
        <v>2 | |</v>
      </c>
      <c r="D93" s="5" t="str">
        <f>IFERROR(__xludf.DUMMYFUNCTION("""COMPUTED_VALUE"""),"+ Show History »")</f>
        <v>+ Show History »</v>
      </c>
      <c r="E93" s="5" t="str">
        <f>IFERROR(__xludf.DUMMYFUNCTION("""COMPUTED_VALUE"""),"Low Risk")</f>
        <v>Low Risk</v>
      </c>
      <c r="F93" s="38">
        <f>IFERROR(__xludf.DUMMYFUNCTION("""COMPUTED_VALUE"""),0.36)</f>
        <v>0.36</v>
      </c>
      <c r="G93" s="5">
        <f>IFERROR(__xludf.DUMMYFUNCTION("""COMPUTED_VALUE"""),1.0)</f>
        <v>1</v>
      </c>
      <c r="H93" s="60">
        <f>IFERROR(__xludf.DUMMYFUNCTION("""COMPUTED_VALUE"""),0.026)</f>
        <v>0.026</v>
      </c>
      <c r="I93" s="5">
        <f>IFERROR(__xludf.DUMMYFUNCTION("""COMPUTED_VALUE"""),5.0)</f>
        <v>5</v>
      </c>
      <c r="J93" s="5">
        <f>IFERROR(__xludf.DUMMYFUNCTION("""COMPUTED_VALUE"""),165.4)</f>
        <v>165.4</v>
      </c>
    </row>
    <row r="94">
      <c r="A94" s="5" t="str">
        <f>IFERROR(__xludf.DUMMYFUNCTION("""COMPUTED_VALUE"""),"*Low Risk*
2
X
Josh DownsWR IND
Seasons:0
Height:5'8""
Weight:171
Bye:11
View Player Profile »
Injury History [TABLE]")</f>
        <v>*Low Risk*
2
X
Josh DownsWR IND
Seasons:0
Height:5'8"
Weight:171
Bye:11
View Player Profile »
Injury History [TABLE]</v>
      </c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 t="str">
        <f>IFERROR(__xludf.DUMMYFUNCTION("""COMPUTED_VALUE"""),"Christian Watson, WR GB")</f>
        <v>Christian Watson, WR GB</v>
      </c>
      <c r="C95" s="5" t="str">
        <f>IFERROR(__xludf.DUMMYFUNCTION("""COMPUTED_VALUE"""),"5 | | | | |")</f>
        <v>5 | | | | |</v>
      </c>
      <c r="D95" s="5" t="str">
        <f>IFERROR(__xludf.DUMMYFUNCTION("""COMPUTED_VALUE"""),"+ Show History »")</f>
        <v>+ Show History »</v>
      </c>
      <c r="E95" s="5" t="str">
        <f>IFERROR(__xludf.DUMMYFUNCTION("""COMPUTED_VALUE"""),"High Risk")</f>
        <v>High Risk</v>
      </c>
      <c r="F95" s="38">
        <f>IFERROR(__xludf.DUMMYFUNCTION("""COMPUTED_VALUE"""),0.64)</f>
        <v>0.64</v>
      </c>
      <c r="G95" s="5">
        <f>IFERROR(__xludf.DUMMYFUNCTION("""COMPUTED_VALUE"""),2.5)</f>
        <v>2.5</v>
      </c>
      <c r="H95" s="60">
        <f>IFERROR(__xludf.DUMMYFUNCTION("""COMPUTED_VALUE"""),0.058)</f>
        <v>0.058</v>
      </c>
      <c r="I95" s="5">
        <f>IFERROR(__xludf.DUMMYFUNCTION("""COMPUTED_VALUE"""),3.74)</f>
        <v>3.74</v>
      </c>
      <c r="J95" s="5">
        <f>IFERROR(__xludf.DUMMYFUNCTION("""COMPUTED_VALUE"""),163.9)</f>
        <v>163.9</v>
      </c>
    </row>
    <row r="96">
      <c r="A96" s="5" t="str">
        <f>IFERROR(__xludf.DUMMYFUNCTION("""COMPUTED_VALUE"""),"*High Risk*
2
2
1
X
Christian WatsonWR GB
Seasons:2
Height:6'4""
Weight:208
Bye:6
View Player Profile »
Injury History [TABLE]")</f>
        <v>*High Risk*
2
2
1
X
Christian WatsonWR GB
Seasons:2
Height:6'4"
Weight:208
Bye:6
View Player Profile »
Injury History [TABLE]</v>
      </c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 t="str">
        <f>IFERROR(__xludf.DUMMYFUNCTION("""COMPUTED_VALUE"""),"George Pickens, WR PIT")</f>
        <v>George Pickens, WR PIT</v>
      </c>
      <c r="C97" s="5" t="str">
        <f>IFERROR(__xludf.DUMMYFUNCTION("""COMPUTED_VALUE"""),"2 | |")</f>
        <v>2 | |</v>
      </c>
      <c r="D97" s="5" t="str">
        <f>IFERROR(__xludf.DUMMYFUNCTION("""COMPUTED_VALUE"""),"+ Show History »")</f>
        <v>+ Show History »</v>
      </c>
      <c r="E97" s="5" t="str">
        <f>IFERROR(__xludf.DUMMYFUNCTION("""COMPUTED_VALUE"""),"Low Risk")</f>
        <v>Low Risk</v>
      </c>
      <c r="F97" s="38">
        <f>IFERROR(__xludf.DUMMYFUNCTION("""COMPUTED_VALUE"""),0.33)</f>
        <v>0.33</v>
      </c>
      <c r="G97" s="5">
        <f>IFERROR(__xludf.DUMMYFUNCTION("""COMPUTED_VALUE"""),1.22)</f>
        <v>1.22</v>
      </c>
      <c r="H97" s="60">
        <f>IFERROR(__xludf.DUMMYFUNCTION("""COMPUTED_VALUE"""),0.023)</f>
        <v>0.023</v>
      </c>
      <c r="I97" s="5">
        <f>IFERROR(__xludf.DUMMYFUNCTION("""COMPUTED_VALUE"""),1.36)</f>
        <v>1.36</v>
      </c>
      <c r="J97" s="5">
        <f>IFERROR(__xludf.DUMMYFUNCTION("""COMPUTED_VALUE"""),162.5)</f>
        <v>162.5</v>
      </c>
    </row>
    <row r="98">
      <c r="A98" s="5" t="str">
        <f>IFERROR(__xludf.DUMMYFUNCTION("""COMPUTED_VALUE"""),"*Low Risk*
1
1
X
George PickensWR PIT
Seasons:2
Height:6'3""
Weight:200
Bye:6
View Player Profile »
Injury History [TABLE]")</f>
        <v>*Low Risk*
1
1
X
George PickensWR PIT
Seasons:2
Height:6'3"
Weight:200
Bye:6
View Player Profile »
Injury History [TABLE]</v>
      </c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 t="str">
        <f>IFERROR(__xludf.DUMMYFUNCTION("""COMPUTED_VALUE"""),"Romeo Doubs, WR GB")</f>
        <v>Romeo Doubs, WR GB</v>
      </c>
      <c r="C99" s="5" t="str">
        <f>IFERROR(__xludf.DUMMYFUNCTION("""COMPUTED_VALUE"""),"4 | | | |")</f>
        <v>4 | | | |</v>
      </c>
      <c r="D99" s="5" t="str">
        <f>IFERROR(__xludf.DUMMYFUNCTION("""COMPUTED_VALUE"""),"+ Show History »")</f>
        <v>+ Show History »</v>
      </c>
      <c r="E99" s="5" t="str">
        <f>IFERROR(__xludf.DUMMYFUNCTION("""COMPUTED_VALUE"""),"Low Risk")</f>
        <v>Low Risk</v>
      </c>
      <c r="F99" s="38">
        <f>IFERROR(__xludf.DUMMYFUNCTION("""COMPUTED_VALUE"""),0.3)</f>
        <v>0.3</v>
      </c>
      <c r="G99" s="5">
        <f>IFERROR(__xludf.DUMMYFUNCTION("""COMPUTED_VALUE"""),1.17)</f>
        <v>1.17</v>
      </c>
      <c r="H99" s="60">
        <f>IFERROR(__xludf.DUMMYFUNCTION("""COMPUTED_VALUE"""),0.021)</f>
        <v>0.021</v>
      </c>
      <c r="I99" s="5">
        <f>IFERROR(__xludf.DUMMYFUNCTION("""COMPUTED_VALUE"""),3.56)</f>
        <v>3.56</v>
      </c>
      <c r="J99" s="5">
        <f>IFERROR(__xludf.DUMMYFUNCTION("""COMPUTED_VALUE"""),161.3)</f>
        <v>161.3</v>
      </c>
    </row>
    <row r="100">
      <c r="A100" s="5" t="str">
        <f>IFERROR(__xludf.DUMMYFUNCTION("""COMPUTED_VALUE"""),"*Low Risk*
1
1
1
1
X
Romeo DoubsWR GB
Seasons:2
Height:6'2""
Weight:204
Bye:6
View Player Profile »
Injury History [TABLE]")</f>
        <v>*Low Risk*
1
1
1
1
X
Romeo DoubsWR GB
Seasons:2
Height:6'2"
Weight:204
Bye:6
View Player Profile »
Injury History [TABLE]</v>
      </c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 t="str">
        <f>IFERROR(__xludf.DUMMYFUNCTION("""COMPUTED_VALUE"""),"Wan'Dale Robinson, WR NYG")</f>
        <v>Wan'Dale Robinson, WR NYG</v>
      </c>
      <c r="C101" s="5" t="str">
        <f>IFERROR(__xludf.DUMMYFUNCTION("""COMPUTED_VALUE"""),"5 | | | | |")</f>
        <v>5 | | | | |</v>
      </c>
      <c r="D101" s="5" t="str">
        <f>IFERROR(__xludf.DUMMYFUNCTION("""COMPUTED_VALUE"""),"+ Show History »")</f>
        <v>+ Show History »</v>
      </c>
      <c r="E101" s="5" t="str">
        <f>IFERROR(__xludf.DUMMYFUNCTION("""COMPUTED_VALUE"""),"Medium Risk")</f>
        <v>Medium Risk</v>
      </c>
      <c r="F101" s="38">
        <f>IFERROR(__xludf.DUMMYFUNCTION("""COMPUTED_VALUE"""),0.55)</f>
        <v>0.55</v>
      </c>
      <c r="G101" s="5">
        <f>IFERROR(__xludf.DUMMYFUNCTION("""COMPUTED_VALUE"""),2.0)</f>
        <v>2</v>
      </c>
      <c r="H101" s="60">
        <f>IFERROR(__xludf.DUMMYFUNCTION("""COMPUTED_VALUE"""),0.046)</f>
        <v>0.046</v>
      </c>
      <c r="I101" s="5">
        <f>IFERROR(__xludf.DUMMYFUNCTION("""COMPUTED_VALUE"""),1.39)</f>
        <v>1.39</v>
      </c>
      <c r="J101" s="5">
        <f>IFERROR(__xludf.DUMMYFUNCTION("""COMPUTED_VALUE"""),160.8)</f>
        <v>160.8</v>
      </c>
    </row>
    <row r="102">
      <c r="A102" s="5" t="str">
        <f>IFERROR(__xludf.DUMMYFUNCTION("""COMPUTED_VALUE"""),"*Medium Risk*
2
1
2
X
Wan'Dale RobinsonWR NYG
Seasons:2
Height:5'8""
Weight:185
Bye:13
View Player Profile »
Injury History [TABLE]")</f>
        <v>*Medium Risk*
2
1
2
X
Wan'Dale RobinsonWR NYG
Seasons:2
Height:5'8"
Weight:185
Bye:13
View Player Profile »
Injury History [TABLE]</v>
      </c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 t="str">
        <f>IFERROR(__xludf.DUMMYFUNCTION("""COMPUTED_VALUE"""),"Rashod Bateman, WR BAL")</f>
        <v>Rashod Bateman, WR BAL</v>
      </c>
      <c r="C103" s="5" t="str">
        <f>IFERROR(__xludf.DUMMYFUNCTION("""COMPUTED_VALUE"""),"3 | | |")</f>
        <v>3 | | |</v>
      </c>
      <c r="D103" s="5" t="str">
        <f>IFERROR(__xludf.DUMMYFUNCTION("""COMPUTED_VALUE"""),"+ Show History »")</f>
        <v>+ Show History »</v>
      </c>
      <c r="E103" s="5" t="str">
        <f>IFERROR(__xludf.DUMMYFUNCTION("""COMPUTED_VALUE"""),"High Risk")</f>
        <v>High Risk</v>
      </c>
      <c r="F103" s="38">
        <f>IFERROR(__xludf.DUMMYFUNCTION("""COMPUTED_VALUE"""),0.6)</f>
        <v>0.6</v>
      </c>
      <c r="G103" s="5">
        <f>IFERROR(__xludf.DUMMYFUNCTION("""COMPUTED_VALUE"""),2.89)</f>
        <v>2.89</v>
      </c>
      <c r="H103" s="60">
        <f>IFERROR(__xludf.DUMMYFUNCTION("""COMPUTED_VALUE"""),0.052)</f>
        <v>0.052</v>
      </c>
      <c r="I103" s="5">
        <f>IFERROR(__xludf.DUMMYFUNCTION("""COMPUTED_VALUE"""),1.18)</f>
        <v>1.18</v>
      </c>
      <c r="J103" s="5">
        <f>IFERROR(__xludf.DUMMYFUNCTION("""COMPUTED_VALUE"""),149.5)</f>
        <v>149.5</v>
      </c>
    </row>
    <row r="104">
      <c r="A104" s="5" t="str">
        <f>IFERROR(__xludf.DUMMYFUNCTION("""COMPUTED_VALUE"""),"*High Risk*
1
2
X
Rashod BatemanWR BAL
Seasons:2
Height:6'0""
Weight:190
Bye:13
View Player Profile »
Injury History [TABLE]")</f>
        <v>*High Risk*
1
2
X
Rashod BatemanWR BAL
Seasons:2
Height:6'0"
Weight:190
Bye:13
View Player Profile »
Injury History [TABLE]</v>
      </c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 t="str">
        <f>IFERROR(__xludf.DUMMYFUNCTION("""COMPUTED_VALUE"""),"Greg Dortch, WR ARI")</f>
        <v>Greg Dortch, WR ARI</v>
      </c>
      <c r="C105" s="5" t="str">
        <f>IFERROR(__xludf.DUMMYFUNCTION("""COMPUTED_VALUE"""),"1 |")</f>
        <v>1 |</v>
      </c>
      <c r="D105" s="5" t="str">
        <f>IFERROR(__xludf.DUMMYFUNCTION("""COMPUTED_VALUE"""),"+ Show History »")</f>
        <v>+ Show History »</v>
      </c>
      <c r="E105" s="5" t="str">
        <f>IFERROR(__xludf.DUMMYFUNCTION("""COMPUTED_VALUE"""),"Medium Risk")</f>
        <v>Medium Risk</v>
      </c>
      <c r="F105" s="38">
        <f>IFERROR(__xludf.DUMMYFUNCTION("""COMPUTED_VALUE"""),0.51)</f>
        <v>0.51</v>
      </c>
      <c r="G105" s="5">
        <f>IFERROR(__xludf.DUMMYFUNCTION("""COMPUTED_VALUE"""),2.8)</f>
        <v>2.8</v>
      </c>
      <c r="H105" s="60">
        <f>IFERROR(__xludf.DUMMYFUNCTION("""COMPUTED_VALUE"""),0.041)</f>
        <v>0.041</v>
      </c>
      <c r="I105" s="5">
        <f>IFERROR(__xludf.DUMMYFUNCTION("""COMPUTED_VALUE"""),5.0)</f>
        <v>5</v>
      </c>
      <c r="J105" s="5">
        <f>IFERROR(__xludf.DUMMYFUNCTION("""COMPUTED_VALUE"""),145.2)</f>
        <v>145.2</v>
      </c>
    </row>
    <row r="106">
      <c r="A106" s="5" t="str">
        <f>IFERROR(__xludf.DUMMYFUNCTION("""COMPUTED_VALUE"""),"*Medium Risk*
1
X
Greg DortchWR ARI
Seasons:4
Height:5'7""
Weight:173
Bye:14
View Player Profile »
Injury History [TABLE]")</f>
        <v>*Medium Risk*
1
X
Greg DortchWR ARI
Seasons:4
Height:5'7"
Weight:173
Bye:14
View Player Profile »
Injury History [TABLE]</v>
      </c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 t="str">
        <f>IFERROR(__xludf.DUMMYFUNCTION("""COMPUTED_VALUE"""),"Quentin Johnston, WR LAC")</f>
        <v>Quentin Johnston, WR LAC</v>
      </c>
      <c r="C107" s="5" t="str">
        <f>IFERROR(__xludf.DUMMYFUNCTION("""COMPUTED_VALUE"""),"4 | | | |")</f>
        <v>4 | | | |</v>
      </c>
      <c r="D107" s="5" t="str">
        <f>IFERROR(__xludf.DUMMYFUNCTION("""COMPUTED_VALUE"""),"+ Show History »")</f>
        <v>+ Show History »</v>
      </c>
      <c r="E107" s="5" t="str">
        <f>IFERROR(__xludf.DUMMYFUNCTION("""COMPUTED_VALUE"""),"Medium Risk")</f>
        <v>Medium Risk</v>
      </c>
      <c r="F107" s="38">
        <f>IFERROR(__xludf.DUMMYFUNCTION("""COMPUTED_VALUE"""),0.49)</f>
        <v>0.49</v>
      </c>
      <c r="G107" s="5">
        <f>IFERROR(__xludf.DUMMYFUNCTION("""COMPUTED_VALUE"""),1.5)</f>
        <v>1.5</v>
      </c>
      <c r="H107" s="60">
        <f>IFERROR(__xludf.DUMMYFUNCTION("""COMPUTED_VALUE"""),0.039)</f>
        <v>0.039</v>
      </c>
      <c r="I107" s="5">
        <f>IFERROR(__xludf.DUMMYFUNCTION("""COMPUTED_VALUE"""),4.0)</f>
        <v>4</v>
      </c>
      <c r="J107" s="5">
        <f>IFERROR(__xludf.DUMMYFUNCTION("""COMPUTED_VALUE"""),142.2)</f>
        <v>142.2</v>
      </c>
    </row>
    <row r="108">
      <c r="A108" s="5" t="str">
        <f>IFERROR(__xludf.DUMMYFUNCTION("""COMPUTED_VALUE"""),"*Medium Risk*
3
1
X
Quentin JohnstonWR LAC
Seasons:0
Height:6'4""
Weight:215
Bye:5
View Player Profile »
Injury History [TABLE]")</f>
        <v>*Medium Risk*
3
1
X
Quentin JohnstonWR LAC
Seasons:0
Height:6'4"
Weight:215
Bye:5
View Player Profile »
Injury History [TABLE]</v>
      </c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 t="str">
        <f>IFERROR(__xludf.DUMMYFUNCTION("""COMPUTED_VALUE"""),"Zay Jones, WR JAC")</f>
        <v>Zay Jones, WR JAC</v>
      </c>
      <c r="C109" s="5" t="str">
        <f>IFERROR(__xludf.DUMMYFUNCTION("""COMPUTED_VALUE"""),"6 | | | | | |")</f>
        <v>6 | | | | | |</v>
      </c>
      <c r="D109" s="5" t="str">
        <f>IFERROR(__xludf.DUMMYFUNCTION("""COMPUTED_VALUE"""),"+ Show History »")</f>
        <v>+ Show History »</v>
      </c>
      <c r="E109" s="5" t="str">
        <f>IFERROR(__xludf.DUMMYFUNCTION("""COMPUTED_VALUE"""),"Low Risk")</f>
        <v>Low Risk</v>
      </c>
      <c r="F109" s="38">
        <f>IFERROR(__xludf.DUMMYFUNCTION("""COMPUTED_VALUE"""),0.36)</f>
        <v>0.36</v>
      </c>
      <c r="G109" s="5">
        <f>IFERROR(__xludf.DUMMYFUNCTION("""COMPUTED_VALUE"""),0.9)</f>
        <v>0.9</v>
      </c>
      <c r="H109" s="60">
        <f>IFERROR(__xludf.DUMMYFUNCTION("""COMPUTED_VALUE"""),0.026)</f>
        <v>0.026</v>
      </c>
      <c r="I109" s="5">
        <f>IFERROR(__xludf.DUMMYFUNCTION("""COMPUTED_VALUE"""),5.0)</f>
        <v>5</v>
      </c>
      <c r="J109" s="5">
        <f>IFERROR(__xludf.DUMMYFUNCTION("""COMPUTED_VALUE"""),141.9)</f>
        <v>141.9</v>
      </c>
    </row>
    <row r="110">
      <c r="A110" s="5" t="str">
        <f>IFERROR(__xludf.DUMMYFUNCTION("""COMPUTED_VALUE"""),"*Low Risk*
1
2
3
X
Zay JonesWR JAC
Seasons:6
Height:6'1""
Weight:197
Bye:9
View Player Profile »
Injury History [TABLE]")</f>
        <v>*Low Risk*
1
2
3
X
Zay JonesWR JAC
Seasons:6
Height:6'1"
Weight:197
Bye:9
View Player Profile »
Injury History [TABLE]</v>
      </c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 t="str">
        <f>IFERROR(__xludf.DUMMYFUNCTION("""COMPUTED_VALUE"""),"DeVante Parker, WR NE")</f>
        <v>DeVante Parker, WR NE</v>
      </c>
      <c r="C111" s="5" t="str">
        <f>IFERROR(__xludf.DUMMYFUNCTION("""COMPUTED_VALUE"""),"20 | | | | | | | | | | | | | | | | | | | |")</f>
        <v>20 | | | | | | | | | | | | | | | | | | | |</v>
      </c>
      <c r="D111" s="5" t="str">
        <f>IFERROR(__xludf.DUMMYFUNCTION("""COMPUTED_VALUE"""),"+ Show History »")</f>
        <v>+ Show History »</v>
      </c>
      <c r="E111" s="5" t="str">
        <f>IFERROR(__xludf.DUMMYFUNCTION("""COMPUTED_VALUE"""),"Very High Risk")</f>
        <v>Very High Risk</v>
      </c>
      <c r="F111" s="38">
        <f>IFERROR(__xludf.DUMMYFUNCTION("""COMPUTED_VALUE"""),0.93)</f>
        <v>0.93</v>
      </c>
      <c r="G111" s="5">
        <f>IFERROR(__xludf.DUMMYFUNCTION("""COMPUTED_VALUE"""),3.0)</f>
        <v>3</v>
      </c>
      <c r="H111" s="60">
        <f>IFERROR(__xludf.DUMMYFUNCTION("""COMPUTED_VALUE"""),0.145)</f>
        <v>0.145</v>
      </c>
      <c r="I111" s="5">
        <f>IFERROR(__xludf.DUMMYFUNCTION("""COMPUTED_VALUE"""),2.61)</f>
        <v>2.61</v>
      </c>
      <c r="J111" s="5">
        <f>IFERROR(__xludf.DUMMYFUNCTION("""COMPUTED_VALUE"""),141.8)</f>
        <v>141.8</v>
      </c>
    </row>
    <row r="112">
      <c r="A112" s="5" t="str">
        <f>IFERROR(__xludf.DUMMYFUNCTION("""COMPUTED_VALUE"""),"*Very High Risk*
2
1
7
2
1
1
1
4
1
X
DeVante ParkerWR NE
Seasons:8
Height:6'3""
Weight:209
Bye:11
View Player Profile »
Injury History [TABLE]")</f>
        <v>*Very High Risk*
2
1
7
2
1
1
1
4
1
X
DeVante ParkerWR NE
Seasons:8
Height:6'3"
Weight:209
Bye:11
View Player Profile »
Injury History [TABLE]</v>
      </c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 t="str">
        <f>IFERROR(__xludf.DUMMYFUNCTION("""COMPUTED_VALUE"""),"Robert Woods, WR HOU")</f>
        <v>Robert Woods, WR HOU</v>
      </c>
      <c r="C113" s="5" t="str">
        <f>IFERROR(__xludf.DUMMYFUNCTION("""COMPUTED_VALUE"""),"12 | | | | | | | | | | | |")</f>
        <v>12 | | | | | | | | | | | |</v>
      </c>
      <c r="D113" s="5" t="str">
        <f>IFERROR(__xludf.DUMMYFUNCTION("""COMPUTED_VALUE"""),"+ Show History »")</f>
        <v>+ Show History »</v>
      </c>
      <c r="E113" s="5" t="str">
        <f>IFERROR(__xludf.DUMMYFUNCTION("""COMPUTED_VALUE"""),"High Risk")</f>
        <v>High Risk</v>
      </c>
      <c r="F113" s="38">
        <f>IFERROR(__xludf.DUMMYFUNCTION("""COMPUTED_VALUE"""),0.59)</f>
        <v>0.59</v>
      </c>
      <c r="G113" s="5">
        <f>IFERROR(__xludf.DUMMYFUNCTION("""COMPUTED_VALUE"""),2.09)</f>
        <v>2.09</v>
      </c>
      <c r="H113" s="60">
        <f>IFERROR(__xludf.DUMMYFUNCTION("""COMPUTED_VALUE"""),0.051)</f>
        <v>0.051</v>
      </c>
      <c r="I113" s="5">
        <f>IFERROR(__xludf.DUMMYFUNCTION("""COMPUTED_VALUE"""),5.0)</f>
        <v>5</v>
      </c>
      <c r="J113" s="5">
        <f>IFERROR(__xludf.DUMMYFUNCTION("""COMPUTED_VALUE"""),141.6)</f>
        <v>141.6</v>
      </c>
    </row>
    <row r="114">
      <c r="A114" s="5" t="str">
        <f>IFERROR(__xludf.DUMMYFUNCTION("""COMPUTED_VALUE"""),"*High Risk*
3
1
3
1
3
1
X
Robert WoodsWR HOU
Seasons:10
Height:6'0""
Weight:190
Bye:7
View Player Profile »
Injury History [TABLE]")</f>
        <v>*High Risk*
3
1
3
1
3
1
X
Robert WoodsWR HOU
Seasons:10
Height:6'0"
Weight:190
Bye:7
View Player Profile »
Injury History [TABLE]</v>
      </c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 t="str">
        <f>IFERROR(__xludf.DUMMYFUNCTION("""COMPUTED_VALUE"""),"Jahan Dotson, WR WAS")</f>
        <v>Jahan Dotson, WR WAS</v>
      </c>
      <c r="C115" s="5" t="str">
        <f>IFERROR(__xludf.DUMMYFUNCTION("""COMPUTED_VALUE"""),"1 |")</f>
        <v>1 |</v>
      </c>
      <c r="D115" s="5" t="str">
        <f>IFERROR(__xludf.DUMMYFUNCTION("""COMPUTED_VALUE"""),"+ Show History »")</f>
        <v>+ Show History »</v>
      </c>
      <c r="E115" s="5" t="str">
        <f>IFERROR(__xludf.DUMMYFUNCTION("""COMPUTED_VALUE"""),"High Risk")</f>
        <v>High Risk</v>
      </c>
      <c r="F115" s="38">
        <f>IFERROR(__xludf.DUMMYFUNCTION("""COMPUTED_VALUE"""),0.6)</f>
        <v>0.6</v>
      </c>
      <c r="G115" s="5">
        <f>IFERROR(__xludf.DUMMYFUNCTION("""COMPUTED_VALUE"""),1.5)</f>
        <v>1.5</v>
      </c>
      <c r="H115" s="60">
        <f>IFERROR(__xludf.DUMMYFUNCTION("""COMPUTED_VALUE"""),0.052)</f>
        <v>0.052</v>
      </c>
      <c r="I115" s="5">
        <f>IFERROR(__xludf.DUMMYFUNCTION("""COMPUTED_VALUE"""),4.57)</f>
        <v>4.57</v>
      </c>
      <c r="J115" s="5">
        <f>IFERROR(__xludf.DUMMYFUNCTION("""COMPUTED_VALUE"""),139.8)</f>
        <v>139.8</v>
      </c>
    </row>
    <row r="116">
      <c r="A116" s="5" t="str">
        <f>IFERROR(__xludf.DUMMYFUNCTION("""COMPUTED_VALUE"""),"*High Risk*
1
X
Jahan DotsonWR WAS
Seasons:2
Height:5'11""
Weight:182
Bye:14
View Player Profile »
Injury History [TABLE]")</f>
        <v>*High Risk*
1
X
Jahan DotsonWR WAS
Seasons:2
Height:5'11"
Weight:182
Bye:14
View Player Profile »
Injury History [TABLE]</v>
      </c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 t="str">
        <f>IFERROR(__xludf.DUMMYFUNCTION("""COMPUTED_VALUE"""),"Khalil Shakir, WR BUF")</f>
        <v>Khalil Shakir, WR BUF</v>
      </c>
      <c r="C117" s="5" t="str">
        <f>IFERROR(__xludf.DUMMYFUNCTION("""COMPUTED_VALUE"""),"4 | | | |")</f>
        <v>4 | | | |</v>
      </c>
      <c r="D117" s="5" t="str">
        <f>IFERROR(__xludf.DUMMYFUNCTION("""COMPUTED_VALUE"""),"+ Show History »")</f>
        <v>+ Show History »</v>
      </c>
      <c r="E117" s="5" t="str">
        <f>IFERROR(__xludf.DUMMYFUNCTION("""COMPUTED_VALUE"""),"Low Risk")</f>
        <v>Low Risk</v>
      </c>
      <c r="F117" s="38">
        <f>IFERROR(__xludf.DUMMYFUNCTION("""COMPUTED_VALUE"""),0.33)</f>
        <v>0.33</v>
      </c>
      <c r="G117" s="5">
        <f>IFERROR(__xludf.DUMMYFUNCTION("""COMPUTED_VALUE"""),0.7)</f>
        <v>0.7</v>
      </c>
      <c r="H117" s="60">
        <f>IFERROR(__xludf.DUMMYFUNCTION("""COMPUTED_VALUE"""),0.023)</f>
        <v>0.023</v>
      </c>
      <c r="I117" s="5">
        <f>IFERROR(__xludf.DUMMYFUNCTION("""COMPUTED_VALUE"""),5.0)</f>
        <v>5</v>
      </c>
      <c r="J117" s="5">
        <f>IFERROR(__xludf.DUMMYFUNCTION("""COMPUTED_VALUE"""),137.6)</f>
        <v>137.6</v>
      </c>
    </row>
    <row r="118">
      <c r="A118" s="5" t="str">
        <f>IFERROR(__xludf.DUMMYFUNCTION("""COMPUTED_VALUE"""),"*Low Risk*
1
1
1
1
X
Khalil ShakirWR BUF
Seasons:2
Height:6'0""
Weight:190
Bye:13
View Player Profile »
Injury History [TABLE]")</f>
        <v>*Low Risk*
1
1
1
1
X
Khalil ShakirWR BUF
Seasons:2
Height:6'0"
Weight:190
Bye:13
View Player Profile »
Injury History [TABLE]</v>
      </c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 t="str">
        <f>IFERROR(__xludf.DUMMYFUNCTION("""COMPUTED_VALUE"""),"Rondale Moore, WR ARI")</f>
        <v>Rondale Moore, WR ARI</v>
      </c>
      <c r="C119" s="5" t="str">
        <f>IFERROR(__xludf.DUMMYFUNCTION("""COMPUTED_VALUE"""),"7 | | | | | | |")</f>
        <v>7 | | | | | | |</v>
      </c>
      <c r="D119" s="5" t="str">
        <f>IFERROR(__xludf.DUMMYFUNCTION("""COMPUTED_VALUE"""),"+ Show History »")</f>
        <v>+ Show History »</v>
      </c>
      <c r="E119" s="5" t="str">
        <f>IFERROR(__xludf.DUMMYFUNCTION("""COMPUTED_VALUE"""),"Very High Risk")</f>
        <v>Very High Risk</v>
      </c>
      <c r="F119" s="38">
        <f>IFERROR(__xludf.DUMMYFUNCTION("""COMPUTED_VALUE"""),0.91)</f>
        <v>0.91</v>
      </c>
      <c r="G119" s="5">
        <f>IFERROR(__xludf.DUMMYFUNCTION("""COMPUTED_VALUE"""),3.2)</f>
        <v>3.2</v>
      </c>
      <c r="H119" s="60">
        <f>IFERROR(__xludf.DUMMYFUNCTION("""COMPUTED_VALUE"""),0.132)</f>
        <v>0.132</v>
      </c>
      <c r="I119" s="5">
        <f>IFERROR(__xludf.DUMMYFUNCTION("""COMPUTED_VALUE"""),0.8)</f>
        <v>0.8</v>
      </c>
      <c r="J119" s="5">
        <f>IFERROR(__xludf.DUMMYFUNCTION("""COMPUTED_VALUE"""),134.1)</f>
        <v>134.1</v>
      </c>
    </row>
    <row r="120">
      <c r="A120" s="5" t="str">
        <f>IFERROR(__xludf.DUMMYFUNCTION("""COMPUTED_VALUE"""),"*Very High Risk*
1
1
2
1
1
1
X
Rondale MooreWR ARI
Seasons:2
Height:5'9""
Weight:181
Bye:14
View Player Profile »
Injury History [TABLE]")</f>
        <v>*Very High Risk*
1
1
2
1
1
1
X
Rondale MooreWR ARI
Seasons:2
Height:5'9"
Weight:181
Bye:14
View Player Profile »
Injury History [TABLE]</v>
      </c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 t="str">
        <f>IFERROR(__xludf.DUMMYFUNCTION("""COMPUTED_VALUE"""),"Tyler Boyd, WR CIN")</f>
        <v>Tyler Boyd, WR CIN</v>
      </c>
      <c r="C121" s="5" t="str">
        <f>IFERROR(__xludf.DUMMYFUNCTION("""COMPUTED_VALUE"""),"4 | | | |")</f>
        <v>4 | | | |</v>
      </c>
      <c r="D121" s="5" t="str">
        <f>IFERROR(__xludf.DUMMYFUNCTION("""COMPUTED_VALUE"""),"+ Show History »")</f>
        <v>+ Show History »</v>
      </c>
      <c r="E121" s="5" t="str">
        <f>IFERROR(__xludf.DUMMYFUNCTION("""COMPUTED_VALUE"""),"Low Risk")</f>
        <v>Low Risk</v>
      </c>
      <c r="F121" s="38">
        <f>IFERROR(__xludf.DUMMYFUNCTION("""COMPUTED_VALUE"""),0.39)</f>
        <v>0.39</v>
      </c>
      <c r="G121" s="5">
        <f>IFERROR(__xludf.DUMMYFUNCTION("""COMPUTED_VALUE"""),1.4)</f>
        <v>1.4</v>
      </c>
      <c r="H121" s="60">
        <f>IFERROR(__xludf.DUMMYFUNCTION("""COMPUTED_VALUE"""),0.029)</f>
        <v>0.029</v>
      </c>
      <c r="I121" s="5">
        <f>IFERROR(__xludf.DUMMYFUNCTION("""COMPUTED_VALUE"""),5.0)</f>
        <v>5</v>
      </c>
      <c r="J121" s="5">
        <f>IFERROR(__xludf.DUMMYFUNCTION("""COMPUTED_VALUE"""),131.5)</f>
        <v>131.5</v>
      </c>
    </row>
    <row r="122">
      <c r="A122" s="5" t="str">
        <f>IFERROR(__xludf.DUMMYFUNCTION("""COMPUTED_VALUE"""),"*Low Risk*
2
2
X
Tyler BoydWR CIN
Seasons:7
Height:6'1""
Weight:197
Bye:7
View Player Profile »
Injury History [TABLE]")</f>
        <v>*Low Risk*
2
2
X
Tyler BoydWR CIN
Seasons:7
Height:6'1"
Weight:197
Bye:7
View Player Profile »
Injury History [TABLE]</v>
      </c>
      <c r="B122" s="5"/>
      <c r="C122" s="5"/>
      <c r="D122" s="5"/>
      <c r="E122" s="5"/>
      <c r="F122" s="5"/>
      <c r="G122" s="5"/>
      <c r="H122" s="5"/>
      <c r="I122" s="5"/>
      <c r="J122" s="5"/>
    </row>
    <row r="123">
      <c r="A123" s="5"/>
      <c r="B123" s="5" t="str">
        <f>IFERROR(__xludf.DUMMYFUNCTION("""COMPUTED_VALUE"""),"Jalin Hyatt, WR NYG")</f>
        <v>Jalin Hyatt, WR NYG</v>
      </c>
      <c r="C123" s="5" t="str">
        <f>IFERROR(__xludf.DUMMYFUNCTION("""COMPUTED_VALUE"""),"2 | |")</f>
        <v>2 | |</v>
      </c>
      <c r="D123" s="5" t="str">
        <f>IFERROR(__xludf.DUMMYFUNCTION("""COMPUTED_VALUE"""),"+ Show History »")</f>
        <v>+ Show History »</v>
      </c>
      <c r="E123" s="5" t="str">
        <f>IFERROR(__xludf.DUMMYFUNCTION("""COMPUTED_VALUE"""),"Very Low Risk")</f>
        <v>Very Low Risk</v>
      </c>
      <c r="F123" s="38">
        <f>IFERROR(__xludf.DUMMYFUNCTION("""COMPUTED_VALUE"""),0.26)</f>
        <v>0.26</v>
      </c>
      <c r="G123" s="5">
        <f>IFERROR(__xludf.DUMMYFUNCTION("""COMPUTED_VALUE"""),1.4)</f>
        <v>1.4</v>
      </c>
      <c r="H123" s="60">
        <f>IFERROR(__xludf.DUMMYFUNCTION("""COMPUTED_VALUE"""),0.018)</f>
        <v>0.018</v>
      </c>
      <c r="I123" s="5">
        <f>IFERROR(__xludf.DUMMYFUNCTION("""COMPUTED_VALUE"""),5.0)</f>
        <v>5</v>
      </c>
      <c r="J123" s="5">
        <f>IFERROR(__xludf.DUMMYFUNCTION("""COMPUTED_VALUE"""),127.2)</f>
        <v>127.2</v>
      </c>
    </row>
    <row r="124">
      <c r="A124" s="5" t="str">
        <f>IFERROR(__xludf.DUMMYFUNCTION("""COMPUTED_VALUE"""),"*Very Low Risk*
2
X
Jalin HyattWR NYG
Seasons:0
Height:6'0""
Weight:176
Bye:13
View Player Profile »
Injury History [TABLE]")</f>
        <v>*Very Low Risk*
2
X
Jalin HyattWR NYG
Seasons:0
Height:6'0"
Weight:176
Bye:13
View Player Profile »
Injury History [TABLE]</v>
      </c>
      <c r="B124" s="5"/>
      <c r="C124" s="5"/>
      <c r="D124" s="5"/>
      <c r="E124" s="5"/>
      <c r="F124" s="5"/>
      <c r="G124" s="5"/>
      <c r="H124" s="5"/>
      <c r="I124" s="5"/>
      <c r="J124" s="5"/>
    </row>
    <row r="125">
      <c r="A125" s="5"/>
      <c r="B125" s="5" t="str">
        <f>IFERROR(__xludf.DUMMYFUNCTION("""COMPUTED_VALUE"""),"Tutu Atwell, WR LAR")</f>
        <v>Tutu Atwell, WR LAR</v>
      </c>
      <c r="C125" s="5" t="str">
        <f>IFERROR(__xludf.DUMMYFUNCTION("""COMPUTED_VALUE"""),"1 |")</f>
        <v>1 |</v>
      </c>
      <c r="D125" s="5" t="str">
        <f>IFERROR(__xludf.DUMMYFUNCTION("""COMPUTED_VALUE"""),"+ Show History »")</f>
        <v>+ Show History »</v>
      </c>
      <c r="E125" s="5" t="str">
        <f>IFERROR(__xludf.DUMMYFUNCTION("""COMPUTED_VALUE"""),"Very Low Risk")</f>
        <v>Very Low Risk</v>
      </c>
      <c r="F125" s="38">
        <f>IFERROR(__xludf.DUMMYFUNCTION("""COMPUTED_VALUE"""),0.16)</f>
        <v>0.16</v>
      </c>
      <c r="G125" s="5">
        <f>IFERROR(__xludf.DUMMYFUNCTION("""COMPUTED_VALUE"""),1.31)</f>
        <v>1.31</v>
      </c>
      <c r="H125" s="38">
        <f>IFERROR(__xludf.DUMMYFUNCTION("""COMPUTED_VALUE"""),0.01)</f>
        <v>0.01</v>
      </c>
      <c r="I125" s="5">
        <f>IFERROR(__xludf.DUMMYFUNCTION("""COMPUTED_VALUE"""),5.0)</f>
        <v>5</v>
      </c>
      <c r="J125" s="5">
        <f>IFERROR(__xludf.DUMMYFUNCTION("""COMPUTED_VALUE"""),127.1)</f>
        <v>127.1</v>
      </c>
    </row>
    <row r="126">
      <c r="A126" s="5" t="str">
        <f>IFERROR(__xludf.DUMMYFUNCTION("""COMPUTED_VALUE"""),"*Very Low Risk*
1
X
Tutu AtwellWR LAR
Seasons:2
Height:5'9""
Weight:175
Bye:10
View Player Profile »
Injury History [TABLE]")</f>
        <v>*Very Low Risk*
1
X
Tutu AtwellWR LAR
Seasons:2
Height:5'9"
Weight:175
Bye:10
View Player Profile »
Injury History [TABLE]</v>
      </c>
      <c r="B126" s="5"/>
      <c r="C126" s="5"/>
      <c r="D126" s="5"/>
      <c r="E126" s="5"/>
      <c r="F126" s="5"/>
      <c r="G126" s="5"/>
      <c r="H126" s="5"/>
      <c r="I126" s="5"/>
      <c r="J126" s="5"/>
    </row>
    <row r="127">
      <c r="A127" s="5"/>
      <c r="B127" s="5" t="str">
        <f>IFERROR(__xludf.DUMMYFUNCTION("""COMPUTED_VALUE"""),"Josh Reynolds, WR DET")</f>
        <v>Josh Reynolds, WR DET</v>
      </c>
      <c r="C127" s="5">
        <f>IFERROR(__xludf.DUMMYFUNCTION("""COMPUTED_VALUE"""),0.0)</f>
        <v>0</v>
      </c>
      <c r="D127" s="5" t="str">
        <f>IFERROR(__xludf.DUMMYFUNCTION("""COMPUTED_VALUE"""),"+ Show History »")</f>
        <v>+ Show History »</v>
      </c>
      <c r="E127" s="5" t="str">
        <f>IFERROR(__xludf.DUMMYFUNCTION("""COMPUTED_VALUE"""),"Very Low Risk")</f>
        <v>Very Low Risk</v>
      </c>
      <c r="F127" s="38">
        <f>IFERROR(__xludf.DUMMYFUNCTION("""COMPUTED_VALUE"""),0.07)</f>
        <v>0.07</v>
      </c>
      <c r="G127" s="5">
        <f>IFERROR(__xludf.DUMMYFUNCTION("""COMPUTED_VALUE"""),0.2)</f>
        <v>0.2</v>
      </c>
      <c r="H127" s="60">
        <f>IFERROR(__xludf.DUMMYFUNCTION("""COMPUTED_VALUE"""),0.004)</f>
        <v>0.004</v>
      </c>
      <c r="I127" s="5">
        <f>IFERROR(__xludf.DUMMYFUNCTION("""COMPUTED_VALUE"""),5.0)</f>
        <v>5</v>
      </c>
      <c r="J127" s="5">
        <f>IFERROR(__xludf.DUMMYFUNCTION("""COMPUTED_VALUE"""),126.9)</f>
        <v>126.9</v>
      </c>
    </row>
    <row r="128">
      <c r="A128" s="5" t="str">
        <f>IFERROR(__xludf.DUMMYFUNCTION("""COMPUTED_VALUE"""),"*Very Low Risk*
X
Josh ReynoldsWR DET
Seasons:6
Height:6'4""
Weight:194
Bye:9
View Player Profile »
Injury History [TABLE]")</f>
        <v>*Very Low Risk*
X
Josh ReynoldsWR DET
Seasons:6
Height:6'4"
Weight:194
Bye:9
View Player Profile »
Injury History [TABLE]</v>
      </c>
      <c r="B128" s="5"/>
      <c r="C128" s="5"/>
      <c r="D128" s="5"/>
      <c r="E128" s="5"/>
      <c r="F128" s="5"/>
      <c r="G128" s="5"/>
      <c r="H128" s="5"/>
      <c r="I128" s="5"/>
      <c r="J128" s="5"/>
    </row>
    <row r="129">
      <c r="A129" s="5"/>
      <c r="B129" s="5" t="str">
        <f>IFERROR(__xludf.DUMMYFUNCTION("""COMPUTED_VALUE"""),"Michael Wilson, WR ARI")</f>
        <v>Michael Wilson, WR ARI</v>
      </c>
      <c r="C129" s="5" t="str">
        <f>IFERROR(__xludf.DUMMYFUNCTION("""COMPUTED_VALUE"""),"2 | |")</f>
        <v>2 | |</v>
      </c>
      <c r="D129" s="5" t="str">
        <f>IFERROR(__xludf.DUMMYFUNCTION("""COMPUTED_VALUE"""),"+ Show History »")</f>
        <v>+ Show History »</v>
      </c>
      <c r="E129" s="5" t="str">
        <f>IFERROR(__xludf.DUMMYFUNCTION("""COMPUTED_VALUE"""),"Very Low Risk")</f>
        <v>Very Low Risk</v>
      </c>
      <c r="F129" s="38">
        <f>IFERROR(__xludf.DUMMYFUNCTION("""COMPUTED_VALUE"""),0.21)</f>
        <v>0.21</v>
      </c>
      <c r="G129" s="5">
        <f>IFERROR(__xludf.DUMMYFUNCTION("""COMPUTED_VALUE"""),1.4)</f>
        <v>1.4</v>
      </c>
      <c r="H129" s="60">
        <f>IFERROR(__xludf.DUMMYFUNCTION("""COMPUTED_VALUE"""),0.014)</f>
        <v>0.014</v>
      </c>
      <c r="I129" s="5">
        <f>IFERROR(__xludf.DUMMYFUNCTION("""COMPUTED_VALUE"""),1.0)</f>
        <v>1</v>
      </c>
      <c r="J129" s="5">
        <f>IFERROR(__xludf.DUMMYFUNCTION("""COMPUTED_VALUE"""),126.8)</f>
        <v>126.8</v>
      </c>
    </row>
    <row r="130">
      <c r="A130" s="5" t="str">
        <f>IFERROR(__xludf.DUMMYFUNCTION("""COMPUTED_VALUE"""),"*Very Low Risk*
2
X
Michael WilsonWR ARI
Seasons:0
Height:6'1""
Weight:213
Bye:14
View Player Profile »
Injury History [TABLE]")</f>
        <v>*Very Low Risk*
2
X
Michael WilsonWR ARI
Seasons:0
Height:6'1"
Weight:213
Bye:14
View Player Profile »
Injury History [TABLE]</v>
      </c>
      <c r="B130" s="5"/>
      <c r="C130" s="5"/>
      <c r="D130" s="5"/>
      <c r="E130" s="5"/>
      <c r="F130" s="5"/>
      <c r="G130" s="5"/>
      <c r="H130" s="5"/>
      <c r="I130" s="5"/>
      <c r="J130" s="5"/>
    </row>
    <row r="131">
      <c r="A131" s="5"/>
      <c r="B131" s="5" t="str">
        <f>IFERROR(__xludf.DUMMYFUNCTION("""COMPUTED_VALUE"""),"Jameson Williams, WR DET")</f>
        <v>Jameson Williams, WR DET</v>
      </c>
      <c r="C131" s="5" t="str">
        <f>IFERROR(__xludf.DUMMYFUNCTION("""COMPUTED_VALUE"""),"2 | |")</f>
        <v>2 | |</v>
      </c>
      <c r="D131" s="5" t="str">
        <f>IFERROR(__xludf.DUMMYFUNCTION("""COMPUTED_VALUE"""),"+ Show History »")</f>
        <v>+ Show History »</v>
      </c>
      <c r="E131" s="5" t="str">
        <f>IFERROR(__xludf.DUMMYFUNCTION("""COMPUTED_VALUE"""),"Medium Risk")</f>
        <v>Medium Risk</v>
      </c>
      <c r="F131" s="38">
        <f>IFERROR(__xludf.DUMMYFUNCTION("""COMPUTED_VALUE"""),0.48)</f>
        <v>0.48</v>
      </c>
      <c r="G131" s="5">
        <f>IFERROR(__xludf.DUMMYFUNCTION("""COMPUTED_VALUE"""),1.95)</f>
        <v>1.95</v>
      </c>
      <c r="H131" s="60">
        <f>IFERROR(__xludf.DUMMYFUNCTION("""COMPUTED_VALUE"""),0.038)</f>
        <v>0.038</v>
      </c>
      <c r="I131" s="5">
        <f>IFERROR(__xludf.DUMMYFUNCTION("""COMPUTED_VALUE"""),1.73)</f>
        <v>1.73</v>
      </c>
      <c r="J131" s="5">
        <f>IFERROR(__xludf.DUMMYFUNCTION("""COMPUTED_VALUE"""),126.6)</f>
        <v>126.6</v>
      </c>
    </row>
    <row r="132">
      <c r="A132" s="5" t="str">
        <f>IFERROR(__xludf.DUMMYFUNCTION("""COMPUTED_VALUE"""),"*Medium Risk*
1
1
X
Jameson WilliamsWR DET
Seasons:2
Height:6'1""
Weight:180
Bye:9
View Player Profile »
Injury History [TABLE]")</f>
        <v>*Medium Risk*
1
1
X
Jameson WilliamsWR DET
Seasons:2
Height:6'1"
Weight:180
Bye:9
View Player Profile »
Injury History [TABLE]</v>
      </c>
      <c r="B132" s="5"/>
      <c r="C132" s="5"/>
      <c r="D132" s="5"/>
      <c r="E132" s="5"/>
      <c r="F132" s="5"/>
      <c r="G132" s="5"/>
      <c r="H132" s="5"/>
      <c r="I132" s="5"/>
      <c r="J132" s="5"/>
    </row>
    <row r="133">
      <c r="A133" s="5"/>
      <c r="B133" s="5" t="str">
        <f>IFERROR(__xludf.DUMMYFUNCTION("""COMPUTED_VALUE"""),"Treylon Burks, WR TEN")</f>
        <v>Treylon Burks, WR TEN</v>
      </c>
      <c r="C133" s="5" t="str">
        <f>IFERROR(__xludf.DUMMYFUNCTION("""COMPUTED_VALUE"""),"7 | | | | | | |")</f>
        <v>7 | | | | | | |</v>
      </c>
      <c r="D133" s="5" t="str">
        <f>IFERROR(__xludf.DUMMYFUNCTION("""COMPUTED_VALUE"""),"+ Show History »")</f>
        <v>+ Show History »</v>
      </c>
      <c r="E133" s="5" t="str">
        <f>IFERROR(__xludf.DUMMYFUNCTION("""COMPUTED_VALUE"""),"High Risk")</f>
        <v>High Risk</v>
      </c>
      <c r="F133" s="38">
        <f>IFERROR(__xludf.DUMMYFUNCTION("""COMPUTED_VALUE"""),0.58)</f>
        <v>0.58</v>
      </c>
      <c r="G133" s="5">
        <f>IFERROR(__xludf.DUMMYFUNCTION("""COMPUTED_VALUE"""),1.5)</f>
        <v>1.5</v>
      </c>
      <c r="H133" s="38">
        <f>IFERROR(__xludf.DUMMYFUNCTION("""COMPUTED_VALUE"""),0.05)</f>
        <v>0.05</v>
      </c>
      <c r="I133" s="5">
        <f>IFERROR(__xludf.DUMMYFUNCTION("""COMPUTED_VALUE"""),2.71)</f>
        <v>2.71</v>
      </c>
      <c r="J133" s="5">
        <f>IFERROR(__xludf.DUMMYFUNCTION("""COMPUTED_VALUE"""),122.6)</f>
        <v>122.6</v>
      </c>
    </row>
    <row r="134">
      <c r="A134" s="5" t="str">
        <f>IFERROR(__xludf.DUMMYFUNCTION("""COMPUTED_VALUE"""),"*High Risk*
2
3
2
X
Treylon BurksWR TEN
Seasons:2
Height:6'2""
Weight:225
Bye:7
View Player Profile »
Injury History [TABLE]")</f>
        <v>*High Risk*
2
3
2
X
Treylon BurksWR TEN
Seasons:2
Height:6'2"
Weight:225
Bye:7
View Player Profile »
Injury History [TABLE]</v>
      </c>
      <c r="B134" s="5"/>
      <c r="C134" s="5"/>
      <c r="D134" s="5"/>
      <c r="E134" s="5"/>
      <c r="F134" s="5"/>
      <c r="G134" s="5"/>
      <c r="H134" s="5"/>
      <c r="I134" s="5"/>
      <c r="J134" s="5"/>
    </row>
    <row r="135">
      <c r="A135" s="5"/>
      <c r="B135" s="5" t="str">
        <f>IFERROR(__xludf.DUMMYFUNCTION("""COMPUTED_VALUE"""),"Josh Palmer, WR LAC")</f>
        <v>Josh Palmer, WR LAC</v>
      </c>
      <c r="C135" s="5" t="str">
        <f>IFERROR(__xludf.DUMMYFUNCTION("""COMPUTED_VALUE"""),"1 |")</f>
        <v>1 |</v>
      </c>
      <c r="D135" s="5" t="str">
        <f>IFERROR(__xludf.DUMMYFUNCTION("""COMPUTED_VALUE"""),"+ Show History »")</f>
        <v>+ Show History »</v>
      </c>
      <c r="E135" s="5" t="str">
        <f>IFERROR(__xludf.DUMMYFUNCTION("""COMPUTED_VALUE"""),"Low Risk")</f>
        <v>Low Risk</v>
      </c>
      <c r="F135" s="38">
        <f>IFERROR(__xludf.DUMMYFUNCTION("""COMPUTED_VALUE"""),0.31)</f>
        <v>0.31</v>
      </c>
      <c r="G135" s="5">
        <f>IFERROR(__xludf.DUMMYFUNCTION("""COMPUTED_VALUE"""),1.3)</f>
        <v>1.3</v>
      </c>
      <c r="H135" s="60">
        <f>IFERROR(__xludf.DUMMYFUNCTION("""COMPUTED_VALUE"""),0.022)</f>
        <v>0.022</v>
      </c>
      <c r="I135" s="5">
        <f>IFERROR(__xludf.DUMMYFUNCTION("""COMPUTED_VALUE"""),5.0)</f>
        <v>5</v>
      </c>
      <c r="J135" s="5">
        <f>IFERROR(__xludf.DUMMYFUNCTION("""COMPUTED_VALUE"""),119.8)</f>
        <v>119.8</v>
      </c>
    </row>
    <row r="136">
      <c r="A136" s="5" t="str">
        <f>IFERROR(__xludf.DUMMYFUNCTION("""COMPUTED_VALUE"""),"*Low Risk*
1
X
Josh PalmerWR LAC
Seasons:2
Height:6'1""
Weight:210
Bye:5
View Player Profile »
Injury History [TABLE]")</f>
        <v>*Low Risk*
1
X
Josh PalmerWR LAC
Seasons:2
Height:6'1"
Weight:210
Bye:5
View Player Profile »
Injury History [TABLE]</v>
      </c>
      <c r="B136" s="5"/>
      <c r="C136" s="5"/>
      <c r="D136" s="5"/>
      <c r="E136" s="5"/>
      <c r="F136" s="5"/>
      <c r="G136" s="5"/>
      <c r="H136" s="5"/>
      <c r="I136" s="5"/>
      <c r="J136" s="5"/>
    </row>
    <row r="137">
      <c r="A137" s="5"/>
      <c r="B137" s="5" t="str">
        <f>IFERROR(__xludf.DUMMYFUNCTION("""COMPUTED_VALUE"""),"Darius Slayton, WR NYG")</f>
        <v>Darius Slayton, WR NYG</v>
      </c>
      <c r="C137" s="5" t="str">
        <f>IFERROR(__xludf.DUMMYFUNCTION("""COMPUTED_VALUE"""),"5 | | | | |")</f>
        <v>5 | | | | |</v>
      </c>
      <c r="D137" s="5" t="str">
        <f>IFERROR(__xludf.DUMMYFUNCTION("""COMPUTED_VALUE"""),"+ Show History »")</f>
        <v>+ Show History »</v>
      </c>
      <c r="E137" s="5" t="str">
        <f>IFERROR(__xludf.DUMMYFUNCTION("""COMPUTED_VALUE"""),"High Risk")</f>
        <v>High Risk</v>
      </c>
      <c r="F137" s="38">
        <f>IFERROR(__xludf.DUMMYFUNCTION("""COMPUTED_VALUE"""),0.71)</f>
        <v>0.71</v>
      </c>
      <c r="G137" s="5">
        <f>IFERROR(__xludf.DUMMYFUNCTION("""COMPUTED_VALUE"""),2.5)</f>
        <v>2.5</v>
      </c>
      <c r="H137" s="38">
        <f>IFERROR(__xludf.DUMMYFUNCTION("""COMPUTED_VALUE"""),0.07)</f>
        <v>0.07</v>
      </c>
      <c r="I137" s="5">
        <f>IFERROR(__xludf.DUMMYFUNCTION("""COMPUTED_VALUE"""),5.0)</f>
        <v>5</v>
      </c>
      <c r="J137" s="5">
        <f>IFERROR(__xludf.DUMMYFUNCTION("""COMPUTED_VALUE"""),117.3)</f>
        <v>117.3</v>
      </c>
    </row>
    <row r="138">
      <c r="A138" s="5" t="str">
        <f>IFERROR(__xludf.DUMMYFUNCTION("""COMPUTED_VALUE"""),"*High Risk*
2
2
1
X
Darius SlaytonWR NYG
Seasons:4
Height:6'1""
Weight:190
Bye:13
View Player Profile »
Injury History [TABLE]")</f>
        <v>*High Risk*
2
2
1
X
Darius SlaytonWR NYG
Seasons:4
Height:6'1"
Weight:190
Bye:13
View Player Profile »
Injury History [TABLE]</v>
      </c>
      <c r="B138" s="5"/>
      <c r="C138" s="5"/>
      <c r="D138" s="5"/>
      <c r="E138" s="5"/>
      <c r="F138" s="5"/>
      <c r="G138" s="5"/>
      <c r="H138" s="5"/>
      <c r="I138" s="5"/>
      <c r="J138" s="5"/>
    </row>
    <row r="139">
      <c r="A139" s="5"/>
      <c r="B139" s="5" t="str">
        <f>IFERROR(__xludf.DUMMYFUNCTION("""COMPUTED_VALUE"""),"K.J. Osborn, WR MIN")</f>
        <v>K.J. Osborn, WR MIN</v>
      </c>
      <c r="C139" s="5" t="str">
        <f>IFERROR(__xludf.DUMMYFUNCTION("""COMPUTED_VALUE"""),"2 | |")</f>
        <v>2 | |</v>
      </c>
      <c r="D139" s="5" t="str">
        <f>IFERROR(__xludf.DUMMYFUNCTION("""COMPUTED_VALUE"""),"+ Show History »")</f>
        <v>+ Show History »</v>
      </c>
      <c r="E139" s="5" t="str">
        <f>IFERROR(__xludf.DUMMYFUNCTION("""COMPUTED_VALUE"""),"Medium Risk")</f>
        <v>Medium Risk</v>
      </c>
      <c r="F139" s="38">
        <f>IFERROR(__xludf.DUMMYFUNCTION("""COMPUTED_VALUE"""),0.4)</f>
        <v>0.4</v>
      </c>
      <c r="G139" s="5">
        <f>IFERROR(__xludf.DUMMYFUNCTION("""COMPUTED_VALUE"""),1.8)</f>
        <v>1.8</v>
      </c>
      <c r="H139" s="38">
        <f>IFERROR(__xludf.DUMMYFUNCTION("""COMPUTED_VALUE"""),0.03)</f>
        <v>0.03</v>
      </c>
      <c r="I139" s="5">
        <f>IFERROR(__xludf.DUMMYFUNCTION("""COMPUTED_VALUE"""),5.0)</f>
        <v>5</v>
      </c>
      <c r="J139" s="5">
        <f>IFERROR(__xludf.DUMMYFUNCTION("""COMPUTED_VALUE"""),117.1)</f>
        <v>117.1</v>
      </c>
    </row>
    <row r="140">
      <c r="A140" s="5" t="str">
        <f>IFERROR(__xludf.DUMMYFUNCTION("""COMPUTED_VALUE"""),"*Medium Risk*
1
1
X
K.J. OsbornWR MIN
Seasons:3
Height:6'0""
Weight:203
Bye:13
View Player Profile »
Injury History [TABLE]")</f>
        <v>*Medium Risk*
1
1
X
K.J. OsbornWR MIN
Seasons:3
Height:6'0"
Weight:203
Bye:13
View Player Profile »
Injury History [TABLE]</v>
      </c>
      <c r="B140" s="5"/>
      <c r="C140" s="5"/>
      <c r="D140" s="5"/>
      <c r="E140" s="5"/>
      <c r="F140" s="5"/>
      <c r="G140" s="5"/>
      <c r="H140" s="5"/>
      <c r="I140" s="5"/>
      <c r="J140" s="5"/>
    </row>
    <row r="141">
      <c r="A141" s="5"/>
      <c r="B141" s="5" t="str">
        <f>IFERROR(__xludf.DUMMYFUNCTION("""COMPUTED_VALUE"""),"Alec Pierce, WR IND")</f>
        <v>Alec Pierce, WR IND</v>
      </c>
      <c r="C141" s="5" t="str">
        <f>IFERROR(__xludf.DUMMYFUNCTION("""COMPUTED_VALUE"""),"3 | | |")</f>
        <v>3 | | |</v>
      </c>
      <c r="D141" s="5" t="str">
        <f>IFERROR(__xludf.DUMMYFUNCTION("""COMPUTED_VALUE"""),"+ Show History »")</f>
        <v>+ Show History »</v>
      </c>
      <c r="E141" s="5" t="str">
        <f>IFERROR(__xludf.DUMMYFUNCTION("""COMPUTED_VALUE"""),"Medium Risk")</f>
        <v>Medium Risk</v>
      </c>
      <c r="F141" s="38">
        <f>IFERROR(__xludf.DUMMYFUNCTION("""COMPUTED_VALUE"""),0.57)</f>
        <v>0.57</v>
      </c>
      <c r="G141" s="5">
        <f>IFERROR(__xludf.DUMMYFUNCTION("""COMPUTED_VALUE"""),2.5)</f>
        <v>2.5</v>
      </c>
      <c r="H141" s="60">
        <f>IFERROR(__xludf.DUMMYFUNCTION("""COMPUTED_VALUE"""),0.048)</f>
        <v>0.048</v>
      </c>
      <c r="I141" s="5">
        <f>IFERROR(__xludf.DUMMYFUNCTION("""COMPUTED_VALUE"""),4.46)</f>
        <v>4.46</v>
      </c>
      <c r="J141" s="5">
        <f>IFERROR(__xludf.DUMMYFUNCTION("""COMPUTED_VALUE"""),115.0)</f>
        <v>115</v>
      </c>
    </row>
    <row r="142">
      <c r="A142" s="5" t="str">
        <f>IFERROR(__xludf.DUMMYFUNCTION("""COMPUTED_VALUE"""),"*Medium Risk*
1
1
1
X
Alec PierceWR IND
Seasons:2
Height:6'3""
Weight:211
Bye:11
View Player Profile »
Injury History [TABLE]")</f>
        <v>*Medium Risk*
1
1
1
X
Alec PierceWR IND
Seasons:2
Height:6'3"
Weight:211
Bye:11
View Player Profile »
Injury History [TABLE]</v>
      </c>
      <c r="B142" s="5"/>
      <c r="C142" s="5"/>
      <c r="D142" s="5"/>
      <c r="E142" s="5"/>
      <c r="F142" s="5"/>
      <c r="G142" s="5"/>
      <c r="H142" s="5"/>
      <c r="I142" s="5"/>
      <c r="J142" s="5"/>
    </row>
    <row r="143">
      <c r="A143" s="5"/>
      <c r="B143" s="5" t="str">
        <f>IFERROR(__xludf.DUMMYFUNCTION("""COMPUTED_VALUE"""),"Justin Watson, WR KC")</f>
        <v>Justin Watson, WR KC</v>
      </c>
      <c r="C143" s="5" t="str">
        <f>IFERROR(__xludf.DUMMYFUNCTION("""COMPUTED_VALUE"""),"3 | | |")</f>
        <v>3 | | |</v>
      </c>
      <c r="D143" s="5" t="str">
        <f>IFERROR(__xludf.DUMMYFUNCTION("""COMPUTED_VALUE"""),"+ Show History »")</f>
        <v>+ Show History »</v>
      </c>
      <c r="E143" s="5" t="str">
        <f>IFERROR(__xludf.DUMMYFUNCTION("""COMPUTED_VALUE"""),"Very Low Risk")</f>
        <v>Very Low Risk</v>
      </c>
      <c r="F143" s="38">
        <f>IFERROR(__xludf.DUMMYFUNCTION("""COMPUTED_VALUE"""),0.16)</f>
        <v>0.16</v>
      </c>
      <c r="G143" s="5">
        <f>IFERROR(__xludf.DUMMYFUNCTION("""COMPUTED_VALUE"""),0.5)</f>
        <v>0.5</v>
      </c>
      <c r="H143" s="38">
        <f>IFERROR(__xludf.DUMMYFUNCTION("""COMPUTED_VALUE"""),0.01)</f>
        <v>0.01</v>
      </c>
      <c r="I143" s="5">
        <f>IFERROR(__xludf.DUMMYFUNCTION("""COMPUTED_VALUE"""),5.0)</f>
        <v>5</v>
      </c>
      <c r="J143" s="5">
        <f>IFERROR(__xludf.DUMMYFUNCTION("""COMPUTED_VALUE"""),111.0)</f>
        <v>111</v>
      </c>
    </row>
    <row r="144">
      <c r="A144" s="5" t="str">
        <f>IFERROR(__xludf.DUMMYFUNCTION("""COMPUTED_VALUE"""),"*Very Low Risk*
1
1
1
X
Justin WatsonWR KC
Seasons:5
Height:6'2""
Weight:215
Bye:10
View Player Profile »
Injury History [TABLE]")</f>
        <v>*Very Low Risk*
1
1
1
X
Justin WatsonWR KC
Seasons:5
Height:6'2"
Weight:215
Bye:10
View Player Profile »
Injury History [TABLE]</v>
      </c>
      <c r="B144" s="5"/>
      <c r="C144" s="5"/>
      <c r="D144" s="5"/>
      <c r="E144" s="5"/>
      <c r="F144" s="5"/>
      <c r="G144" s="5"/>
      <c r="H144" s="5"/>
      <c r="I144" s="5"/>
      <c r="J144" s="5"/>
    </row>
    <row r="145">
      <c r="A145" s="5"/>
      <c r="B145" s="5" t="str">
        <f>IFERROR(__xludf.DUMMYFUNCTION("""COMPUTED_VALUE"""),"Marvin Mims Jr., WR DEN")</f>
        <v>Marvin Mims Jr., WR DEN</v>
      </c>
      <c r="C145" s="5">
        <f>IFERROR(__xludf.DUMMYFUNCTION("""COMPUTED_VALUE"""),0.0)</f>
        <v>0</v>
      </c>
      <c r="D145" s="5" t="str">
        <f>IFERROR(__xludf.DUMMYFUNCTION("""COMPUTED_VALUE"""),"+ Show History »")</f>
        <v>+ Show History »</v>
      </c>
      <c r="E145" s="5" t="str">
        <f>IFERROR(__xludf.DUMMYFUNCTION("""COMPUTED_VALUE"""),"Very Low Risk")</f>
        <v>Very Low Risk</v>
      </c>
      <c r="F145" s="38">
        <f>IFERROR(__xludf.DUMMYFUNCTION("""COMPUTED_VALUE"""),0.19)</f>
        <v>0.19</v>
      </c>
      <c r="G145" s="5">
        <f>IFERROR(__xludf.DUMMYFUNCTION("""COMPUTED_VALUE"""),1.1)</f>
        <v>1.1</v>
      </c>
      <c r="H145" s="60">
        <f>IFERROR(__xludf.DUMMYFUNCTION("""COMPUTED_VALUE"""),0.012)</f>
        <v>0.012</v>
      </c>
      <c r="I145" s="5">
        <f>IFERROR(__xludf.DUMMYFUNCTION("""COMPUTED_VALUE"""),5.0)</f>
        <v>5</v>
      </c>
      <c r="J145" s="5">
        <f>IFERROR(__xludf.DUMMYFUNCTION("""COMPUTED_VALUE"""),107.4)</f>
        <v>107.4</v>
      </c>
    </row>
    <row r="146">
      <c r="A146" s="5" t="str">
        <f>IFERROR(__xludf.DUMMYFUNCTION("""COMPUTED_VALUE"""),"*Very Low Risk*
X
Marvin Mims Jr.WR DEN
Seasons:0
Height:5'10""
Weight:183
Bye:9
View Player Profile »
Injury History [TABLE]")</f>
        <v>*Very Low Risk*
X
Marvin Mims Jr.WR DEN
Seasons:0
Height:5'10"
Weight:183
Bye:9
View Player Profile »
Injury History [TABLE]</v>
      </c>
      <c r="B146" s="5"/>
      <c r="C146" s="5"/>
      <c r="D146" s="5"/>
      <c r="E146" s="5"/>
      <c r="F146" s="5"/>
      <c r="G146" s="5"/>
      <c r="H146" s="5"/>
      <c r="I146" s="5"/>
      <c r="J146" s="5"/>
    </row>
    <row r="147">
      <c r="A147" s="5"/>
      <c r="B147" s="5" t="str">
        <f>IFERROR(__xludf.DUMMYFUNCTION("""COMPUTED_VALUE"""),"John Metchie, WR HOU")</f>
        <v>John Metchie, WR HOU</v>
      </c>
      <c r="C147" s="5" t="str">
        <f>IFERROR(__xludf.DUMMYFUNCTION("""COMPUTED_VALUE"""),"3 | | |")</f>
        <v>3 | | |</v>
      </c>
      <c r="D147" s="5" t="str">
        <f>IFERROR(__xludf.DUMMYFUNCTION("""COMPUTED_VALUE"""),"+ Show History »")</f>
        <v>+ Show History »</v>
      </c>
      <c r="E147" s="5" t="str">
        <f>IFERROR(__xludf.DUMMYFUNCTION("""COMPUTED_VALUE"""),"High Risk")</f>
        <v>High Risk</v>
      </c>
      <c r="F147" s="38">
        <f>IFERROR(__xludf.DUMMYFUNCTION("""COMPUTED_VALUE"""),0.63)</f>
        <v>0.63</v>
      </c>
      <c r="G147" s="5">
        <f>IFERROR(__xludf.DUMMYFUNCTION("""COMPUTED_VALUE"""),1.6)</f>
        <v>1.6</v>
      </c>
      <c r="H147" s="60">
        <f>IFERROR(__xludf.DUMMYFUNCTION("""COMPUTED_VALUE"""),0.057)</f>
        <v>0.057</v>
      </c>
      <c r="I147" s="5">
        <f>IFERROR(__xludf.DUMMYFUNCTION("""COMPUTED_VALUE"""),5.0)</f>
        <v>5</v>
      </c>
      <c r="J147" s="5">
        <f>IFERROR(__xludf.DUMMYFUNCTION("""COMPUTED_VALUE"""),107.3)</f>
        <v>107.3</v>
      </c>
    </row>
    <row r="148">
      <c r="A148" s="5" t="str">
        <f>IFERROR(__xludf.DUMMYFUNCTION("""COMPUTED_VALUE"""),"*High Risk*
1
1
1
X
John MetchieWR HOU
Seasons:2
Height:5'11""
Weight:187
Bye:7
View Player Profile »
Injury History [TABLE]")</f>
        <v>*High Risk*
1
1
1
X
John MetchieWR HOU
Seasons:2
Height:5'11"
Weight:187
Bye:7
View Player Profile »
Injury History [TABLE]</v>
      </c>
      <c r="B148" s="5"/>
      <c r="C148" s="5"/>
      <c r="D148" s="5"/>
      <c r="E148" s="5"/>
      <c r="F148" s="5"/>
      <c r="G148" s="5"/>
      <c r="H148" s="5"/>
      <c r="I148" s="5"/>
      <c r="J148" s="5"/>
    </row>
    <row r="149">
      <c r="A149" s="5"/>
      <c r="B149" s="5" t="str">
        <f>IFERROR(__xludf.DUMMYFUNCTION("""COMPUTED_VALUE"""),"Elijah Moore, WR CLE")</f>
        <v>Elijah Moore, WR CLE</v>
      </c>
      <c r="C149" s="5" t="str">
        <f>IFERROR(__xludf.DUMMYFUNCTION("""COMPUTED_VALUE"""),"4 | | | |")</f>
        <v>4 | | | |</v>
      </c>
      <c r="D149" s="5" t="str">
        <f>IFERROR(__xludf.DUMMYFUNCTION("""COMPUTED_VALUE"""),"+ Show History »")</f>
        <v>+ Show History »</v>
      </c>
      <c r="E149" s="5" t="str">
        <f>IFERROR(__xludf.DUMMYFUNCTION("""COMPUTED_VALUE"""),"High Risk")</f>
        <v>High Risk</v>
      </c>
      <c r="F149" s="38">
        <f>IFERROR(__xludf.DUMMYFUNCTION("""COMPUTED_VALUE"""),0.65)</f>
        <v>0.65</v>
      </c>
      <c r="G149" s="5">
        <f>IFERROR(__xludf.DUMMYFUNCTION("""COMPUTED_VALUE"""),1.75)</f>
        <v>1.75</v>
      </c>
      <c r="H149" s="38">
        <f>IFERROR(__xludf.DUMMYFUNCTION("""COMPUTED_VALUE"""),0.06)</f>
        <v>0.06</v>
      </c>
      <c r="I149" s="5">
        <f>IFERROR(__xludf.DUMMYFUNCTION("""COMPUTED_VALUE"""),4.32)</f>
        <v>4.32</v>
      </c>
      <c r="J149" s="5">
        <f>IFERROR(__xludf.DUMMYFUNCTION("""COMPUTED_VALUE"""),104.5)</f>
        <v>104.5</v>
      </c>
    </row>
    <row r="150">
      <c r="A150" s="5" t="str">
        <f>IFERROR(__xludf.DUMMYFUNCTION("""COMPUTED_VALUE"""),"*High Risk*
1
2
1
X
Elijah MooreWR CLE
Seasons:2
Height:5'10""
Weight:185
Bye:5
View Player Profile »
Injury History [TABLE]")</f>
        <v>*High Risk*
1
2
1
X
Elijah MooreWR CLE
Seasons:2
Height:5'10"
Weight:185
Bye:5
View Player Profile »
Injury History [TABLE]</v>
      </c>
      <c r="B150" s="5"/>
      <c r="C150" s="5"/>
      <c r="D150" s="5"/>
      <c r="E150" s="5"/>
      <c r="F150" s="5"/>
      <c r="G150" s="5"/>
      <c r="H150" s="5"/>
      <c r="I150" s="5"/>
      <c r="J150" s="5"/>
    </row>
    <row r="151">
      <c r="A151" s="5"/>
      <c r="B151" s="5" t="str">
        <f>IFERROR(__xludf.DUMMYFUNCTION("""COMPUTED_VALUE"""),"JuJu Smith-Schuster, WR NE")</f>
        <v>JuJu Smith-Schuster, WR NE</v>
      </c>
      <c r="C151" s="5" t="str">
        <f>IFERROR(__xludf.DUMMYFUNCTION("""COMPUTED_VALUE"""),"15 | | | | | | | | | | | | | | |")</f>
        <v>15 | | | | | | | | | | | | | | |</v>
      </c>
      <c r="D151" s="5" t="str">
        <f>IFERROR(__xludf.DUMMYFUNCTION("""COMPUTED_VALUE"""),"+ Show History »")</f>
        <v>+ Show History »</v>
      </c>
      <c r="E151" s="5" t="str">
        <f>IFERROR(__xludf.DUMMYFUNCTION("""COMPUTED_VALUE"""),"Very High Risk")</f>
        <v>Very High Risk</v>
      </c>
      <c r="F151" s="38">
        <f>IFERROR(__xludf.DUMMYFUNCTION("""COMPUTED_VALUE"""),0.73)</f>
        <v>0.73</v>
      </c>
      <c r="G151" s="5">
        <f>IFERROR(__xludf.DUMMYFUNCTION("""COMPUTED_VALUE"""),3.4)</f>
        <v>3.4</v>
      </c>
      <c r="H151" s="60">
        <f>IFERROR(__xludf.DUMMYFUNCTION("""COMPUTED_VALUE"""),0.074)</f>
        <v>0.074</v>
      </c>
      <c r="I151" s="5">
        <f>IFERROR(__xludf.DUMMYFUNCTION("""COMPUTED_VALUE"""),3.64)</f>
        <v>3.64</v>
      </c>
      <c r="J151" s="5">
        <f>IFERROR(__xludf.DUMMYFUNCTION("""COMPUTED_VALUE"""),103.1)</f>
        <v>103.1</v>
      </c>
    </row>
    <row r="152">
      <c r="A152" s="5" t="str">
        <f>IFERROR(__xludf.DUMMYFUNCTION("""COMPUTED_VALUE"""),"*Very High Risk*
5
3
1
1
2
1
2
X
JuJu Smith-SchusterWR NE
Seasons:6
Height:6'2""
Weight:220
Bye:11
View Player Profile »
Injury History [TABLE]")</f>
        <v>*Very High Risk*
5
3
1
1
2
1
2
X
JuJu Smith-SchusterWR NE
Seasons:6
Height:6'2"
Weight:220
Bye:11
View Player Profile »
Injury History [TABLE]</v>
      </c>
      <c r="B152" s="5"/>
      <c r="C152" s="5"/>
      <c r="D152" s="5"/>
      <c r="E152" s="5"/>
      <c r="F152" s="5"/>
      <c r="G152" s="5"/>
      <c r="H152" s="5"/>
      <c r="I152" s="5"/>
      <c r="J152" s="5"/>
    </row>
    <row r="153">
      <c r="A153" s="5"/>
      <c r="B153" s="5" t="str">
        <f>IFERROR(__xludf.DUMMYFUNCTION("""COMPUTED_VALUE"""),"Michael Gallup, WR DAL")</f>
        <v>Michael Gallup, WR DAL</v>
      </c>
      <c r="C153" s="5" t="str">
        <f>IFERROR(__xludf.DUMMYFUNCTION("""COMPUTED_VALUE"""),"5 | | | | |")</f>
        <v>5 | | | | |</v>
      </c>
      <c r="D153" s="5" t="str">
        <f>IFERROR(__xludf.DUMMYFUNCTION("""COMPUTED_VALUE"""),"+ Show History »")</f>
        <v>+ Show History »</v>
      </c>
      <c r="E153" s="5" t="str">
        <f>IFERROR(__xludf.DUMMYFUNCTION("""COMPUTED_VALUE"""),"Low Risk")</f>
        <v>Low Risk</v>
      </c>
      <c r="F153" s="38">
        <f>IFERROR(__xludf.DUMMYFUNCTION("""COMPUTED_VALUE"""),0.37)</f>
        <v>0.37</v>
      </c>
      <c r="G153" s="5">
        <f>IFERROR(__xludf.DUMMYFUNCTION("""COMPUTED_VALUE"""),0.76)</f>
        <v>0.76</v>
      </c>
      <c r="H153" s="60">
        <f>IFERROR(__xludf.DUMMYFUNCTION("""COMPUTED_VALUE"""),0.027)</f>
        <v>0.027</v>
      </c>
      <c r="I153" s="5">
        <f>IFERROR(__xludf.DUMMYFUNCTION("""COMPUTED_VALUE"""),3.68)</f>
        <v>3.68</v>
      </c>
      <c r="J153" s="5">
        <f>IFERROR(__xludf.DUMMYFUNCTION("""COMPUTED_VALUE"""),102.8)</f>
        <v>102.8</v>
      </c>
    </row>
    <row r="154">
      <c r="A154" s="5" t="str">
        <f>IFERROR(__xludf.DUMMYFUNCTION("""COMPUTED_VALUE"""),"*Low Risk*
2
1
1
1
X
Michael GallupWR DAL
Seasons:5
Height:6'1""
Weight:205
Bye:7
View Player Profile »
Injury History [TABLE]")</f>
        <v>*Low Risk*
2
1
1
1
X
Michael GallupWR DAL
Seasons:5
Height:6'1"
Weight:205
Bye:7
View Player Profile »
Injury History [TABLE]</v>
      </c>
      <c r="B154" s="5"/>
      <c r="C154" s="5"/>
      <c r="D154" s="5"/>
      <c r="E154" s="5"/>
      <c r="F154" s="5"/>
      <c r="G154" s="5"/>
      <c r="H154" s="5"/>
      <c r="I154" s="5"/>
      <c r="J154" s="5"/>
    </row>
    <row r="155">
      <c r="A155" s="5"/>
      <c r="B155" s="5" t="str">
        <f>IFERROR(__xludf.DUMMYFUNCTION("""COMPUTED_VALUE"""),"Kadarius Toney, WR KC")</f>
        <v>Kadarius Toney, WR KC</v>
      </c>
      <c r="C155" s="5" t="str">
        <f>IFERROR(__xludf.DUMMYFUNCTION("""COMPUTED_VALUE"""),"13 | | | | | | | | | | | | |")</f>
        <v>13 | | | | | | | | | | | | |</v>
      </c>
      <c r="D155" s="5" t="str">
        <f>IFERROR(__xludf.DUMMYFUNCTION("""COMPUTED_VALUE"""),"+ Show History »")</f>
        <v>+ Show History »</v>
      </c>
      <c r="E155" s="5" t="str">
        <f>IFERROR(__xludf.DUMMYFUNCTION("""COMPUTED_VALUE"""),"Very High Risk")</f>
        <v>Very High Risk</v>
      </c>
      <c r="F155" s="38">
        <f>IFERROR(__xludf.DUMMYFUNCTION("""COMPUTED_VALUE"""),0.8)</f>
        <v>0.8</v>
      </c>
      <c r="G155" s="5">
        <f>IFERROR(__xludf.DUMMYFUNCTION("""COMPUTED_VALUE"""),3.4)</f>
        <v>3.4</v>
      </c>
      <c r="H155" s="38">
        <f>IFERROR(__xludf.DUMMYFUNCTION("""COMPUTED_VALUE"""),0.09)</f>
        <v>0.09</v>
      </c>
      <c r="I155" s="5">
        <f>IFERROR(__xludf.DUMMYFUNCTION("""COMPUTED_VALUE"""),0.87)</f>
        <v>0.87</v>
      </c>
      <c r="J155" s="5">
        <f>IFERROR(__xludf.DUMMYFUNCTION("""COMPUTED_VALUE"""),98.3)</f>
        <v>98.3</v>
      </c>
    </row>
    <row r="156">
      <c r="A156" s="5" t="str">
        <f>IFERROR(__xludf.DUMMYFUNCTION("""COMPUTED_VALUE"""),"*Very High Risk*
2
3
4
1
1
2
X
Kadarius ToneyWR KC
Seasons:3
Height:6'0""
Weight:193
Bye:10
View Player Profile »
Injury History [TABLE]")</f>
        <v>*Very High Risk*
2
3
4
1
1
2
X
Kadarius ToneyWR KC
Seasons:3
Height:6'0"
Weight:193
Bye:10
View Player Profile »
Injury History [TABLE]</v>
      </c>
      <c r="B156" s="5"/>
      <c r="C156" s="5"/>
      <c r="D156" s="5"/>
      <c r="E156" s="5"/>
      <c r="F156" s="5"/>
      <c r="G156" s="5"/>
      <c r="H156" s="5"/>
      <c r="I156" s="5"/>
      <c r="J156" s="5"/>
    </row>
    <row r="157">
      <c r="A157" s="5"/>
      <c r="B157" s="5" t="str">
        <f>IFERROR(__xludf.DUMMYFUNCTION("""COMPUTED_VALUE"""),"Cedric Tillman, WR CLE")</f>
        <v>Cedric Tillman, WR CLE</v>
      </c>
      <c r="C157" s="5" t="str">
        <f>IFERROR(__xludf.DUMMYFUNCTION("""COMPUTED_VALUE"""),"1 |")</f>
        <v>1 |</v>
      </c>
      <c r="D157" s="5" t="str">
        <f>IFERROR(__xludf.DUMMYFUNCTION("""COMPUTED_VALUE"""),"+ Show History »")</f>
        <v>+ Show History »</v>
      </c>
      <c r="E157" s="5" t="str">
        <f>IFERROR(__xludf.DUMMYFUNCTION("""COMPUTED_VALUE"""),"Very Low Risk")</f>
        <v>Very Low Risk</v>
      </c>
      <c r="F157" s="38">
        <f>IFERROR(__xludf.DUMMYFUNCTION("""COMPUTED_VALUE"""),0.27)</f>
        <v>0.27</v>
      </c>
      <c r="G157" s="5">
        <f>IFERROR(__xludf.DUMMYFUNCTION("""COMPUTED_VALUE"""),0.8)</f>
        <v>0.8</v>
      </c>
      <c r="H157" s="60">
        <f>IFERROR(__xludf.DUMMYFUNCTION("""COMPUTED_VALUE"""),0.018)</f>
        <v>0.018</v>
      </c>
      <c r="I157" s="5">
        <f>IFERROR(__xludf.DUMMYFUNCTION("""COMPUTED_VALUE"""),2.84)</f>
        <v>2.84</v>
      </c>
      <c r="J157" s="5">
        <f>IFERROR(__xludf.DUMMYFUNCTION("""COMPUTED_VALUE"""),96.4)</f>
        <v>96.4</v>
      </c>
    </row>
    <row r="158">
      <c r="A158" s="5" t="str">
        <f>IFERROR(__xludf.DUMMYFUNCTION("""COMPUTED_VALUE"""),"*Very Low Risk*
1
X
Cedric TillmanWR CLE
Seasons:0
Height:6'3""
Weight:213
Bye:5
View Player Profile »
Injury History [TABLE]")</f>
        <v>*Very Low Risk*
1
X
Cedric TillmanWR CLE
Seasons:0
Height:6'3"
Weight:213
Bye:5
View Player Profile »
Injury History [TABLE]</v>
      </c>
      <c r="B158" s="5"/>
      <c r="C158" s="5"/>
      <c r="D158" s="5"/>
      <c r="E158" s="5"/>
      <c r="F158" s="5"/>
      <c r="G158" s="5"/>
      <c r="H158" s="5"/>
      <c r="I158" s="5"/>
      <c r="J158" s="5"/>
    </row>
    <row r="159">
      <c r="A159" s="5"/>
      <c r="B159" s="5" t="str">
        <f>IFERROR(__xludf.DUMMYFUNCTION("""COMPUTED_VALUE"""),"Hunter Renfrow, WR LVR")</f>
        <v>Hunter Renfrow, WR LVR</v>
      </c>
      <c r="C159" s="5" t="str">
        <f>IFERROR(__xludf.DUMMYFUNCTION("""COMPUTED_VALUE"""),"5 | | | | |")</f>
        <v>5 | | | | |</v>
      </c>
      <c r="D159" s="5" t="str">
        <f>IFERROR(__xludf.DUMMYFUNCTION("""COMPUTED_VALUE"""),"+ Show History »")</f>
        <v>+ Show History »</v>
      </c>
      <c r="E159" s="5" t="str">
        <f>IFERROR(__xludf.DUMMYFUNCTION("""COMPUTED_VALUE"""),"Medium Risk")</f>
        <v>Medium Risk</v>
      </c>
      <c r="F159" s="38">
        <f>IFERROR(__xludf.DUMMYFUNCTION("""COMPUTED_VALUE"""),0.48)</f>
        <v>0.48</v>
      </c>
      <c r="G159" s="5">
        <f>IFERROR(__xludf.DUMMYFUNCTION("""COMPUTED_VALUE"""),2.76)</f>
        <v>2.76</v>
      </c>
      <c r="H159" s="60">
        <f>IFERROR(__xludf.DUMMYFUNCTION("""COMPUTED_VALUE"""),0.038)</f>
        <v>0.038</v>
      </c>
      <c r="I159" s="5">
        <f>IFERROR(__xludf.DUMMYFUNCTION("""COMPUTED_VALUE"""),3.61)</f>
        <v>3.61</v>
      </c>
      <c r="J159" s="5">
        <f>IFERROR(__xludf.DUMMYFUNCTION("""COMPUTED_VALUE"""),96.2)</f>
        <v>96.2</v>
      </c>
    </row>
    <row r="160">
      <c r="A160" s="5" t="str">
        <f>IFERROR(__xludf.DUMMYFUNCTION("""COMPUTED_VALUE"""),"*Medium Risk*
1
2
1
1
X
Hunter RenfrowWR LVR
Seasons:4
Height:5'10""
Weight:184
Bye:13
View Player Profile »
Injury History [TABLE]")</f>
        <v>*Medium Risk*
1
2
1
1
X
Hunter RenfrowWR LVR
Seasons:4
Height:5'10"
Weight:184
Bye:13
View Player Profile »
Injury History [TABLE]</v>
      </c>
      <c r="B160" s="5"/>
      <c r="C160" s="5"/>
      <c r="D160" s="5"/>
      <c r="E160" s="5"/>
      <c r="F160" s="5"/>
      <c r="G160" s="5"/>
      <c r="H160" s="5"/>
      <c r="I160" s="5"/>
      <c r="J160" s="5"/>
    </row>
    <row r="161">
      <c r="A161" s="5"/>
      <c r="B161" s="5" t="str">
        <f>IFERROR(__xludf.DUMMYFUNCTION("""COMPUTED_VALUE"""),"Nelson Agholor, WR BAL")</f>
        <v>Nelson Agholor, WR BAL</v>
      </c>
      <c r="C161" s="5" t="str">
        <f>IFERROR(__xludf.DUMMYFUNCTION("""COMPUTED_VALUE"""),"7 | | | | | | |")</f>
        <v>7 | | | | | | |</v>
      </c>
      <c r="D161" s="5" t="str">
        <f>IFERROR(__xludf.DUMMYFUNCTION("""COMPUTED_VALUE"""),"+ Show History »")</f>
        <v>+ Show History »</v>
      </c>
      <c r="E161" s="5" t="str">
        <f>IFERROR(__xludf.DUMMYFUNCTION("""COMPUTED_VALUE"""),"High Risk")</f>
        <v>High Risk</v>
      </c>
      <c r="F161" s="38">
        <f>IFERROR(__xludf.DUMMYFUNCTION("""COMPUTED_VALUE"""),0.6)</f>
        <v>0.6</v>
      </c>
      <c r="G161" s="5">
        <f>IFERROR(__xludf.DUMMYFUNCTION("""COMPUTED_VALUE"""),2.98)</f>
        <v>2.98</v>
      </c>
      <c r="H161" s="60">
        <f>IFERROR(__xludf.DUMMYFUNCTION("""COMPUTED_VALUE"""),0.052)</f>
        <v>0.052</v>
      </c>
      <c r="I161" s="5">
        <f>IFERROR(__xludf.DUMMYFUNCTION("""COMPUTED_VALUE"""),5.0)</f>
        <v>5</v>
      </c>
      <c r="J161" s="5">
        <f>IFERROR(__xludf.DUMMYFUNCTION("""COMPUTED_VALUE"""),95.4)</f>
        <v>95.4</v>
      </c>
    </row>
    <row r="162">
      <c r="A162" s="5" t="str">
        <f>IFERROR(__xludf.DUMMYFUNCTION("""COMPUTED_VALUE"""),"*High Risk*
1
1
2
2
1
X
Nelson AgholorWR BAL
Seasons:8
Height:6'0""
Weight:198
Bye:13
View Player Profile »
Injury History [TABLE]")</f>
        <v>*High Risk*
1
1
2
2
1
X
Nelson AgholorWR BAL
Seasons:8
Height:6'0"
Weight:198
Bye:13
View Player Profile »
Injury History [TABLE]</v>
      </c>
      <c r="B162" s="5"/>
      <c r="C162" s="5"/>
      <c r="D162" s="5"/>
      <c r="E162" s="5"/>
      <c r="F162" s="5"/>
      <c r="G162" s="5"/>
      <c r="H162" s="5"/>
      <c r="I162" s="5"/>
      <c r="J162" s="5"/>
    </row>
    <row r="163">
      <c r="A163" s="5"/>
      <c r="B163" s="5" t="str">
        <f>IFERROR(__xludf.DUMMYFUNCTION("""COMPUTED_VALUE"""),"Cedrick Wilson, WR MIA")</f>
        <v>Cedrick Wilson, WR MIA</v>
      </c>
      <c r="C163" s="5" t="str">
        <f>IFERROR(__xludf.DUMMYFUNCTION("""COMPUTED_VALUE"""),"2 | |")</f>
        <v>2 | |</v>
      </c>
      <c r="D163" s="5" t="str">
        <f>IFERROR(__xludf.DUMMYFUNCTION("""COMPUTED_VALUE"""),"+ Show History »")</f>
        <v>+ Show History »</v>
      </c>
      <c r="E163" s="5" t="str">
        <f>IFERROR(__xludf.DUMMYFUNCTION("""COMPUTED_VALUE"""),"Very Low Risk")</f>
        <v>Very Low Risk</v>
      </c>
      <c r="F163" s="38">
        <f>IFERROR(__xludf.DUMMYFUNCTION("""COMPUTED_VALUE"""),0.08)</f>
        <v>0.08</v>
      </c>
      <c r="G163" s="5">
        <f>IFERROR(__xludf.DUMMYFUNCTION("""COMPUTED_VALUE"""),0.37)</f>
        <v>0.37</v>
      </c>
      <c r="H163" s="60">
        <f>IFERROR(__xludf.DUMMYFUNCTION("""COMPUTED_VALUE"""),0.005)</f>
        <v>0.005</v>
      </c>
      <c r="I163" s="5">
        <f>IFERROR(__xludf.DUMMYFUNCTION("""COMPUTED_VALUE"""),2.69)</f>
        <v>2.69</v>
      </c>
      <c r="J163" s="5">
        <f>IFERROR(__xludf.DUMMYFUNCTION("""COMPUTED_VALUE"""),94.2)</f>
        <v>94.2</v>
      </c>
    </row>
    <row r="164">
      <c r="A164" s="5" t="str">
        <f>IFERROR(__xludf.DUMMYFUNCTION("""COMPUTED_VALUE"""),"*Very Low Risk*
1
1
X
Cedrick WilsonWR MIA
Seasons:5
Height:6'2""
Weight:188
Bye:10
View Player Profile »
Injury History [TABLE]")</f>
        <v>*Very Low Risk*
1
1
X
Cedrick WilsonWR MIA
Seasons:5
Height:6'2"
Weight:188
Bye:10
View Player Profile »
Injury History [TABLE]</v>
      </c>
      <c r="B164" s="5"/>
      <c r="C164" s="5"/>
      <c r="D164" s="5"/>
      <c r="E164" s="5"/>
      <c r="F164" s="5"/>
      <c r="G164" s="5"/>
      <c r="H164" s="5"/>
      <c r="I164" s="5"/>
      <c r="J164" s="5"/>
    </row>
    <row r="165">
      <c r="A165" s="5"/>
      <c r="B165" s="5" t="str">
        <f>IFERROR(__xludf.DUMMYFUNCTION("""COMPUTED_VALUE"""),"Marquez Valdes-Scantling, WR KC")</f>
        <v>Marquez Valdes-Scantling, WR KC</v>
      </c>
      <c r="C165" s="5" t="str">
        <f>IFERROR(__xludf.DUMMYFUNCTION("""COMPUTED_VALUE"""),"8 | | | | | | | |")</f>
        <v>8 | | | | | | | |</v>
      </c>
      <c r="D165" s="5" t="str">
        <f>IFERROR(__xludf.DUMMYFUNCTION("""COMPUTED_VALUE"""),"+ Show History »")</f>
        <v>+ Show History »</v>
      </c>
      <c r="E165" s="5" t="str">
        <f>IFERROR(__xludf.DUMMYFUNCTION("""COMPUTED_VALUE"""),"Medium Risk")</f>
        <v>Medium Risk</v>
      </c>
      <c r="F165" s="38">
        <f>IFERROR(__xludf.DUMMYFUNCTION("""COMPUTED_VALUE"""),0.57)</f>
        <v>0.57</v>
      </c>
      <c r="G165" s="5">
        <f>IFERROR(__xludf.DUMMYFUNCTION("""COMPUTED_VALUE"""),2.12)</f>
        <v>2.12</v>
      </c>
      <c r="H165" s="60">
        <f>IFERROR(__xludf.DUMMYFUNCTION("""COMPUTED_VALUE"""),0.048)</f>
        <v>0.048</v>
      </c>
      <c r="I165" s="5">
        <f>IFERROR(__xludf.DUMMYFUNCTION("""COMPUTED_VALUE"""),5.0)</f>
        <v>5</v>
      </c>
      <c r="J165" s="5">
        <f>IFERROR(__xludf.DUMMYFUNCTION("""COMPUTED_VALUE"""),93.0)</f>
        <v>93</v>
      </c>
    </row>
    <row r="166">
      <c r="A166" s="5" t="str">
        <f>IFERROR(__xludf.DUMMYFUNCTION("""COMPUTED_VALUE"""),"*Medium Risk*
1
2
1
2
1
1
X
Marquez Valdes-ScantlingWR KC
Seasons:5
Height:6'4""
Weight:206
Bye:10
View Player Profile »
Injury History [TABLE]")</f>
        <v>*Medium Risk*
1
2
1
2
1
1
X
Marquez Valdes-ScantlingWR KC
Seasons:5
Height:6'4"
Weight:206
Bye:10
View Player Profile »
Injury History [TABLE]</v>
      </c>
      <c r="B166" s="5"/>
      <c r="C166" s="5"/>
      <c r="D166" s="5"/>
      <c r="E166" s="5"/>
      <c r="F166" s="5"/>
      <c r="G166" s="5"/>
      <c r="H166" s="5"/>
      <c r="I166" s="5"/>
      <c r="J166" s="5"/>
    </row>
    <row r="167">
      <c r="A167" s="5"/>
      <c r="B167" s="5" t="str">
        <f>IFERROR(__xludf.DUMMYFUNCTION("""COMPUTED_VALUE"""),"Jauan Jennings, WR SF")</f>
        <v>Jauan Jennings, WR SF</v>
      </c>
      <c r="C167" s="5">
        <f>IFERROR(__xludf.DUMMYFUNCTION("""COMPUTED_VALUE"""),0.0)</f>
        <v>0</v>
      </c>
      <c r="D167" s="5" t="str">
        <f>IFERROR(__xludf.DUMMYFUNCTION("""COMPUTED_VALUE"""),"+ Show History »")</f>
        <v>+ Show History »</v>
      </c>
      <c r="E167" s="5" t="str">
        <f>IFERROR(__xludf.DUMMYFUNCTION("""COMPUTED_VALUE"""),"Very Low Risk")</f>
        <v>Very Low Risk</v>
      </c>
      <c r="F167" s="38">
        <f>IFERROR(__xludf.DUMMYFUNCTION("""COMPUTED_VALUE"""),0.08)</f>
        <v>0.08</v>
      </c>
      <c r="G167" s="5">
        <f>IFERROR(__xludf.DUMMYFUNCTION("""COMPUTED_VALUE"""),0.3)</f>
        <v>0.3</v>
      </c>
      <c r="H167" s="60">
        <f>IFERROR(__xludf.DUMMYFUNCTION("""COMPUTED_VALUE"""),0.005)</f>
        <v>0.005</v>
      </c>
      <c r="I167" s="5">
        <f>IFERROR(__xludf.DUMMYFUNCTION("""COMPUTED_VALUE"""),5.0)</f>
        <v>5</v>
      </c>
      <c r="J167" s="5">
        <f>IFERROR(__xludf.DUMMYFUNCTION("""COMPUTED_VALUE"""),93.0)</f>
        <v>93</v>
      </c>
    </row>
    <row r="168">
      <c r="A168" s="5" t="str">
        <f>IFERROR(__xludf.DUMMYFUNCTION("""COMPUTED_VALUE"""),"*Very Low Risk*
X
Jauan JenningsWR SF
Seasons:3
Height:6'3""
Weight:208
Bye:9
View Player Profile »
Injury History [TABLE]")</f>
        <v>*Very Low Risk*
X
Jauan JenningsWR SF
Seasons:3
Height:6'3"
Weight:208
Bye:9
View Player Profile »
Injury History [TABLE]</v>
      </c>
      <c r="B168" s="5"/>
      <c r="C168" s="5"/>
      <c r="D168" s="5"/>
      <c r="E168" s="5"/>
      <c r="F168" s="5"/>
      <c r="G168" s="5"/>
      <c r="H168" s="5"/>
      <c r="I168" s="5"/>
      <c r="J168" s="5"/>
    </row>
    <row r="169">
      <c r="A169" s="5"/>
      <c r="B169" s="5" t="str">
        <f>IFERROR(__xludf.DUMMYFUNCTION("""COMPUTED_VALUE"""),"D.J. Chark Jr., WR CAR")</f>
        <v>D.J. Chark Jr., WR CAR</v>
      </c>
      <c r="C169" s="5" t="str">
        <f>IFERROR(__xludf.DUMMYFUNCTION("""COMPUTED_VALUE"""),"11 | | | | | | | | | | |")</f>
        <v>11 | | | | | | | | | | |</v>
      </c>
      <c r="D169" s="5" t="str">
        <f>IFERROR(__xludf.DUMMYFUNCTION("""COMPUTED_VALUE"""),"+ Show History »")</f>
        <v>+ Show History »</v>
      </c>
      <c r="E169" s="5" t="str">
        <f>IFERROR(__xludf.DUMMYFUNCTION("""COMPUTED_VALUE"""),"Very High Risk")</f>
        <v>Very High Risk</v>
      </c>
      <c r="F169" s="38">
        <f>IFERROR(__xludf.DUMMYFUNCTION("""COMPUTED_VALUE"""),0.79)</f>
        <v>0.79</v>
      </c>
      <c r="G169" s="5">
        <f>IFERROR(__xludf.DUMMYFUNCTION("""COMPUTED_VALUE"""),2.95)</f>
        <v>2.95</v>
      </c>
      <c r="H169" s="60">
        <f>IFERROR(__xludf.DUMMYFUNCTION("""COMPUTED_VALUE"""),0.088)</f>
        <v>0.088</v>
      </c>
      <c r="I169" s="5">
        <f>IFERROR(__xludf.DUMMYFUNCTION("""COMPUTED_VALUE"""),3.0)</f>
        <v>3</v>
      </c>
      <c r="J169" s="5">
        <f>IFERROR(__xludf.DUMMYFUNCTION("""COMPUTED_VALUE"""),89.6)</f>
        <v>89.6</v>
      </c>
    </row>
    <row r="170">
      <c r="A170" s="5" t="str">
        <f>IFERROR(__xludf.DUMMYFUNCTION("""COMPUTED_VALUE"""),"*Very High Risk*
1
4
1
2
2
1
X
D.J. Chark Jr.WR CAR
Seasons:6
Height:6'4""
Weight:198
Bye:7
View Player Profile »
Injury History [TABLE]")</f>
        <v>*Very High Risk*
1
4
1
2
2
1
X
D.J. Chark Jr.WR CAR
Seasons:6
Height:6'4"
Weight:198
Bye:7
View Player Profile »
Injury History [TABLE]</v>
      </c>
      <c r="B170" s="5"/>
      <c r="C170" s="5"/>
      <c r="D170" s="5"/>
      <c r="E170" s="5"/>
      <c r="F170" s="5"/>
      <c r="G170" s="5"/>
      <c r="H170" s="5"/>
      <c r="I170" s="5"/>
      <c r="J170" s="5"/>
    </row>
    <row r="171">
      <c r="A171" s="5"/>
      <c r="B171" s="5" t="str">
        <f>IFERROR(__xludf.DUMMYFUNCTION("""COMPUTED_VALUE"""),"Darnell Mooney, WR CHI")</f>
        <v>Darnell Mooney, WR CHI</v>
      </c>
      <c r="C171" s="5" t="str">
        <f>IFERROR(__xludf.DUMMYFUNCTION("""COMPUTED_VALUE"""),"5 | | | | |")</f>
        <v>5 | | | | |</v>
      </c>
      <c r="D171" s="5" t="str">
        <f>IFERROR(__xludf.DUMMYFUNCTION("""COMPUTED_VALUE"""),"+ Show History »")</f>
        <v>+ Show History »</v>
      </c>
      <c r="E171" s="5" t="str">
        <f>IFERROR(__xludf.DUMMYFUNCTION("""COMPUTED_VALUE"""),"Very High Risk")</f>
        <v>Very High Risk</v>
      </c>
      <c r="F171" s="38">
        <f>IFERROR(__xludf.DUMMYFUNCTION("""COMPUTED_VALUE"""),0.73)</f>
        <v>0.73</v>
      </c>
      <c r="G171" s="5">
        <f>IFERROR(__xludf.DUMMYFUNCTION("""COMPUTED_VALUE"""),3.0)</f>
        <v>3</v>
      </c>
      <c r="H171" s="60">
        <f>IFERROR(__xludf.DUMMYFUNCTION("""COMPUTED_VALUE"""),0.074)</f>
        <v>0.074</v>
      </c>
      <c r="I171" s="5">
        <f>IFERROR(__xludf.DUMMYFUNCTION("""COMPUTED_VALUE"""),5.0)</f>
        <v>5</v>
      </c>
      <c r="J171" s="5">
        <f>IFERROR(__xludf.DUMMYFUNCTION("""COMPUTED_VALUE"""),89.4)</f>
        <v>89.4</v>
      </c>
    </row>
    <row r="172">
      <c r="A172" s="5" t="str">
        <f>IFERROR(__xludf.DUMMYFUNCTION("""COMPUTED_VALUE"""),"*Very High Risk*
1
2
1
1
X
Darnell MooneyWR CHI
Seasons:3
Height:5'10""
Weight:176
Bye:13
View Player Profile »
Injury History [TABLE]")</f>
        <v>*Very High Risk*
1
2
1
1
X
Darnell MooneyWR CHI
Seasons:3
Height:5'10"
Weight:176
Bye:13
View Player Profile »
Injury History [TABLE]</v>
      </c>
      <c r="B172" s="5"/>
      <c r="C172" s="5"/>
      <c r="D172" s="5"/>
      <c r="E172" s="5"/>
      <c r="F172" s="5"/>
      <c r="G172" s="5"/>
      <c r="H172" s="5"/>
      <c r="I172" s="5"/>
      <c r="J172" s="5"/>
    </row>
    <row r="173">
      <c r="A173" s="5"/>
      <c r="B173" s="5" t="str">
        <f>IFERROR(__xludf.DUMMYFUNCTION("""COMPUTED_VALUE"""),"Lynn Bowden, WR NO")</f>
        <v>Lynn Bowden, WR NO</v>
      </c>
      <c r="C173" s="5" t="str">
        <f>IFERROR(__xludf.DUMMYFUNCTION("""COMPUTED_VALUE"""),"1 |")</f>
        <v>1 |</v>
      </c>
      <c r="D173" s="5" t="str">
        <f>IFERROR(__xludf.DUMMYFUNCTION("""COMPUTED_VALUE"""),"+ Show History »")</f>
        <v>+ Show History »</v>
      </c>
      <c r="E173" s="5" t="str">
        <f>IFERROR(__xludf.DUMMYFUNCTION("""COMPUTED_VALUE"""),"Low Risk")</f>
        <v>Low Risk</v>
      </c>
      <c r="F173" s="38">
        <f>IFERROR(__xludf.DUMMYFUNCTION("""COMPUTED_VALUE"""),0.05)</f>
        <v>0.05</v>
      </c>
      <c r="G173" s="5">
        <f>IFERROR(__xludf.DUMMYFUNCTION("""COMPUTED_VALUE"""),0.2)</f>
        <v>0.2</v>
      </c>
      <c r="H173" s="60">
        <f>IFERROR(__xludf.DUMMYFUNCTION("""COMPUTED_VALUE"""),0.003)</f>
        <v>0.003</v>
      </c>
      <c r="I173" s="5">
        <f>IFERROR(__xludf.DUMMYFUNCTION("""COMPUTED_VALUE"""),5.0)</f>
        <v>5</v>
      </c>
      <c r="J173" s="5">
        <f>IFERROR(__xludf.DUMMYFUNCTION("""COMPUTED_VALUE"""),87.6)</f>
        <v>87.6</v>
      </c>
    </row>
    <row r="174">
      <c r="A174" s="5" t="str">
        <f>IFERROR(__xludf.DUMMYFUNCTION("""COMPUTED_VALUE"""),"*Low Risk*
1
X
Lynn BowdenWR NO
Seasons:3
Height:5'11""
Weight:204
Bye:11
View Player Profile »
Injury History [TABLE]")</f>
        <v>*Low Risk*
1
X
Lynn BowdenWR NO
Seasons:3
Height:5'11"
Weight:204
Bye:11
View Player Profile »
Injury History [TABLE]</v>
      </c>
      <c r="B174" s="5"/>
      <c r="C174" s="5"/>
      <c r="D174" s="5"/>
      <c r="E174" s="5"/>
      <c r="F174" s="5"/>
      <c r="G174" s="5"/>
      <c r="H174" s="5"/>
      <c r="I174" s="5"/>
      <c r="J174" s="5"/>
    </row>
    <row r="175">
      <c r="A175" s="5"/>
      <c r="B175" s="5" t="str">
        <f>IFERROR(__xludf.DUMMYFUNCTION("""COMPUTED_VALUE"""),"Richie James, WR KC")</f>
        <v>Richie James, WR KC</v>
      </c>
      <c r="C175" s="5" t="str">
        <f>IFERROR(__xludf.DUMMYFUNCTION("""COMPUTED_VALUE"""),"1 |")</f>
        <v>1 |</v>
      </c>
      <c r="D175" s="5" t="str">
        <f>IFERROR(__xludf.DUMMYFUNCTION("""COMPUTED_VALUE"""),"+ Show History »")</f>
        <v>+ Show History »</v>
      </c>
      <c r="E175" s="5" t="str">
        <f>IFERROR(__xludf.DUMMYFUNCTION("""COMPUTED_VALUE"""),"Very Low Risk")</f>
        <v>Very Low Risk</v>
      </c>
      <c r="F175" s="38">
        <f>IFERROR(__xludf.DUMMYFUNCTION("""COMPUTED_VALUE"""),0.09)</f>
        <v>0.09</v>
      </c>
      <c r="G175" s="5">
        <f>IFERROR(__xludf.DUMMYFUNCTION("""COMPUTED_VALUE"""),0.2)</f>
        <v>0.2</v>
      </c>
      <c r="H175" s="60">
        <f>IFERROR(__xludf.DUMMYFUNCTION("""COMPUTED_VALUE"""),0.006)</f>
        <v>0.006</v>
      </c>
      <c r="I175" s="5">
        <f>IFERROR(__xludf.DUMMYFUNCTION("""COMPUTED_VALUE"""),5.0)</f>
        <v>5</v>
      </c>
      <c r="J175" s="5">
        <f>IFERROR(__xludf.DUMMYFUNCTION("""COMPUTED_VALUE"""),85.2)</f>
        <v>85.2</v>
      </c>
    </row>
    <row r="176">
      <c r="A176" s="5" t="str">
        <f>IFERROR(__xludf.DUMMYFUNCTION("""COMPUTED_VALUE"""),"*Very Low Risk*
1
X
Richie JamesWR KC
Seasons:5
Height:5'10""
Weight:183
Bye:10
View Player Profile »
Injury History [TABLE]")</f>
        <v>*Very Low Risk*
1
X
Richie JamesWR KC
Seasons:5
Height:5'10"
Weight:183
Bye:10
View Player Profile »
Injury History [TABLE]</v>
      </c>
      <c r="B176" s="5"/>
      <c r="C176" s="5"/>
      <c r="D176" s="5"/>
      <c r="E176" s="5"/>
      <c r="F176" s="5"/>
      <c r="G176" s="5"/>
      <c r="H176" s="5"/>
      <c r="I176" s="5"/>
      <c r="J176" s="5"/>
    </row>
    <row r="177">
      <c r="A177" s="5"/>
      <c r="B177" s="5" t="str">
        <f>IFERROR(__xludf.DUMMYFUNCTION("""COMPUTED_VALUE"""),"Allen Lazard, WR NYJ")</f>
        <v>Allen Lazard, WR NYJ</v>
      </c>
      <c r="C177" s="5" t="str">
        <f>IFERROR(__xludf.DUMMYFUNCTION("""COMPUTED_VALUE"""),"5 | | | | |")</f>
        <v>5 | | | | |</v>
      </c>
      <c r="D177" s="5" t="str">
        <f>IFERROR(__xludf.DUMMYFUNCTION("""COMPUTED_VALUE"""),"+ Show History »")</f>
        <v>+ Show History »</v>
      </c>
      <c r="E177" s="5" t="str">
        <f>IFERROR(__xludf.DUMMYFUNCTION("""COMPUTED_VALUE"""),"Low Risk")</f>
        <v>Low Risk</v>
      </c>
      <c r="F177" s="38">
        <f>IFERROR(__xludf.DUMMYFUNCTION("""COMPUTED_VALUE"""),0.38)</f>
        <v>0.38</v>
      </c>
      <c r="G177" s="5">
        <f>IFERROR(__xludf.DUMMYFUNCTION("""COMPUTED_VALUE"""),1.52)</f>
        <v>1.52</v>
      </c>
      <c r="H177" s="60">
        <f>IFERROR(__xludf.DUMMYFUNCTION("""COMPUTED_VALUE"""),0.028)</f>
        <v>0.028</v>
      </c>
      <c r="I177" s="5">
        <f>IFERROR(__xludf.DUMMYFUNCTION("""COMPUTED_VALUE"""),5.0)</f>
        <v>5</v>
      </c>
      <c r="J177" s="5">
        <f>IFERROR(__xludf.DUMMYFUNCTION("""COMPUTED_VALUE"""),85.1)</f>
        <v>85.1</v>
      </c>
    </row>
    <row r="178">
      <c r="A178" s="5" t="str">
        <f>IFERROR(__xludf.DUMMYFUNCTION("""COMPUTED_VALUE"""),"*Low Risk*
3
1
1
X
Allen LazardWR NYJ
Seasons:5
Height:6'3""
Weight:225
Bye:7
View Player Profile »
Injury History [TABLE]")</f>
        <v>*Low Risk*
3
1
1
X
Allen LazardWR NYJ
Seasons:5
Height:6'3"
Weight:225
Bye:7
View Player Profile »
Injury History [TABLE]</v>
      </c>
      <c r="B178" s="5"/>
      <c r="C178" s="5"/>
      <c r="D178" s="5"/>
      <c r="E178" s="5"/>
      <c r="F178" s="5"/>
      <c r="G178" s="5"/>
      <c r="H178" s="5"/>
      <c r="I178" s="5"/>
      <c r="J178" s="5"/>
    </row>
    <row r="179">
      <c r="A179" s="5"/>
      <c r="B179" s="5" t="str">
        <f>IFERROR(__xludf.DUMMYFUNCTION("""COMPUTED_VALUE"""),"Braxton Berrios, WR MIA")</f>
        <v>Braxton Berrios, WR MIA</v>
      </c>
      <c r="C179" s="5">
        <f>IFERROR(__xludf.DUMMYFUNCTION("""COMPUTED_VALUE"""),0.0)</f>
        <v>0</v>
      </c>
      <c r="D179" s="5" t="str">
        <f>IFERROR(__xludf.DUMMYFUNCTION("""COMPUTED_VALUE"""),"+ Show History »")</f>
        <v>+ Show History »</v>
      </c>
      <c r="E179" s="5" t="str">
        <f>IFERROR(__xludf.DUMMYFUNCTION("""COMPUTED_VALUE"""),"Very Low Risk")</f>
        <v>Very Low Risk</v>
      </c>
      <c r="F179" s="38">
        <f>IFERROR(__xludf.DUMMYFUNCTION("""COMPUTED_VALUE"""),0.09)</f>
        <v>0.09</v>
      </c>
      <c r="G179" s="5">
        <f>IFERROR(__xludf.DUMMYFUNCTION("""COMPUTED_VALUE"""),0.2)</f>
        <v>0.2</v>
      </c>
      <c r="H179" s="60">
        <f>IFERROR(__xludf.DUMMYFUNCTION("""COMPUTED_VALUE"""),0.006)</f>
        <v>0.006</v>
      </c>
      <c r="I179" s="5">
        <f>IFERROR(__xludf.DUMMYFUNCTION("""COMPUTED_VALUE"""),5.0)</f>
        <v>5</v>
      </c>
      <c r="J179" s="5">
        <f>IFERROR(__xludf.DUMMYFUNCTION("""COMPUTED_VALUE"""),85.0)</f>
        <v>85</v>
      </c>
    </row>
    <row r="180">
      <c r="A180" s="5" t="str">
        <f>IFERROR(__xludf.DUMMYFUNCTION("""COMPUTED_VALUE"""),"*Very Low Risk*
X
Braxton BerriosWR MIA
Seasons:5
Height:5'9""
Weight:184
Bye:10
View Player Profile »
Injury History [TABLE]")</f>
        <v>*Very Low Risk*
X
Braxton BerriosWR MIA
Seasons:5
Height:5'9"
Weight:184
Bye:10
View Player Profile »
Injury History [TABLE]</v>
      </c>
      <c r="B180" s="5"/>
      <c r="C180" s="5"/>
      <c r="D180" s="5"/>
      <c r="E180" s="5"/>
      <c r="F180" s="5"/>
      <c r="G180" s="5"/>
      <c r="H180" s="5"/>
      <c r="I180" s="5"/>
      <c r="J180" s="5"/>
    </row>
    <row r="181">
      <c r="A181" s="5"/>
      <c r="B181" s="5" t="str">
        <f>IFERROR(__xludf.DUMMYFUNCTION("""COMPUTED_VALUE"""),"Michael Thomas, WR NO")</f>
        <v>Michael Thomas, WR NO</v>
      </c>
      <c r="C181" s="5" t="str">
        <f>IFERROR(__xludf.DUMMYFUNCTION("""COMPUTED_VALUE"""),"8 | | | | | | | |")</f>
        <v>8 | | | | | | | |</v>
      </c>
      <c r="D181" s="5" t="str">
        <f>IFERROR(__xludf.DUMMYFUNCTION("""COMPUTED_VALUE"""),"+ Show History »")</f>
        <v>+ Show History »</v>
      </c>
      <c r="E181" s="5" t="str">
        <f>IFERROR(__xludf.DUMMYFUNCTION("""COMPUTED_VALUE"""),"High Risk")</f>
        <v>High Risk</v>
      </c>
      <c r="F181" s="38">
        <f>IFERROR(__xludf.DUMMYFUNCTION("""COMPUTED_VALUE"""),0.64)</f>
        <v>0.64</v>
      </c>
      <c r="G181" s="5">
        <f>IFERROR(__xludf.DUMMYFUNCTION("""COMPUTED_VALUE"""),3.4)</f>
        <v>3.4</v>
      </c>
      <c r="H181" s="60">
        <f>IFERROR(__xludf.DUMMYFUNCTION("""COMPUTED_VALUE"""),0.058)</f>
        <v>0.058</v>
      </c>
      <c r="I181" s="5">
        <f>IFERROR(__xludf.DUMMYFUNCTION("""COMPUTED_VALUE"""),1.79)</f>
        <v>1.79</v>
      </c>
      <c r="J181" s="5">
        <f>IFERROR(__xludf.DUMMYFUNCTION("""COMPUTED_VALUE"""),84.4)</f>
        <v>84.4</v>
      </c>
    </row>
    <row r="182">
      <c r="A182" s="5" t="str">
        <f>IFERROR(__xludf.DUMMYFUNCTION("""COMPUTED_VALUE"""),"*High Risk*
1
4
2
1
X
Michael ThomasWR NO
Seasons:7
Height:6'3""
Weight:212
Bye:11
View Player Profile »
Injury History [TABLE]")</f>
        <v>*High Risk*
1
4
2
1
X
Michael ThomasWR NO
Seasons:7
Height:6'3"
Weight:212
Bye:11
View Player Profile »
Injury History [TABLE]</v>
      </c>
      <c r="B182" s="5"/>
      <c r="C182" s="5"/>
      <c r="D182" s="5"/>
      <c r="E182" s="5"/>
      <c r="F182" s="5"/>
      <c r="G182" s="5"/>
      <c r="H182" s="5"/>
      <c r="I182" s="5"/>
      <c r="J182" s="5"/>
    </row>
    <row r="183">
      <c r="A183" s="5"/>
      <c r="B183" s="5" t="str">
        <f>IFERROR(__xludf.DUMMYFUNCTION("""COMPUTED_VALUE"""),"Kalif Raymond, WR DET")</f>
        <v>Kalif Raymond, WR DET</v>
      </c>
      <c r="C183" s="5">
        <f>IFERROR(__xludf.DUMMYFUNCTION("""COMPUTED_VALUE"""),0.0)</f>
        <v>0</v>
      </c>
      <c r="D183" s="5" t="str">
        <f>IFERROR(__xludf.DUMMYFUNCTION("""COMPUTED_VALUE"""),"+ Show History »")</f>
        <v>+ Show History »</v>
      </c>
      <c r="E183" s="5" t="str">
        <f>IFERROR(__xludf.DUMMYFUNCTION("""COMPUTED_VALUE"""),"Very Low Risk")</f>
        <v>Very Low Risk</v>
      </c>
      <c r="F183" s="38">
        <f>IFERROR(__xludf.DUMMYFUNCTION("""COMPUTED_VALUE"""),0.08)</f>
        <v>0.08</v>
      </c>
      <c r="G183" s="5">
        <f>IFERROR(__xludf.DUMMYFUNCTION("""COMPUTED_VALUE"""),0.2)</f>
        <v>0.2</v>
      </c>
      <c r="H183" s="60">
        <f>IFERROR(__xludf.DUMMYFUNCTION("""COMPUTED_VALUE"""),0.005)</f>
        <v>0.005</v>
      </c>
      <c r="I183" s="5">
        <f>IFERROR(__xludf.DUMMYFUNCTION("""COMPUTED_VALUE"""),5.0)</f>
        <v>5</v>
      </c>
      <c r="J183" s="5">
        <f>IFERROR(__xludf.DUMMYFUNCTION("""COMPUTED_VALUE"""),84.3)</f>
        <v>84.3</v>
      </c>
    </row>
    <row r="184">
      <c r="A184" s="5" t="str">
        <f>IFERROR(__xludf.DUMMYFUNCTION("""COMPUTED_VALUE"""),"*Very Low Risk*
X
Kalif RaymondWR DET
Seasons:6
Height:5'8""
Weight:182
Bye:9
View Player Profile »
Injury History [TABLE]")</f>
        <v>*Very Low Risk*
X
Kalif RaymondWR DET
Seasons:6
Height:5'8"
Weight:182
Bye:9
View Player Profile »
Injury History [TABLE]</v>
      </c>
      <c r="B184" s="5"/>
      <c r="C184" s="5"/>
      <c r="D184" s="5"/>
      <c r="E184" s="5"/>
      <c r="F184" s="5"/>
      <c r="G184" s="5"/>
      <c r="H184" s="5"/>
      <c r="I184" s="5"/>
      <c r="J184" s="5"/>
    </row>
    <row r="185">
      <c r="A185" s="5"/>
      <c r="B185" s="5" t="str">
        <f>IFERROR(__xludf.DUMMYFUNCTION("""COMPUTED_VALUE"""),"Isaiah Hodgins, WR NYG")</f>
        <v>Isaiah Hodgins, WR NYG</v>
      </c>
      <c r="C185" s="5" t="str">
        <f>IFERROR(__xludf.DUMMYFUNCTION("""COMPUTED_VALUE"""),"1 |")</f>
        <v>1 |</v>
      </c>
      <c r="D185" s="5" t="str">
        <f>IFERROR(__xludf.DUMMYFUNCTION("""COMPUTED_VALUE"""),"+ Show History »")</f>
        <v>+ Show History »</v>
      </c>
      <c r="E185" s="5" t="str">
        <f>IFERROR(__xludf.DUMMYFUNCTION("""COMPUTED_VALUE"""),"Very Low Risk")</f>
        <v>Very Low Risk</v>
      </c>
      <c r="F185" s="38">
        <f>IFERROR(__xludf.DUMMYFUNCTION("""COMPUTED_VALUE"""),0.25)</f>
        <v>0.25</v>
      </c>
      <c r="G185" s="5">
        <f>IFERROR(__xludf.DUMMYFUNCTION("""COMPUTED_VALUE"""),0.6)</f>
        <v>0.6</v>
      </c>
      <c r="H185" s="60">
        <f>IFERROR(__xludf.DUMMYFUNCTION("""COMPUTED_VALUE"""),0.017)</f>
        <v>0.017</v>
      </c>
      <c r="I185" s="5">
        <f>IFERROR(__xludf.DUMMYFUNCTION("""COMPUTED_VALUE"""),5.0)</f>
        <v>5</v>
      </c>
      <c r="J185" s="5">
        <f>IFERROR(__xludf.DUMMYFUNCTION("""COMPUTED_VALUE"""),82.2)</f>
        <v>82.2</v>
      </c>
    </row>
    <row r="186">
      <c r="A186" s="5" t="str">
        <f>IFERROR(__xludf.DUMMYFUNCTION("""COMPUTED_VALUE"""),"*Very Low Risk*
1
X
Isaiah HodginsWR NYG
Seasons:3
Height:6'4""
Weight:210
Bye:13
View Player Profile »
Injury History [TABLE]")</f>
        <v>*Very Low Risk*
1
X
Isaiah HodginsWR NYG
Seasons:3
Height:6'4"
Weight:210
Bye:13
View Player Profile »
Injury History [TABLE]</v>
      </c>
      <c r="B186" s="5"/>
      <c r="C186" s="5"/>
      <c r="D186" s="5"/>
      <c r="E186" s="5"/>
      <c r="F186" s="5"/>
      <c r="G186" s="5"/>
      <c r="H186" s="5"/>
      <c r="I186" s="5"/>
      <c r="J186" s="5"/>
    </row>
    <row r="187">
      <c r="A187" s="5"/>
      <c r="B187" s="5" t="str">
        <f>IFERROR(__xludf.DUMMYFUNCTION("""COMPUTED_VALUE"""),"Tyquan Thornton, WR NE")</f>
        <v>Tyquan Thornton, WR NE</v>
      </c>
      <c r="C187" s="5" t="str">
        <f>IFERROR(__xludf.DUMMYFUNCTION("""COMPUTED_VALUE"""),"2 | |")</f>
        <v>2 | |</v>
      </c>
      <c r="D187" s="5" t="str">
        <f>IFERROR(__xludf.DUMMYFUNCTION("""COMPUTED_VALUE"""),"+ Show History »")</f>
        <v>+ Show History »</v>
      </c>
      <c r="E187" s="5" t="str">
        <f>IFERROR(__xludf.DUMMYFUNCTION("""COMPUTED_VALUE"""),"Low Risk")</f>
        <v>Low Risk</v>
      </c>
      <c r="F187" s="38">
        <f>IFERROR(__xludf.DUMMYFUNCTION("""COMPUTED_VALUE"""),0.3)</f>
        <v>0.3</v>
      </c>
      <c r="G187" s="5">
        <f>IFERROR(__xludf.DUMMYFUNCTION("""COMPUTED_VALUE"""),3.42)</f>
        <v>3.42</v>
      </c>
      <c r="H187" s="60">
        <f>IFERROR(__xludf.DUMMYFUNCTION("""COMPUTED_VALUE"""),0.021)</f>
        <v>0.021</v>
      </c>
      <c r="I187" s="5">
        <f>IFERROR(__xludf.DUMMYFUNCTION("""COMPUTED_VALUE"""),5.0)</f>
        <v>5</v>
      </c>
      <c r="J187" s="5">
        <f>IFERROR(__xludf.DUMMYFUNCTION("""COMPUTED_VALUE"""),81.0)</f>
        <v>81</v>
      </c>
    </row>
    <row r="188">
      <c r="A188" s="5" t="str">
        <f>IFERROR(__xludf.DUMMYFUNCTION("""COMPUTED_VALUE"""),"*Low Risk*
2
X
Tyquan ThorntonWR NE
Seasons:2
Height:6'2""
Weight:182
Bye:11
View Player Profile »
Injury History [TABLE]")</f>
        <v>*Low Risk*
2
X
Tyquan ThorntonWR NE
Seasons:2
Height:6'2"
Weight:182
Bye:11
View Player Profile »
Injury History [TABLE]</v>
      </c>
      <c r="B188" s="5"/>
      <c r="C188" s="5"/>
      <c r="D188" s="5"/>
      <c r="E188" s="5"/>
      <c r="F188" s="5"/>
      <c r="G188" s="5"/>
      <c r="H188" s="5"/>
      <c r="I188" s="5"/>
      <c r="J188" s="5"/>
    </row>
    <row r="189">
      <c r="A189" s="5"/>
      <c r="B189" s="5" t="str">
        <f>IFERROR(__xludf.DUMMYFUNCTION("""COMPUTED_VALUE"""),"Van Jefferson, WR ATL")</f>
        <v>Van Jefferson, WR ATL</v>
      </c>
      <c r="C189" s="5" t="str">
        <f>IFERROR(__xludf.DUMMYFUNCTION("""COMPUTED_VALUE"""),"6 | | | | | |")</f>
        <v>6 | | | | | |</v>
      </c>
      <c r="D189" s="5" t="str">
        <f>IFERROR(__xludf.DUMMYFUNCTION("""COMPUTED_VALUE"""),"+ Show History »")</f>
        <v>+ Show History »</v>
      </c>
      <c r="E189" s="5" t="str">
        <f>IFERROR(__xludf.DUMMYFUNCTION("""COMPUTED_VALUE"""),"Medium Risk")</f>
        <v>Medium Risk</v>
      </c>
      <c r="F189" s="38">
        <f>IFERROR(__xludf.DUMMYFUNCTION("""COMPUTED_VALUE"""),0.48)</f>
        <v>0.48</v>
      </c>
      <c r="G189" s="5">
        <f>IFERROR(__xludf.DUMMYFUNCTION("""COMPUTED_VALUE"""),2.5)</f>
        <v>2.5</v>
      </c>
      <c r="H189" s="60">
        <f>IFERROR(__xludf.DUMMYFUNCTION("""COMPUTED_VALUE"""),0.038)</f>
        <v>0.038</v>
      </c>
      <c r="I189" s="5">
        <f>IFERROR(__xludf.DUMMYFUNCTION("""COMPUTED_VALUE"""),4.78)</f>
        <v>4.78</v>
      </c>
      <c r="J189" s="5">
        <f>IFERROR(__xludf.DUMMYFUNCTION("""COMPUTED_VALUE"""),78.5)</f>
        <v>78.5</v>
      </c>
    </row>
    <row r="190">
      <c r="A190" s="5" t="str">
        <f>IFERROR(__xludf.DUMMYFUNCTION("""COMPUTED_VALUE"""),"*Medium Risk*
3
1
1
1
X
Van JeffersonWR ATL
Seasons:3
Height:6'2""
Weight:200
Bye:11
View Player Profile »
Injury History [TABLE]")</f>
        <v>*Medium Risk*
3
1
1
1
X
Van JeffersonWR ATL
Seasons:3
Height:6'2"
Weight:200
Bye:11
View Player Profile »
Injury History [TABLE]</v>
      </c>
      <c r="B190" s="5"/>
      <c r="C190" s="5"/>
      <c r="D190" s="5"/>
      <c r="E190" s="5"/>
      <c r="F190" s="5"/>
      <c r="G190" s="5"/>
      <c r="H190" s="5"/>
      <c r="I190" s="5"/>
      <c r="J190" s="5"/>
    </row>
    <row r="191">
      <c r="A191" s="5"/>
      <c r="B191" s="5" t="str">
        <f>IFERROR(__xludf.DUMMYFUNCTION("""COMPUTED_VALUE"""),"Calvin Austin III, WR PIT")</f>
        <v>Calvin Austin III, WR PIT</v>
      </c>
      <c r="C191" s="5" t="str">
        <f>IFERROR(__xludf.DUMMYFUNCTION("""COMPUTED_VALUE"""),"2 | |")</f>
        <v>2 | |</v>
      </c>
      <c r="D191" s="5" t="str">
        <f>IFERROR(__xludf.DUMMYFUNCTION("""COMPUTED_VALUE"""),"+ Show History »")</f>
        <v>+ Show History »</v>
      </c>
      <c r="E191" s="5" t="str">
        <f>IFERROR(__xludf.DUMMYFUNCTION("""COMPUTED_VALUE"""),"Low Risk")</f>
        <v>Low Risk</v>
      </c>
      <c r="F191" s="38">
        <f>IFERROR(__xludf.DUMMYFUNCTION("""COMPUTED_VALUE"""),0.29)</f>
        <v>0.29</v>
      </c>
      <c r="G191" s="5">
        <f>IFERROR(__xludf.DUMMYFUNCTION("""COMPUTED_VALUE"""),1.5)</f>
        <v>1.5</v>
      </c>
      <c r="H191" s="38">
        <f>IFERROR(__xludf.DUMMYFUNCTION("""COMPUTED_VALUE"""),0.02)</f>
        <v>0.02</v>
      </c>
      <c r="I191" s="5">
        <f>IFERROR(__xludf.DUMMYFUNCTION("""COMPUTED_VALUE"""),0.71)</f>
        <v>0.71</v>
      </c>
      <c r="J191" s="5">
        <f>IFERROR(__xludf.DUMMYFUNCTION("""COMPUTED_VALUE"""),69.5)</f>
        <v>69.5</v>
      </c>
    </row>
    <row r="192">
      <c r="A192" s="5" t="str">
        <f>IFERROR(__xludf.DUMMYFUNCTION("""COMPUTED_VALUE"""),"*Low Risk*
2
X
Calvin Austin IIIWR PIT
Seasons:2
Height:5'9""
Weight:162
Bye:6
View Player Profile »
Injury History [TABLE]")</f>
        <v>*Low Risk*
2
X
Calvin Austin IIIWR PIT
Seasons:2
Height:5'9"
Weight:162
Bye:6
View Player Profile »
Injury History [TABLE]</v>
      </c>
      <c r="B192" s="5"/>
      <c r="C192" s="5"/>
      <c r="D192" s="5"/>
      <c r="E192" s="5"/>
      <c r="F192" s="5"/>
      <c r="G192" s="5"/>
      <c r="H192" s="5"/>
      <c r="I192" s="5"/>
      <c r="J192" s="5"/>
    </row>
    <row r="193">
      <c r="A193" s="5"/>
      <c r="B193" s="5" t="str">
        <f>IFERROR(__xludf.DUMMYFUNCTION("""COMPUTED_VALUE"""),"Isaiah McKenzie, WR IND")</f>
        <v>Isaiah McKenzie, WR IND</v>
      </c>
      <c r="C193" s="5" t="str">
        <f>IFERROR(__xludf.DUMMYFUNCTION("""COMPUTED_VALUE"""),"2 | |")</f>
        <v>2 | |</v>
      </c>
      <c r="D193" s="5" t="str">
        <f>IFERROR(__xludf.DUMMYFUNCTION("""COMPUTED_VALUE"""),"+ Show History »")</f>
        <v>+ Show History »</v>
      </c>
      <c r="E193" s="5" t="str">
        <f>IFERROR(__xludf.DUMMYFUNCTION("""COMPUTED_VALUE"""),"Low Risk")</f>
        <v>Low Risk</v>
      </c>
      <c r="F193" s="38">
        <f>IFERROR(__xludf.DUMMYFUNCTION("""COMPUTED_VALUE"""),0.31)</f>
        <v>0.31</v>
      </c>
      <c r="G193" s="5">
        <f>IFERROR(__xludf.DUMMYFUNCTION("""COMPUTED_VALUE"""),1.5)</f>
        <v>1.5</v>
      </c>
      <c r="H193" s="60">
        <f>IFERROR(__xludf.DUMMYFUNCTION("""COMPUTED_VALUE"""),0.022)</f>
        <v>0.022</v>
      </c>
      <c r="I193" s="5">
        <f>IFERROR(__xludf.DUMMYFUNCTION("""COMPUTED_VALUE"""),5.0)</f>
        <v>5</v>
      </c>
      <c r="J193" s="5">
        <f>IFERROR(__xludf.DUMMYFUNCTION("""COMPUTED_VALUE"""),65.9)</f>
        <v>65.9</v>
      </c>
    </row>
    <row r="194">
      <c r="A194" s="5" t="str">
        <f>IFERROR(__xludf.DUMMYFUNCTION("""COMPUTED_VALUE"""),"*Low Risk*
1
1
X
Isaiah McKenzieWR IND
Seasons:5
Height:5'7""
Weight:173
Bye:11
View Player Profile »
Injury History [TABLE]")</f>
        <v>*Low Risk*
1
1
X
Isaiah McKenzieWR IND
Seasons:5
Height:5'7"
Weight:173
Bye:11
View Player Profile »
Injury History [TABLE]</v>
      </c>
      <c r="B194" s="5"/>
      <c r="C194" s="5"/>
      <c r="D194" s="5"/>
      <c r="E194" s="5"/>
      <c r="F194" s="5"/>
      <c r="G194" s="5"/>
      <c r="H194" s="5"/>
      <c r="I194" s="5"/>
      <c r="J194" s="5"/>
    </row>
    <row r="195">
      <c r="A195" s="5"/>
      <c r="B195" s="5" t="str">
        <f>IFERROR(__xludf.DUMMYFUNCTION("""COMPUTED_VALUE"""),"Olamide Zaccheaus, WR PHI")</f>
        <v>Olamide Zaccheaus, WR PHI</v>
      </c>
      <c r="C195" s="5">
        <f>IFERROR(__xludf.DUMMYFUNCTION("""COMPUTED_VALUE"""),0.0)</f>
        <v>0</v>
      </c>
      <c r="D195" s="5" t="str">
        <f>IFERROR(__xludf.DUMMYFUNCTION("""COMPUTED_VALUE"""),"+ Show History »")</f>
        <v>+ Show History »</v>
      </c>
      <c r="E195" s="5" t="str">
        <f>IFERROR(__xludf.DUMMYFUNCTION("""COMPUTED_VALUE"""),"Very Low Risk")</f>
        <v>Very Low Risk</v>
      </c>
      <c r="F195" s="38">
        <f>IFERROR(__xludf.DUMMYFUNCTION("""COMPUTED_VALUE"""),0.08)</f>
        <v>0.08</v>
      </c>
      <c r="G195" s="5">
        <f>IFERROR(__xludf.DUMMYFUNCTION("""COMPUTED_VALUE"""),0.2)</f>
        <v>0.2</v>
      </c>
      <c r="H195" s="60">
        <f>IFERROR(__xludf.DUMMYFUNCTION("""COMPUTED_VALUE"""),0.005)</f>
        <v>0.005</v>
      </c>
      <c r="I195" s="5">
        <f>IFERROR(__xludf.DUMMYFUNCTION("""COMPUTED_VALUE"""),5.0)</f>
        <v>5</v>
      </c>
      <c r="J195" s="5">
        <f>IFERROR(__xludf.DUMMYFUNCTION("""COMPUTED_VALUE"""),62.6)</f>
        <v>62.6</v>
      </c>
    </row>
    <row r="196">
      <c r="A196" s="5" t="str">
        <f>IFERROR(__xludf.DUMMYFUNCTION("""COMPUTED_VALUE"""),"*Very Low Risk*
X
Olamide ZaccheausWR PHI
Seasons:4
Height:5'8""
Weight:190
Bye:10
View Player Profile »
Injury History [TABLE]")</f>
        <v>*Very Low Risk*
X
Olamide ZaccheausWR PHI
Seasons:4
Height:5'8"
Weight:190
Bye:10
View Player Profile »
Injury History [TABLE]</v>
      </c>
      <c r="B196" s="5"/>
      <c r="C196" s="5"/>
      <c r="D196" s="5"/>
      <c r="E196" s="5"/>
      <c r="F196" s="5"/>
      <c r="G196" s="5"/>
      <c r="H196" s="5"/>
      <c r="I196" s="5"/>
      <c r="J196" s="5"/>
    </row>
    <row r="197">
      <c r="A197" s="5"/>
      <c r="B197" s="5" t="str">
        <f>IFERROR(__xludf.DUMMYFUNCTION("""COMPUTED_VALUE"""),"Dyami Brown, WR WAS")</f>
        <v>Dyami Brown, WR WAS</v>
      </c>
      <c r="C197" s="5" t="str">
        <f>IFERROR(__xludf.DUMMYFUNCTION("""COMPUTED_VALUE"""),"3 | | |")</f>
        <v>3 | | |</v>
      </c>
      <c r="D197" s="5" t="str">
        <f>IFERROR(__xludf.DUMMYFUNCTION("""COMPUTED_VALUE"""),"+ Show History »")</f>
        <v>+ Show History »</v>
      </c>
      <c r="E197" s="5" t="str">
        <f>IFERROR(__xludf.DUMMYFUNCTION("""COMPUTED_VALUE"""),"Low Risk")</f>
        <v>Low Risk</v>
      </c>
      <c r="F197" s="38">
        <f>IFERROR(__xludf.DUMMYFUNCTION("""COMPUTED_VALUE"""),0.39)</f>
        <v>0.39</v>
      </c>
      <c r="G197" s="5">
        <f>IFERROR(__xludf.DUMMYFUNCTION("""COMPUTED_VALUE"""),0.65)</f>
        <v>0.65</v>
      </c>
      <c r="H197" s="60">
        <f>IFERROR(__xludf.DUMMYFUNCTION("""COMPUTED_VALUE"""),0.029)</f>
        <v>0.029</v>
      </c>
      <c r="I197" s="5">
        <f>IFERROR(__xludf.DUMMYFUNCTION("""COMPUTED_VALUE"""),5.0)</f>
        <v>5</v>
      </c>
      <c r="J197" s="5">
        <f>IFERROR(__xludf.DUMMYFUNCTION("""COMPUTED_VALUE"""),62.6)</f>
        <v>62.6</v>
      </c>
    </row>
    <row r="198">
      <c r="A198" s="5" t="str">
        <f>IFERROR(__xludf.DUMMYFUNCTION("""COMPUTED_VALUE"""),"*Low Risk*
2
1
X
Dyami BrownWR WAS
Seasons:2
Height:6'1""
Weight:195
Bye:14
View Player Profile »
Injury History [TABLE]")</f>
        <v>*Low Risk*
2
1
X
Dyami BrownWR WAS
Seasons:2
Height:6'1"
Weight:195
Bye:14
View Player Profile »
Injury History [TABLE]</v>
      </c>
      <c r="B198" s="5"/>
      <c r="C198" s="5"/>
      <c r="D198" s="5"/>
      <c r="E198" s="5"/>
      <c r="F198" s="5"/>
      <c r="G198" s="5"/>
      <c r="H198" s="5"/>
      <c r="I198" s="5"/>
      <c r="J198" s="5"/>
    </row>
    <row r="199">
      <c r="A199" s="5"/>
      <c r="B199" s="5" t="str">
        <f>IFERROR(__xludf.DUMMYFUNCTION("""COMPUTED_VALUE"""),"Quez Watkins, WR PHI")</f>
        <v>Quez Watkins, WR PHI</v>
      </c>
      <c r="C199" s="5">
        <f>IFERROR(__xludf.DUMMYFUNCTION("""COMPUTED_VALUE"""),0.0)</f>
        <v>0</v>
      </c>
      <c r="D199" s="5" t="str">
        <f>IFERROR(__xludf.DUMMYFUNCTION("""COMPUTED_VALUE"""),"+ Show History »")</f>
        <v>+ Show History »</v>
      </c>
      <c r="E199" s="5" t="str">
        <f>IFERROR(__xludf.DUMMYFUNCTION("""COMPUTED_VALUE"""),"Very Low Risk")</f>
        <v>Very Low Risk</v>
      </c>
      <c r="F199" s="38">
        <f>IFERROR(__xludf.DUMMYFUNCTION("""COMPUTED_VALUE"""),0.08)</f>
        <v>0.08</v>
      </c>
      <c r="G199" s="5">
        <f>IFERROR(__xludf.DUMMYFUNCTION("""COMPUTED_VALUE"""),0.3)</f>
        <v>0.3</v>
      </c>
      <c r="H199" s="60">
        <f>IFERROR(__xludf.DUMMYFUNCTION("""COMPUTED_VALUE"""),0.005)</f>
        <v>0.005</v>
      </c>
      <c r="I199" s="5">
        <f>IFERROR(__xludf.DUMMYFUNCTION("""COMPUTED_VALUE"""),5.0)</f>
        <v>5</v>
      </c>
      <c r="J199" s="5">
        <f>IFERROR(__xludf.DUMMYFUNCTION("""COMPUTED_VALUE"""),62.1)</f>
        <v>62.1</v>
      </c>
    </row>
    <row r="200">
      <c r="A200" s="5" t="str">
        <f>IFERROR(__xludf.DUMMYFUNCTION("""COMPUTED_VALUE"""),"*Very Low Risk*
X
Quez WatkinsWR PHI
Seasons:3
Height:6'0""
Weight:185
Bye:10
View Player Profile »
Injury History [TABLE]")</f>
        <v>*Very Low Risk*
X
Quez WatkinsWR PHI
Seasons:3
Height:6'0"
Weight:185
Bye:10
View Player Profile »
Injury History [TABLE]</v>
      </c>
      <c r="B200" s="5"/>
      <c r="C200" s="5"/>
      <c r="D200" s="5"/>
      <c r="E200" s="5"/>
      <c r="F200" s="5"/>
      <c r="G200" s="5"/>
      <c r="H200" s="5"/>
      <c r="I200" s="5"/>
      <c r="J200" s="5"/>
    </row>
    <row r="201">
      <c r="A201" s="5"/>
      <c r="B201" s="5" t="str">
        <f>IFERROR(__xludf.DUMMYFUNCTION("""COMPUTED_VALUE"""),"Donovan Peoples-Jones, WR DET")</f>
        <v>Donovan Peoples-Jones, WR DET</v>
      </c>
      <c r="C201" s="5" t="str">
        <f>IFERROR(__xludf.DUMMYFUNCTION("""COMPUTED_VALUE"""),"2 | |")</f>
        <v>2 | |</v>
      </c>
      <c r="D201" s="5" t="str">
        <f>IFERROR(__xludf.DUMMYFUNCTION("""COMPUTED_VALUE"""),"+ Show History »")</f>
        <v>+ Show History »</v>
      </c>
      <c r="E201" s="5" t="str">
        <f>IFERROR(__xludf.DUMMYFUNCTION("""COMPUTED_VALUE"""),"Medium Risk")</f>
        <v>Medium Risk</v>
      </c>
      <c r="F201" s="38">
        <f>IFERROR(__xludf.DUMMYFUNCTION("""COMPUTED_VALUE"""),0.4)</f>
        <v>0.4</v>
      </c>
      <c r="G201" s="5">
        <f>IFERROR(__xludf.DUMMYFUNCTION("""COMPUTED_VALUE"""),1.4)</f>
        <v>1.4</v>
      </c>
      <c r="H201" s="38">
        <f>IFERROR(__xludf.DUMMYFUNCTION("""COMPUTED_VALUE"""),0.03)</f>
        <v>0.03</v>
      </c>
      <c r="I201" s="5">
        <f>IFERROR(__xludf.DUMMYFUNCTION("""COMPUTED_VALUE"""),5.0)</f>
        <v>5</v>
      </c>
      <c r="J201" s="5">
        <f>IFERROR(__xludf.DUMMYFUNCTION("""COMPUTED_VALUE"""),61.6)</f>
        <v>61.6</v>
      </c>
    </row>
    <row r="202">
      <c r="A202" s="5" t="str">
        <f>IFERROR(__xludf.DUMMYFUNCTION("""COMPUTED_VALUE"""),"*Medium Risk*
1
1
X
Donovan Peoples-JonesWR DET
Seasons:3
Height:6'2""
Weight:212
Bye:9
View Player Profile »
Injury History [TABLE]")</f>
        <v>*Medium Risk*
1
1
X
Donovan Peoples-JonesWR DET
Seasons:3
Height:6'2"
Weight:212
Bye:9
View Player Profile »
Injury History [TABLE]</v>
      </c>
      <c r="B202" s="5"/>
      <c r="C202" s="5"/>
      <c r="D202" s="5"/>
      <c r="E202" s="5"/>
      <c r="F202" s="5"/>
      <c r="G202" s="5"/>
      <c r="H202" s="5"/>
      <c r="I202" s="5"/>
      <c r="J202" s="5"/>
    </row>
    <row r="203">
      <c r="A203" s="5"/>
      <c r="B203" s="5" t="str">
        <f>IFERROR(__xludf.DUMMYFUNCTION("""COMPUTED_VALUE"""),"Marquise Goodwin, WR CLE")</f>
        <v>Marquise Goodwin, WR CLE</v>
      </c>
      <c r="C203" s="5" t="str">
        <f>IFERROR(__xludf.DUMMYFUNCTION("""COMPUTED_VALUE"""),"16 | | | | | | | | | | | | | | | |")</f>
        <v>16 | | | | | | | | | | | | | | | |</v>
      </c>
      <c r="D203" s="5" t="str">
        <f>IFERROR(__xludf.DUMMYFUNCTION("""COMPUTED_VALUE"""),"+ Show History »")</f>
        <v>+ Show History »</v>
      </c>
      <c r="E203" s="5" t="str">
        <f>IFERROR(__xludf.DUMMYFUNCTION("""COMPUTED_VALUE"""),"Very High Risk")</f>
        <v>Very High Risk</v>
      </c>
      <c r="F203" s="38">
        <f>IFERROR(__xludf.DUMMYFUNCTION("""COMPUTED_VALUE"""),0.82)</f>
        <v>0.82</v>
      </c>
      <c r="G203" s="5">
        <f>IFERROR(__xludf.DUMMYFUNCTION("""COMPUTED_VALUE"""),3.51)</f>
        <v>3.51</v>
      </c>
      <c r="H203" s="60">
        <f>IFERROR(__xludf.DUMMYFUNCTION("""COMPUTED_VALUE"""),0.096)</f>
        <v>0.096</v>
      </c>
      <c r="I203" s="5">
        <f>IFERROR(__xludf.DUMMYFUNCTION("""COMPUTED_VALUE"""),2.85)</f>
        <v>2.85</v>
      </c>
      <c r="J203" s="5">
        <f>IFERROR(__xludf.DUMMYFUNCTION("""COMPUTED_VALUE"""),59.7)</f>
        <v>59.7</v>
      </c>
    </row>
    <row r="204">
      <c r="A204" s="5" t="str">
        <f>IFERROR(__xludf.DUMMYFUNCTION("""COMPUTED_VALUE"""),"*Very High Risk*
1
1
3
1
6
3
1
X
Marquise GoodwinWR CLE
Seasons:10
Height:5'10""
Weight:181
Bye:5
View Player Profile »
Injury History [TABLE]")</f>
        <v>*Very High Risk*
1
1
3
1
6
3
1
X
Marquise GoodwinWR CLE
Seasons:10
Height:5'10"
Weight:181
Bye:5
View Player Profile »
Injury History [TABLE]</v>
      </c>
      <c r="B204" s="5"/>
      <c r="C204" s="5"/>
      <c r="D204" s="5"/>
      <c r="E204" s="5"/>
      <c r="F204" s="5"/>
      <c r="G204" s="5"/>
      <c r="H204" s="5"/>
      <c r="I204" s="5"/>
      <c r="J204" s="5"/>
    </row>
    <row r="205">
      <c r="A205" s="5"/>
      <c r="B205" s="5" t="str">
        <f>IFERROR(__xludf.DUMMYFUNCTION("""COMPUTED_VALUE"""),"Jamison Crowder, WR WAS")</f>
        <v>Jamison Crowder, WR WAS</v>
      </c>
      <c r="C205" s="5" t="str">
        <f>IFERROR(__xludf.DUMMYFUNCTION("""COMPUTED_VALUE"""),"14 | | | | | | | | | | | | | |")</f>
        <v>14 | | | | | | | | | | | | | |</v>
      </c>
      <c r="D205" s="5" t="str">
        <f>IFERROR(__xludf.DUMMYFUNCTION("""COMPUTED_VALUE"""),"+ Show History »")</f>
        <v>+ Show History »</v>
      </c>
      <c r="E205" s="5" t="str">
        <f>IFERROR(__xludf.DUMMYFUNCTION("""COMPUTED_VALUE"""),"Very High Risk")</f>
        <v>Very High Risk</v>
      </c>
      <c r="F205" s="38">
        <f>IFERROR(__xludf.DUMMYFUNCTION("""COMPUTED_VALUE"""),0.72)</f>
        <v>0.72</v>
      </c>
      <c r="G205" s="5">
        <f>IFERROR(__xludf.DUMMYFUNCTION("""COMPUTED_VALUE"""),3.5)</f>
        <v>3.5</v>
      </c>
      <c r="H205" s="60">
        <f>IFERROR(__xludf.DUMMYFUNCTION("""COMPUTED_VALUE"""),0.072)</f>
        <v>0.072</v>
      </c>
      <c r="I205" s="5">
        <f>IFERROR(__xludf.DUMMYFUNCTION("""COMPUTED_VALUE"""),2.91)</f>
        <v>2.91</v>
      </c>
      <c r="J205" s="5">
        <f>IFERROR(__xludf.DUMMYFUNCTION("""COMPUTED_VALUE"""),59.6)</f>
        <v>59.6</v>
      </c>
    </row>
    <row r="206">
      <c r="A206" s="5" t="str">
        <f>IFERROR(__xludf.DUMMYFUNCTION("""COMPUTED_VALUE"""),"*Very High Risk*
2
4
2
5
1
X
Jamison CrowderWR WAS
Seasons:8
Height:5'8""
Weight:185
Bye:14
View Player Profile »
Injury History [TABLE]")</f>
        <v>*Very High Risk*
2
4
2
5
1
X
Jamison CrowderWR WAS
Seasons:8
Height:5'8"
Weight:185
Bye:14
View Player Profile »
Injury History [TABLE]</v>
      </c>
      <c r="B206" s="5"/>
      <c r="C206" s="5"/>
      <c r="D206" s="5"/>
      <c r="E206" s="5"/>
      <c r="F206" s="5"/>
      <c r="G206" s="5"/>
      <c r="H206" s="5"/>
      <c r="I206" s="5"/>
      <c r="J206" s="5"/>
    </row>
    <row r="207">
      <c r="A207" s="5"/>
      <c r="B207" s="5" t="str">
        <f>IFERROR(__xludf.DUMMYFUNCTION("""COMPUTED_VALUE"""),"Parris Campbell, WR NYG")</f>
        <v>Parris Campbell, WR NYG</v>
      </c>
      <c r="C207" s="5" t="str">
        <f>IFERROR(__xludf.DUMMYFUNCTION("""COMPUTED_VALUE"""),"9 | | | | | | | | |")</f>
        <v>9 | | | | | | | | |</v>
      </c>
      <c r="D207" s="5" t="str">
        <f>IFERROR(__xludf.DUMMYFUNCTION("""COMPUTED_VALUE"""),"+ Show History »")</f>
        <v>+ Show History »</v>
      </c>
      <c r="E207" s="5" t="str">
        <f>IFERROR(__xludf.DUMMYFUNCTION("""COMPUTED_VALUE"""),"Medium Risk")</f>
        <v>Medium Risk</v>
      </c>
      <c r="F207" s="38">
        <f>IFERROR(__xludf.DUMMYFUNCTION("""COMPUTED_VALUE"""),0.43)</f>
        <v>0.43</v>
      </c>
      <c r="G207" s="5">
        <f>IFERROR(__xludf.DUMMYFUNCTION("""COMPUTED_VALUE"""),0.92)</f>
        <v>0.92</v>
      </c>
      <c r="H207" s="60">
        <f>IFERROR(__xludf.DUMMYFUNCTION("""COMPUTED_VALUE"""),0.033)</f>
        <v>0.033</v>
      </c>
      <c r="I207" s="5">
        <f>IFERROR(__xludf.DUMMYFUNCTION("""COMPUTED_VALUE"""),1.01)</f>
        <v>1.01</v>
      </c>
      <c r="J207" s="5">
        <f>IFERROR(__xludf.DUMMYFUNCTION("""COMPUTED_VALUE"""),58.2)</f>
        <v>58.2</v>
      </c>
    </row>
    <row r="208">
      <c r="A208" s="5" t="str">
        <f>IFERROR(__xludf.DUMMYFUNCTION("""COMPUTED_VALUE"""),"*Medium Risk*
3
2
2
1
1
X
Parris CampbellWR NYG
Seasons:4
Height:6'0""
Weight:205
Bye:13
View Player Profile »
Injury History [TABLE]")</f>
        <v>*Medium Risk*
3
2
2
1
1
X
Parris CampbellWR NYG
Seasons:4
Height:6'0"
Weight:205
Bye:13
View Player Profile »
Injury History [TABLE]</v>
      </c>
      <c r="B208" s="5"/>
      <c r="C208" s="5"/>
      <c r="D208" s="5"/>
      <c r="E208" s="5"/>
      <c r="F208" s="5"/>
      <c r="G208" s="5"/>
      <c r="H208" s="5"/>
      <c r="I208" s="5"/>
      <c r="J208" s="5"/>
    </row>
    <row r="209">
      <c r="A209" s="5"/>
      <c r="B209" s="5" t="str">
        <f>IFERROR(__xludf.DUMMYFUNCTION("""COMPUTED_VALUE"""),"Allen Robinson, WR PIT")</f>
        <v>Allen Robinson, WR PIT</v>
      </c>
      <c r="C209" s="5" t="str">
        <f>IFERROR(__xludf.DUMMYFUNCTION("""COMPUTED_VALUE"""),"11 | | | | | | | | | | |")</f>
        <v>11 | | | | | | | | | | |</v>
      </c>
      <c r="D209" s="5" t="str">
        <f>IFERROR(__xludf.DUMMYFUNCTION("""COMPUTED_VALUE"""),"+ Show History »")</f>
        <v>+ Show History »</v>
      </c>
      <c r="E209" s="5" t="str">
        <f>IFERROR(__xludf.DUMMYFUNCTION("""COMPUTED_VALUE"""),"Very High Risk")</f>
        <v>Very High Risk</v>
      </c>
      <c r="F209" s="38">
        <f>IFERROR(__xludf.DUMMYFUNCTION("""COMPUTED_VALUE"""),0.85)</f>
        <v>0.85</v>
      </c>
      <c r="G209" s="5">
        <f>IFERROR(__xludf.DUMMYFUNCTION("""COMPUTED_VALUE"""),4.04)</f>
        <v>4.04</v>
      </c>
      <c r="H209" s="60">
        <f>IFERROR(__xludf.DUMMYFUNCTION("""COMPUTED_VALUE"""),0.106)</f>
        <v>0.106</v>
      </c>
      <c r="I209" s="5">
        <f>IFERROR(__xludf.DUMMYFUNCTION("""COMPUTED_VALUE"""),2.82)</f>
        <v>2.82</v>
      </c>
      <c r="J209" s="5">
        <f>IFERROR(__xludf.DUMMYFUNCTION("""COMPUTED_VALUE"""),56.5)</f>
        <v>56.5</v>
      </c>
    </row>
    <row r="210">
      <c r="A210" s="5" t="str">
        <f>IFERROR(__xludf.DUMMYFUNCTION("""COMPUTED_VALUE"""),"*Very High Risk*
2
3
2
1
1
1
1
X
Allen RobinsonWR PIT
Seasons:9
Height:6'2""
Weight:220
Bye:6
View Player Profile »
Injury History [TABLE]")</f>
        <v>*Very High Risk*
2
3
2
1
1
1
1
X
Allen RobinsonWR PIT
Seasons:9
Height:6'2"
Weight:220
Bye:6
View Player Profile »
Injury History [TABLE]</v>
      </c>
      <c r="B210" s="5"/>
      <c r="C210" s="5"/>
      <c r="D210" s="5"/>
      <c r="E210" s="5"/>
      <c r="F210" s="5"/>
      <c r="G210" s="5"/>
      <c r="H210" s="5"/>
      <c r="I210" s="5"/>
      <c r="J210" s="5"/>
    </row>
    <row r="211">
      <c r="A211" s="5"/>
      <c r="B211" s="5" t="str">
        <f>IFERROR(__xludf.DUMMYFUNCTION("""COMPUTED_VALUE"""),"Mack Hollins, WR ATL")</f>
        <v>Mack Hollins, WR ATL</v>
      </c>
      <c r="C211" s="5">
        <f>IFERROR(__xludf.DUMMYFUNCTION("""COMPUTED_VALUE"""),0.0)</f>
        <v>0</v>
      </c>
      <c r="D211" s="5" t="str">
        <f>IFERROR(__xludf.DUMMYFUNCTION("""COMPUTED_VALUE"""),"+ Show History »")</f>
        <v>+ Show History »</v>
      </c>
      <c r="E211" s="5" t="str">
        <f>IFERROR(__xludf.DUMMYFUNCTION("""COMPUTED_VALUE"""),"Very Low Risk")</f>
        <v>Very Low Risk</v>
      </c>
      <c r="F211" s="38">
        <f>IFERROR(__xludf.DUMMYFUNCTION("""COMPUTED_VALUE"""),0.08)</f>
        <v>0.08</v>
      </c>
      <c r="G211" s="5">
        <f>IFERROR(__xludf.DUMMYFUNCTION("""COMPUTED_VALUE"""),0.3)</f>
        <v>0.3</v>
      </c>
      <c r="H211" s="60">
        <f>IFERROR(__xludf.DUMMYFUNCTION("""COMPUTED_VALUE"""),0.005)</f>
        <v>0.005</v>
      </c>
      <c r="I211" s="5">
        <f>IFERROR(__xludf.DUMMYFUNCTION("""COMPUTED_VALUE"""),5.0)</f>
        <v>5</v>
      </c>
      <c r="J211" s="5">
        <f>IFERROR(__xludf.DUMMYFUNCTION("""COMPUTED_VALUE"""),54.5)</f>
        <v>54.5</v>
      </c>
    </row>
    <row r="212">
      <c r="A212" s="5" t="str">
        <f>IFERROR(__xludf.DUMMYFUNCTION("""COMPUTED_VALUE"""),"*Very Low Risk*
X
Mack HollinsWR ATL
Seasons:6
Height:6'4""
Weight:221
Bye:11
View Player Profile »
Injury History [TABLE]")</f>
        <v>*Very Low Risk*
X
Mack HollinsWR ATL
Seasons:6
Height:6'4"
Weight:221
Bye:11
View Player Profile »
Injury History [TABLE]</v>
      </c>
      <c r="B212" s="5"/>
      <c r="C212" s="5"/>
      <c r="D212" s="5"/>
      <c r="E212" s="5"/>
      <c r="F212" s="5"/>
      <c r="G212" s="5"/>
      <c r="H212" s="5"/>
      <c r="I212" s="5"/>
      <c r="J212" s="5"/>
    </row>
    <row r="213">
      <c r="A213" s="5"/>
      <c r="B213" s="5" t="str">
        <f>IFERROR(__xludf.DUMMYFUNCTION("""COMPUTED_VALUE"""),"Devin Duvernay, WR BAL")</f>
        <v>Devin Duvernay, WR BAL</v>
      </c>
      <c r="C213" s="5">
        <f>IFERROR(__xludf.DUMMYFUNCTION("""COMPUTED_VALUE"""),0.0)</f>
        <v>0</v>
      </c>
      <c r="D213" s="5" t="str">
        <f>IFERROR(__xludf.DUMMYFUNCTION("""COMPUTED_VALUE"""),"+ Show History »")</f>
        <v>+ Show History »</v>
      </c>
      <c r="E213" s="5" t="str">
        <f>IFERROR(__xludf.DUMMYFUNCTION("""COMPUTED_VALUE"""),"Very Low Risk")</f>
        <v>Very Low Risk</v>
      </c>
      <c r="F213" s="38">
        <f>IFERROR(__xludf.DUMMYFUNCTION("""COMPUTED_VALUE"""),0.08)</f>
        <v>0.08</v>
      </c>
      <c r="G213" s="5">
        <f>IFERROR(__xludf.DUMMYFUNCTION("""COMPUTED_VALUE"""),0.2)</f>
        <v>0.2</v>
      </c>
      <c r="H213" s="60">
        <f>IFERROR(__xludf.DUMMYFUNCTION("""COMPUTED_VALUE"""),0.005)</f>
        <v>0.005</v>
      </c>
      <c r="I213" s="5">
        <f>IFERROR(__xludf.DUMMYFUNCTION("""COMPUTED_VALUE"""),5.0)</f>
        <v>5</v>
      </c>
      <c r="J213" s="5">
        <f>IFERROR(__xludf.DUMMYFUNCTION("""COMPUTED_VALUE"""),51.5)</f>
        <v>51.5</v>
      </c>
    </row>
    <row r="214">
      <c r="A214" s="5" t="str">
        <f>IFERROR(__xludf.DUMMYFUNCTION("""COMPUTED_VALUE"""),"*Very Low Risk*
X
Devin DuvernayWR BAL
Seasons:3
Height:5'11""
Weight:200
Bye:13
View Player Profile »
Injury History [TABLE]")</f>
        <v>*Very Low Risk*
X
Devin DuvernayWR BAL
Seasons:3
Height:5'11"
Weight:200
Bye:13
View Player Profile »
Injury History [TABLE]</v>
      </c>
      <c r="B214" s="5"/>
      <c r="C214" s="5"/>
      <c r="D214" s="5"/>
      <c r="E214" s="5"/>
      <c r="F214" s="5"/>
      <c r="G214" s="5"/>
      <c r="H214" s="5"/>
      <c r="I214" s="5"/>
      <c r="J214" s="5"/>
    </row>
    <row r="215">
      <c r="A215" s="5"/>
      <c r="B215" s="5" t="str">
        <f>IFERROR(__xludf.DUMMYFUNCTION("""COMPUTED_VALUE"""),"Mecole Hardman, WR KC")</f>
        <v>Mecole Hardman, WR KC</v>
      </c>
      <c r="C215" s="5" t="str">
        <f>IFERROR(__xludf.DUMMYFUNCTION("""COMPUTED_VALUE"""),"2 | |")</f>
        <v>2 | |</v>
      </c>
      <c r="D215" s="5" t="str">
        <f>IFERROR(__xludf.DUMMYFUNCTION("""COMPUTED_VALUE"""),"+ Show History »")</f>
        <v>+ Show History »</v>
      </c>
      <c r="E215" s="5" t="str">
        <f>IFERROR(__xludf.DUMMYFUNCTION("""COMPUTED_VALUE"""),"High Risk")</f>
        <v>High Risk</v>
      </c>
      <c r="F215" s="38">
        <f>IFERROR(__xludf.DUMMYFUNCTION("""COMPUTED_VALUE"""),0.71)</f>
        <v>0.71</v>
      </c>
      <c r="G215" s="5">
        <f>IFERROR(__xludf.DUMMYFUNCTION("""COMPUTED_VALUE"""),3.1)</f>
        <v>3.1</v>
      </c>
      <c r="H215" s="38">
        <f>IFERROR(__xludf.DUMMYFUNCTION("""COMPUTED_VALUE"""),0.07)</f>
        <v>0.07</v>
      </c>
      <c r="I215" s="5">
        <f>IFERROR(__xludf.DUMMYFUNCTION("""COMPUTED_VALUE"""),5.0)</f>
        <v>5</v>
      </c>
      <c r="J215" s="5">
        <f>IFERROR(__xludf.DUMMYFUNCTION("""COMPUTED_VALUE"""),49.0)</f>
        <v>49</v>
      </c>
    </row>
    <row r="216">
      <c r="A216" s="5" t="str">
        <f>IFERROR(__xludf.DUMMYFUNCTION("""COMPUTED_VALUE"""),"*High Risk*
1
1
X
Mecole HardmanWR KC
Seasons:4
Height:5'10""
Weight:183
Bye:10
View Player Profile »
Injury History [TABLE]")</f>
        <v>*High Risk*
1
1
X
Mecole HardmanWR KC
Seasons:4
Height:5'10"
Weight:183
Bye:10
View Player Profile »
Injury History [TABLE]</v>
      </c>
      <c r="B216" s="5"/>
      <c r="C216" s="5"/>
      <c r="D216" s="5"/>
      <c r="E216" s="5"/>
      <c r="F216" s="5"/>
      <c r="G216" s="5"/>
      <c r="H216" s="5"/>
      <c r="I216" s="5"/>
      <c r="J216" s="5"/>
    </row>
    <row r="217">
      <c r="A217" s="5"/>
      <c r="B217" s="5" t="str">
        <f>IFERROR(__xludf.DUMMYFUNCTION("""COMPUTED_VALUE"""),"Jalen Reagor, WR NE")</f>
        <v>Jalen Reagor, WR NE</v>
      </c>
      <c r="C217" s="5" t="str">
        <f>IFERROR(__xludf.DUMMYFUNCTION("""COMPUTED_VALUE"""),"4 | | | |")</f>
        <v>4 | | | |</v>
      </c>
      <c r="D217" s="5" t="str">
        <f>IFERROR(__xludf.DUMMYFUNCTION("""COMPUTED_VALUE"""),"+ Show History »")</f>
        <v>+ Show History »</v>
      </c>
      <c r="E217" s="5" t="str">
        <f>IFERROR(__xludf.DUMMYFUNCTION("""COMPUTED_VALUE"""),"Low Risk")</f>
        <v>Low Risk</v>
      </c>
      <c r="F217" s="38">
        <f>IFERROR(__xludf.DUMMYFUNCTION("""COMPUTED_VALUE"""),0.3)</f>
        <v>0.3</v>
      </c>
      <c r="G217" s="5">
        <f>IFERROR(__xludf.DUMMYFUNCTION("""COMPUTED_VALUE"""),1.46)</f>
        <v>1.46</v>
      </c>
      <c r="H217" s="60">
        <f>IFERROR(__xludf.DUMMYFUNCTION("""COMPUTED_VALUE"""),0.021)</f>
        <v>0.021</v>
      </c>
      <c r="I217" s="5">
        <f>IFERROR(__xludf.DUMMYFUNCTION("""COMPUTED_VALUE"""),5.0)</f>
        <v>5</v>
      </c>
      <c r="J217" s="5">
        <f>IFERROR(__xludf.DUMMYFUNCTION("""COMPUTED_VALUE"""),47.5)</f>
        <v>47.5</v>
      </c>
    </row>
    <row r="218">
      <c r="A218" s="5" t="str">
        <f>IFERROR(__xludf.DUMMYFUNCTION("""COMPUTED_VALUE"""),"*Low Risk*
2
1
1
X
Jalen ReagorWR NE
Seasons:3
Height:5'11""
Weight:206
Bye:11
View Player Profile »
Injury History [TABLE]")</f>
        <v>*Low Risk*
2
1
1
X
Jalen ReagorWR NE
Seasons:3
Height:5'11"
Weight:206
Bye:11
View Player Profile »
Injury History [TABLE]</v>
      </c>
      <c r="B218" s="5"/>
      <c r="C218" s="5"/>
      <c r="D218" s="5"/>
      <c r="E218" s="5"/>
      <c r="F218" s="5"/>
      <c r="G218" s="5"/>
      <c r="H218" s="5"/>
      <c r="I218" s="5"/>
      <c r="J218" s="5"/>
    </row>
    <row r="219">
      <c r="A219" s="5"/>
      <c r="B219" s="5" t="str">
        <f>IFERROR(__xludf.DUMMYFUNCTION("""COMPUTED_VALUE"""),"Terrace Marshall, WR CAR")</f>
        <v>Terrace Marshall, WR CAR</v>
      </c>
      <c r="C219" s="5" t="str">
        <f>IFERROR(__xludf.DUMMYFUNCTION("""COMPUTED_VALUE"""),"8 | | | | | | | |")</f>
        <v>8 | | | | | | | |</v>
      </c>
      <c r="D219" s="5" t="str">
        <f>IFERROR(__xludf.DUMMYFUNCTION("""COMPUTED_VALUE"""),"+ Show History »")</f>
        <v>+ Show History »</v>
      </c>
      <c r="E219" s="5" t="str">
        <f>IFERROR(__xludf.DUMMYFUNCTION("""COMPUTED_VALUE"""),"High Risk")</f>
        <v>High Risk</v>
      </c>
      <c r="F219" s="38">
        <f>IFERROR(__xludf.DUMMYFUNCTION("""COMPUTED_VALUE"""),0.67)</f>
        <v>0.67</v>
      </c>
      <c r="G219" s="5">
        <f>IFERROR(__xludf.DUMMYFUNCTION("""COMPUTED_VALUE"""),2.4)</f>
        <v>2.4</v>
      </c>
      <c r="H219" s="60">
        <f>IFERROR(__xludf.DUMMYFUNCTION("""COMPUTED_VALUE"""),0.063)</f>
        <v>0.063</v>
      </c>
      <c r="I219" s="5">
        <f>IFERROR(__xludf.DUMMYFUNCTION("""COMPUTED_VALUE"""),3.18)</f>
        <v>3.18</v>
      </c>
      <c r="J219" s="5">
        <f>IFERROR(__xludf.DUMMYFUNCTION("""COMPUTED_VALUE"""),46.0)</f>
        <v>46</v>
      </c>
    </row>
    <row r="220">
      <c r="A220" s="5" t="str">
        <f>IFERROR(__xludf.DUMMYFUNCTION("""COMPUTED_VALUE"""),"*High Risk*
1
2
1
3
1
X
Terrace MarshallWR CAR
Seasons:2
Height:6'3""
Weight:203
Bye:7
View Player Profile »
Injury History [TABLE]")</f>
        <v>*High Risk*
1
2
1
3
1
X
Terrace MarshallWR CAR
Seasons:2
Height:6'3"
Weight:203
Bye:7
View Player Profile »
Injury History [TABLE]</v>
      </c>
      <c r="B220" s="5"/>
      <c r="C220" s="5"/>
      <c r="D220" s="5"/>
      <c r="E220" s="5"/>
      <c r="F220" s="5"/>
      <c r="G220" s="5"/>
      <c r="H220" s="5"/>
      <c r="I220" s="5"/>
      <c r="J220" s="5"/>
    </row>
    <row r="221">
      <c r="A221" s="5"/>
      <c r="B221" s="5" t="str">
        <f>IFERROR(__xludf.DUMMYFUNCTION("""COMPUTED_VALUE"""),"Chase Claypool, WR MIA")</f>
        <v>Chase Claypool, WR MIA</v>
      </c>
      <c r="C221" s="5" t="str">
        <f>IFERROR(__xludf.DUMMYFUNCTION("""COMPUTED_VALUE"""),"6 | | | | | |")</f>
        <v>6 | | | | | |</v>
      </c>
      <c r="D221" s="5" t="str">
        <f>IFERROR(__xludf.DUMMYFUNCTION("""COMPUTED_VALUE"""),"+ Show History »")</f>
        <v>+ Show History »</v>
      </c>
      <c r="E221" s="5" t="str">
        <f>IFERROR(__xludf.DUMMYFUNCTION("""COMPUTED_VALUE"""),"High Risk")</f>
        <v>High Risk</v>
      </c>
      <c r="F221" s="38">
        <f>IFERROR(__xludf.DUMMYFUNCTION("""COMPUTED_VALUE"""),0.58)</f>
        <v>0.58</v>
      </c>
      <c r="G221" s="5">
        <f>IFERROR(__xludf.DUMMYFUNCTION("""COMPUTED_VALUE"""),2.4)</f>
        <v>2.4</v>
      </c>
      <c r="H221" s="38">
        <f>IFERROR(__xludf.DUMMYFUNCTION("""COMPUTED_VALUE"""),0.05)</f>
        <v>0.05</v>
      </c>
      <c r="I221" s="5">
        <f>IFERROR(__xludf.DUMMYFUNCTION("""COMPUTED_VALUE"""),5.0)</f>
        <v>5</v>
      </c>
      <c r="J221" s="5">
        <f>IFERROR(__xludf.DUMMYFUNCTION("""COMPUTED_VALUE"""),43.9)</f>
        <v>43.9</v>
      </c>
    </row>
    <row r="222">
      <c r="A222" s="5" t="str">
        <f>IFERROR(__xludf.DUMMYFUNCTION("""COMPUTED_VALUE"""),"*High Risk*
2
2
2
X
Chase ClaypoolWR MIA
Seasons:3
Height:6'4""
Weight:238
Bye:10
View Player Profile »
Injury History [TABLE]")</f>
        <v>*High Risk*
2
2
2
X
Chase ClaypoolWR MIA
Seasons:3
Height:6'4"
Weight:238
Bye:10
View Player Profile »
Injury History [TABLE]</v>
      </c>
      <c r="B222" s="5"/>
      <c r="C222" s="5"/>
      <c r="D222" s="5"/>
      <c r="E222" s="5"/>
      <c r="F222" s="5"/>
      <c r="G222" s="5"/>
      <c r="H222" s="5"/>
      <c r="I222" s="5"/>
      <c r="J222" s="5"/>
    </row>
    <row r="223">
      <c r="A223" s="5"/>
      <c r="B223" s="5" t="str">
        <f>IFERROR(__xludf.DUMMYFUNCTION("""COMPUTED_VALUE"""),"Sterling Shepard, WR NYG")</f>
        <v>Sterling Shepard, WR NYG</v>
      </c>
      <c r="C223" s="5" t="str">
        <f>IFERROR(__xludf.DUMMYFUNCTION("""COMPUTED_VALUE"""),"15 | | | | | | | | | | | | | | |")</f>
        <v>15 | | | | | | | | | | | | | | |</v>
      </c>
      <c r="D223" s="5" t="str">
        <f>IFERROR(__xludf.DUMMYFUNCTION("""COMPUTED_VALUE"""),"+ Show History »")</f>
        <v>+ Show History »</v>
      </c>
      <c r="E223" s="5" t="str">
        <f>IFERROR(__xludf.DUMMYFUNCTION("""COMPUTED_VALUE"""),"High Risk")</f>
        <v>High Risk</v>
      </c>
      <c r="F223" s="38">
        <f>IFERROR(__xludf.DUMMYFUNCTION("""COMPUTED_VALUE"""),0.59)</f>
        <v>0.59</v>
      </c>
      <c r="G223" s="5">
        <f>IFERROR(__xludf.DUMMYFUNCTION("""COMPUTED_VALUE"""),4.4)</f>
        <v>4.4</v>
      </c>
      <c r="H223" s="60">
        <f>IFERROR(__xludf.DUMMYFUNCTION("""COMPUTED_VALUE"""),0.051)</f>
        <v>0.051</v>
      </c>
      <c r="I223" s="5">
        <f>IFERROR(__xludf.DUMMYFUNCTION("""COMPUTED_VALUE"""),1.68)</f>
        <v>1.68</v>
      </c>
      <c r="J223" s="5">
        <f>IFERROR(__xludf.DUMMYFUNCTION("""COMPUTED_VALUE"""),43.0)</f>
        <v>43</v>
      </c>
    </row>
    <row r="224">
      <c r="A224" s="5" t="str">
        <f>IFERROR(__xludf.DUMMYFUNCTION("""COMPUTED_VALUE"""),"*High Risk*
1
4
1
3
4
1
1
X
Sterling ShepardWR NYG
Seasons:7
Height:5'10""
Weight:194
Bye:13
View Player Profile »
Injury History [TABLE]")</f>
        <v>*High Risk*
1
4
1
3
4
1
1
X
Sterling ShepardWR NYG
Seasons:7
Height:5'10"
Weight:194
Bye:13
View Player Profile »
Injury History [TABLE]</v>
      </c>
      <c r="B224" s="5"/>
      <c r="C224" s="5"/>
      <c r="D224" s="5"/>
      <c r="E224" s="5"/>
      <c r="F224" s="5"/>
      <c r="G224" s="5"/>
      <c r="H224" s="5"/>
      <c r="I224" s="5"/>
      <c r="J224" s="5"/>
    </row>
    <row r="225">
      <c r="A225" s="5"/>
      <c r="B225" s="5" t="str">
        <f>IFERROR(__xludf.DUMMYFUNCTION("""COMPUTED_VALUE"""),"Danny Gray, WR SF")</f>
        <v>Danny Gray, WR SF</v>
      </c>
      <c r="C225" s="5" t="str">
        <f>IFERROR(__xludf.DUMMYFUNCTION("""COMPUTED_VALUE"""),"4 | | | |")</f>
        <v>4 | | | |</v>
      </c>
      <c r="D225" s="5" t="str">
        <f>IFERROR(__xludf.DUMMYFUNCTION("""COMPUTED_VALUE"""),"+ Show History »")</f>
        <v>+ Show History »</v>
      </c>
      <c r="E225" s="5" t="str">
        <f>IFERROR(__xludf.DUMMYFUNCTION("""COMPUTED_VALUE"""),"High Risk")</f>
        <v>High Risk</v>
      </c>
      <c r="F225" s="38">
        <f>IFERROR(__xludf.DUMMYFUNCTION("""COMPUTED_VALUE"""),0.65)</f>
        <v>0.65</v>
      </c>
      <c r="G225" s="5">
        <f>IFERROR(__xludf.DUMMYFUNCTION("""COMPUTED_VALUE"""),2.83)</f>
        <v>2.83</v>
      </c>
      <c r="H225" s="38">
        <f>IFERROR(__xludf.DUMMYFUNCTION("""COMPUTED_VALUE"""),0.06)</f>
        <v>0.06</v>
      </c>
      <c r="I225" s="5">
        <f>IFERROR(__xludf.DUMMYFUNCTION("""COMPUTED_VALUE"""),2.71)</f>
        <v>2.71</v>
      </c>
      <c r="J225" s="5">
        <f>IFERROR(__xludf.DUMMYFUNCTION("""COMPUTED_VALUE"""),40.3)</f>
        <v>40.3</v>
      </c>
    </row>
    <row r="226">
      <c r="A226" s="5" t="str">
        <f>IFERROR(__xludf.DUMMYFUNCTION("""COMPUTED_VALUE"""),"*High Risk*
1
1
1
1
X
Danny GrayWR SF
Seasons:2
Height:6'0""
Weight:200
Bye:9
View Player Profile »
Injury History [TABLE]")</f>
        <v>*High Risk*
1
1
1
1
X
Danny GrayWR SF
Seasons:2
Height:6'0"
Weight:200
Bye:9
View Player Profile »
Injury History [TABLE]</v>
      </c>
      <c r="B226" s="5"/>
      <c r="C226" s="5"/>
      <c r="D226" s="5"/>
      <c r="E226" s="5"/>
      <c r="F226" s="5"/>
      <c r="G226" s="5"/>
      <c r="H226" s="5"/>
      <c r="I226" s="5"/>
      <c r="J226" s="5"/>
    </row>
    <row r="227">
      <c r="A227" s="5"/>
      <c r="B227" s="5" t="str">
        <f>IFERROR(__xludf.DUMMYFUNCTION("""COMPUTED_VALUE"""),"Randall Cobb, WR NYJ")</f>
        <v>Randall Cobb, WR NYJ</v>
      </c>
      <c r="C227" s="5" t="str">
        <f>IFERROR(__xludf.DUMMYFUNCTION("""COMPUTED_VALUE"""),"17 | | | | | | | | | | | | | | | | |")</f>
        <v>17 | | | | | | | | | | | | | | | | |</v>
      </c>
      <c r="D227" s="5" t="str">
        <f>IFERROR(__xludf.DUMMYFUNCTION("""COMPUTED_VALUE"""),"+ Show History »")</f>
        <v>+ Show History »</v>
      </c>
      <c r="E227" s="5" t="str">
        <f>IFERROR(__xludf.DUMMYFUNCTION("""COMPUTED_VALUE"""),"Very High Risk")</f>
        <v>Very High Risk</v>
      </c>
      <c r="F227" s="38">
        <f>IFERROR(__xludf.DUMMYFUNCTION("""COMPUTED_VALUE"""),0.95)</f>
        <v>0.95</v>
      </c>
      <c r="G227" s="5">
        <f>IFERROR(__xludf.DUMMYFUNCTION("""COMPUTED_VALUE"""),3.67)</f>
        <v>3.67</v>
      </c>
      <c r="H227" s="60">
        <f>IFERROR(__xludf.DUMMYFUNCTION("""COMPUTED_VALUE"""),0.162)</f>
        <v>0.162</v>
      </c>
      <c r="I227" s="5">
        <f>IFERROR(__xludf.DUMMYFUNCTION("""COMPUTED_VALUE"""),3.41)</f>
        <v>3.41</v>
      </c>
      <c r="J227" s="5">
        <f>IFERROR(__xludf.DUMMYFUNCTION("""COMPUTED_VALUE"""),36.5)</f>
        <v>36.5</v>
      </c>
    </row>
    <row r="228">
      <c r="A228" s="5" t="str">
        <f>IFERROR(__xludf.DUMMYFUNCTION("""COMPUTED_VALUE"""),"*Very High Risk*
5
2
1
1
3
2
1
1
1
X
Randall CobbWR NYJ
Seasons:12
Height:5'10""
Weight:192
Bye:7
View Player Profile »
Injury History [TABLE]")</f>
        <v>*Very High Risk*
5
2
1
1
3
2
1
1
1
X
Randall CobbWR NYJ
Seasons:12
Height:5'10"
Weight:192
Bye:7
View Player Profile »
Injury History [TABLE]</v>
      </c>
      <c r="B228" s="5"/>
      <c r="C228" s="5"/>
      <c r="D228" s="5"/>
      <c r="E228" s="5"/>
      <c r="F228" s="5"/>
      <c r="G228" s="5"/>
      <c r="H228" s="5"/>
      <c r="I228" s="5"/>
      <c r="J228" s="5"/>
    </row>
    <row r="229">
      <c r="A229" s="5"/>
      <c r="B229" s="5" t="str">
        <f>IFERROR(__xludf.DUMMYFUNCTION("""COMPUTED_VALUE"""),"Laviska Shenault, WR CAR")</f>
        <v>Laviska Shenault, WR CAR</v>
      </c>
      <c r="C229" s="5" t="str">
        <f>IFERROR(__xludf.DUMMYFUNCTION("""COMPUTED_VALUE"""),"6 | | | | | |")</f>
        <v>6 | | | | | |</v>
      </c>
      <c r="D229" s="5" t="str">
        <f>IFERROR(__xludf.DUMMYFUNCTION("""COMPUTED_VALUE"""),"+ Show History »")</f>
        <v>+ Show History »</v>
      </c>
      <c r="E229" s="5" t="str">
        <f>IFERROR(__xludf.DUMMYFUNCTION("""COMPUTED_VALUE"""),"Low Risk")</f>
        <v>Low Risk</v>
      </c>
      <c r="F229" s="38">
        <f>IFERROR(__xludf.DUMMYFUNCTION("""COMPUTED_VALUE"""),0.34)</f>
        <v>0.34</v>
      </c>
      <c r="G229" s="5">
        <f>IFERROR(__xludf.DUMMYFUNCTION("""COMPUTED_VALUE"""),1.07)</f>
        <v>1.07</v>
      </c>
      <c r="H229" s="60">
        <f>IFERROR(__xludf.DUMMYFUNCTION("""COMPUTED_VALUE"""),0.024)</f>
        <v>0.024</v>
      </c>
      <c r="I229" s="5">
        <f>IFERROR(__xludf.DUMMYFUNCTION("""COMPUTED_VALUE"""),5.0)</f>
        <v>5</v>
      </c>
      <c r="J229" s="5">
        <f>IFERROR(__xludf.DUMMYFUNCTION("""COMPUTED_VALUE"""),36.2)</f>
        <v>36.2</v>
      </c>
    </row>
    <row r="230">
      <c r="A230" s="5" t="str">
        <f>IFERROR(__xludf.DUMMYFUNCTION("""COMPUTED_VALUE"""),"*Low Risk*
2
1
1
1
1
X
Laviska ShenaultWR CAR
Seasons:4
Height:6'1""
Weight:227
Bye:7
View Player Profile »
Injury History [TABLE]")</f>
        <v>*Low Risk*
2
1
1
1
1
X
Laviska ShenaultWR CAR
Seasons:4
Height:6'1"
Weight:227
Bye:7
View Player Profile »
Injury History [TABLE]</v>
      </c>
      <c r="B230" s="5"/>
      <c r="C230" s="5"/>
      <c r="D230" s="5"/>
      <c r="E230" s="5"/>
      <c r="F230" s="5"/>
      <c r="G230" s="5"/>
      <c r="H230" s="5"/>
      <c r="I230" s="5"/>
      <c r="J230" s="5"/>
    </row>
    <row r="231">
      <c r="A231" s="5"/>
      <c r="B231" s="5" t="str">
        <f>IFERROR(__xludf.DUMMYFUNCTION("""COMPUTED_VALUE"""),"Equanimeous St. Brown, WR CHI")</f>
        <v>Equanimeous St. Brown, WR CHI</v>
      </c>
      <c r="C231" s="5" t="str">
        <f>IFERROR(__xludf.DUMMYFUNCTION("""COMPUTED_VALUE"""),"6 | | | | | |")</f>
        <v>6 | | | | | |</v>
      </c>
      <c r="D231" s="5" t="str">
        <f>IFERROR(__xludf.DUMMYFUNCTION("""COMPUTED_VALUE"""),"+ Show History »")</f>
        <v>+ Show History »</v>
      </c>
      <c r="E231" s="5" t="str">
        <f>IFERROR(__xludf.DUMMYFUNCTION("""COMPUTED_VALUE"""),"Low Risk")</f>
        <v>Low Risk</v>
      </c>
      <c r="F231" s="38">
        <f>IFERROR(__xludf.DUMMYFUNCTION("""COMPUTED_VALUE"""),0.33)</f>
        <v>0.33</v>
      </c>
      <c r="G231" s="5">
        <f>IFERROR(__xludf.DUMMYFUNCTION("""COMPUTED_VALUE"""),1.04)</f>
        <v>1.04</v>
      </c>
      <c r="H231" s="60">
        <f>IFERROR(__xludf.DUMMYFUNCTION("""COMPUTED_VALUE"""),0.023)</f>
        <v>0.023</v>
      </c>
      <c r="I231" s="5">
        <f>IFERROR(__xludf.DUMMYFUNCTION("""COMPUTED_VALUE"""),1.83)</f>
        <v>1.83</v>
      </c>
      <c r="J231" s="5">
        <f>IFERROR(__xludf.DUMMYFUNCTION("""COMPUTED_VALUE"""),35.8)</f>
        <v>35.8</v>
      </c>
    </row>
    <row r="232">
      <c r="A232" s="5" t="str">
        <f>IFERROR(__xludf.DUMMYFUNCTION("""COMPUTED_VALUE"""),"*Low Risk*
3
1
1
1
X
Equanimeous St. BrownWR CHI
Seasons:5
Height:6'5""
Weight:214
Bye:13
View Player Profile »
Injury History [TABLE]")</f>
        <v>*Low Risk*
3
1
1
1
X
Equanimeous St. BrownWR CHI
Seasons:5
Height:6'5"
Weight:214
Bye:13
View Player Profile »
Injury History [TABLE]</v>
      </c>
      <c r="B232" s="5"/>
      <c r="C232" s="5"/>
      <c r="D232" s="5"/>
      <c r="E232" s="5"/>
      <c r="F232" s="5"/>
      <c r="G232" s="5"/>
      <c r="H232" s="5"/>
      <c r="I232" s="5"/>
      <c r="J232" s="5"/>
    </row>
    <row r="233">
      <c r="A233" s="5"/>
      <c r="B233" s="5" t="str">
        <f>IFERROR(__xludf.DUMMYFUNCTION("""COMPUTED_VALUE"""),"Velus Jones, WR CHI")</f>
        <v>Velus Jones, WR CHI</v>
      </c>
      <c r="C233" s="5" t="str">
        <f>IFERROR(__xludf.DUMMYFUNCTION("""COMPUTED_VALUE"""),"5 | | | | |")</f>
        <v>5 | | | | |</v>
      </c>
      <c r="D233" s="5" t="str">
        <f>IFERROR(__xludf.DUMMYFUNCTION("""COMPUTED_VALUE"""),"+ Show History »")</f>
        <v>+ Show History »</v>
      </c>
      <c r="E233" s="5" t="str">
        <f>IFERROR(__xludf.DUMMYFUNCTION("""COMPUTED_VALUE"""),"Medium Risk")</f>
        <v>Medium Risk</v>
      </c>
      <c r="F233" s="38">
        <f>IFERROR(__xludf.DUMMYFUNCTION("""COMPUTED_VALUE"""),0.55)</f>
        <v>0.55</v>
      </c>
      <c r="G233" s="5">
        <f>IFERROR(__xludf.DUMMYFUNCTION("""COMPUTED_VALUE"""),1.99)</f>
        <v>1.99</v>
      </c>
      <c r="H233" s="60">
        <f>IFERROR(__xludf.DUMMYFUNCTION("""COMPUTED_VALUE"""),0.046)</f>
        <v>0.046</v>
      </c>
      <c r="I233" s="5">
        <f>IFERROR(__xludf.DUMMYFUNCTION("""COMPUTED_VALUE"""),5.0)</f>
        <v>5</v>
      </c>
      <c r="J233" s="5">
        <f>IFERROR(__xludf.DUMMYFUNCTION("""COMPUTED_VALUE"""),31.9)</f>
        <v>31.9</v>
      </c>
    </row>
    <row r="234">
      <c r="A234" s="5" t="str">
        <f>IFERROR(__xludf.DUMMYFUNCTION("""COMPUTED_VALUE"""),"*Medium Risk*
2
2
1
X
Velus JonesWR CHI
Seasons:2
Height:6'0""
Weight:200
Bye:13
View Player Profile »
Injury History [TABLE]")</f>
        <v>*Medium Risk*
2
2
1
X
Velus JonesWR CHI
Seasons:2
Height:6'0"
Weight:200
Bye:13
View Player Profile »
Injury History [TABLE]</v>
      </c>
      <c r="B234" s="5"/>
      <c r="C234" s="5"/>
      <c r="D234" s="5"/>
      <c r="E234" s="5"/>
      <c r="F234" s="5"/>
      <c r="G234" s="5"/>
      <c r="H234" s="5"/>
      <c r="I234" s="5"/>
      <c r="J234" s="5"/>
    </row>
    <row r="235">
      <c r="A235" s="5"/>
      <c r="B235" s="5" t="str">
        <f>IFERROR(__xludf.DUMMYFUNCTION("""COMPUTED_VALUE"""),"Tre'Quan Smith, WR DEN")</f>
        <v>Tre'Quan Smith, WR DEN</v>
      </c>
      <c r="C235" s="5" t="str">
        <f>IFERROR(__xludf.DUMMYFUNCTION("""COMPUTED_VALUE"""),"9 | | | | | | | | |")</f>
        <v>9 | | | | | | | | |</v>
      </c>
      <c r="D235" s="5" t="str">
        <f>IFERROR(__xludf.DUMMYFUNCTION("""COMPUTED_VALUE"""),"+ Show History »")</f>
        <v>+ Show History »</v>
      </c>
      <c r="E235" s="5" t="str">
        <f>IFERROR(__xludf.DUMMYFUNCTION("""COMPUTED_VALUE"""),"High Risk")</f>
        <v>High Risk</v>
      </c>
      <c r="F235" s="38">
        <f>IFERROR(__xludf.DUMMYFUNCTION("""COMPUTED_VALUE"""),0.6)</f>
        <v>0.6</v>
      </c>
      <c r="G235" s="5">
        <f>IFERROR(__xludf.DUMMYFUNCTION("""COMPUTED_VALUE"""),1.87)</f>
        <v>1.87</v>
      </c>
      <c r="H235" s="60">
        <f>IFERROR(__xludf.DUMMYFUNCTION("""COMPUTED_VALUE"""),0.052)</f>
        <v>0.052</v>
      </c>
      <c r="I235" s="5">
        <f>IFERROR(__xludf.DUMMYFUNCTION("""COMPUTED_VALUE"""),4.0)</f>
        <v>4</v>
      </c>
      <c r="J235" s="5">
        <f>IFERROR(__xludf.DUMMYFUNCTION("""COMPUTED_VALUE"""),28.4)</f>
        <v>28.4</v>
      </c>
    </row>
    <row r="236">
      <c r="A236" s="5" t="str">
        <f>IFERROR(__xludf.DUMMYFUNCTION("""COMPUTED_VALUE"""),"*High Risk*
1
1
1
1
4
1
X
Tre'Quan SmithWR DEN
Seasons:5
Height:6'2""
Weight:203
Bye:9
View Player Profile »
Injury History [TABLE]")</f>
        <v>*High Risk*
1
1
1
1
4
1
X
Tre'Quan SmithWR DEN
Seasons:5
Height:6'2"
Weight:203
Bye:9
View Player Profile »
Injury History [TABLE]</v>
      </c>
      <c r="B236" s="5"/>
      <c r="C236" s="5"/>
      <c r="D236" s="5"/>
      <c r="E236" s="5"/>
      <c r="F236" s="5"/>
      <c r="G236" s="5"/>
      <c r="H236" s="5"/>
      <c r="I236" s="5"/>
      <c r="J236" s="5"/>
    </row>
    <row r="237">
      <c r="A237" s="5"/>
      <c r="B237" s="5" t="str">
        <f>IFERROR(__xludf.DUMMYFUNCTION("""COMPUTED_VALUE"""),"D'Wayne Eskridge, WR SEA")</f>
        <v>D'Wayne Eskridge, WR SEA</v>
      </c>
      <c r="C237" s="5" t="str">
        <f>IFERROR(__xludf.DUMMYFUNCTION("""COMPUTED_VALUE"""),"7 | | | | | | |")</f>
        <v>7 | | | | | | |</v>
      </c>
      <c r="D237" s="5" t="str">
        <f>IFERROR(__xludf.DUMMYFUNCTION("""COMPUTED_VALUE"""),"+ Show History »")</f>
        <v>+ Show History »</v>
      </c>
      <c r="E237" s="5" t="str">
        <f>IFERROR(__xludf.DUMMYFUNCTION("""COMPUTED_VALUE"""),"High Risk")</f>
        <v>High Risk</v>
      </c>
      <c r="F237" s="38">
        <f>IFERROR(__xludf.DUMMYFUNCTION("""COMPUTED_VALUE"""),0.62)</f>
        <v>0.62</v>
      </c>
      <c r="G237" s="5">
        <f>IFERROR(__xludf.DUMMYFUNCTION("""COMPUTED_VALUE"""),3.86)</f>
        <v>3.86</v>
      </c>
      <c r="H237" s="60">
        <f>IFERROR(__xludf.DUMMYFUNCTION("""COMPUTED_VALUE"""),0.055)</f>
        <v>0.055</v>
      </c>
      <c r="I237" s="5">
        <f>IFERROR(__xludf.DUMMYFUNCTION("""COMPUTED_VALUE"""),0.8)</f>
        <v>0.8</v>
      </c>
      <c r="J237" s="5">
        <f>IFERROR(__xludf.DUMMYFUNCTION("""COMPUTED_VALUE"""),21.2)</f>
        <v>21.2</v>
      </c>
    </row>
    <row r="238">
      <c r="A238" s="5" t="str">
        <f>IFERROR(__xludf.DUMMYFUNCTION("""COMPUTED_VALUE"""),"*High Risk*
1
1
2
1
1
1
X
D'Wayne EskridgeWR SEA
Seasons:2
Height:5'9""
Weight:190
Bye:5
View Player Profile »
Injury History [TABLE]")</f>
        <v>*High Risk*
1
1
2
1
1
1
X
D'Wayne EskridgeWR SEA
Seasons:2
Height:5'9"
Weight:190
Bye:5
View Player Profile »
Injury History [TABLE]</v>
      </c>
      <c r="B238" s="5"/>
      <c r="C238" s="5"/>
      <c r="D238" s="5"/>
      <c r="E238" s="5"/>
      <c r="F238" s="5"/>
      <c r="G238" s="5"/>
      <c r="H238" s="5"/>
      <c r="I238" s="5"/>
      <c r="J238" s="5"/>
    </row>
    <row r="239">
      <c r="A239" s="5"/>
      <c r="B239" s="5" t="str">
        <f>IFERROR(__xludf.DUMMYFUNCTION("""COMPUTED_VALUE"""),"Tylan Wallace, WR BAL")</f>
        <v>Tylan Wallace, WR BAL</v>
      </c>
      <c r="C239" s="5" t="str">
        <f>IFERROR(__xludf.DUMMYFUNCTION("""COMPUTED_VALUE"""),"2 | |")</f>
        <v>2 | |</v>
      </c>
      <c r="D239" s="5" t="str">
        <f>IFERROR(__xludf.DUMMYFUNCTION("""COMPUTED_VALUE"""),"+ Show History »")</f>
        <v>+ Show History »</v>
      </c>
      <c r="E239" s="5" t="str">
        <f>IFERROR(__xludf.DUMMYFUNCTION("""COMPUTED_VALUE"""),"Very Low Risk")</f>
        <v>Very Low Risk</v>
      </c>
      <c r="F239" s="38">
        <f>IFERROR(__xludf.DUMMYFUNCTION("""COMPUTED_VALUE"""),0.09)</f>
        <v>0.09</v>
      </c>
      <c r="G239" s="5">
        <f>IFERROR(__xludf.DUMMYFUNCTION("""COMPUTED_VALUE"""),0.49)</f>
        <v>0.49</v>
      </c>
      <c r="H239" s="60">
        <f>IFERROR(__xludf.DUMMYFUNCTION("""COMPUTED_VALUE"""),0.006)</f>
        <v>0.006</v>
      </c>
      <c r="I239" s="5">
        <f>IFERROR(__xludf.DUMMYFUNCTION("""COMPUTED_VALUE"""),3.34)</f>
        <v>3.34</v>
      </c>
      <c r="J239" s="5">
        <f>IFERROR(__xludf.DUMMYFUNCTION("""COMPUTED_VALUE"""),20.7)</f>
        <v>20.7</v>
      </c>
    </row>
    <row r="240">
      <c r="A240" s="5" t="str">
        <f>IFERROR(__xludf.DUMMYFUNCTION("""COMPUTED_VALUE"""),"*Very Low Risk*
2
X
Tylan WallaceWR BAL
Seasons:3
Height:5'11""
Weight:195
Bye:13
View Player Profile »
Injury History [TABLE]")</f>
        <v>*Very Low Risk*
2
X
Tylan WallaceWR BAL
Seasons:3
Height:5'11"
Weight:195
Bye:13
View Player Profile »
Injury History [TABLE]</v>
      </c>
      <c r="B240" s="5"/>
      <c r="C240" s="5"/>
      <c r="D240" s="5"/>
      <c r="E240" s="5"/>
      <c r="F240" s="5"/>
      <c r="G240" s="5"/>
      <c r="H240" s="5"/>
      <c r="I240" s="5"/>
      <c r="J240" s="5"/>
    </row>
    <row r="241">
      <c r="A241" s="5"/>
      <c r="B241" s="5" t="str">
        <f>IFERROR(__xludf.DUMMYFUNCTION("""COMPUTED_VALUE"""),"Jarvis Landry, WR UNS")</f>
        <v>Jarvis Landry, WR UNS</v>
      </c>
      <c r="C241" s="5" t="str">
        <f>IFERROR(__xludf.DUMMYFUNCTION("""COMPUTED_VALUE"""),"10 | | | | | | | | | |")</f>
        <v>10 | | | | | | | | | |</v>
      </c>
      <c r="D241" s="5" t="str">
        <f>IFERROR(__xludf.DUMMYFUNCTION("""COMPUTED_VALUE"""),"+ Show History »")</f>
        <v>+ Show History »</v>
      </c>
      <c r="E241" s="5" t="str">
        <f>IFERROR(__xludf.DUMMYFUNCTION("""COMPUTED_VALUE"""),"High Risk")</f>
        <v>High Risk</v>
      </c>
      <c r="F241" s="38">
        <f>IFERROR(__xludf.DUMMYFUNCTION("""COMPUTED_VALUE"""),0.61)</f>
        <v>0.61</v>
      </c>
      <c r="G241" s="5">
        <f>IFERROR(__xludf.DUMMYFUNCTION("""COMPUTED_VALUE"""),4.54)</f>
        <v>4.54</v>
      </c>
      <c r="H241" s="60">
        <f>IFERROR(__xludf.DUMMYFUNCTION("""COMPUTED_VALUE"""),0.054)</f>
        <v>0.054</v>
      </c>
      <c r="I241" s="5">
        <f>IFERROR(__xludf.DUMMYFUNCTION("""COMPUTED_VALUE"""),5.0)</f>
        <v>5</v>
      </c>
      <c r="J241" s="5">
        <f>IFERROR(__xludf.DUMMYFUNCTION("""COMPUTED_VALUE"""),15.5)</f>
        <v>15.5</v>
      </c>
    </row>
    <row r="242">
      <c r="A242" s="5" t="str">
        <f>IFERROR(__xludf.DUMMYFUNCTION("""COMPUTED_VALUE"""),"*High Risk*
3
3
1
2
1
X
Jarvis LandryWR UNS
Seasons:9
Height:5'11""
Weight:205
Bye:1
View Player Profile »
Injury History [TABLE]")</f>
        <v>*High Risk*
3
3
1
2
1
X
Jarvis LandryWR UNS
Seasons:9
Height:5'11"
Weight:205
Bye:1
View Player Profile »
Injury History [TABLE]</v>
      </c>
      <c r="B242" s="5"/>
      <c r="C242" s="5"/>
      <c r="D242" s="5"/>
      <c r="E242" s="5"/>
      <c r="F242" s="5"/>
      <c r="G242" s="5"/>
      <c r="H242" s="5"/>
      <c r="I242" s="5"/>
      <c r="J242" s="5"/>
    </row>
    <row r="243">
      <c r="A243" s="5"/>
      <c r="B243" s="5" t="str">
        <f>IFERROR(__xludf.DUMMYFUNCTION("""COMPUTED_VALUE"""),"Kendrick Bourne, WR NE")</f>
        <v>Kendrick Bourne, WR NE</v>
      </c>
      <c r="C243" s="5" t="str">
        <f>IFERROR(__xludf.DUMMYFUNCTION("""COMPUTED_VALUE"""),"1 |")</f>
        <v>1 |</v>
      </c>
      <c r="D243" s="5" t="str">
        <f>IFERROR(__xludf.DUMMYFUNCTION("""COMPUTED_VALUE"""),"+ Show History »")</f>
        <v>+ Show History »</v>
      </c>
      <c r="E243" s="5" t="str">
        <f>IFERROR(__xludf.DUMMYFUNCTION("""COMPUTED_VALUE"""),"Very Low Risk")</f>
        <v>Very Low Risk</v>
      </c>
      <c r="F243" s="38">
        <f>IFERROR(__xludf.DUMMYFUNCTION("""COMPUTED_VALUE"""),0.08)</f>
        <v>0.08</v>
      </c>
      <c r="G243" s="5">
        <f>IFERROR(__xludf.DUMMYFUNCTION("""COMPUTED_VALUE"""),0.82)</f>
        <v>0.82</v>
      </c>
      <c r="H243" s="60">
        <f>IFERROR(__xludf.DUMMYFUNCTION("""COMPUTED_VALUE"""),0.005)</f>
        <v>0.005</v>
      </c>
      <c r="I243" s="5">
        <f>IFERROR(__xludf.DUMMYFUNCTION("""COMPUTED_VALUE"""),5.0)</f>
        <v>5</v>
      </c>
      <c r="J243" s="5">
        <f>IFERROR(__xludf.DUMMYFUNCTION("""COMPUTED_VALUE"""),4.1)</f>
        <v>4.1</v>
      </c>
    </row>
    <row r="244">
      <c r="A244" s="5" t="str">
        <f>IFERROR(__xludf.DUMMYFUNCTION("""COMPUTED_VALUE"""),"*Very Low Risk*
1
X
Kendrick BourneWR NE
Seasons:6
Height:6'1""
Weight:203
Bye:11
View Player Profile »
Injury History [TABLE]")</f>
        <v>*Very Low Risk*
1
X
Kendrick BourneWR NE
Seasons:6
Height:6'1"
Weight:203
Bye:11
View Player Profile »
Injury History [TABLE]</v>
      </c>
      <c r="B244" s="5"/>
      <c r="C244" s="5"/>
      <c r="D244" s="5"/>
      <c r="E244" s="5"/>
      <c r="F244" s="5"/>
      <c r="G244" s="5"/>
      <c r="H244" s="5"/>
      <c r="I244" s="5"/>
      <c r="J244" s="5"/>
    </row>
    <row r="245">
      <c r="A245" s="5"/>
      <c r="B245" s="5" t="str">
        <f>IFERROR(__xludf.DUMMYFUNCTION("""COMPUTED_VALUE"""),"Tim Patrick, WR DEN")</f>
        <v>Tim Patrick, WR DEN</v>
      </c>
      <c r="C245" s="5" t="str">
        <f>IFERROR(__xludf.DUMMYFUNCTION("""COMPUTED_VALUE"""),"2 | |")</f>
        <v>2 | |</v>
      </c>
      <c r="D245" s="5" t="str">
        <f>IFERROR(__xludf.DUMMYFUNCTION("""COMPUTED_VALUE"""),"+ Show History »")</f>
        <v>+ Show History »</v>
      </c>
      <c r="E245" s="5" t="str">
        <f>IFERROR(__xludf.DUMMYFUNCTION("""COMPUTED_VALUE"""),"Very Low Risk")</f>
        <v>Very Low Risk</v>
      </c>
      <c r="F245" s="38">
        <f>IFERROR(__xludf.DUMMYFUNCTION("""COMPUTED_VALUE"""),0.25)</f>
        <v>0.25</v>
      </c>
      <c r="G245" s="5">
        <f>IFERROR(__xludf.DUMMYFUNCTION("""COMPUTED_VALUE"""),17.0)</f>
        <v>17</v>
      </c>
      <c r="H245" s="60">
        <f>IFERROR(__xludf.DUMMYFUNCTION("""COMPUTED_VALUE"""),0.017)</f>
        <v>0.017</v>
      </c>
      <c r="I245" s="5">
        <f>IFERROR(__xludf.DUMMYFUNCTION("""COMPUTED_VALUE"""),3.24)</f>
        <v>3.24</v>
      </c>
      <c r="J245" s="5">
        <f>IFERROR(__xludf.DUMMYFUNCTION("""COMPUTED_VALUE"""),4.1)</f>
        <v>4.1</v>
      </c>
    </row>
    <row r="246">
      <c r="A246" s="5" t="str">
        <f>IFERROR(__xludf.DUMMYFUNCTION("""COMPUTED_VALUE"""),"*Very Low Risk*
1
1
X
Tim PatrickWR DEN
Seasons:5
Height:6'4""
Weight:212
Bye:9
View Player Profile »
Injury History [TABLE]")</f>
        <v>*Very Low Risk*
1
1
X
Tim PatrickWR DEN
Seasons:5
Height:6'4"
Weight:212
Bye:9
View Player Profile »
Injury History [TABLE]</v>
      </c>
      <c r="B246" s="5"/>
      <c r="C246" s="5"/>
      <c r="D246" s="5"/>
      <c r="E246" s="5"/>
      <c r="F246" s="5"/>
      <c r="G246" s="5"/>
      <c r="H246" s="5"/>
      <c r="I246" s="5"/>
      <c r="J246" s="5"/>
    </row>
    <row r="247">
      <c r="A247" s="5"/>
      <c r="B247" s="5" t="str">
        <f>IFERROR(__xludf.DUMMYFUNCTION("""COMPUTED_VALUE"""),"Mike Williams, WR LAC")</f>
        <v>Mike Williams, WR LAC</v>
      </c>
      <c r="C247" s="5" t="str">
        <f>IFERROR(__xludf.DUMMYFUNCTION("""COMPUTED_VALUE"""),"10 | | | | | | | | | |")</f>
        <v>10 | | | | | | | | | |</v>
      </c>
      <c r="D247" s="5" t="str">
        <f>IFERROR(__xludf.DUMMYFUNCTION("""COMPUTED_VALUE"""),"+ Show History »")</f>
        <v>+ Show History »</v>
      </c>
      <c r="E247" s="5" t="str">
        <f>IFERROR(__xludf.DUMMYFUNCTION("""COMPUTED_VALUE"""),"Very High Risk")</f>
        <v>Very High Risk</v>
      </c>
      <c r="F247" s="38">
        <f>IFERROR(__xludf.DUMMYFUNCTION("""COMPUTED_VALUE"""),0.8)</f>
        <v>0.8</v>
      </c>
      <c r="G247" s="5">
        <f>IFERROR(__xludf.DUMMYFUNCTION("""COMPUTED_VALUE"""),2.4)</f>
        <v>2.4</v>
      </c>
      <c r="H247" s="38">
        <f>IFERROR(__xludf.DUMMYFUNCTION("""COMPUTED_VALUE"""),0.09)</f>
        <v>0.09</v>
      </c>
      <c r="I247" s="5">
        <f>IFERROR(__xludf.DUMMYFUNCTION("""COMPUTED_VALUE"""),2.96)</f>
        <v>2.96</v>
      </c>
      <c r="J247" s="5">
        <f>IFERROR(__xludf.DUMMYFUNCTION("""COMPUTED_VALUE"""),0.0)</f>
        <v>0</v>
      </c>
    </row>
    <row r="248">
      <c r="A248" s="5" t="str">
        <f>IFERROR(__xludf.DUMMYFUNCTION("""COMPUTED_VALUE"""),"*Very High Risk*
2
2
3
1
1
1
X
Mike WilliamsWR LAC
Seasons:6
Height:6'3""
Weight:225
Bye:5
View Player Profile »
Injury History [TABLE]")</f>
        <v>*Very High Risk*
2
2
3
1
1
1
X
Mike WilliamsWR LAC
Seasons:6
Height:6'3"
Weight:225
Bye:5
View Player Profile »
Injury History [TABLE]</v>
      </c>
      <c r="B248" s="5"/>
      <c r="C248" s="5"/>
      <c r="D248" s="5"/>
      <c r="E248" s="5"/>
      <c r="F248" s="5"/>
      <c r="G248" s="5"/>
      <c r="H248" s="5"/>
      <c r="I248" s="5"/>
      <c r="J248" s="5"/>
    </row>
    <row r="249">
      <c r="A249" s="5"/>
      <c r="B249" s="5" t="str">
        <f>IFERROR(__xludf.DUMMYFUNCTION("""COMPUTED_VALUE"""),"Christian Kirk, WR JAC")</f>
        <v>Christian Kirk, WR JAC</v>
      </c>
      <c r="C249" s="5" t="str">
        <f>IFERROR(__xludf.DUMMYFUNCTION("""COMPUTED_VALUE"""),"4 | | | |")</f>
        <v>4 | | | |</v>
      </c>
      <c r="D249" s="5" t="str">
        <f>IFERROR(__xludf.DUMMYFUNCTION("""COMPUTED_VALUE"""),"+ Show History »")</f>
        <v>+ Show History »</v>
      </c>
      <c r="E249" s="5" t="str">
        <f>IFERROR(__xludf.DUMMYFUNCTION("""COMPUTED_VALUE"""),"Medium Risk")</f>
        <v>Medium Risk</v>
      </c>
      <c r="F249" s="38">
        <f>IFERROR(__xludf.DUMMYFUNCTION("""COMPUTED_VALUE"""),0.41)</f>
        <v>0.41</v>
      </c>
      <c r="G249" s="5">
        <f>IFERROR(__xludf.DUMMYFUNCTION("""COMPUTED_VALUE"""),1.4)</f>
        <v>1.4</v>
      </c>
      <c r="H249" s="60">
        <f>IFERROR(__xludf.DUMMYFUNCTION("""COMPUTED_VALUE"""),0.031)</f>
        <v>0.031</v>
      </c>
      <c r="I249" s="5">
        <f>IFERROR(__xludf.DUMMYFUNCTION("""COMPUTED_VALUE"""),5.0)</f>
        <v>5</v>
      </c>
      <c r="J249" s="5">
        <f>IFERROR(__xludf.DUMMYFUNCTION("""COMPUTED_VALUE"""),0.0)</f>
        <v>0</v>
      </c>
    </row>
    <row r="250">
      <c r="A250" s="5" t="str">
        <f>IFERROR(__xludf.DUMMYFUNCTION("""COMPUTED_VALUE"""),"*Medium Risk*
2
2
X
Christian KirkWR JAC
Seasons:5
Height:5'10""
Weight:201
Bye:9
View Player Profile »
Injury History [TABLE]")</f>
        <v>*Medium Risk*
2
2
X
Christian KirkWR JAC
Seasons:5
Height:5'10"
Weight:201
Bye:9
View Player Profile »
Injury History [TABLE]</v>
      </c>
      <c r="B250" s="5"/>
      <c r="C250" s="5"/>
      <c r="D250" s="5"/>
      <c r="E250" s="5"/>
      <c r="F250" s="5"/>
      <c r="G250" s="5"/>
      <c r="H250" s="5"/>
      <c r="I250" s="5"/>
      <c r="J250" s="5"/>
    </row>
    <row r="251">
      <c r="A251" s="5"/>
      <c r="B251" s="5" t="str">
        <f>IFERROR(__xludf.DUMMYFUNCTION("""COMPUTED_VALUE"""),"Russell Gage, WR TB")</f>
        <v>Russell Gage, WR TB</v>
      </c>
      <c r="C251" s="5" t="str">
        <f>IFERROR(__xludf.DUMMYFUNCTION("""COMPUTED_VALUE"""),"11 | | | | | | | | | | |")</f>
        <v>11 | | | | | | | | | | |</v>
      </c>
      <c r="D251" s="5" t="str">
        <f>IFERROR(__xludf.DUMMYFUNCTION("""COMPUTED_VALUE"""),"+ Show History »")</f>
        <v>+ Show History »</v>
      </c>
      <c r="E251" s="5" t="str">
        <f>IFERROR(__xludf.DUMMYFUNCTION("""COMPUTED_VALUE"""),"Medium Risk")</f>
        <v>Medium Risk</v>
      </c>
      <c r="F251" s="38">
        <f>IFERROR(__xludf.DUMMYFUNCTION("""COMPUTED_VALUE"""),0.57)</f>
        <v>0.57</v>
      </c>
      <c r="G251" s="5">
        <f>IFERROR(__xludf.DUMMYFUNCTION("""COMPUTED_VALUE"""),2.07)</f>
        <v>2.07</v>
      </c>
      <c r="H251" s="60">
        <f>IFERROR(__xludf.DUMMYFUNCTION("""COMPUTED_VALUE"""),0.048)</f>
        <v>0.048</v>
      </c>
      <c r="I251" s="5">
        <f>IFERROR(__xludf.DUMMYFUNCTION("""COMPUTED_VALUE"""),5.0)</f>
        <v>5</v>
      </c>
      <c r="J251" s="5">
        <f>IFERROR(__xludf.DUMMYFUNCTION("""COMPUTED_VALUE"""),0.0)</f>
        <v>0</v>
      </c>
    </row>
    <row r="252">
      <c r="A252" s="5" t="str">
        <f>IFERROR(__xludf.DUMMYFUNCTION("""COMPUTED_VALUE"""),"*Medium Risk*
3
3
2
1
2
X
Russell GageWR TB
Seasons:5
Height:6'0""
Weight:184
Bye:5
View Player Profile »
Injury History [TABLE]")</f>
        <v>*Medium Risk*
3
3
2
1
2
X
Russell GageWR TB
Seasons:5
Height:6'0"
Weight:184
Bye:5
View Player Profile »
Injury History [TABLE]</v>
      </c>
      <c r="B252" s="5"/>
      <c r="C252" s="5"/>
      <c r="D252" s="5"/>
      <c r="E252" s="5"/>
      <c r="F252" s="5"/>
      <c r="G252" s="5"/>
      <c r="H252" s="5"/>
      <c r="I252" s="5"/>
      <c r="J252" s="5"/>
    </row>
    <row r="253">
      <c r="A253" s="5"/>
      <c r="B253" s="5" t="str">
        <f>IFERROR(__xludf.DUMMYFUNCTION("""COMPUTED_VALUE"""),"Marquise Brown, WR ARI")</f>
        <v>Marquise Brown, WR ARI</v>
      </c>
      <c r="C253" s="5" t="str">
        <f>IFERROR(__xludf.DUMMYFUNCTION("""COMPUTED_VALUE"""),"11 | | | | | | | | | | |")</f>
        <v>11 | | | | | | | | | | |</v>
      </c>
      <c r="D253" s="5" t="str">
        <f>IFERROR(__xludf.DUMMYFUNCTION("""COMPUTED_VALUE"""),"+ Show History »")</f>
        <v>+ Show History »</v>
      </c>
      <c r="E253" s="5" t="str">
        <f>IFERROR(__xludf.DUMMYFUNCTION("""COMPUTED_VALUE"""),"Very High Risk")</f>
        <v>Very High Risk</v>
      </c>
      <c r="F253" s="38">
        <f>IFERROR(__xludf.DUMMYFUNCTION("""COMPUTED_VALUE"""),0.79)</f>
        <v>0.79</v>
      </c>
      <c r="G253" s="5">
        <f>IFERROR(__xludf.DUMMYFUNCTION("""COMPUTED_VALUE"""),2.4)</f>
        <v>2.4</v>
      </c>
      <c r="H253" s="60">
        <f>IFERROR(__xludf.DUMMYFUNCTION("""COMPUTED_VALUE"""),0.088)</f>
        <v>0.088</v>
      </c>
      <c r="I253" s="5">
        <f>IFERROR(__xludf.DUMMYFUNCTION("""COMPUTED_VALUE"""),5.0)</f>
        <v>5</v>
      </c>
      <c r="J253" s="5">
        <f>IFERROR(__xludf.DUMMYFUNCTION("""COMPUTED_VALUE"""),0.0)</f>
        <v>0</v>
      </c>
    </row>
    <row r="254">
      <c r="A254" s="5" t="str">
        <f>IFERROR(__xludf.DUMMYFUNCTION("""COMPUTED_VALUE"""),"*Very High Risk*
6
3
2
X
Marquise BrownWR ARI
Seasons:4
Height:5'9""
Weight:166
Bye:14
View Player Profile »
Injury History [TABLE]")</f>
        <v>*Very High Risk*
6
3
2
X
Marquise BrownWR ARI
Seasons:4
Height:5'9"
Weight:166
Bye:14
View Player Profile »
Injury History [TABLE]</v>
      </c>
      <c r="B254" s="5"/>
      <c r="C254" s="5"/>
      <c r="D254" s="5"/>
      <c r="E254" s="5"/>
      <c r="F254" s="5"/>
      <c r="G254" s="5"/>
      <c r="H254" s="5"/>
      <c r="I254" s="5"/>
      <c r="J254" s="5"/>
    </row>
    <row r="255">
      <c r="A255" s="5"/>
      <c r="B255" s="5" t="str">
        <f>IFERROR(__xludf.DUMMYFUNCTION("""COMPUTED_VALUE"""),"Skyy Moore, WR KC")</f>
        <v>Skyy Moore, WR KC</v>
      </c>
      <c r="C255" s="5" t="str">
        <f>IFERROR(__xludf.DUMMYFUNCTION("""COMPUTED_VALUE"""),"2 | |")</f>
        <v>2 | |</v>
      </c>
      <c r="D255" s="5" t="str">
        <f>IFERROR(__xludf.DUMMYFUNCTION("""COMPUTED_VALUE"""),"+ Show History »")</f>
        <v>+ Show History »</v>
      </c>
      <c r="E255" s="5" t="str">
        <f>IFERROR(__xludf.DUMMYFUNCTION("""COMPUTED_VALUE"""),"Very High Risk")</f>
        <v>Very High Risk</v>
      </c>
      <c r="F255" s="38">
        <f>IFERROR(__xludf.DUMMYFUNCTION("""COMPUTED_VALUE"""),0.73)</f>
        <v>0.73</v>
      </c>
      <c r="G255" s="5">
        <f>IFERROR(__xludf.DUMMYFUNCTION("""COMPUTED_VALUE"""),2.4)</f>
        <v>2.4</v>
      </c>
      <c r="H255" s="60">
        <f>IFERROR(__xludf.DUMMYFUNCTION("""COMPUTED_VALUE"""),0.074)</f>
        <v>0.074</v>
      </c>
      <c r="I255" s="5">
        <f>IFERROR(__xludf.DUMMYFUNCTION("""COMPUTED_VALUE"""),5.0)</f>
        <v>5</v>
      </c>
      <c r="J255" s="5">
        <f>IFERROR(__xludf.DUMMYFUNCTION("""COMPUTED_VALUE"""),0.0)</f>
        <v>0</v>
      </c>
    </row>
    <row r="256">
      <c r="A256" s="5" t="str">
        <f>IFERROR(__xludf.DUMMYFUNCTION("""COMPUTED_VALUE"""),"*Very High Risk*
1
1
X
Skyy MooreWR KC
Seasons:2
Height:5'10""
Weight:195
Bye:10
View Player Profile »
Injury History [TABLE]")</f>
        <v>*Very High Risk*
1
1
X
Skyy MooreWR KC
Seasons:2
Height:5'10"
Weight:195
Bye:10
View Player Profile »
Injury History [TABLE]</v>
      </c>
      <c r="B256" s="5"/>
      <c r="C256" s="5"/>
      <c r="D256" s="5"/>
      <c r="E256" s="5"/>
      <c r="F256" s="5"/>
      <c r="G256" s="5"/>
      <c r="H256" s="5"/>
      <c r="I256" s="5"/>
      <c r="J256" s="5"/>
    </row>
    <row r="257">
      <c r="A257" s="5"/>
      <c r="B257" s="5" t="str">
        <f>IFERROR(__xludf.DUMMYFUNCTION("""COMPUTED_VALUE"""),"Nathaniel Tank Dell , WR HOU")</f>
        <v>Nathaniel Tank Dell , WR HOU</v>
      </c>
      <c r="C257" s="5" t="str">
        <f>IFERROR(__xludf.DUMMYFUNCTION("""COMPUTED_VALUE"""),"3 | | |")</f>
        <v>3 | | |</v>
      </c>
      <c r="D257" s="5" t="str">
        <f>IFERROR(__xludf.DUMMYFUNCTION("""COMPUTED_VALUE"""),"+ Show History »")</f>
        <v>+ Show History »</v>
      </c>
      <c r="E257" s="5" t="str">
        <f>IFERROR(__xludf.DUMMYFUNCTION("""COMPUTED_VALUE"""),"Very Low Risk")</f>
        <v>Very Low Risk</v>
      </c>
      <c r="F257" s="38">
        <f>IFERROR(__xludf.DUMMYFUNCTION("""COMPUTED_VALUE"""),0.22)</f>
        <v>0.22</v>
      </c>
      <c r="G257" s="5">
        <f>IFERROR(__xludf.DUMMYFUNCTION("""COMPUTED_VALUE"""),0.5)</f>
        <v>0.5</v>
      </c>
      <c r="H257" s="60">
        <f>IFERROR(__xludf.DUMMYFUNCTION("""COMPUTED_VALUE"""),0.015)</f>
        <v>0.015</v>
      </c>
      <c r="I257" s="5">
        <f>IFERROR(__xludf.DUMMYFUNCTION("""COMPUTED_VALUE"""),3.72)</f>
        <v>3.72</v>
      </c>
      <c r="J257" s="5">
        <f>IFERROR(__xludf.DUMMYFUNCTION("""COMPUTED_VALUE"""),0.0)</f>
        <v>0</v>
      </c>
    </row>
    <row r="258">
      <c r="A258" s="5" t="str">
        <f>IFERROR(__xludf.DUMMYFUNCTION("""COMPUTED_VALUE"""),"*Very Low Risk*
1
1
1
X
Nathaniel Tank Dell WR HOU
Seasons:0
Height:5'8""
Weight:165
Bye:7
View Player Profile »
Injury History [TABLE]")</f>
        <v>*Very Low Risk*
1
1
1
X
Nathaniel Tank Dell WR HOU
Seasons:0
Height:5'8"
Weight:165
Bye:7
View Player Profile »
Injury History [TABLE]</v>
      </c>
      <c r="B258" s="5"/>
      <c r="C258" s="5"/>
      <c r="D258" s="5"/>
      <c r="E258" s="5"/>
      <c r="F258" s="5"/>
      <c r="G258" s="5"/>
      <c r="H258" s="5"/>
      <c r="I258" s="5"/>
      <c r="J258" s="5"/>
    </row>
    <row r="259">
      <c r="A259" s="5"/>
      <c r="B259" s="5" t="str">
        <f>IFERROR(__xludf.DUMMYFUNCTION("""COMPUTED_VALUE"""),"Julio Jones, WR PHI")</f>
        <v>Julio Jones, WR PHI</v>
      </c>
      <c r="C259" s="5" t="str">
        <f>IFERROR(__xludf.DUMMYFUNCTION("""COMPUTED_VALUE"""),"33 | | | | | | | | | | | | | | | | | | | | | | | | | | | | | | | | |")</f>
        <v>33 | | | | | | | | | | | | | | | | | | | | | | | | | | | | | | | | |</v>
      </c>
      <c r="D259" s="5" t="str">
        <f>IFERROR(__xludf.DUMMYFUNCTION("""COMPUTED_VALUE"""),"+ Show History »")</f>
        <v>+ Show History »</v>
      </c>
      <c r="E259" s="5" t="str">
        <f>IFERROR(__xludf.DUMMYFUNCTION("""COMPUTED_VALUE"""),"Very High Risk")</f>
        <v>Very High Risk</v>
      </c>
      <c r="F259" s="38">
        <f>IFERROR(__xludf.DUMMYFUNCTION("""COMPUTED_VALUE"""),0.91)</f>
        <v>0.91</v>
      </c>
      <c r="G259" s="5">
        <f>IFERROR(__xludf.DUMMYFUNCTION("""COMPUTED_VALUE"""),2.5)</f>
        <v>2.5</v>
      </c>
      <c r="H259" s="60">
        <f>IFERROR(__xludf.DUMMYFUNCTION("""COMPUTED_VALUE"""),0.132)</f>
        <v>0.132</v>
      </c>
      <c r="I259" s="5">
        <f>IFERROR(__xludf.DUMMYFUNCTION("""COMPUTED_VALUE"""),5.0)</f>
        <v>5</v>
      </c>
      <c r="J259" s="5">
        <f>IFERROR(__xludf.DUMMYFUNCTION("""COMPUTED_VALUE"""),0.0)</f>
        <v>0</v>
      </c>
    </row>
    <row r="260">
      <c r="A260" s="5" t="str">
        <f>IFERROR(__xludf.DUMMYFUNCTION("""COMPUTED_VALUE"""),"*Very High Risk*
2
13
1
13
1
2
1
X
Julio JonesWR PHI
Seasons:12
Height:6'3""
Weight:220
Bye:10
View Player Profile »
Injury History [TABLE]")</f>
        <v>*Very High Risk*
2
13
1
13
1
2
1
X
Julio JonesWR PHI
Seasons:12
Height:6'3"
Weight:220
Bye:10
View Player Profile »
Injury History [TABLE]</v>
      </c>
      <c r="B260" s="5"/>
      <c r="C260" s="5"/>
      <c r="D260" s="5"/>
      <c r="E260" s="5"/>
      <c r="F260" s="5"/>
      <c r="G260" s="5"/>
      <c r="H260" s="5"/>
      <c r="I260" s="5"/>
      <c r="J260" s="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tr">
        <f>IFERROR(__xludf.DUMMYFUNCTION("IMPORTHTML(""https://www.draftsharks.com/injury-predictor/te"",""table"",1)"),"Player")</f>
        <v>Player</v>
      </c>
      <c r="B1" s="5"/>
      <c r="C1" s="5" t="str">
        <f>IFERROR(__xludf.DUMMYFUNCTION("""COMPUTED_VALUE"""),"Historic Stats")</f>
        <v>Historic Stats</v>
      </c>
      <c r="D1" s="5"/>
      <c r="E1" s="5" t="str">
        <f>IFERROR(__xludf.DUMMYFUNCTION("""COMPUTED_VALUE"""),"Injury Probabilities")</f>
        <v>Injury Probabilities</v>
      </c>
      <c r="F1" s="5"/>
      <c r="G1" s="5"/>
      <c r="H1" s="5"/>
      <c r="I1" s="5"/>
      <c r="J1" s="5" t="str">
        <f>IFERROR(__xludf.DUMMYFUNCTION("""COMPUTED_VALUE"""),"Projected Points")</f>
        <v>Projected Points</v>
      </c>
    </row>
    <row r="2">
      <c r="A2" s="61" t="str">
        <f>IFERROR(__xludf.DUMMYFUNCTION("""COMPUTED_VALUE"""),"Player")</f>
        <v>Player</v>
      </c>
      <c r="B2" s="5"/>
      <c r="C2" s="5" t="str">
        <f>IFERROR(__xludf.DUMMYFUNCTION("""COMPUTED_VALUE"""),"Career Injuries")</f>
        <v>Career Injuries</v>
      </c>
      <c r="D2" s="5"/>
      <c r="E2" s="5" t="str">
        <f>IFERROR(__xludf.DUMMYFUNCTION("""COMPUTED_VALUE"""),"Injury Risk")</f>
        <v>Injury Risk</v>
      </c>
      <c r="F2" s="5" t="str">
        <f>IFERROR(__xludf.DUMMYFUNCTION("""COMPUTED_VALUE"""),"Probability of Injury In the Season")</f>
        <v>Probability of Injury In the Season</v>
      </c>
      <c r="G2" s="5" t="str">
        <f>IFERROR(__xludf.DUMMYFUNCTION("""COMPUTED_VALUE"""),"Projected Games Missed")</f>
        <v>Projected Games Missed</v>
      </c>
      <c r="H2" s="5" t="str">
        <f>IFERROR(__xludf.DUMMYFUNCTION("""COMPUTED_VALUE"""),"Probability of Injury Per Game")</f>
        <v>Probability of Injury Per Game</v>
      </c>
      <c r="I2" s="5" t="str">
        <f>IFERROR(__xludf.DUMMYFUNCTION("""COMPUTED_VALUE"""),"Durability")</f>
        <v>Durability</v>
      </c>
      <c r="J2" s="5" t="str">
        <f>IFERROR(__xludf.DUMMYFUNCTION("""COMPUTED_VALUE"""),"PPR Points")</f>
        <v>PPR Points</v>
      </c>
    </row>
    <row r="3">
      <c r="A3" s="5"/>
      <c r="B3" s="5" t="str">
        <f>IFERROR(__xludf.DUMMYFUNCTION("""COMPUTED_VALUE"""),"Travis Kelce, TE KC")</f>
        <v>Travis Kelce, TE KC</v>
      </c>
      <c r="C3" s="5" t="str">
        <f>IFERROR(__xludf.DUMMYFUNCTION("""COMPUTED_VALUE"""),"10 | | | | | | | | | |")</f>
        <v>10 | | | | | | | | | |</v>
      </c>
      <c r="D3" s="5" t="str">
        <f>IFERROR(__xludf.DUMMYFUNCTION("""COMPUTED_VALUE"""),"+ Show History »")</f>
        <v>+ Show History »</v>
      </c>
      <c r="E3" s="5" t="str">
        <f>IFERROR(__xludf.DUMMYFUNCTION("""COMPUTED_VALUE"""),"Very Low Risk")</f>
        <v>Very Low Risk</v>
      </c>
      <c r="F3" s="38">
        <f>IFERROR(__xludf.DUMMYFUNCTION("""COMPUTED_VALUE"""),0.23)</f>
        <v>0.23</v>
      </c>
      <c r="G3" s="5">
        <f>IFERROR(__xludf.DUMMYFUNCTION("""COMPUTED_VALUE"""),0.63)</f>
        <v>0.63</v>
      </c>
      <c r="H3" s="60">
        <f>IFERROR(__xludf.DUMMYFUNCTION("""COMPUTED_VALUE"""),0.015)</f>
        <v>0.015</v>
      </c>
      <c r="I3" s="5">
        <f>IFERROR(__xludf.DUMMYFUNCTION("""COMPUTED_VALUE"""),5.0)</f>
        <v>5</v>
      </c>
      <c r="J3" s="5">
        <f>IFERROR(__xludf.DUMMYFUNCTION("""COMPUTED_VALUE"""),209.2)</f>
        <v>209.2</v>
      </c>
    </row>
    <row r="4">
      <c r="A4" s="5" t="str">
        <f>IFERROR(__xludf.DUMMYFUNCTION("""COMPUTED_VALUE"""),"*Very Low Risk*
2
3
1
2
1
1
X
Travis KelceTE KC
Seasons:10
Height:6'5""
Weight:255
Bye:10
View Player Profile »
Injury History [TABLE]")</f>
        <v>*Very Low Risk*
2
3
1
2
1
1
X
Travis KelceTE KC
Seasons:10
Height:6'5"
Weight:255
Bye:10
View Player Profile »
Injury History [TABLE]</v>
      </c>
      <c r="B4" s="5"/>
      <c r="C4" s="5"/>
      <c r="D4" s="5"/>
      <c r="E4" s="5"/>
      <c r="F4" s="5"/>
      <c r="G4" s="5"/>
      <c r="H4" s="5"/>
      <c r="I4" s="5"/>
      <c r="J4" s="5"/>
    </row>
    <row r="5">
      <c r="A5" s="5"/>
      <c r="B5" s="5" t="str">
        <f>IFERROR(__xludf.DUMMYFUNCTION("""COMPUTED_VALUE"""),"Trey McBride, TE ARI")</f>
        <v>Trey McBride, TE ARI</v>
      </c>
      <c r="C5" s="5" t="str">
        <f>IFERROR(__xludf.DUMMYFUNCTION("""COMPUTED_VALUE"""),"1 |")</f>
        <v>1 |</v>
      </c>
      <c r="D5" s="5" t="str">
        <f>IFERROR(__xludf.DUMMYFUNCTION("""COMPUTED_VALUE"""),"+ Show History »")</f>
        <v>+ Show History »</v>
      </c>
      <c r="E5" s="5" t="str">
        <f>IFERROR(__xludf.DUMMYFUNCTION("""COMPUTED_VALUE"""),"Medium Risk")</f>
        <v>Medium Risk</v>
      </c>
      <c r="F5" s="38">
        <f>IFERROR(__xludf.DUMMYFUNCTION("""COMPUTED_VALUE"""),0.35)</f>
        <v>0.35</v>
      </c>
      <c r="G5" s="5">
        <f>IFERROR(__xludf.DUMMYFUNCTION("""COMPUTED_VALUE"""),3.2)</f>
        <v>3.2</v>
      </c>
      <c r="H5" s="60">
        <f>IFERROR(__xludf.DUMMYFUNCTION("""COMPUTED_VALUE"""),0.025)</f>
        <v>0.025</v>
      </c>
      <c r="I5" s="5">
        <f>IFERROR(__xludf.DUMMYFUNCTION("""COMPUTED_VALUE"""),5.0)</f>
        <v>5</v>
      </c>
      <c r="J5" s="5">
        <f>IFERROR(__xludf.DUMMYFUNCTION("""COMPUTED_VALUE"""),209.0)</f>
        <v>209</v>
      </c>
    </row>
    <row r="6">
      <c r="A6" s="5" t="str">
        <f>IFERROR(__xludf.DUMMYFUNCTION("""COMPUTED_VALUE"""),"*Medium Risk*
1
X
Trey McBrideTE ARI
Seasons:2
Height:6'3""
Weight:249
Bye:14
View Player Profile »
Injury History [TABLE]")</f>
        <v>*Medium Risk*
1
X
Trey McBrideTE ARI
Seasons:2
Height:6'3"
Weight:249
Bye:14
View Player Profile »
Injury History [TABLE]</v>
      </c>
      <c r="B6" s="5"/>
      <c r="C6" s="5"/>
      <c r="D6" s="5"/>
      <c r="E6" s="5"/>
      <c r="F6" s="5"/>
      <c r="G6" s="5"/>
      <c r="H6" s="5"/>
      <c r="I6" s="5"/>
      <c r="J6" s="5"/>
    </row>
    <row r="7">
      <c r="A7" s="5"/>
      <c r="B7" s="5" t="str">
        <f>IFERROR(__xludf.DUMMYFUNCTION("""COMPUTED_VALUE"""),"Sam LaPorta, TE DET")</f>
        <v>Sam LaPorta, TE DET</v>
      </c>
      <c r="C7" s="5" t="str">
        <f>IFERROR(__xludf.DUMMYFUNCTION("""COMPUTED_VALUE"""),"1 |")</f>
        <v>1 |</v>
      </c>
      <c r="D7" s="5" t="str">
        <f>IFERROR(__xludf.DUMMYFUNCTION("""COMPUTED_VALUE"""),"+ Show History »")</f>
        <v>+ Show History »</v>
      </c>
      <c r="E7" s="5" t="str">
        <f>IFERROR(__xludf.DUMMYFUNCTION("""COMPUTED_VALUE"""),"Medium Risk")</f>
        <v>Medium Risk</v>
      </c>
      <c r="F7" s="38">
        <f>IFERROR(__xludf.DUMMYFUNCTION("""COMPUTED_VALUE"""),0.34)</f>
        <v>0.34</v>
      </c>
      <c r="G7" s="5">
        <f>IFERROR(__xludf.DUMMYFUNCTION("""COMPUTED_VALUE"""),0.7)</f>
        <v>0.7</v>
      </c>
      <c r="H7" s="60">
        <f>IFERROR(__xludf.DUMMYFUNCTION("""COMPUTED_VALUE"""),0.024)</f>
        <v>0.024</v>
      </c>
      <c r="I7" s="5">
        <f>IFERROR(__xludf.DUMMYFUNCTION("""COMPUTED_VALUE"""),5.0)</f>
        <v>5</v>
      </c>
      <c r="J7" s="5">
        <f>IFERROR(__xludf.DUMMYFUNCTION("""COMPUTED_VALUE"""),201.0)</f>
        <v>201</v>
      </c>
    </row>
    <row r="8">
      <c r="A8" s="5" t="str">
        <f>IFERROR(__xludf.DUMMYFUNCTION("""COMPUTED_VALUE"""),"*Medium Risk*
1
X
Sam LaPortaTE DET
Seasons:0
Height:6'3""
Weight:245
Bye:9
View Player Profile »
Injury History [TABLE]")</f>
        <v>*Medium Risk*
1
X
Sam LaPortaTE DET
Seasons:0
Height:6'3"
Weight:245
Bye:9
View Player Profile »
Injury History [TABLE]</v>
      </c>
      <c r="B8" s="5"/>
      <c r="C8" s="5"/>
      <c r="D8" s="5"/>
      <c r="E8" s="5"/>
      <c r="F8" s="5"/>
      <c r="G8" s="5"/>
      <c r="H8" s="5"/>
      <c r="I8" s="5"/>
      <c r="J8" s="5"/>
    </row>
    <row r="9">
      <c r="A9" s="5"/>
      <c r="B9" s="5" t="str">
        <f>IFERROR(__xludf.DUMMYFUNCTION("""COMPUTED_VALUE"""),"George Kittle, TE SF")</f>
        <v>George Kittle, TE SF</v>
      </c>
      <c r="C9" s="5" t="str">
        <f>IFERROR(__xludf.DUMMYFUNCTION("""COMPUTED_VALUE"""),"12 | | | | | | | | | | | |")</f>
        <v>12 | | | | | | | | | | | |</v>
      </c>
      <c r="D9" s="5" t="str">
        <f>IFERROR(__xludf.DUMMYFUNCTION("""COMPUTED_VALUE"""),"+ Show History »")</f>
        <v>+ Show History »</v>
      </c>
      <c r="E9" s="5" t="str">
        <f>IFERROR(__xludf.DUMMYFUNCTION("""COMPUTED_VALUE"""),"Very High Risk")</f>
        <v>Very High Risk</v>
      </c>
      <c r="F9" s="38">
        <f>IFERROR(__xludf.DUMMYFUNCTION("""COMPUTED_VALUE"""),0.89)</f>
        <v>0.89</v>
      </c>
      <c r="G9" s="5">
        <f>IFERROR(__xludf.DUMMYFUNCTION("""COMPUTED_VALUE"""),3.41)</f>
        <v>3.41</v>
      </c>
      <c r="H9" s="60">
        <f>IFERROR(__xludf.DUMMYFUNCTION("""COMPUTED_VALUE"""),0.122)</f>
        <v>0.122</v>
      </c>
      <c r="I9" s="5">
        <f>IFERROR(__xludf.DUMMYFUNCTION("""COMPUTED_VALUE"""),4.56)</f>
        <v>4.56</v>
      </c>
      <c r="J9" s="5">
        <f>IFERROR(__xludf.DUMMYFUNCTION("""COMPUTED_VALUE"""),195.5)</f>
        <v>195.5</v>
      </c>
    </row>
    <row r="10">
      <c r="A10" s="5" t="str">
        <f>IFERROR(__xludf.DUMMYFUNCTION("""COMPUTED_VALUE"""),"*Very High Risk*
2
3
1
3
2
1
X
George KittleTE SF
Seasons:6
Height:6'4""
Weight:247
Bye:9
View Player Profile »
Injury History [TABLE]")</f>
        <v>*Very High Risk*
2
3
1
3
2
1
X
George KittleTE SF
Seasons:6
Height:6'4"
Weight:247
Bye:9
View Player Profile »
Injury History [TABLE]</v>
      </c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 t="str">
        <f>IFERROR(__xludf.DUMMYFUNCTION("""COMPUTED_VALUE"""),"David Njoku, TE CLE")</f>
        <v>David Njoku, TE CLE</v>
      </c>
      <c r="C11" s="5" t="str">
        <f>IFERROR(__xludf.DUMMYFUNCTION("""COMPUTED_VALUE"""),"5 | | | | |")</f>
        <v>5 | | | | |</v>
      </c>
      <c r="D11" s="5" t="str">
        <f>IFERROR(__xludf.DUMMYFUNCTION("""COMPUTED_VALUE"""),"+ Show History »")</f>
        <v>+ Show History »</v>
      </c>
      <c r="E11" s="5" t="str">
        <f>IFERROR(__xludf.DUMMYFUNCTION("""COMPUTED_VALUE"""),"High Risk")</f>
        <v>High Risk</v>
      </c>
      <c r="F11" s="38">
        <f>IFERROR(__xludf.DUMMYFUNCTION("""COMPUTED_VALUE"""),0.45)</f>
        <v>0.45</v>
      </c>
      <c r="G11" s="5">
        <f>IFERROR(__xludf.DUMMYFUNCTION("""COMPUTED_VALUE"""),2.0)</f>
        <v>2</v>
      </c>
      <c r="H11" s="60">
        <f>IFERROR(__xludf.DUMMYFUNCTION("""COMPUTED_VALUE"""),0.035)</f>
        <v>0.035</v>
      </c>
      <c r="I11" s="5">
        <f>IFERROR(__xludf.DUMMYFUNCTION("""COMPUTED_VALUE"""),4.16)</f>
        <v>4.16</v>
      </c>
      <c r="J11" s="5">
        <f>IFERROR(__xludf.DUMMYFUNCTION("""COMPUTED_VALUE"""),192.0)</f>
        <v>192</v>
      </c>
    </row>
    <row r="12">
      <c r="A12" s="5" t="str">
        <f>IFERROR(__xludf.DUMMYFUNCTION("""COMPUTED_VALUE"""),"*High Risk*
1
1
1
1
1
X
David NjokuTE CLE
Seasons:6
Height:6'4""
Weight:246
Bye:5
View Player Profile »
Injury History [TABLE]")</f>
        <v>*High Risk*
1
1
1
1
1
X
David NjokuTE CLE
Seasons:6
Height:6'4"
Weight:246
Bye:5
View Player Profile »
Injury History [TABLE]</v>
      </c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 t="str">
        <f>IFERROR(__xludf.DUMMYFUNCTION("""COMPUTED_VALUE"""),"Dalton Kincaid, TE BUF")</f>
        <v>Dalton Kincaid, TE BUF</v>
      </c>
      <c r="C13" s="5" t="str">
        <f>IFERROR(__xludf.DUMMYFUNCTION("""COMPUTED_VALUE"""),"2 | |")</f>
        <v>2 | |</v>
      </c>
      <c r="D13" s="5" t="str">
        <f>IFERROR(__xludf.DUMMYFUNCTION("""COMPUTED_VALUE"""),"+ Show History »")</f>
        <v>+ Show History »</v>
      </c>
      <c r="E13" s="5" t="str">
        <f>IFERROR(__xludf.DUMMYFUNCTION("""COMPUTED_VALUE"""),"Low Risk")</f>
        <v>Low Risk</v>
      </c>
      <c r="F13" s="38">
        <f>IFERROR(__xludf.DUMMYFUNCTION("""COMPUTED_VALUE"""),0.25)</f>
        <v>0.25</v>
      </c>
      <c r="G13" s="5">
        <f>IFERROR(__xludf.DUMMYFUNCTION("""COMPUTED_VALUE"""),1.4)</f>
        <v>1.4</v>
      </c>
      <c r="H13" s="60">
        <f>IFERROR(__xludf.DUMMYFUNCTION("""COMPUTED_VALUE"""),0.017)</f>
        <v>0.017</v>
      </c>
      <c r="I13" s="5">
        <f>IFERROR(__xludf.DUMMYFUNCTION("""COMPUTED_VALUE"""),5.0)</f>
        <v>5</v>
      </c>
      <c r="J13" s="5">
        <f>IFERROR(__xludf.DUMMYFUNCTION("""COMPUTED_VALUE"""),177.6)</f>
        <v>177.6</v>
      </c>
    </row>
    <row r="14">
      <c r="A14" s="5" t="str">
        <f>IFERROR(__xludf.DUMMYFUNCTION("""COMPUTED_VALUE"""),"*Low Risk*
1
1
X
Dalton KincaidTE BUF
Seasons:0
Height:6'4""
Weight:246
Bye:13
View Player Profile »
Injury History [TABLE]")</f>
        <v>*Low Risk*
1
1
X
Dalton KincaidTE BUF
Seasons:0
Height:6'4"
Weight:246
Bye:13
View Player Profile »
Injury History [TABLE]</v>
      </c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 t="str">
        <f>IFERROR(__xludf.DUMMYFUNCTION("""COMPUTED_VALUE"""),"Isaiah Likely, TE BAL")</f>
        <v>Isaiah Likely, TE BAL</v>
      </c>
      <c r="C15" s="5" t="str">
        <f>IFERROR(__xludf.DUMMYFUNCTION("""COMPUTED_VALUE"""),"1 |")</f>
        <v>1 |</v>
      </c>
      <c r="D15" s="5" t="str">
        <f>IFERROR(__xludf.DUMMYFUNCTION("""COMPUTED_VALUE"""),"+ Show History »")</f>
        <v>+ Show History »</v>
      </c>
      <c r="E15" s="5" t="str">
        <f>IFERROR(__xludf.DUMMYFUNCTION("""COMPUTED_VALUE"""),"Low Risk")</f>
        <v>Low Risk</v>
      </c>
      <c r="F15" s="38">
        <f>IFERROR(__xludf.DUMMYFUNCTION("""COMPUTED_VALUE"""),0.23)</f>
        <v>0.23</v>
      </c>
      <c r="G15" s="5">
        <f>IFERROR(__xludf.DUMMYFUNCTION("""COMPUTED_VALUE"""),0.4)</f>
        <v>0.4</v>
      </c>
      <c r="H15" s="60">
        <f>IFERROR(__xludf.DUMMYFUNCTION("""COMPUTED_VALUE"""),0.015)</f>
        <v>0.015</v>
      </c>
      <c r="I15" s="5">
        <f>IFERROR(__xludf.DUMMYFUNCTION("""COMPUTED_VALUE"""),5.0)</f>
        <v>5</v>
      </c>
      <c r="J15" s="5">
        <f>IFERROR(__xludf.DUMMYFUNCTION("""COMPUTED_VALUE"""),172.6)</f>
        <v>172.6</v>
      </c>
    </row>
    <row r="16">
      <c r="A16" s="5" t="str">
        <f>IFERROR(__xludf.DUMMYFUNCTION("""COMPUTED_VALUE"""),"*Low Risk*
1
X
Isaiah LikelyTE BAL
Seasons:2
Height:6'4""
Weight:241
Bye:13
View Player Profile »
Injury History [TABLE]")</f>
        <v>*Low Risk*
1
X
Isaiah LikelyTE BAL
Seasons:2
Height:6'4"
Weight:241
Bye:13
View Player Profile »
Injury History [TABLE]</v>
      </c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 t="str">
        <f>IFERROR(__xludf.DUMMYFUNCTION("""COMPUTED_VALUE"""),"Jake Ferguson, TE DAL")</f>
        <v>Jake Ferguson, TE DAL</v>
      </c>
      <c r="C17" s="5" t="str">
        <f>IFERROR(__xludf.DUMMYFUNCTION("""COMPUTED_VALUE"""),"4 | | | |")</f>
        <v>4 | | | |</v>
      </c>
      <c r="D17" s="5" t="str">
        <f>IFERROR(__xludf.DUMMYFUNCTION("""COMPUTED_VALUE"""),"+ Show History »")</f>
        <v>+ Show History »</v>
      </c>
      <c r="E17" s="5" t="str">
        <f>IFERROR(__xludf.DUMMYFUNCTION("""COMPUTED_VALUE"""),"High Risk")</f>
        <v>High Risk</v>
      </c>
      <c r="F17" s="38">
        <f>IFERROR(__xludf.DUMMYFUNCTION("""COMPUTED_VALUE"""),0.41)</f>
        <v>0.41</v>
      </c>
      <c r="G17" s="5">
        <f>IFERROR(__xludf.DUMMYFUNCTION("""COMPUTED_VALUE"""),0.9)</f>
        <v>0.9</v>
      </c>
      <c r="H17" s="60">
        <f>IFERROR(__xludf.DUMMYFUNCTION("""COMPUTED_VALUE"""),0.031)</f>
        <v>0.031</v>
      </c>
      <c r="I17" s="5">
        <f>IFERROR(__xludf.DUMMYFUNCTION("""COMPUTED_VALUE"""),5.0)</f>
        <v>5</v>
      </c>
      <c r="J17" s="5">
        <f>IFERROR(__xludf.DUMMYFUNCTION("""COMPUTED_VALUE"""),170.0)</f>
        <v>170</v>
      </c>
    </row>
    <row r="18">
      <c r="A18" s="5" t="str">
        <f>IFERROR(__xludf.DUMMYFUNCTION("""COMPUTED_VALUE"""),"*High Risk*
1
1
1
1
X
Jake FergusonTE DAL
Seasons:2
Height:6'5""
Weight:244
Bye:7
View Player Profile »
Injury History [TABLE]")</f>
        <v>*High Risk*
1
1
1
1
X
Jake FergusonTE DAL
Seasons:2
Height:6'5"
Weight:244
Bye:7
View Player Profile »
Injury History [TABLE]</v>
      </c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 t="str">
        <f>IFERROR(__xludf.DUMMYFUNCTION("""COMPUTED_VALUE"""),"Evan Engram, TE JAC")</f>
        <v>Evan Engram, TE JAC</v>
      </c>
      <c r="C19" s="5" t="str">
        <f>IFERROR(__xludf.DUMMYFUNCTION("""COMPUTED_VALUE"""),"9 | | | | | | | | |")</f>
        <v>9 | | | | | | | | |</v>
      </c>
      <c r="D19" s="5" t="str">
        <f>IFERROR(__xludf.DUMMYFUNCTION("""COMPUTED_VALUE"""),"+ Show History »")</f>
        <v>+ Show History »</v>
      </c>
      <c r="E19" s="5" t="str">
        <f>IFERROR(__xludf.DUMMYFUNCTION("""COMPUTED_VALUE"""),"High Risk")</f>
        <v>High Risk</v>
      </c>
      <c r="F19" s="38">
        <f>IFERROR(__xludf.DUMMYFUNCTION("""COMPUTED_VALUE"""),0.39)</f>
        <v>0.39</v>
      </c>
      <c r="G19" s="5">
        <f>IFERROR(__xludf.DUMMYFUNCTION("""COMPUTED_VALUE"""),1.11)</f>
        <v>1.11</v>
      </c>
      <c r="H19" s="60">
        <f>IFERROR(__xludf.DUMMYFUNCTION("""COMPUTED_VALUE"""),0.029)</f>
        <v>0.029</v>
      </c>
      <c r="I19" s="5">
        <f>IFERROR(__xludf.DUMMYFUNCTION("""COMPUTED_VALUE"""),5.0)</f>
        <v>5</v>
      </c>
      <c r="J19" s="5">
        <f>IFERROR(__xludf.DUMMYFUNCTION("""COMPUTED_VALUE"""),169.3)</f>
        <v>169.3</v>
      </c>
    </row>
    <row r="20">
      <c r="A20" s="5" t="str">
        <f>IFERROR(__xludf.DUMMYFUNCTION("""COMPUTED_VALUE"""),"*High Risk*
2
1
2
1
2
1
X
Evan EngramTE JAC
Seasons:6
Height:6'3""
Weight:236
Bye:9
View Player Profile »
Injury History [TABLE]")</f>
        <v>*High Risk*
2
1
2
1
2
1
X
Evan EngramTE JAC
Seasons:6
Height:6'3"
Weight:236
Bye:9
View Player Profile »
Injury History [TABLE]</v>
      </c>
      <c r="B20" s="5"/>
      <c r="C20" s="5"/>
      <c r="D20" s="5"/>
      <c r="E20" s="5"/>
      <c r="F20" s="5"/>
      <c r="G20" s="5"/>
      <c r="H20" s="5"/>
      <c r="I20" s="5"/>
      <c r="J20" s="5"/>
    </row>
    <row r="21">
      <c r="A21" s="5"/>
      <c r="B21" s="5" t="str">
        <f>IFERROR(__xludf.DUMMYFUNCTION("""COMPUTED_VALUE"""),"Taysom Hill, TE NO")</f>
        <v>Taysom Hill, TE NO</v>
      </c>
      <c r="C21" s="5" t="str">
        <f>IFERROR(__xludf.DUMMYFUNCTION("""COMPUTED_VALUE"""),"12 | | | | | | | | | | | |")</f>
        <v>12 | | | | | | | | | | | |</v>
      </c>
      <c r="D21" s="5" t="str">
        <f>IFERROR(__xludf.DUMMYFUNCTION("""COMPUTED_VALUE"""),"+ Show History »")</f>
        <v>+ Show History »</v>
      </c>
      <c r="E21" s="5" t="str">
        <f>IFERROR(__xludf.DUMMYFUNCTION("""COMPUTED_VALUE"""),"Very High Risk")</f>
        <v>Very High Risk</v>
      </c>
      <c r="F21" s="38">
        <f>IFERROR(__xludf.DUMMYFUNCTION("""COMPUTED_VALUE"""),0.93)</f>
        <v>0.93</v>
      </c>
      <c r="G21" s="5">
        <f>IFERROR(__xludf.DUMMYFUNCTION("""COMPUTED_VALUE"""),3.4)</f>
        <v>3.4</v>
      </c>
      <c r="H21" s="60">
        <f>IFERROR(__xludf.DUMMYFUNCTION("""COMPUTED_VALUE"""),0.145)</f>
        <v>0.145</v>
      </c>
      <c r="I21" s="5">
        <f>IFERROR(__xludf.DUMMYFUNCTION("""COMPUTED_VALUE"""),2.42)</f>
        <v>2.42</v>
      </c>
      <c r="J21" s="5">
        <f>IFERROR(__xludf.DUMMYFUNCTION("""COMPUTED_VALUE"""),164.3)</f>
        <v>164.3</v>
      </c>
    </row>
    <row r="22">
      <c r="A22" s="5" t="str">
        <f>IFERROR(__xludf.DUMMYFUNCTION("""COMPUTED_VALUE"""),"*Very High Risk*
1
2
3
1
1
2
1
1
X
Taysom HillTE NO
Seasons:7
Height:6'2""
Weight:221
Bye:11
View Player Profile »
Injury History [TABLE]")</f>
        <v>*Very High Risk*
1
2
3
1
1
2
1
1
X
Taysom HillTE NO
Seasons:7
Height:6'2"
Weight:221
Bye:11
View Player Profile »
Injury History [TABLE]</v>
      </c>
      <c r="B22" s="5"/>
      <c r="C22" s="5"/>
      <c r="D22" s="5"/>
      <c r="E22" s="5"/>
      <c r="F22" s="5"/>
      <c r="G22" s="5"/>
      <c r="H22" s="5"/>
      <c r="I22" s="5"/>
      <c r="J22" s="5"/>
    </row>
    <row r="23">
      <c r="A23" s="5"/>
      <c r="B23" s="5" t="str">
        <f>IFERROR(__xludf.DUMMYFUNCTION("""COMPUTED_VALUE"""),"Dallas Goedert, TE PHI")</f>
        <v>Dallas Goedert, TE PHI</v>
      </c>
      <c r="C23" s="5" t="str">
        <f>IFERROR(__xludf.DUMMYFUNCTION("""COMPUTED_VALUE"""),"8 | | | | | | | |")</f>
        <v>8 | | | | | | | |</v>
      </c>
      <c r="D23" s="5" t="str">
        <f>IFERROR(__xludf.DUMMYFUNCTION("""COMPUTED_VALUE"""),"+ Show History »")</f>
        <v>+ Show History »</v>
      </c>
      <c r="E23" s="5" t="str">
        <f>IFERROR(__xludf.DUMMYFUNCTION("""COMPUTED_VALUE"""),"Very High Risk")</f>
        <v>Very High Risk</v>
      </c>
      <c r="F23" s="38">
        <f>IFERROR(__xludf.DUMMYFUNCTION("""COMPUTED_VALUE"""),0.64)</f>
        <v>0.64</v>
      </c>
      <c r="G23" s="5">
        <f>IFERROR(__xludf.DUMMYFUNCTION("""COMPUTED_VALUE"""),2.4)</f>
        <v>2.4</v>
      </c>
      <c r="H23" s="60">
        <f>IFERROR(__xludf.DUMMYFUNCTION("""COMPUTED_VALUE"""),0.058)</f>
        <v>0.058</v>
      </c>
      <c r="I23" s="5">
        <f>IFERROR(__xludf.DUMMYFUNCTION("""COMPUTED_VALUE"""),5.0)</f>
        <v>5</v>
      </c>
      <c r="J23" s="5">
        <f>IFERROR(__xludf.DUMMYFUNCTION("""COMPUTED_VALUE"""),155.7)</f>
        <v>155.7</v>
      </c>
    </row>
    <row r="24">
      <c r="A24" s="5" t="str">
        <f>IFERROR(__xludf.DUMMYFUNCTION("""COMPUTED_VALUE"""),"*Very High Risk*
1
1
1
2
1
1
1
X
Dallas GoedertTE PHI
Seasons:5
Height:6'5""
Weight:256
Bye:10
View Player Profile »
Injury History [TABLE]")</f>
        <v>*Very High Risk*
1
1
1
2
1
1
1
X
Dallas GoedertTE PHI
Seasons:5
Height:6'5"
Weight:256
Bye:10
View Player Profile »
Injury History [TABLE]</v>
      </c>
      <c r="B24" s="5"/>
      <c r="C24" s="5"/>
      <c r="D24" s="5"/>
      <c r="E24" s="5"/>
      <c r="F24" s="5"/>
      <c r="G24" s="5"/>
      <c r="H24" s="5"/>
      <c r="I24" s="5"/>
      <c r="J24" s="5"/>
    </row>
    <row r="25">
      <c r="A25" s="5"/>
      <c r="B25" s="5" t="str">
        <f>IFERROR(__xludf.DUMMYFUNCTION("""COMPUTED_VALUE"""),"Cole Kmet, TE CHI")</f>
        <v>Cole Kmet, TE CHI</v>
      </c>
      <c r="C25" s="5" t="str">
        <f>IFERROR(__xludf.DUMMYFUNCTION("""COMPUTED_VALUE"""),"2 | |")</f>
        <v>2 | |</v>
      </c>
      <c r="D25" s="5" t="str">
        <f>IFERROR(__xludf.DUMMYFUNCTION("""COMPUTED_VALUE"""),"+ Show History »")</f>
        <v>+ Show History »</v>
      </c>
      <c r="E25" s="5" t="str">
        <f>IFERROR(__xludf.DUMMYFUNCTION("""COMPUTED_VALUE"""),"Very Low Risk")</f>
        <v>Very Low Risk</v>
      </c>
      <c r="F25" s="38">
        <f>IFERROR(__xludf.DUMMYFUNCTION("""COMPUTED_VALUE"""),0.22)</f>
        <v>0.22</v>
      </c>
      <c r="G25" s="5">
        <f>IFERROR(__xludf.DUMMYFUNCTION("""COMPUTED_VALUE"""),0.86)</f>
        <v>0.86</v>
      </c>
      <c r="H25" s="60">
        <f>IFERROR(__xludf.DUMMYFUNCTION("""COMPUTED_VALUE"""),0.015)</f>
        <v>0.015</v>
      </c>
      <c r="I25" s="5">
        <f>IFERROR(__xludf.DUMMYFUNCTION("""COMPUTED_VALUE"""),5.0)</f>
        <v>5</v>
      </c>
      <c r="J25" s="5">
        <f>IFERROR(__xludf.DUMMYFUNCTION("""COMPUTED_VALUE"""),144.7)</f>
        <v>144.7</v>
      </c>
    </row>
    <row r="26">
      <c r="A26" s="5" t="str">
        <f>IFERROR(__xludf.DUMMYFUNCTION("""COMPUTED_VALUE"""),"*Very Low Risk*
1
1
X
Cole KmetTE CHI
Seasons:3
Height:6'6""
Weight:262
Bye:13
View Player Profile »
Injury History [TABLE]")</f>
        <v>*Very Low Risk*
1
1
X
Cole KmetTE CHI
Seasons:3
Height:6'6"
Weight:262
Bye:13
View Player Profile »
Injury History [TABLE]</v>
      </c>
      <c r="B26" s="5"/>
      <c r="C26" s="5"/>
      <c r="D26" s="5"/>
      <c r="E26" s="5"/>
      <c r="F26" s="5"/>
      <c r="G26" s="5"/>
      <c r="H26" s="5"/>
      <c r="I26" s="5"/>
      <c r="J26" s="5"/>
    </row>
    <row r="27">
      <c r="A27" s="5"/>
      <c r="B27" s="5" t="str">
        <f>IFERROR(__xludf.DUMMYFUNCTION("""COMPUTED_VALUE"""),"Dalton Schultz, TE HOU")</f>
        <v>Dalton Schultz, TE HOU</v>
      </c>
      <c r="C27" s="5" t="str">
        <f>IFERROR(__xludf.DUMMYFUNCTION("""COMPUTED_VALUE"""),"3 | | |")</f>
        <v>3 | | |</v>
      </c>
      <c r="D27" s="5" t="str">
        <f>IFERROR(__xludf.DUMMYFUNCTION("""COMPUTED_VALUE"""),"+ Show History »")</f>
        <v>+ Show History »</v>
      </c>
      <c r="E27" s="5" t="str">
        <f>IFERROR(__xludf.DUMMYFUNCTION("""COMPUTED_VALUE"""),"High Risk")</f>
        <v>High Risk</v>
      </c>
      <c r="F27" s="38">
        <f>IFERROR(__xludf.DUMMYFUNCTION("""COMPUTED_VALUE"""),0.36)</f>
        <v>0.36</v>
      </c>
      <c r="G27" s="5">
        <f>IFERROR(__xludf.DUMMYFUNCTION("""COMPUTED_VALUE"""),1.03)</f>
        <v>1.03</v>
      </c>
      <c r="H27" s="60">
        <f>IFERROR(__xludf.DUMMYFUNCTION("""COMPUTED_VALUE"""),0.026)</f>
        <v>0.026</v>
      </c>
      <c r="I27" s="5">
        <f>IFERROR(__xludf.DUMMYFUNCTION("""COMPUTED_VALUE"""),5.0)</f>
        <v>5</v>
      </c>
      <c r="J27" s="5">
        <f>IFERROR(__xludf.DUMMYFUNCTION("""COMPUTED_VALUE"""),142.5)</f>
        <v>142.5</v>
      </c>
    </row>
    <row r="28">
      <c r="A28" s="5" t="str">
        <f>IFERROR(__xludf.DUMMYFUNCTION("""COMPUTED_VALUE"""),"*High Risk*
1
2
X
Dalton SchultzTE HOU
Seasons:5
Height:6'5""
Weight:244
Bye:7
View Player Profile »
Injury History [TABLE]")</f>
        <v>*High Risk*
1
2
X
Dalton SchultzTE HOU
Seasons:5
Height:6'5"
Weight:244
Bye:7
View Player Profile »
Injury History [TABLE]</v>
      </c>
      <c r="B28" s="5"/>
      <c r="C28" s="5"/>
      <c r="D28" s="5"/>
      <c r="E28" s="5"/>
      <c r="F28" s="5"/>
      <c r="G28" s="5"/>
      <c r="H28" s="5"/>
      <c r="I28" s="5"/>
      <c r="J28" s="5"/>
    </row>
    <row r="29">
      <c r="A29" s="5"/>
      <c r="B29" s="5" t="str">
        <f>IFERROR(__xludf.DUMMYFUNCTION("""COMPUTED_VALUE"""),"Kyle Pitts, TE ATL")</f>
        <v>Kyle Pitts, TE ATL</v>
      </c>
      <c r="C29" s="5" t="str">
        <f>IFERROR(__xludf.DUMMYFUNCTION("""COMPUTED_VALUE"""),"6 | | | | | |")</f>
        <v>6 | | | | | |</v>
      </c>
      <c r="D29" s="5" t="str">
        <f>IFERROR(__xludf.DUMMYFUNCTION("""COMPUTED_VALUE"""),"+ Show History »")</f>
        <v>+ Show History »</v>
      </c>
      <c r="E29" s="5" t="str">
        <f>IFERROR(__xludf.DUMMYFUNCTION("""COMPUTED_VALUE"""),"Very High Risk")</f>
        <v>Very High Risk</v>
      </c>
      <c r="F29" s="38">
        <f>IFERROR(__xludf.DUMMYFUNCTION("""COMPUTED_VALUE"""),0.62)</f>
        <v>0.62</v>
      </c>
      <c r="G29" s="5">
        <f>IFERROR(__xludf.DUMMYFUNCTION("""COMPUTED_VALUE"""),2.4)</f>
        <v>2.4</v>
      </c>
      <c r="H29" s="60">
        <f>IFERROR(__xludf.DUMMYFUNCTION("""COMPUTED_VALUE"""),0.055)</f>
        <v>0.055</v>
      </c>
      <c r="I29" s="5">
        <f>IFERROR(__xludf.DUMMYFUNCTION("""COMPUTED_VALUE"""),2.64)</f>
        <v>2.64</v>
      </c>
      <c r="J29" s="5">
        <f>IFERROR(__xludf.DUMMYFUNCTION("""COMPUTED_VALUE"""),139.0)</f>
        <v>139</v>
      </c>
    </row>
    <row r="30">
      <c r="A30" s="5" t="str">
        <f>IFERROR(__xludf.DUMMYFUNCTION("""COMPUTED_VALUE"""),"*Very High Risk*
1
2
2
1
X
Kyle PittsTE ATL
Seasons:2
Height:6'7""
Weight:240
Bye:11
View Player Profile »
Injury History [TABLE]")</f>
        <v>*Very High Risk*
1
2
2
1
X
Kyle PittsTE ATL
Seasons:2
Height:6'7"
Weight:240
Bye:11
View Player Profile »
Injury History [TABLE]</v>
      </c>
      <c r="B30" s="5"/>
      <c r="C30" s="5"/>
      <c r="D30" s="5"/>
      <c r="E30" s="5"/>
      <c r="F30" s="5"/>
      <c r="G30" s="5"/>
      <c r="H30" s="5"/>
      <c r="I30" s="5"/>
      <c r="J30" s="5"/>
    </row>
    <row r="31">
      <c r="A31" s="5"/>
      <c r="B31" s="5" t="str">
        <f>IFERROR(__xludf.DUMMYFUNCTION("""COMPUTED_VALUE"""),"Tucker Kraft, TE GB")</f>
        <v>Tucker Kraft, TE GB</v>
      </c>
      <c r="C31" s="5" t="str">
        <f>IFERROR(__xludf.DUMMYFUNCTION("""COMPUTED_VALUE"""),"1 |")</f>
        <v>1 |</v>
      </c>
      <c r="D31" s="5" t="str">
        <f>IFERROR(__xludf.DUMMYFUNCTION("""COMPUTED_VALUE"""),"+ Show History »")</f>
        <v>+ Show History »</v>
      </c>
      <c r="E31" s="5" t="str">
        <f>IFERROR(__xludf.DUMMYFUNCTION("""COMPUTED_VALUE"""),"Low Risk")</f>
        <v>Low Risk</v>
      </c>
      <c r="F31" s="38">
        <f>IFERROR(__xludf.DUMMYFUNCTION("""COMPUTED_VALUE"""),0.27)</f>
        <v>0.27</v>
      </c>
      <c r="G31" s="5">
        <f>IFERROR(__xludf.DUMMYFUNCTION("""COMPUTED_VALUE"""),0.6)</f>
        <v>0.6</v>
      </c>
      <c r="H31" s="60">
        <f>IFERROR(__xludf.DUMMYFUNCTION("""COMPUTED_VALUE"""),0.018)</f>
        <v>0.018</v>
      </c>
      <c r="I31" s="5">
        <f>IFERROR(__xludf.DUMMYFUNCTION("""COMPUTED_VALUE"""),0.3)</f>
        <v>0.3</v>
      </c>
      <c r="J31" s="5">
        <f>IFERROR(__xludf.DUMMYFUNCTION("""COMPUTED_VALUE"""),138.9)</f>
        <v>138.9</v>
      </c>
    </row>
    <row r="32">
      <c r="A32" s="5" t="str">
        <f>IFERROR(__xludf.DUMMYFUNCTION("""COMPUTED_VALUE"""),"*Low Risk*
1
X
Tucker KraftTE GB
Seasons:0
Height:6'4""
Weight:254
Bye:6
View Player Profile »
Injury History [TABLE]")</f>
        <v>*Low Risk*
1
X
Tucker KraftTE GB
Seasons:0
Height:6'4"
Weight:254
Bye:6
View Player Profile »
Injury History [TABLE]</v>
      </c>
      <c r="B32" s="5"/>
      <c r="C32" s="5"/>
      <c r="D32" s="5"/>
      <c r="E32" s="5"/>
      <c r="F32" s="5"/>
      <c r="G32" s="5"/>
      <c r="H32" s="5"/>
      <c r="I32" s="5"/>
      <c r="J32" s="5"/>
    </row>
    <row r="33">
      <c r="A33" s="5"/>
      <c r="B33" s="5" t="str">
        <f>IFERROR(__xludf.DUMMYFUNCTION("""COMPUTED_VALUE"""),"Gerald Everett, TE LAC")</f>
        <v>Gerald Everett, TE LAC</v>
      </c>
      <c r="C33" s="5" t="str">
        <f>IFERROR(__xludf.DUMMYFUNCTION("""COMPUTED_VALUE"""),"6 | | | | | |")</f>
        <v>6 | | | | | |</v>
      </c>
      <c r="D33" s="5" t="str">
        <f>IFERROR(__xludf.DUMMYFUNCTION("""COMPUTED_VALUE"""),"+ Show History »")</f>
        <v>+ Show History »</v>
      </c>
      <c r="E33" s="5" t="str">
        <f>IFERROR(__xludf.DUMMYFUNCTION("""COMPUTED_VALUE"""),"Low Risk")</f>
        <v>Low Risk</v>
      </c>
      <c r="F33" s="38">
        <f>IFERROR(__xludf.DUMMYFUNCTION("""COMPUTED_VALUE"""),0.3)</f>
        <v>0.3</v>
      </c>
      <c r="G33" s="5">
        <f>IFERROR(__xludf.DUMMYFUNCTION("""COMPUTED_VALUE"""),0.9)</f>
        <v>0.9</v>
      </c>
      <c r="H33" s="60">
        <f>IFERROR(__xludf.DUMMYFUNCTION("""COMPUTED_VALUE"""),0.021)</f>
        <v>0.021</v>
      </c>
      <c r="I33" s="5">
        <f>IFERROR(__xludf.DUMMYFUNCTION("""COMPUTED_VALUE"""),5.0)</f>
        <v>5</v>
      </c>
      <c r="J33" s="5">
        <f>IFERROR(__xludf.DUMMYFUNCTION("""COMPUTED_VALUE"""),134.6)</f>
        <v>134.6</v>
      </c>
    </row>
    <row r="34">
      <c r="A34" s="5" t="str">
        <f>IFERROR(__xludf.DUMMYFUNCTION("""COMPUTED_VALUE"""),"*Low Risk*
1
1
1
1
1
1
X
Gerald EverettTE LAC
Seasons:6
Height:6'3""
Weight:239
Bye:5
View Player Profile »
Injury History [TABLE]")</f>
        <v>*Low Risk*
1
1
1
1
1
1
X
Gerald EverettTE LAC
Seasons:6
Height:6'3"
Weight:239
Bye:5
View Player Profile »
Injury History [TABLE]</v>
      </c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 t="str">
        <f>IFERROR(__xludf.DUMMYFUNCTION("""COMPUTED_VALUE"""),"Logan Thomas, TE WAS")</f>
        <v>Logan Thomas, TE WAS</v>
      </c>
      <c r="C35" s="5" t="str">
        <f>IFERROR(__xludf.DUMMYFUNCTION("""COMPUTED_VALUE"""),"7 | | | | | | |")</f>
        <v>7 | | | | | | |</v>
      </c>
      <c r="D35" s="5" t="str">
        <f>IFERROR(__xludf.DUMMYFUNCTION("""COMPUTED_VALUE"""),"+ Show History »")</f>
        <v>+ Show History »</v>
      </c>
      <c r="E35" s="5" t="str">
        <f>IFERROR(__xludf.DUMMYFUNCTION("""COMPUTED_VALUE"""),"Very High Risk")</f>
        <v>Very High Risk</v>
      </c>
      <c r="F35" s="38">
        <f>IFERROR(__xludf.DUMMYFUNCTION("""COMPUTED_VALUE"""),0.8)</f>
        <v>0.8</v>
      </c>
      <c r="G35" s="5">
        <f>IFERROR(__xludf.DUMMYFUNCTION("""COMPUTED_VALUE"""),3.31)</f>
        <v>3.31</v>
      </c>
      <c r="H35" s="38">
        <f>IFERROR(__xludf.DUMMYFUNCTION("""COMPUTED_VALUE"""),0.09)</f>
        <v>0.09</v>
      </c>
      <c r="I35" s="5">
        <f>IFERROR(__xludf.DUMMYFUNCTION("""COMPUTED_VALUE"""),5.0)</f>
        <v>5</v>
      </c>
      <c r="J35" s="5">
        <f>IFERROR(__xludf.DUMMYFUNCTION("""COMPUTED_VALUE"""),133.7)</f>
        <v>133.7</v>
      </c>
    </row>
    <row r="36">
      <c r="A36" s="5" t="str">
        <f>IFERROR(__xludf.DUMMYFUNCTION("""COMPUTED_VALUE"""),"*Very High Risk*
1
2
2
2
X
Logan ThomasTE WAS
Seasons:9
Height:6'6""
Weight:248
Bye:14
View Player Profile »
Injury History [TABLE]")</f>
        <v>*Very High Risk*
1
2
2
2
X
Logan ThomasTE WAS
Seasons:9
Height:6'6"
Weight:248
Bye:14
View Player Profile »
Injury History [TABLE]</v>
      </c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 t="str">
        <f>IFERROR(__xludf.DUMMYFUNCTION("""COMPUTED_VALUE"""),"Pat Freiermuth, TE PIT")</f>
        <v>Pat Freiermuth, TE PIT</v>
      </c>
      <c r="C37" s="5" t="str">
        <f>IFERROR(__xludf.DUMMYFUNCTION("""COMPUTED_VALUE"""),"7 | | | | | | |")</f>
        <v>7 | | | | | | |</v>
      </c>
      <c r="D37" s="5" t="str">
        <f>IFERROR(__xludf.DUMMYFUNCTION("""COMPUTED_VALUE"""),"+ Show History »")</f>
        <v>+ Show History »</v>
      </c>
      <c r="E37" s="5" t="str">
        <f>IFERROR(__xludf.DUMMYFUNCTION("""COMPUTED_VALUE"""),"Very High Risk")</f>
        <v>Very High Risk</v>
      </c>
      <c r="F37" s="38">
        <f>IFERROR(__xludf.DUMMYFUNCTION("""COMPUTED_VALUE"""),0.91)</f>
        <v>0.91</v>
      </c>
      <c r="G37" s="5">
        <f>IFERROR(__xludf.DUMMYFUNCTION("""COMPUTED_VALUE"""),2.4)</f>
        <v>2.4</v>
      </c>
      <c r="H37" s="60">
        <f>IFERROR(__xludf.DUMMYFUNCTION("""COMPUTED_VALUE"""),0.132)</f>
        <v>0.132</v>
      </c>
      <c r="I37" s="5">
        <f>IFERROR(__xludf.DUMMYFUNCTION("""COMPUTED_VALUE"""),5.0)</f>
        <v>5</v>
      </c>
      <c r="J37" s="5">
        <f>IFERROR(__xludf.DUMMYFUNCTION("""COMPUTED_VALUE"""),133.5)</f>
        <v>133.5</v>
      </c>
    </row>
    <row r="38">
      <c r="A38" s="5" t="str">
        <f>IFERROR(__xludf.DUMMYFUNCTION("""COMPUTED_VALUE"""),"*Very High Risk*
2
1
1
3
X
Pat FreiermuthTE PIT
Seasons:2
Height:6'5""
Weight:258
Bye:6
View Player Profile »
Injury History [TABLE]")</f>
        <v>*Very High Risk*
2
1
1
3
X
Pat FreiermuthTE PIT
Seasons:2
Height:6'5"
Weight:258
Bye:6
View Player Profile »
Injury History [TABLE]</v>
      </c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 t="str">
        <f>IFERROR(__xludf.DUMMYFUNCTION("""COMPUTED_VALUE"""),"Cade Otton, TE TB")</f>
        <v>Cade Otton, TE TB</v>
      </c>
      <c r="C39" s="5" t="str">
        <f>IFERROR(__xludf.DUMMYFUNCTION("""COMPUTED_VALUE"""),"3 | | |")</f>
        <v>3 | | |</v>
      </c>
      <c r="D39" s="5" t="str">
        <f>IFERROR(__xludf.DUMMYFUNCTION("""COMPUTED_VALUE"""),"+ Show History »")</f>
        <v>+ Show History »</v>
      </c>
      <c r="E39" s="5" t="str">
        <f>IFERROR(__xludf.DUMMYFUNCTION("""COMPUTED_VALUE"""),"High Risk")</f>
        <v>High Risk</v>
      </c>
      <c r="F39" s="38">
        <f>IFERROR(__xludf.DUMMYFUNCTION("""COMPUTED_VALUE"""),0.39)</f>
        <v>0.39</v>
      </c>
      <c r="G39" s="5">
        <f>IFERROR(__xludf.DUMMYFUNCTION("""COMPUTED_VALUE"""),0.9)</f>
        <v>0.9</v>
      </c>
      <c r="H39" s="60">
        <f>IFERROR(__xludf.DUMMYFUNCTION("""COMPUTED_VALUE"""),0.029)</f>
        <v>0.029</v>
      </c>
      <c r="I39" s="5">
        <f>IFERROR(__xludf.DUMMYFUNCTION("""COMPUTED_VALUE"""),5.0)</f>
        <v>5</v>
      </c>
      <c r="J39" s="5">
        <f>IFERROR(__xludf.DUMMYFUNCTION("""COMPUTED_VALUE"""),133.5)</f>
        <v>133.5</v>
      </c>
    </row>
    <row r="40">
      <c r="A40" s="5" t="str">
        <f>IFERROR(__xludf.DUMMYFUNCTION("""COMPUTED_VALUE"""),"*High Risk*
2
1
X
Cade OttonTE TB
Seasons:2
Height:6'5""
Weight:247
Bye:5
View Player Profile »
Injury History [TABLE]")</f>
        <v>*High Risk*
2
1
X
Cade OttonTE TB
Seasons:2
Height:6'5"
Weight:247
Bye:5
View Player Profile »
Injury History [TABLE]</v>
      </c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 t="str">
        <f>IFERROR(__xludf.DUMMYFUNCTION("""COMPUTED_VALUE"""),"Chigoziem Okonkwo, TE TEN")</f>
        <v>Chigoziem Okonkwo, TE TEN</v>
      </c>
      <c r="C41" s="5" t="str">
        <f>IFERROR(__xludf.DUMMYFUNCTION("""COMPUTED_VALUE"""),"1 |")</f>
        <v>1 |</v>
      </c>
      <c r="D41" s="5" t="str">
        <f>IFERROR(__xludf.DUMMYFUNCTION("""COMPUTED_VALUE"""),"+ Show History »")</f>
        <v>+ Show History »</v>
      </c>
      <c r="E41" s="5" t="str">
        <f>IFERROR(__xludf.DUMMYFUNCTION("""COMPUTED_VALUE"""),"Low Risk")</f>
        <v>Low Risk</v>
      </c>
      <c r="F41" s="38">
        <f>IFERROR(__xludf.DUMMYFUNCTION("""COMPUTED_VALUE"""),0.29)</f>
        <v>0.29</v>
      </c>
      <c r="G41" s="5">
        <f>IFERROR(__xludf.DUMMYFUNCTION("""COMPUTED_VALUE"""),0.8)</f>
        <v>0.8</v>
      </c>
      <c r="H41" s="38">
        <f>IFERROR(__xludf.DUMMYFUNCTION("""COMPUTED_VALUE"""),0.02)</f>
        <v>0.02</v>
      </c>
      <c r="I41" s="5">
        <f>IFERROR(__xludf.DUMMYFUNCTION("""COMPUTED_VALUE"""),5.0)</f>
        <v>5</v>
      </c>
      <c r="J41" s="5">
        <f>IFERROR(__xludf.DUMMYFUNCTION("""COMPUTED_VALUE"""),133.1)</f>
        <v>133.1</v>
      </c>
    </row>
    <row r="42">
      <c r="A42" s="5" t="str">
        <f>IFERROR(__xludf.DUMMYFUNCTION("""COMPUTED_VALUE"""),"*Low Risk*
1
X
Chigoziem OkonkwoTE TEN
Seasons:2
Height:6'3""
Weight:238
Bye:7
View Player Profile »
Injury History [TABLE]")</f>
        <v>*Low Risk*
1
X
Chigoziem OkonkwoTE TEN
Seasons:2
Height:6'3"
Weight:238
Bye:7
View Player Profile »
Injury History [TABLE]</v>
      </c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 t="str">
        <f>IFERROR(__xludf.DUMMYFUNCTION("""COMPUTED_VALUE"""),"Tyler Higbee, TE LAR")</f>
        <v>Tyler Higbee, TE LAR</v>
      </c>
      <c r="C43" s="5" t="str">
        <f>IFERROR(__xludf.DUMMYFUNCTION("""COMPUTED_VALUE"""),"8 | | | | | | | |")</f>
        <v>8 | | | | | | | |</v>
      </c>
      <c r="D43" s="5" t="str">
        <f>IFERROR(__xludf.DUMMYFUNCTION("""COMPUTED_VALUE"""),"+ Show History »")</f>
        <v>+ Show History »</v>
      </c>
      <c r="E43" s="5" t="str">
        <f>IFERROR(__xludf.DUMMYFUNCTION("""COMPUTED_VALUE"""),"Very High Risk")</f>
        <v>Very High Risk</v>
      </c>
      <c r="F43" s="38">
        <f>IFERROR(__xludf.DUMMYFUNCTION("""COMPUTED_VALUE"""),0.62)</f>
        <v>0.62</v>
      </c>
      <c r="G43" s="5">
        <f>IFERROR(__xludf.DUMMYFUNCTION("""COMPUTED_VALUE"""),1.5)</f>
        <v>1.5</v>
      </c>
      <c r="H43" s="60">
        <f>IFERROR(__xludf.DUMMYFUNCTION("""COMPUTED_VALUE"""),0.055)</f>
        <v>0.055</v>
      </c>
      <c r="I43" s="5">
        <f>IFERROR(__xludf.DUMMYFUNCTION("""COMPUTED_VALUE"""),5.0)</f>
        <v>5</v>
      </c>
      <c r="J43" s="5">
        <f>IFERROR(__xludf.DUMMYFUNCTION("""COMPUTED_VALUE"""),128.7)</f>
        <v>128.7</v>
      </c>
    </row>
    <row r="44">
      <c r="A44" s="5" t="str">
        <f>IFERROR(__xludf.DUMMYFUNCTION("""COMPUTED_VALUE"""),"*Very High Risk*
3
1
1
2
1
X
Tyler HigbeeTE LAR
Seasons:7
Height:6'6""
Weight:249
Bye:10
View Player Profile »
Injury History [TABLE]")</f>
        <v>*Very High Risk*
3
1
1
2
1
X
Tyler HigbeeTE LAR
Seasons:7
Height:6'6"
Weight:249
Bye:10
View Player Profile »
Injury History [TABLE]</v>
      </c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 t="str">
        <f>IFERROR(__xludf.DUMMYFUNCTION("""COMPUTED_VALUE"""),"Hunter Henry, TE NE")</f>
        <v>Hunter Henry, TE NE</v>
      </c>
      <c r="C45" s="5" t="str">
        <f>IFERROR(__xludf.DUMMYFUNCTION("""COMPUTED_VALUE"""),"8 | | | | | | | |")</f>
        <v>8 | | | | | | | |</v>
      </c>
      <c r="D45" s="5" t="str">
        <f>IFERROR(__xludf.DUMMYFUNCTION("""COMPUTED_VALUE"""),"+ Show History »")</f>
        <v>+ Show History »</v>
      </c>
      <c r="E45" s="5" t="str">
        <f>IFERROR(__xludf.DUMMYFUNCTION("""COMPUTED_VALUE"""),"Low Risk")</f>
        <v>Low Risk</v>
      </c>
      <c r="F45" s="38">
        <f>IFERROR(__xludf.DUMMYFUNCTION("""COMPUTED_VALUE"""),0.23)</f>
        <v>0.23</v>
      </c>
      <c r="G45" s="5">
        <f>IFERROR(__xludf.DUMMYFUNCTION("""COMPUTED_VALUE"""),0.58)</f>
        <v>0.58</v>
      </c>
      <c r="H45" s="60">
        <f>IFERROR(__xludf.DUMMYFUNCTION("""COMPUTED_VALUE"""),0.015)</f>
        <v>0.015</v>
      </c>
      <c r="I45" s="5">
        <f>IFERROR(__xludf.DUMMYFUNCTION("""COMPUTED_VALUE"""),3.67)</f>
        <v>3.67</v>
      </c>
      <c r="J45" s="5">
        <f>IFERROR(__xludf.DUMMYFUNCTION("""COMPUTED_VALUE"""),127.1)</f>
        <v>127.1</v>
      </c>
    </row>
    <row r="46">
      <c r="A46" s="5" t="str">
        <f>IFERROR(__xludf.DUMMYFUNCTION("""COMPUTED_VALUE"""),"*Low Risk*
2
1
1
2
1
1
X
Hunter HenryTE NE
Seasons:7
Height:6'5""
Weight:253
Bye:11
View Player Profile »
Injury History [TABLE]")</f>
        <v>*Low Risk*
2
1
1
2
1
1
X
Hunter HenryTE NE
Seasons:7
Height:6'5"
Weight:253
Bye:11
View Player Profile »
Injury History [TABLE]</v>
      </c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 t="str">
        <f>IFERROR(__xludf.DUMMYFUNCTION("""COMPUTED_VALUE"""),"Darren Waller, TE NYG")</f>
        <v>Darren Waller, TE NYG</v>
      </c>
      <c r="C47" s="5" t="str">
        <f>IFERROR(__xludf.DUMMYFUNCTION("""COMPUTED_VALUE"""),"12 | | | | | | | | | | | |")</f>
        <v>12 | | | | | | | | | | | |</v>
      </c>
      <c r="D47" s="5" t="str">
        <f>IFERROR(__xludf.DUMMYFUNCTION("""COMPUTED_VALUE"""),"+ Show History »")</f>
        <v>+ Show History »</v>
      </c>
      <c r="E47" s="5" t="str">
        <f>IFERROR(__xludf.DUMMYFUNCTION("""COMPUTED_VALUE"""),"Very High Risk")</f>
        <v>Very High Risk</v>
      </c>
      <c r="F47" s="38">
        <f>IFERROR(__xludf.DUMMYFUNCTION("""COMPUTED_VALUE"""),0.79)</f>
        <v>0.79</v>
      </c>
      <c r="G47" s="5">
        <f>IFERROR(__xludf.DUMMYFUNCTION("""COMPUTED_VALUE"""),2.5)</f>
        <v>2.5</v>
      </c>
      <c r="H47" s="60">
        <f>IFERROR(__xludf.DUMMYFUNCTION("""COMPUTED_VALUE"""),0.088)</f>
        <v>0.088</v>
      </c>
      <c r="I47" s="5">
        <f>IFERROR(__xludf.DUMMYFUNCTION("""COMPUTED_VALUE"""),2.76)</f>
        <v>2.76</v>
      </c>
      <c r="J47" s="5">
        <f>IFERROR(__xludf.DUMMYFUNCTION("""COMPUTED_VALUE"""),126.8)</f>
        <v>126.8</v>
      </c>
    </row>
    <row r="48">
      <c r="A48" s="5" t="str">
        <f>IFERROR(__xludf.DUMMYFUNCTION("""COMPUTED_VALUE"""),"*Very High Risk*
4
3
2
1
1
1
X
Darren WallerTE NYG
Seasons:8
Height:6'6""
Weight:255
Bye:13
View Player Profile »
Injury History [TABLE]")</f>
        <v>*Very High Risk*
4
3
2
1
1
1
X
Darren WallerTE NYG
Seasons:8
Height:6'6"
Weight:255
Bye:13
View Player Profile »
Injury History [TABLE]</v>
      </c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 t="str">
        <f>IFERROR(__xludf.DUMMYFUNCTION("""COMPUTED_VALUE"""),"Tyler Conklin, TE NYJ")</f>
        <v>Tyler Conklin, TE NYJ</v>
      </c>
      <c r="C49" s="5" t="str">
        <f>IFERROR(__xludf.DUMMYFUNCTION("""COMPUTED_VALUE"""),"3 | | |")</f>
        <v>3 | | |</v>
      </c>
      <c r="D49" s="5" t="str">
        <f>IFERROR(__xludf.DUMMYFUNCTION("""COMPUTED_VALUE"""),"+ Show History »")</f>
        <v>+ Show History »</v>
      </c>
      <c r="E49" s="5" t="str">
        <f>IFERROR(__xludf.DUMMYFUNCTION("""COMPUTED_VALUE"""),"Very Low Risk")</f>
        <v>Very Low Risk</v>
      </c>
      <c r="F49" s="38">
        <f>IFERROR(__xludf.DUMMYFUNCTION("""COMPUTED_VALUE"""),0.22)</f>
        <v>0.22</v>
      </c>
      <c r="G49" s="5">
        <f>IFERROR(__xludf.DUMMYFUNCTION("""COMPUTED_VALUE"""),0.6)</f>
        <v>0.6</v>
      </c>
      <c r="H49" s="60">
        <f>IFERROR(__xludf.DUMMYFUNCTION("""COMPUTED_VALUE"""),0.015)</f>
        <v>0.015</v>
      </c>
      <c r="I49" s="5">
        <f>IFERROR(__xludf.DUMMYFUNCTION("""COMPUTED_VALUE"""),5.0)</f>
        <v>5</v>
      </c>
      <c r="J49" s="5">
        <f>IFERROR(__xludf.DUMMYFUNCTION("""COMPUTED_VALUE"""),126.0)</f>
        <v>126</v>
      </c>
    </row>
    <row r="50">
      <c r="A50" s="5" t="str">
        <f>IFERROR(__xludf.DUMMYFUNCTION("""COMPUTED_VALUE"""),"*Very Low Risk*
1
1
1
X
Tyler ConklinTE NYJ
Seasons:5
Height:6'3""
Weight:254
Bye:7
View Player Profile »
Injury History [TABLE]")</f>
        <v>*Very Low Risk*
1
1
1
X
Tyler ConklinTE NYJ
Seasons:5
Height:6'3"
Weight:254
Bye:7
View Player Profile »
Injury History [TABLE]</v>
      </c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 t="str">
        <f>IFERROR(__xludf.DUMMYFUNCTION("""COMPUTED_VALUE"""),"Jonnu Smith, TE ATL")</f>
        <v>Jonnu Smith, TE ATL</v>
      </c>
      <c r="C51" s="5" t="str">
        <f>IFERROR(__xludf.DUMMYFUNCTION("""COMPUTED_VALUE"""),"10 | | | | | | | | | |")</f>
        <v>10 | | | | | | | | | |</v>
      </c>
      <c r="D51" s="5" t="str">
        <f>IFERROR(__xludf.DUMMYFUNCTION("""COMPUTED_VALUE"""),"+ Show History »")</f>
        <v>+ Show History »</v>
      </c>
      <c r="E51" s="5" t="str">
        <f>IFERROR(__xludf.DUMMYFUNCTION("""COMPUTED_VALUE"""),"Very High Risk")</f>
        <v>Very High Risk</v>
      </c>
      <c r="F51" s="38">
        <f>IFERROR(__xludf.DUMMYFUNCTION("""COMPUTED_VALUE"""),0.59)</f>
        <v>0.59</v>
      </c>
      <c r="G51" s="5">
        <f>IFERROR(__xludf.DUMMYFUNCTION("""COMPUTED_VALUE"""),3.0)</f>
        <v>3</v>
      </c>
      <c r="H51" s="60">
        <f>IFERROR(__xludf.DUMMYFUNCTION("""COMPUTED_VALUE"""),0.051)</f>
        <v>0.051</v>
      </c>
      <c r="I51" s="5">
        <f>IFERROR(__xludf.DUMMYFUNCTION("""COMPUTED_VALUE"""),5.0)</f>
        <v>5</v>
      </c>
      <c r="J51" s="5">
        <f>IFERROR(__xludf.DUMMYFUNCTION("""COMPUTED_VALUE"""),122.4)</f>
        <v>122.4</v>
      </c>
    </row>
    <row r="52">
      <c r="A52" s="5" t="str">
        <f>IFERROR(__xludf.DUMMYFUNCTION("""COMPUTED_VALUE"""),"*Very High Risk*
1
3
2
1
3
X
Jonnu SmithTE ATL
Seasons:6
Height:6'3""
Weight:248
Bye:11
View Player Profile »
Injury History [TABLE]")</f>
        <v>*Very High Risk*
1
3
2
1
3
X
Jonnu SmithTE ATL
Seasons:6
Height:6'3"
Weight:248
Bye:11
View Player Profile »
Injury History [TABLE]</v>
      </c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 t="str">
        <f>IFERROR(__xludf.DUMMYFUNCTION("""COMPUTED_VALUE"""),"Juwan Johnson, TE NO")</f>
        <v>Juwan Johnson, TE NO</v>
      </c>
      <c r="C53" s="5" t="str">
        <f>IFERROR(__xludf.DUMMYFUNCTION("""COMPUTED_VALUE"""),"2 | |")</f>
        <v>2 | |</v>
      </c>
      <c r="D53" s="5" t="str">
        <f>IFERROR(__xludf.DUMMYFUNCTION("""COMPUTED_VALUE"""),"+ Show History »")</f>
        <v>+ Show History »</v>
      </c>
      <c r="E53" s="5" t="str">
        <f>IFERROR(__xludf.DUMMYFUNCTION("""COMPUTED_VALUE"""),"Medium Risk")</f>
        <v>Medium Risk</v>
      </c>
      <c r="F53" s="38">
        <f>IFERROR(__xludf.DUMMYFUNCTION("""COMPUTED_VALUE"""),0.33)</f>
        <v>0.33</v>
      </c>
      <c r="G53" s="5">
        <f>IFERROR(__xludf.DUMMYFUNCTION("""COMPUTED_VALUE"""),0.4)</f>
        <v>0.4</v>
      </c>
      <c r="H53" s="60">
        <f>IFERROR(__xludf.DUMMYFUNCTION("""COMPUTED_VALUE"""),0.023)</f>
        <v>0.023</v>
      </c>
      <c r="I53" s="5">
        <f>IFERROR(__xludf.DUMMYFUNCTION("""COMPUTED_VALUE"""),5.0)</f>
        <v>5</v>
      </c>
      <c r="J53" s="5">
        <f>IFERROR(__xludf.DUMMYFUNCTION("""COMPUTED_VALUE"""),119.5)</f>
        <v>119.5</v>
      </c>
    </row>
    <row r="54">
      <c r="A54" s="5" t="str">
        <f>IFERROR(__xludf.DUMMYFUNCTION("""COMPUTED_VALUE"""),"*Medium Risk*
1
1
X
Juwan JohnsonTE NO
Seasons:4
Height:6'4""
Weight:231
Bye:11
View Player Profile »
Injury History [TABLE]")</f>
        <v>*Medium Risk*
1
1
X
Juwan JohnsonTE NO
Seasons:4
Height:6'4"
Weight:231
Bye:11
View Player Profile »
Injury History [TABLE]</v>
      </c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 t="str">
        <f>IFERROR(__xludf.DUMMYFUNCTION("""COMPUTED_VALUE"""),"Dawson Knox, TE BUF")</f>
        <v>Dawson Knox, TE BUF</v>
      </c>
      <c r="C55" s="5" t="str">
        <f>IFERROR(__xludf.DUMMYFUNCTION("""COMPUTED_VALUE"""),"5 | | | | |")</f>
        <v>5 | | | | |</v>
      </c>
      <c r="D55" s="5" t="str">
        <f>IFERROR(__xludf.DUMMYFUNCTION("""COMPUTED_VALUE"""),"+ Show History »")</f>
        <v>+ Show History »</v>
      </c>
      <c r="E55" s="5" t="str">
        <f>IFERROR(__xludf.DUMMYFUNCTION("""COMPUTED_VALUE"""),"High Risk")</f>
        <v>High Risk</v>
      </c>
      <c r="F55" s="38">
        <f>IFERROR(__xludf.DUMMYFUNCTION("""COMPUTED_VALUE"""),0.56)</f>
        <v>0.56</v>
      </c>
      <c r="G55" s="5">
        <f>IFERROR(__xludf.DUMMYFUNCTION("""COMPUTED_VALUE"""),2.4)</f>
        <v>2.4</v>
      </c>
      <c r="H55" s="60">
        <f>IFERROR(__xludf.DUMMYFUNCTION("""COMPUTED_VALUE"""),0.047)</f>
        <v>0.047</v>
      </c>
      <c r="I55" s="5">
        <f>IFERROR(__xludf.DUMMYFUNCTION("""COMPUTED_VALUE"""),5.0)</f>
        <v>5</v>
      </c>
      <c r="J55" s="5">
        <f>IFERROR(__xludf.DUMMYFUNCTION("""COMPUTED_VALUE"""),119.0)</f>
        <v>119</v>
      </c>
    </row>
    <row r="56">
      <c r="A56" s="5" t="str">
        <f>IFERROR(__xludf.DUMMYFUNCTION("""COMPUTED_VALUE"""),"*High Risk*
1
1
1
1
1
X
Dawson KnoxTE BUF
Seasons:4
Height:6'4""
Weight:254
Bye:13
View Player Profile »
Injury History [TABLE]")</f>
        <v>*High Risk*
1
1
1
1
1
X
Dawson KnoxTE BUF
Seasons:4
Height:6'4"
Weight:254
Bye:13
View Player Profile »
Injury History [TABLE]</v>
      </c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 t="str">
        <f>IFERROR(__xludf.DUMMYFUNCTION("""COMPUTED_VALUE"""),"Michael Mayer, TE LVR")</f>
        <v>Michael Mayer, TE LVR</v>
      </c>
      <c r="C57" s="5" t="str">
        <f>IFERROR(__xludf.DUMMYFUNCTION("""COMPUTED_VALUE"""),"1 |")</f>
        <v>1 |</v>
      </c>
      <c r="D57" s="5" t="str">
        <f>IFERROR(__xludf.DUMMYFUNCTION("""COMPUTED_VALUE"""),"+ Show History »")</f>
        <v>+ Show History »</v>
      </c>
      <c r="E57" s="5" t="str">
        <f>IFERROR(__xludf.DUMMYFUNCTION("""COMPUTED_VALUE"""),"Medium Risk")</f>
        <v>Medium Risk</v>
      </c>
      <c r="F57" s="38">
        <f>IFERROR(__xludf.DUMMYFUNCTION("""COMPUTED_VALUE"""),0.32)</f>
        <v>0.32</v>
      </c>
      <c r="G57" s="5">
        <f>IFERROR(__xludf.DUMMYFUNCTION("""COMPUTED_VALUE"""),0.6)</f>
        <v>0.6</v>
      </c>
      <c r="H57" s="60">
        <f>IFERROR(__xludf.DUMMYFUNCTION("""COMPUTED_VALUE"""),0.022)</f>
        <v>0.022</v>
      </c>
      <c r="I57" s="5">
        <f>IFERROR(__xludf.DUMMYFUNCTION("""COMPUTED_VALUE"""),5.0)</f>
        <v>5</v>
      </c>
      <c r="J57" s="5">
        <f>IFERROR(__xludf.DUMMYFUNCTION("""COMPUTED_VALUE"""),113.1)</f>
        <v>113.1</v>
      </c>
    </row>
    <row r="58">
      <c r="A58" s="5" t="str">
        <f>IFERROR(__xludf.DUMMYFUNCTION("""COMPUTED_VALUE"""),"*Medium Risk*
1
X
Michael MayerTE LVR
Seasons:0
Height:6'4""
Weight:249
Bye:13
View Player Profile »
Injury History [TABLE]")</f>
        <v>*Medium Risk*
1
X
Michael MayerTE LVR
Seasons:0
Height:6'4"
Weight:249
Bye:13
View Player Profile »
Injury History [TABLE]</v>
      </c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 t="str">
        <f>IFERROR(__xludf.DUMMYFUNCTION("""COMPUTED_VALUE"""),"Brevin Jordan, TE HOU")</f>
        <v>Brevin Jordan, TE HOU</v>
      </c>
      <c r="C59" s="5" t="str">
        <f>IFERROR(__xludf.DUMMYFUNCTION("""COMPUTED_VALUE"""),"6 | | | | | |")</f>
        <v>6 | | | | | |</v>
      </c>
      <c r="D59" s="5" t="str">
        <f>IFERROR(__xludf.DUMMYFUNCTION("""COMPUTED_VALUE"""),"+ Show History »")</f>
        <v>+ Show History »</v>
      </c>
      <c r="E59" s="5" t="str">
        <f>IFERROR(__xludf.DUMMYFUNCTION("""COMPUTED_VALUE"""),"High Risk")</f>
        <v>High Risk</v>
      </c>
      <c r="F59" s="38">
        <f>IFERROR(__xludf.DUMMYFUNCTION("""COMPUTED_VALUE"""),0.42)</f>
        <v>0.42</v>
      </c>
      <c r="G59" s="5">
        <f>IFERROR(__xludf.DUMMYFUNCTION("""COMPUTED_VALUE"""),1.51)</f>
        <v>1.51</v>
      </c>
      <c r="H59" s="60">
        <f>IFERROR(__xludf.DUMMYFUNCTION("""COMPUTED_VALUE"""),0.032)</f>
        <v>0.032</v>
      </c>
      <c r="I59" s="5">
        <f>IFERROR(__xludf.DUMMYFUNCTION("""COMPUTED_VALUE"""),1.78)</f>
        <v>1.78</v>
      </c>
      <c r="J59" s="5">
        <f>IFERROR(__xludf.DUMMYFUNCTION("""COMPUTED_VALUE"""),108.7)</f>
        <v>108.7</v>
      </c>
    </row>
    <row r="60">
      <c r="A60" s="5" t="str">
        <f>IFERROR(__xludf.DUMMYFUNCTION("""COMPUTED_VALUE"""),"*High Risk*
3
1
1
1
X
Brevin JordanTE HOU
Seasons:2
Height:6'3""
Weight:245
Bye:7
View Player Profile »
Injury History [TABLE]")</f>
        <v>*High Risk*
3
1
1
1
X
Brevin JordanTE HOU
Seasons:2
Height:6'3"
Weight:245
Bye:7
View Player Profile »
Injury History [TABLE]</v>
      </c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 t="str">
        <f>IFERROR(__xludf.DUMMYFUNCTION("""COMPUTED_VALUE"""),"Kylen Granson, TE IND")</f>
        <v>Kylen Granson, TE IND</v>
      </c>
      <c r="C61" s="5">
        <f>IFERROR(__xludf.DUMMYFUNCTION("""COMPUTED_VALUE"""),0.0)</f>
        <v>0</v>
      </c>
      <c r="D61" s="5" t="str">
        <f>IFERROR(__xludf.DUMMYFUNCTION("""COMPUTED_VALUE"""),"+ Show History »")</f>
        <v>+ Show History »</v>
      </c>
      <c r="E61" s="5" t="str">
        <f>IFERROR(__xludf.DUMMYFUNCTION("""COMPUTED_VALUE"""),"Very Low Risk")</f>
        <v>Very Low Risk</v>
      </c>
      <c r="F61" s="38">
        <f>IFERROR(__xludf.DUMMYFUNCTION("""COMPUTED_VALUE"""),0.17)</f>
        <v>0.17</v>
      </c>
      <c r="G61" s="5">
        <f>IFERROR(__xludf.DUMMYFUNCTION("""COMPUTED_VALUE"""),1.0)</f>
        <v>1</v>
      </c>
      <c r="H61" s="60">
        <f>IFERROR(__xludf.DUMMYFUNCTION("""COMPUTED_VALUE"""),0.011)</f>
        <v>0.011</v>
      </c>
      <c r="I61" s="5">
        <f>IFERROR(__xludf.DUMMYFUNCTION("""COMPUTED_VALUE"""),5.0)</f>
        <v>5</v>
      </c>
      <c r="J61" s="5">
        <f>IFERROR(__xludf.DUMMYFUNCTION("""COMPUTED_VALUE"""),87.3)</f>
        <v>87.3</v>
      </c>
    </row>
    <row r="62">
      <c r="A62" s="5" t="str">
        <f>IFERROR(__xludf.DUMMYFUNCTION("""COMPUTED_VALUE"""),"*Very Low Risk*
X
Kylen GransonTE IND
Seasons:2
Height:6'1""
Weight:241
Bye:11
View Player Profile »
Injury History [TABLE]")</f>
        <v>*Very Low Risk*
X
Kylen GransonTE IND
Seasons:2
Height:6'1"
Weight:241
Bye:11
View Player Profile »
Injury History [TABLE]</v>
      </c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 t="str">
        <f>IFERROR(__xludf.DUMMYFUNCTION("""COMPUTED_VALUE"""),"Noah Fant, TE SEA")</f>
        <v>Noah Fant, TE SEA</v>
      </c>
      <c r="C63" s="5" t="str">
        <f>IFERROR(__xludf.DUMMYFUNCTION("""COMPUTED_VALUE"""),"6 | | | | | |")</f>
        <v>6 | | | | | |</v>
      </c>
      <c r="D63" s="5" t="str">
        <f>IFERROR(__xludf.DUMMYFUNCTION("""COMPUTED_VALUE"""),"+ Show History »")</f>
        <v>+ Show History »</v>
      </c>
      <c r="E63" s="5" t="str">
        <f>IFERROR(__xludf.DUMMYFUNCTION("""COMPUTED_VALUE"""),"Medium Risk")</f>
        <v>Medium Risk</v>
      </c>
      <c r="F63" s="38">
        <f>IFERROR(__xludf.DUMMYFUNCTION("""COMPUTED_VALUE"""),0.33)</f>
        <v>0.33</v>
      </c>
      <c r="G63" s="5">
        <f>IFERROR(__xludf.DUMMYFUNCTION("""COMPUTED_VALUE"""),1.52)</f>
        <v>1.52</v>
      </c>
      <c r="H63" s="60">
        <f>IFERROR(__xludf.DUMMYFUNCTION("""COMPUTED_VALUE"""),0.023)</f>
        <v>0.023</v>
      </c>
      <c r="I63" s="5">
        <f>IFERROR(__xludf.DUMMYFUNCTION("""COMPUTED_VALUE"""),5.0)</f>
        <v>5</v>
      </c>
      <c r="J63" s="5">
        <f>IFERROR(__xludf.DUMMYFUNCTION("""COMPUTED_VALUE"""),81.9)</f>
        <v>81.9</v>
      </c>
    </row>
    <row r="64">
      <c r="A64" s="5" t="str">
        <f>IFERROR(__xludf.DUMMYFUNCTION("""COMPUTED_VALUE"""),"*Medium Risk*
1
1
3
1
X
Noah FantTE SEA
Seasons:4
Height:6'4""
Weight:249
Bye:5
View Player Profile »
Injury History [TABLE]")</f>
        <v>*Medium Risk*
1
1
3
1
X
Noah FantTE SEA
Seasons:4
Height:6'4"
Weight:249
Bye:5
View Player Profile »
Injury History [TABLE]</v>
      </c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 t="str">
        <f>IFERROR(__xludf.DUMMYFUNCTION("""COMPUTED_VALUE"""),"Mike Gesicki, TE NE")</f>
        <v>Mike Gesicki, TE NE</v>
      </c>
      <c r="C65" s="5" t="str">
        <f>IFERROR(__xludf.DUMMYFUNCTION("""COMPUTED_VALUE"""),"3 | | |")</f>
        <v>3 | | |</v>
      </c>
      <c r="D65" s="5" t="str">
        <f>IFERROR(__xludf.DUMMYFUNCTION("""COMPUTED_VALUE"""),"+ Show History »")</f>
        <v>+ Show History »</v>
      </c>
      <c r="E65" s="5" t="str">
        <f>IFERROR(__xludf.DUMMYFUNCTION("""COMPUTED_VALUE"""),"Low Risk")</f>
        <v>Low Risk</v>
      </c>
      <c r="F65" s="38">
        <f>IFERROR(__xludf.DUMMYFUNCTION("""COMPUTED_VALUE"""),0.25)</f>
        <v>0.25</v>
      </c>
      <c r="G65" s="5">
        <f>IFERROR(__xludf.DUMMYFUNCTION("""COMPUTED_VALUE"""),0.52)</f>
        <v>0.52</v>
      </c>
      <c r="H65" s="60">
        <f>IFERROR(__xludf.DUMMYFUNCTION("""COMPUTED_VALUE"""),0.017)</f>
        <v>0.017</v>
      </c>
      <c r="I65" s="5">
        <f>IFERROR(__xludf.DUMMYFUNCTION("""COMPUTED_VALUE"""),5.0)</f>
        <v>5</v>
      </c>
      <c r="J65" s="5">
        <f>IFERROR(__xludf.DUMMYFUNCTION("""COMPUTED_VALUE"""),66.1)</f>
        <v>66.1</v>
      </c>
    </row>
    <row r="66">
      <c r="A66" s="5" t="str">
        <f>IFERROR(__xludf.DUMMYFUNCTION("""COMPUTED_VALUE"""),"*Low Risk*
2
1
X
Mike GesickiTE NE
Seasons:5
Height:6'6""
Weight:247
Bye:11
View Player Profile »
Injury History [TABLE]")</f>
        <v>*Low Risk*
2
1
X
Mike GesickiTE NE
Seasons:5
Height:6'6"
Weight:247
Bye:11
View Player Profile »
Injury History [TABLE]</v>
      </c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 t="str">
        <f>IFERROR(__xludf.DUMMYFUNCTION("""COMPUTED_VALUE"""),"Durham Smythe, TE MIA")</f>
        <v>Durham Smythe, TE MIA</v>
      </c>
      <c r="C67" s="5" t="str">
        <f>IFERROR(__xludf.DUMMYFUNCTION("""COMPUTED_VALUE"""),"2 | |")</f>
        <v>2 | |</v>
      </c>
      <c r="D67" s="5" t="str">
        <f>IFERROR(__xludf.DUMMYFUNCTION("""COMPUTED_VALUE"""),"+ Show History »")</f>
        <v>+ Show History »</v>
      </c>
      <c r="E67" s="5" t="str">
        <f>IFERROR(__xludf.DUMMYFUNCTION("""COMPUTED_VALUE"""),"Low Risk")</f>
        <v>Low Risk</v>
      </c>
      <c r="F67" s="38">
        <f>IFERROR(__xludf.DUMMYFUNCTION("""COMPUTED_VALUE"""),0.24)</f>
        <v>0.24</v>
      </c>
      <c r="G67" s="5">
        <f>IFERROR(__xludf.DUMMYFUNCTION("""COMPUTED_VALUE"""),1.7)</f>
        <v>1.7</v>
      </c>
      <c r="H67" s="60">
        <f>IFERROR(__xludf.DUMMYFUNCTION("""COMPUTED_VALUE"""),0.016)</f>
        <v>0.016</v>
      </c>
      <c r="I67" s="5">
        <f>IFERROR(__xludf.DUMMYFUNCTION("""COMPUTED_VALUE"""),5.0)</f>
        <v>5</v>
      </c>
      <c r="J67" s="5">
        <f>IFERROR(__xludf.DUMMYFUNCTION("""COMPUTED_VALUE"""),65.9)</f>
        <v>65.9</v>
      </c>
    </row>
    <row r="68">
      <c r="A68" s="5" t="str">
        <f>IFERROR(__xludf.DUMMYFUNCTION("""COMPUTED_VALUE"""),"*Low Risk*
1
1
X
Durham SmytheTE MIA
Seasons:5
Height:6'6""
Weight:260
Bye:10
View Player Profile »
Injury History [TABLE]")</f>
        <v>*Low Risk*
1
1
X
Durham SmytheTE MIA
Seasons:5
Height:6'6"
Weight:260
Bye:10
View Player Profile »
Injury History [TABLE]</v>
      </c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 t="str">
        <f>IFERROR(__xludf.DUMMYFUNCTION("""COMPUTED_VALUE"""),"Josh Oliver, TE MIN")</f>
        <v>Josh Oliver, TE MIN</v>
      </c>
      <c r="C69" s="5" t="str">
        <f>IFERROR(__xludf.DUMMYFUNCTION("""COMPUTED_VALUE"""),"3 | | |")</f>
        <v>3 | | |</v>
      </c>
      <c r="D69" s="5" t="str">
        <f>IFERROR(__xludf.DUMMYFUNCTION("""COMPUTED_VALUE"""),"+ Show History »")</f>
        <v>+ Show History »</v>
      </c>
      <c r="E69" s="5" t="str">
        <f>IFERROR(__xludf.DUMMYFUNCTION("""COMPUTED_VALUE"""),"Very Low Risk")</f>
        <v>Very Low Risk</v>
      </c>
      <c r="F69" s="38">
        <f>IFERROR(__xludf.DUMMYFUNCTION("""COMPUTED_VALUE"""),0.22)</f>
        <v>0.22</v>
      </c>
      <c r="G69" s="5">
        <f>IFERROR(__xludf.DUMMYFUNCTION("""COMPUTED_VALUE"""),0.6)</f>
        <v>0.6</v>
      </c>
      <c r="H69" s="60">
        <f>IFERROR(__xludf.DUMMYFUNCTION("""COMPUTED_VALUE"""),0.015)</f>
        <v>0.015</v>
      </c>
      <c r="I69" s="5">
        <f>IFERROR(__xludf.DUMMYFUNCTION("""COMPUTED_VALUE"""),1.22)</f>
        <v>1.22</v>
      </c>
      <c r="J69" s="5">
        <f>IFERROR(__xludf.DUMMYFUNCTION("""COMPUTED_VALUE"""),63.5)</f>
        <v>63.5</v>
      </c>
    </row>
    <row r="70">
      <c r="A70" s="5" t="str">
        <f>IFERROR(__xludf.DUMMYFUNCTION("""COMPUTED_VALUE"""),"*Very Low Risk*
1
1
1
X
Josh OliverTE MIN
Seasons:4
Height:6'5""
Weight:249
Bye:13
View Player Profile »
Injury History [TABLE]")</f>
        <v>*Very Low Risk*
1
1
1
X
Josh OliverTE MIN
Seasons:4
Height:6'5"
Weight:249
Bye:13
View Player Profile »
Injury History [TABLE]</v>
      </c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 t="str">
        <f>IFERROR(__xludf.DUMMYFUNCTION("""COMPUTED_VALUE"""),"Mo Alie-Cox, TE IND")</f>
        <v>Mo Alie-Cox, TE IND</v>
      </c>
      <c r="C71" s="5" t="str">
        <f>IFERROR(__xludf.DUMMYFUNCTION("""COMPUTED_VALUE"""),"3 | | |")</f>
        <v>3 | | |</v>
      </c>
      <c r="D71" s="5" t="str">
        <f>IFERROR(__xludf.DUMMYFUNCTION("""COMPUTED_VALUE"""),"+ Show History »")</f>
        <v>+ Show History »</v>
      </c>
      <c r="E71" s="5" t="str">
        <f>IFERROR(__xludf.DUMMYFUNCTION("""COMPUTED_VALUE"""),"Low Risk")</f>
        <v>Low Risk</v>
      </c>
      <c r="F71" s="38">
        <f>IFERROR(__xludf.DUMMYFUNCTION("""COMPUTED_VALUE"""),0.23)</f>
        <v>0.23</v>
      </c>
      <c r="G71" s="5">
        <f>IFERROR(__xludf.DUMMYFUNCTION("""COMPUTED_VALUE"""),0.53)</f>
        <v>0.53</v>
      </c>
      <c r="H71" s="60">
        <f>IFERROR(__xludf.DUMMYFUNCTION("""COMPUTED_VALUE"""),0.015)</f>
        <v>0.015</v>
      </c>
      <c r="I71" s="5">
        <f>IFERROR(__xludf.DUMMYFUNCTION("""COMPUTED_VALUE"""),5.0)</f>
        <v>5</v>
      </c>
      <c r="J71" s="5">
        <f>IFERROR(__xludf.DUMMYFUNCTION("""COMPUTED_VALUE"""),62.3)</f>
        <v>62.3</v>
      </c>
    </row>
    <row r="72">
      <c r="A72" s="5" t="str">
        <f>IFERROR(__xludf.DUMMYFUNCTION("""COMPUTED_VALUE"""),"*Low Risk*
1
1
1
X
Mo Alie-CoxTE IND
Seasons:5
Height:6'5""
Weight:267
Bye:11
View Player Profile »
Injury History [TABLE]")</f>
        <v>*Low Risk*
1
1
1
X
Mo Alie-CoxTE IND
Seasons:5
Height:6'5"
Weight:267
Bye:11
View Player Profile »
Injury History [TABLE]</v>
      </c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 t="str">
        <f>IFERROR(__xludf.DUMMYFUNCTION("""COMPUTED_VALUE"""),"Luke Schoonmaker, TE DAL")</f>
        <v>Luke Schoonmaker, TE DAL</v>
      </c>
      <c r="C73" s="5" t="str">
        <f>IFERROR(__xludf.DUMMYFUNCTION("""COMPUTED_VALUE"""),"3 | | |")</f>
        <v>3 | | |</v>
      </c>
      <c r="D73" s="5" t="str">
        <f>IFERROR(__xludf.DUMMYFUNCTION("""COMPUTED_VALUE"""),"+ Show History »")</f>
        <v>+ Show History »</v>
      </c>
      <c r="E73" s="5" t="str">
        <f>IFERROR(__xludf.DUMMYFUNCTION("""COMPUTED_VALUE"""),"High Risk")</f>
        <v>High Risk</v>
      </c>
      <c r="F73" s="38">
        <f>IFERROR(__xludf.DUMMYFUNCTION("""COMPUTED_VALUE"""),0.36)</f>
        <v>0.36</v>
      </c>
      <c r="G73" s="5">
        <f>IFERROR(__xludf.DUMMYFUNCTION("""COMPUTED_VALUE"""),2.0)</f>
        <v>2</v>
      </c>
      <c r="H73" s="60">
        <f>IFERROR(__xludf.DUMMYFUNCTION("""COMPUTED_VALUE"""),0.026)</f>
        <v>0.026</v>
      </c>
      <c r="I73" s="5">
        <f>IFERROR(__xludf.DUMMYFUNCTION("""COMPUTED_VALUE"""),5.0)</f>
        <v>5</v>
      </c>
      <c r="J73" s="5">
        <f>IFERROR(__xludf.DUMMYFUNCTION("""COMPUTED_VALUE"""),61.0)</f>
        <v>61</v>
      </c>
    </row>
    <row r="74">
      <c r="A74" s="5" t="str">
        <f>IFERROR(__xludf.DUMMYFUNCTION("""COMPUTED_VALUE"""),"*High Risk*
1
2
X
Luke SchoonmakerTE DAL
Seasons:0
Height:6'5""
Weight:251
Bye:7
View Player Profile »
Injury History [TABLE]")</f>
        <v>*High Risk*
1
2
X
Luke SchoonmakerTE DAL
Seasons:0
Height:6'5"
Weight:251
Bye:7
View Player Profile »
Injury History [TABLE]</v>
      </c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 t="str">
        <f>IFERROR(__xludf.DUMMYFUNCTION("""COMPUTED_VALUE"""),"Greg Dulcich, TE DEN")</f>
        <v>Greg Dulcich, TE DEN</v>
      </c>
      <c r="C75" s="5" t="str">
        <f>IFERROR(__xludf.DUMMYFUNCTION("""COMPUTED_VALUE"""),"3 | | |")</f>
        <v>3 | | |</v>
      </c>
      <c r="D75" s="5" t="str">
        <f>IFERROR(__xludf.DUMMYFUNCTION("""COMPUTED_VALUE"""),"+ Show History »")</f>
        <v>+ Show History »</v>
      </c>
      <c r="E75" s="5" t="str">
        <f>IFERROR(__xludf.DUMMYFUNCTION("""COMPUTED_VALUE"""),"Very High Risk")</f>
        <v>Very High Risk</v>
      </c>
      <c r="F75" s="38">
        <f>IFERROR(__xludf.DUMMYFUNCTION("""COMPUTED_VALUE"""),0.79)</f>
        <v>0.79</v>
      </c>
      <c r="G75" s="5">
        <f>IFERROR(__xludf.DUMMYFUNCTION("""COMPUTED_VALUE"""),2.31)</f>
        <v>2.31</v>
      </c>
      <c r="H75" s="60">
        <f>IFERROR(__xludf.DUMMYFUNCTION("""COMPUTED_VALUE"""),0.088)</f>
        <v>0.088</v>
      </c>
      <c r="I75" s="5">
        <f>IFERROR(__xludf.DUMMYFUNCTION("""COMPUTED_VALUE"""),3.0)</f>
        <v>3</v>
      </c>
      <c r="J75" s="5">
        <f>IFERROR(__xludf.DUMMYFUNCTION("""COMPUTED_VALUE"""),58.3)</f>
        <v>58.3</v>
      </c>
    </row>
    <row r="76">
      <c r="A76" s="5" t="str">
        <f>IFERROR(__xludf.DUMMYFUNCTION("""COMPUTED_VALUE"""),"*Very High Risk*
3
X
Greg DulcichTE DEN
Seasons:2
Height:6'4""
Weight:245
Bye:9
View Player Profile »
Injury History [TABLE]")</f>
        <v>*Very High Risk*
3
X
Greg DulcichTE DEN
Seasons:2
Height:6'4"
Weight:245
Bye:9
View Player Profile »
Injury History [TABLE]</v>
      </c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 t="str">
        <f>IFERROR(__xludf.DUMMYFUNCTION("""COMPUTED_VALUE"""),"Daniel Bellinger, TE NYG")</f>
        <v>Daniel Bellinger, TE NYG</v>
      </c>
      <c r="C77" s="5" t="str">
        <f>IFERROR(__xludf.DUMMYFUNCTION("""COMPUTED_VALUE"""),"3 | | |")</f>
        <v>3 | | |</v>
      </c>
      <c r="D77" s="5" t="str">
        <f>IFERROR(__xludf.DUMMYFUNCTION("""COMPUTED_VALUE"""),"+ Show History »")</f>
        <v>+ Show History »</v>
      </c>
      <c r="E77" s="5" t="str">
        <f>IFERROR(__xludf.DUMMYFUNCTION("""COMPUTED_VALUE"""),"High Risk")</f>
        <v>High Risk</v>
      </c>
      <c r="F77" s="38">
        <f>IFERROR(__xludf.DUMMYFUNCTION("""COMPUTED_VALUE"""),0.44)</f>
        <v>0.44</v>
      </c>
      <c r="G77" s="5">
        <f>IFERROR(__xludf.DUMMYFUNCTION("""COMPUTED_VALUE"""),2.55)</f>
        <v>2.55</v>
      </c>
      <c r="H77" s="60">
        <f>IFERROR(__xludf.DUMMYFUNCTION("""COMPUTED_VALUE"""),0.034)</f>
        <v>0.034</v>
      </c>
      <c r="I77" s="5">
        <f>IFERROR(__xludf.DUMMYFUNCTION("""COMPUTED_VALUE"""),4.63)</f>
        <v>4.63</v>
      </c>
      <c r="J77" s="5">
        <f>IFERROR(__xludf.DUMMYFUNCTION("""COMPUTED_VALUE"""),54.3)</f>
        <v>54.3</v>
      </c>
    </row>
    <row r="78">
      <c r="A78" s="5" t="str">
        <f>IFERROR(__xludf.DUMMYFUNCTION("""COMPUTED_VALUE"""),"*High Risk*
1
2
X
Daniel BellingerTE NYG
Seasons:2
Height:6'5""
Weight:253
Bye:13
View Player Profile »
Injury History [TABLE]")</f>
        <v>*High Risk*
1
2
X
Daniel BellingerTE NYG
Seasons:2
Height:6'5"
Weight:253
Bye:13
View Player Profile »
Injury History [TABLE]</v>
      </c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 t="str">
        <f>IFERROR(__xludf.DUMMYFUNCTION("""COMPUTED_VALUE"""),"Will Dissly, TE SEA")</f>
        <v>Will Dissly, TE SEA</v>
      </c>
      <c r="C79" s="5" t="str">
        <f>IFERROR(__xludf.DUMMYFUNCTION("""COMPUTED_VALUE"""),"4 | | | |")</f>
        <v>4 | | | |</v>
      </c>
      <c r="D79" s="5" t="str">
        <f>IFERROR(__xludf.DUMMYFUNCTION("""COMPUTED_VALUE"""),"+ Show History »")</f>
        <v>+ Show History »</v>
      </c>
      <c r="E79" s="5" t="str">
        <f>IFERROR(__xludf.DUMMYFUNCTION("""COMPUTED_VALUE"""),"Medium Risk")</f>
        <v>Medium Risk</v>
      </c>
      <c r="F79" s="38">
        <f>IFERROR(__xludf.DUMMYFUNCTION("""COMPUTED_VALUE"""),0.31)</f>
        <v>0.31</v>
      </c>
      <c r="G79" s="5">
        <f>IFERROR(__xludf.DUMMYFUNCTION("""COMPUTED_VALUE"""),0.9)</f>
        <v>0.9</v>
      </c>
      <c r="H79" s="60">
        <f>IFERROR(__xludf.DUMMYFUNCTION("""COMPUTED_VALUE"""),0.022)</f>
        <v>0.022</v>
      </c>
      <c r="I79" s="5">
        <f>IFERROR(__xludf.DUMMYFUNCTION("""COMPUTED_VALUE"""),2.08)</f>
        <v>2.08</v>
      </c>
      <c r="J79" s="5">
        <f>IFERROR(__xludf.DUMMYFUNCTION("""COMPUTED_VALUE"""),53.5)</f>
        <v>53.5</v>
      </c>
    </row>
    <row r="80">
      <c r="A80" s="5" t="str">
        <f>IFERROR(__xludf.DUMMYFUNCTION("""COMPUTED_VALUE"""),"*Medium Risk*
1
2
1
X
Will DisslyTE SEA
Seasons:5
Height:6'4""
Weight:265
Bye:5
View Player Profile »
Injury History [TABLE]")</f>
        <v>*Medium Risk*
1
2
1
X
Will DisslyTE SEA
Seasons:5
Height:6'4"
Weight:265
Bye:5
View Player Profile »
Injury History [TABLE]</v>
      </c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 t="str">
        <f>IFERROR(__xludf.DUMMYFUNCTION("""COMPUTED_VALUE"""),"Josiah Deguara, TE GB")</f>
        <v>Josiah Deguara, TE GB</v>
      </c>
      <c r="C81" s="5" t="str">
        <f>IFERROR(__xludf.DUMMYFUNCTION("""COMPUTED_VALUE"""),"4 | | | |")</f>
        <v>4 | | | |</v>
      </c>
      <c r="D81" s="5" t="str">
        <f>IFERROR(__xludf.DUMMYFUNCTION("""COMPUTED_VALUE"""),"+ Show History »")</f>
        <v>+ Show History »</v>
      </c>
      <c r="E81" s="5" t="str">
        <f>IFERROR(__xludf.DUMMYFUNCTION("""COMPUTED_VALUE"""),"Medium Risk")</f>
        <v>Medium Risk</v>
      </c>
      <c r="F81" s="38">
        <f>IFERROR(__xludf.DUMMYFUNCTION("""COMPUTED_VALUE"""),0.33)</f>
        <v>0.33</v>
      </c>
      <c r="G81" s="5">
        <f>IFERROR(__xludf.DUMMYFUNCTION("""COMPUTED_VALUE"""),0.58)</f>
        <v>0.58</v>
      </c>
      <c r="H81" s="60">
        <f>IFERROR(__xludf.DUMMYFUNCTION("""COMPUTED_VALUE"""),0.023)</f>
        <v>0.023</v>
      </c>
      <c r="I81" s="5">
        <f>IFERROR(__xludf.DUMMYFUNCTION("""COMPUTED_VALUE"""),2.3)</f>
        <v>2.3</v>
      </c>
      <c r="J81" s="5">
        <f>IFERROR(__xludf.DUMMYFUNCTION("""COMPUTED_VALUE"""),52.8)</f>
        <v>52.8</v>
      </c>
    </row>
    <row r="82">
      <c r="A82" s="5" t="str">
        <f>IFERROR(__xludf.DUMMYFUNCTION("""COMPUTED_VALUE"""),"*Medium Risk*
1
1
1
1
X
Josiah DeguaraTE GB
Seasons:3
Height:6'2""
Weight:242
Bye:6
View Player Profile »
Injury History [TABLE]")</f>
        <v>*Medium Risk*
1
1
1
1
X
Josiah DeguaraTE GB
Seasons:3
Height:6'2"
Weight:242
Bye:6
View Player Profile »
Injury History [TABLE]</v>
      </c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 t="str">
        <f>IFERROR(__xludf.DUMMYFUNCTION("""COMPUTED_VALUE"""),"Austin Hooper, TE LVR")</f>
        <v>Austin Hooper, TE LVR</v>
      </c>
      <c r="C83" s="5" t="str">
        <f>IFERROR(__xludf.DUMMYFUNCTION("""COMPUTED_VALUE"""),"4 | | | |")</f>
        <v>4 | | | |</v>
      </c>
      <c r="D83" s="5" t="str">
        <f>IFERROR(__xludf.DUMMYFUNCTION("""COMPUTED_VALUE"""),"+ Show History »")</f>
        <v>+ Show History »</v>
      </c>
      <c r="E83" s="5" t="str">
        <f>IFERROR(__xludf.DUMMYFUNCTION("""COMPUTED_VALUE"""),"Very Low Risk")</f>
        <v>Very Low Risk</v>
      </c>
      <c r="F83" s="38">
        <f>IFERROR(__xludf.DUMMYFUNCTION("""COMPUTED_VALUE"""),0.22)</f>
        <v>0.22</v>
      </c>
      <c r="G83" s="5">
        <f>IFERROR(__xludf.DUMMYFUNCTION("""COMPUTED_VALUE"""),1.12)</f>
        <v>1.12</v>
      </c>
      <c r="H83" s="60">
        <f>IFERROR(__xludf.DUMMYFUNCTION("""COMPUTED_VALUE"""),0.015)</f>
        <v>0.015</v>
      </c>
      <c r="I83" s="5">
        <f>IFERROR(__xludf.DUMMYFUNCTION("""COMPUTED_VALUE"""),5.0)</f>
        <v>5</v>
      </c>
      <c r="J83" s="5">
        <f>IFERROR(__xludf.DUMMYFUNCTION("""COMPUTED_VALUE"""),52.5)</f>
        <v>52.5</v>
      </c>
    </row>
    <row r="84">
      <c r="A84" s="5" t="str">
        <f>IFERROR(__xludf.DUMMYFUNCTION("""COMPUTED_VALUE"""),"*Very Low Risk*
1
1
2
X
Austin HooperTE LVR
Seasons:7
Height:6'4""
Weight:254
Bye:13
View Player Profile »
Injury History [TABLE]")</f>
        <v>*Very Low Risk*
1
1
2
X
Austin HooperTE LVR
Seasons:7
Height:6'4"
Weight:254
Bye:13
View Player Profile »
Injury History [TABLE]</v>
      </c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 t="str">
        <f>IFERROR(__xludf.DUMMYFUNCTION("""COMPUTED_VALUE"""),"Harrison Bryant, TE CLE")</f>
        <v>Harrison Bryant, TE CLE</v>
      </c>
      <c r="C85" s="5" t="str">
        <f>IFERROR(__xludf.DUMMYFUNCTION("""COMPUTED_VALUE"""),"1 |")</f>
        <v>1 |</v>
      </c>
      <c r="D85" s="5" t="str">
        <f>IFERROR(__xludf.DUMMYFUNCTION("""COMPUTED_VALUE"""),"+ Show History »")</f>
        <v>+ Show History »</v>
      </c>
      <c r="E85" s="5" t="str">
        <f>IFERROR(__xludf.DUMMYFUNCTION("""COMPUTED_VALUE"""),"Very Low Risk")</f>
        <v>Very Low Risk</v>
      </c>
      <c r="F85" s="38">
        <f>IFERROR(__xludf.DUMMYFUNCTION("""COMPUTED_VALUE"""),0.1)</f>
        <v>0.1</v>
      </c>
      <c r="G85" s="5">
        <f>IFERROR(__xludf.DUMMYFUNCTION("""COMPUTED_VALUE"""),0.58)</f>
        <v>0.58</v>
      </c>
      <c r="H85" s="60">
        <f>IFERROR(__xludf.DUMMYFUNCTION("""COMPUTED_VALUE"""),0.006)</f>
        <v>0.006</v>
      </c>
      <c r="I85" s="5">
        <f>IFERROR(__xludf.DUMMYFUNCTION("""COMPUTED_VALUE"""),5.0)</f>
        <v>5</v>
      </c>
      <c r="J85" s="5">
        <f>IFERROR(__xludf.DUMMYFUNCTION("""COMPUTED_VALUE"""),48.7)</f>
        <v>48.7</v>
      </c>
    </row>
    <row r="86">
      <c r="A86" s="5" t="str">
        <f>IFERROR(__xludf.DUMMYFUNCTION("""COMPUTED_VALUE"""),"*Very Low Risk*
1
X
Harrison BryantTE CLE
Seasons:3
Height:6'5""
Weight:243
Bye:5
View Player Profile »
Injury History [TABLE]")</f>
        <v>*Very Low Risk*
1
X
Harrison BryantTE CLE
Seasons:3
Height:6'5"
Weight:243
Bye:5
View Player Profile »
Injury History [TABLE]</v>
      </c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 t="str">
        <f>IFERROR(__xludf.DUMMYFUNCTION("""COMPUTED_VALUE"""),"Zach Ertz, TE UNS")</f>
        <v>Zach Ertz, TE UNS</v>
      </c>
      <c r="C87" s="5" t="str">
        <f>IFERROR(__xludf.DUMMYFUNCTION("""COMPUTED_VALUE"""),"13 | | | | | | | | | | | | |")</f>
        <v>13 | | | | | | | | | | | | |</v>
      </c>
      <c r="D87" s="5" t="str">
        <f>IFERROR(__xludf.DUMMYFUNCTION("""COMPUTED_VALUE"""),"+ Show History »")</f>
        <v>+ Show History »</v>
      </c>
      <c r="E87" s="5" t="str">
        <f>IFERROR(__xludf.DUMMYFUNCTION("""COMPUTED_VALUE"""),"Very High Risk")</f>
        <v>Very High Risk</v>
      </c>
      <c r="F87" s="38">
        <f>IFERROR(__xludf.DUMMYFUNCTION("""COMPUTED_VALUE"""),0.71)</f>
        <v>0.71</v>
      </c>
      <c r="G87" s="5">
        <f>IFERROR(__xludf.DUMMYFUNCTION("""COMPUTED_VALUE"""),4.26)</f>
        <v>4.26</v>
      </c>
      <c r="H87" s="38">
        <f>IFERROR(__xludf.DUMMYFUNCTION("""COMPUTED_VALUE"""),0.07)</f>
        <v>0.07</v>
      </c>
      <c r="I87" s="5">
        <f>IFERROR(__xludf.DUMMYFUNCTION("""COMPUTED_VALUE"""),5.0)</f>
        <v>5</v>
      </c>
      <c r="J87" s="5">
        <f>IFERROR(__xludf.DUMMYFUNCTION("""COMPUTED_VALUE"""),48.5)</f>
        <v>48.5</v>
      </c>
    </row>
    <row r="88">
      <c r="A88" s="5" t="str">
        <f>IFERROR(__xludf.DUMMYFUNCTION("""COMPUTED_VALUE"""),"*Very High Risk*
3
1
2
1
2
1
2
1
X
Zach ErtzTE UNS
Seasons:10
Height:6'5""
Weight:248
Bye:1
View Player Profile »
Injury History [TABLE]")</f>
        <v>*Very High Risk*
3
1
2
1
2
1
2
1
X
Zach ErtzTE UNS
Seasons:10
Height:6'5"
Weight:248
Bye:1
View Player Profile »
Injury History [TABLE]</v>
      </c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 t="str">
        <f>IFERROR(__xludf.DUMMYFUNCTION("""COMPUTED_VALUE"""),"Irv Smith, TE CIN")</f>
        <v>Irv Smith, TE CIN</v>
      </c>
      <c r="C89" s="5" t="str">
        <f>IFERROR(__xludf.DUMMYFUNCTION("""COMPUTED_VALUE"""),"5 | | | | |")</f>
        <v>5 | | | | |</v>
      </c>
      <c r="D89" s="5" t="str">
        <f>IFERROR(__xludf.DUMMYFUNCTION("""COMPUTED_VALUE"""),"+ Show History »")</f>
        <v>+ Show History »</v>
      </c>
      <c r="E89" s="5" t="str">
        <f>IFERROR(__xludf.DUMMYFUNCTION("""COMPUTED_VALUE"""),"High Risk")</f>
        <v>High Risk</v>
      </c>
      <c r="F89" s="38">
        <f>IFERROR(__xludf.DUMMYFUNCTION("""COMPUTED_VALUE"""),0.49)</f>
        <v>0.49</v>
      </c>
      <c r="G89" s="5">
        <f>IFERROR(__xludf.DUMMYFUNCTION("""COMPUTED_VALUE"""),2.3)</f>
        <v>2.3</v>
      </c>
      <c r="H89" s="60">
        <f>IFERROR(__xludf.DUMMYFUNCTION("""COMPUTED_VALUE"""),0.039)</f>
        <v>0.039</v>
      </c>
      <c r="I89" s="5">
        <f>IFERROR(__xludf.DUMMYFUNCTION("""COMPUTED_VALUE"""),1.27)</f>
        <v>1.27</v>
      </c>
      <c r="J89" s="5">
        <f>IFERROR(__xludf.DUMMYFUNCTION("""COMPUTED_VALUE"""),47.4)</f>
        <v>47.4</v>
      </c>
    </row>
    <row r="90">
      <c r="A90" s="5" t="str">
        <f>IFERROR(__xludf.DUMMYFUNCTION("""COMPUTED_VALUE"""),"*High Risk*
1
1
1
2
X
Irv SmithTE CIN
Seasons:4
Height:6'2""
Weight:242
Bye:7
View Player Profile »
Injury History [TABLE]")</f>
        <v>*High Risk*
1
1
1
2
X
Irv SmithTE CIN
Seasons:4
Height:6'2"
Weight:242
Bye:7
View Player Profile »
Injury History [TABLE]</v>
      </c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 t="str">
        <f>IFERROR(__xludf.DUMMYFUNCTION("""COMPUTED_VALUE"""),"Adam Trautman, TE DEN")</f>
        <v>Adam Trautman, TE DEN</v>
      </c>
      <c r="C91" s="5" t="str">
        <f>IFERROR(__xludf.DUMMYFUNCTION("""COMPUTED_VALUE"""),"3 | | |")</f>
        <v>3 | | |</v>
      </c>
      <c r="D91" s="5" t="str">
        <f>IFERROR(__xludf.DUMMYFUNCTION("""COMPUTED_VALUE"""),"+ Show History »")</f>
        <v>+ Show History »</v>
      </c>
      <c r="E91" s="5" t="str">
        <f>IFERROR(__xludf.DUMMYFUNCTION("""COMPUTED_VALUE"""),"Medium Risk")</f>
        <v>Medium Risk</v>
      </c>
      <c r="F91" s="38">
        <f>IFERROR(__xludf.DUMMYFUNCTION("""COMPUTED_VALUE"""),0.35)</f>
        <v>0.35</v>
      </c>
      <c r="G91" s="5">
        <f>IFERROR(__xludf.DUMMYFUNCTION("""COMPUTED_VALUE"""),1.02)</f>
        <v>1.02</v>
      </c>
      <c r="H91" s="60">
        <f>IFERROR(__xludf.DUMMYFUNCTION("""COMPUTED_VALUE"""),0.025)</f>
        <v>0.025</v>
      </c>
      <c r="I91" s="5">
        <f>IFERROR(__xludf.DUMMYFUNCTION("""COMPUTED_VALUE"""),5.0)</f>
        <v>5</v>
      </c>
      <c r="J91" s="5">
        <f>IFERROR(__xludf.DUMMYFUNCTION("""COMPUTED_VALUE"""),46.5)</f>
        <v>46.5</v>
      </c>
    </row>
    <row r="92">
      <c r="A92" s="5" t="str">
        <f>IFERROR(__xludf.DUMMYFUNCTION("""COMPUTED_VALUE"""),"*Medium Risk*
2
1
X
Adam TrautmanTE DEN
Seasons:3
Height:6'5""
Weight:255
Bye:9
View Player Profile »
Injury History [TABLE]")</f>
        <v>*Medium Risk*
2
1
X
Adam TrautmanTE DEN
Seasons:3
Height:6'5"
Weight:255
Bye:9
View Player Profile »
Injury History [TABLE]</v>
      </c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 t="str">
        <f>IFERROR(__xludf.DUMMYFUNCTION("""COMPUTED_VALUE"""),"Darnell Washington, TE PIT")</f>
        <v>Darnell Washington, TE PIT</v>
      </c>
      <c r="C93" s="5" t="str">
        <f>IFERROR(__xludf.DUMMYFUNCTION("""COMPUTED_VALUE"""),"3 | | |")</f>
        <v>3 | | |</v>
      </c>
      <c r="D93" s="5" t="str">
        <f>IFERROR(__xludf.DUMMYFUNCTION("""COMPUTED_VALUE"""),"+ Show History »")</f>
        <v>+ Show History »</v>
      </c>
      <c r="E93" s="5" t="str">
        <f>IFERROR(__xludf.DUMMYFUNCTION("""COMPUTED_VALUE"""),"Medium Risk")</f>
        <v>Medium Risk</v>
      </c>
      <c r="F93" s="38">
        <f>IFERROR(__xludf.DUMMYFUNCTION("""COMPUTED_VALUE"""),0.35)</f>
        <v>0.35</v>
      </c>
      <c r="G93" s="5">
        <f>IFERROR(__xludf.DUMMYFUNCTION("""COMPUTED_VALUE"""),0.7)</f>
        <v>0.7</v>
      </c>
      <c r="H93" s="60">
        <f>IFERROR(__xludf.DUMMYFUNCTION("""COMPUTED_VALUE"""),0.025)</f>
        <v>0.025</v>
      </c>
      <c r="I93" s="5">
        <f>IFERROR(__xludf.DUMMYFUNCTION("""COMPUTED_VALUE"""),4.45)</f>
        <v>4.45</v>
      </c>
      <c r="J93" s="5">
        <f>IFERROR(__xludf.DUMMYFUNCTION("""COMPUTED_VALUE"""),45.9)</f>
        <v>45.9</v>
      </c>
    </row>
    <row r="94">
      <c r="A94" s="5" t="str">
        <f>IFERROR(__xludf.DUMMYFUNCTION("""COMPUTED_VALUE"""),"*Medium Risk*
3
X
Darnell WashingtonTE PIT
Seasons:0
Height:6'6""
Weight:264
Bye:6
View Player Profile »
Injury History [TABLE]")</f>
        <v>*Medium Risk*
3
X
Darnell WashingtonTE PIT
Seasons:0
Height:6'6"
Weight:264
Bye:6
View Player Profile »
Injury History [TABLE]</v>
      </c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 t="str">
        <f>IFERROR(__xludf.DUMMYFUNCTION("""COMPUTED_VALUE"""),"Foster Moreau, TE NO")</f>
        <v>Foster Moreau, TE NO</v>
      </c>
      <c r="C95" s="5" t="str">
        <f>IFERROR(__xludf.DUMMYFUNCTION("""COMPUTED_VALUE"""),"1 |")</f>
        <v>1 |</v>
      </c>
      <c r="D95" s="5" t="str">
        <f>IFERROR(__xludf.DUMMYFUNCTION("""COMPUTED_VALUE"""),"+ Show History »")</f>
        <v>+ Show History »</v>
      </c>
      <c r="E95" s="5" t="str">
        <f>IFERROR(__xludf.DUMMYFUNCTION("""COMPUTED_VALUE"""),"Very Low Risk")</f>
        <v>Very Low Risk</v>
      </c>
      <c r="F95" s="38">
        <f>IFERROR(__xludf.DUMMYFUNCTION("""COMPUTED_VALUE"""),0.16)</f>
        <v>0.16</v>
      </c>
      <c r="G95" s="5">
        <f>IFERROR(__xludf.DUMMYFUNCTION("""COMPUTED_VALUE"""),0.63)</f>
        <v>0.63</v>
      </c>
      <c r="H95" s="38">
        <f>IFERROR(__xludf.DUMMYFUNCTION("""COMPUTED_VALUE"""),0.01)</f>
        <v>0.01</v>
      </c>
      <c r="I95" s="5">
        <f>IFERROR(__xludf.DUMMYFUNCTION("""COMPUTED_VALUE"""),5.0)</f>
        <v>5</v>
      </c>
      <c r="J95" s="5">
        <f>IFERROR(__xludf.DUMMYFUNCTION("""COMPUTED_VALUE"""),45.8)</f>
        <v>45.8</v>
      </c>
    </row>
    <row r="96">
      <c r="A96" s="5" t="str">
        <f>IFERROR(__xludf.DUMMYFUNCTION("""COMPUTED_VALUE"""),"*Very Low Risk*
1
X
Foster MoreauTE NO
Seasons:4
Height:6'4""
Weight:252
Bye:11
View Player Profile »
Injury History [TABLE]")</f>
        <v>*Very Low Risk*
1
X
Foster MoreauTE NO
Seasons:4
Height:6'4"
Weight:252
Bye:11
View Player Profile »
Injury History [TABLE]</v>
      </c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 t="str">
        <f>IFERROR(__xludf.DUMMYFUNCTION("""COMPUTED_VALUE"""),"Brenton Strange, TE JAC")</f>
        <v>Brenton Strange, TE JAC</v>
      </c>
      <c r="C97" s="5">
        <f>IFERROR(__xludf.DUMMYFUNCTION("""COMPUTED_VALUE"""),0.0)</f>
        <v>0</v>
      </c>
      <c r="D97" s="5" t="str">
        <f>IFERROR(__xludf.DUMMYFUNCTION("""COMPUTED_VALUE"""),"+ Show History »")</f>
        <v>+ Show History »</v>
      </c>
      <c r="E97" s="5" t="str">
        <f>IFERROR(__xludf.DUMMYFUNCTION("""COMPUTED_VALUE"""),"Very Low Risk")</f>
        <v>Very Low Risk</v>
      </c>
      <c r="F97" s="38">
        <f>IFERROR(__xludf.DUMMYFUNCTION("""COMPUTED_VALUE"""),0.16)</f>
        <v>0.16</v>
      </c>
      <c r="G97" s="5">
        <f>IFERROR(__xludf.DUMMYFUNCTION("""COMPUTED_VALUE"""),1.2)</f>
        <v>1.2</v>
      </c>
      <c r="H97" s="38">
        <f>IFERROR(__xludf.DUMMYFUNCTION("""COMPUTED_VALUE"""),0.01)</f>
        <v>0.01</v>
      </c>
      <c r="I97" s="5">
        <f>IFERROR(__xludf.DUMMYFUNCTION("""COMPUTED_VALUE"""),5.0)</f>
        <v>5</v>
      </c>
      <c r="J97" s="5">
        <f>IFERROR(__xludf.DUMMYFUNCTION("""COMPUTED_VALUE"""),38.6)</f>
        <v>38.6</v>
      </c>
    </row>
    <row r="98">
      <c r="A98" s="5" t="str">
        <f>IFERROR(__xludf.DUMMYFUNCTION("""COMPUTED_VALUE"""),"*Very Low Risk*
X
Brenton StrangeTE JAC
Seasons:0
Height:6'3""
Weight:253
Bye:9
View Player Profile »
Injury History [TABLE]")</f>
        <v>*Very Low Risk*
X
Brenton StrangeTE JAC
Seasons:0
Height:6'3"
Weight:253
Bye:9
View Player Profile »
Injury History [TABLE]</v>
      </c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 t="str">
        <f>IFERROR(__xludf.DUMMYFUNCTION("""COMPUTED_VALUE"""),"Jimmy Graham, TE NO")</f>
        <v>Jimmy Graham, TE NO</v>
      </c>
      <c r="C99" s="5" t="str">
        <f>IFERROR(__xludf.DUMMYFUNCTION("""COMPUTED_VALUE"""),"7 | | | | | | |")</f>
        <v>7 | | | | | | |</v>
      </c>
      <c r="D99" s="5" t="str">
        <f>IFERROR(__xludf.DUMMYFUNCTION("""COMPUTED_VALUE"""),"+ Show History »")</f>
        <v>+ Show History »</v>
      </c>
      <c r="E99" s="5" t="str">
        <f>IFERROR(__xludf.DUMMYFUNCTION("""COMPUTED_VALUE"""),"Low Risk")</f>
        <v>Low Risk</v>
      </c>
      <c r="F99" s="38">
        <f>IFERROR(__xludf.DUMMYFUNCTION("""COMPUTED_VALUE"""),0.25)</f>
        <v>0.25</v>
      </c>
      <c r="G99" s="5">
        <f>IFERROR(__xludf.DUMMYFUNCTION("""COMPUTED_VALUE"""),0.4)</f>
        <v>0.4</v>
      </c>
      <c r="H99" s="60">
        <f>IFERROR(__xludf.DUMMYFUNCTION("""COMPUTED_VALUE"""),0.017)</f>
        <v>0.017</v>
      </c>
      <c r="I99" s="5">
        <f>IFERROR(__xludf.DUMMYFUNCTION("""COMPUTED_VALUE"""),5.0)</f>
        <v>5</v>
      </c>
      <c r="J99" s="5">
        <f>IFERROR(__xludf.DUMMYFUNCTION("""COMPUTED_VALUE"""),31.5)</f>
        <v>31.5</v>
      </c>
    </row>
    <row r="100">
      <c r="A100" s="5" t="str">
        <f>IFERROR(__xludf.DUMMYFUNCTION("""COMPUTED_VALUE"""),"*Low Risk*
3
1
1
2
X
Jimmy GrahamTE NO
Seasons:13
Height:6'6""
Weight:259
Bye:11
View Player Profile »
Injury History [TABLE]")</f>
        <v>*Low Risk*
3
1
1
2
X
Jimmy GrahamTE NO
Seasons:13
Height:6'6"
Weight:259
Bye:11
View Player Profile »
Injury History [TABLE]</v>
      </c>
      <c r="B100" s="5"/>
      <c r="C100" s="5"/>
      <c r="D100" s="5"/>
      <c r="E100" s="5"/>
      <c r="F100" s="5"/>
      <c r="G100" s="5"/>
      <c r="H100" s="5"/>
      <c r="I100" s="5"/>
      <c r="J100" s="5"/>
    </row>
    <row r="101">
      <c r="A101" s="5"/>
      <c r="B101" s="5" t="str">
        <f>IFERROR(__xludf.DUMMYFUNCTION("""COMPUTED_VALUE"""),"Jordan Akins, TE CLE")</f>
        <v>Jordan Akins, TE CLE</v>
      </c>
      <c r="C101" s="5" t="str">
        <f>IFERROR(__xludf.DUMMYFUNCTION("""COMPUTED_VALUE"""),"3 | | |")</f>
        <v>3 | | |</v>
      </c>
      <c r="D101" s="5" t="str">
        <f>IFERROR(__xludf.DUMMYFUNCTION("""COMPUTED_VALUE"""),"+ Show History »")</f>
        <v>+ Show History »</v>
      </c>
      <c r="E101" s="5" t="str">
        <f>IFERROR(__xludf.DUMMYFUNCTION("""COMPUTED_VALUE"""),"Low Risk")</f>
        <v>Low Risk</v>
      </c>
      <c r="F101" s="38">
        <f>IFERROR(__xludf.DUMMYFUNCTION("""COMPUTED_VALUE"""),0.24)</f>
        <v>0.24</v>
      </c>
      <c r="G101" s="5">
        <f>IFERROR(__xludf.DUMMYFUNCTION("""COMPUTED_VALUE"""),0.65)</f>
        <v>0.65</v>
      </c>
      <c r="H101" s="60">
        <f>IFERROR(__xludf.DUMMYFUNCTION("""COMPUTED_VALUE"""),0.016)</f>
        <v>0.016</v>
      </c>
      <c r="I101" s="5">
        <f>IFERROR(__xludf.DUMMYFUNCTION("""COMPUTED_VALUE"""),5.0)</f>
        <v>5</v>
      </c>
      <c r="J101" s="5">
        <f>IFERROR(__xludf.DUMMYFUNCTION("""COMPUTED_VALUE"""),29.2)</f>
        <v>29.2</v>
      </c>
    </row>
    <row r="102">
      <c r="A102" s="5" t="str">
        <f>IFERROR(__xludf.DUMMYFUNCTION("""COMPUTED_VALUE"""),"*Low Risk*
1
1
1
X
Jordan AkinsTE CLE
Seasons:5
Height:6'3""
Weight:249
Bye:5
View Player Profile »
Injury History [TABLE]")</f>
        <v>*Low Risk*
1
1
1
X
Jordan AkinsTE CLE
Seasons:5
Height:6'3"
Weight:249
Bye:5
View Player Profile »
Injury History [TABLE]</v>
      </c>
      <c r="B102" s="5"/>
      <c r="C102" s="5"/>
      <c r="D102" s="5"/>
      <c r="E102" s="5"/>
      <c r="F102" s="5"/>
      <c r="G102" s="5"/>
      <c r="H102" s="5"/>
      <c r="I102" s="5"/>
      <c r="J102" s="5"/>
    </row>
    <row r="103">
      <c r="A103" s="5"/>
      <c r="B103" s="5" t="str">
        <f>IFERROR(__xludf.DUMMYFUNCTION("""COMPUTED_VALUE"""),"Robert Tonyan, TE CHI")</f>
        <v>Robert Tonyan, TE CHI</v>
      </c>
      <c r="C103" s="5" t="str">
        <f>IFERROR(__xludf.DUMMYFUNCTION("""COMPUTED_VALUE"""),"3 | | |")</f>
        <v>3 | | |</v>
      </c>
      <c r="D103" s="5" t="str">
        <f>IFERROR(__xludf.DUMMYFUNCTION("""COMPUTED_VALUE"""),"+ Show History »")</f>
        <v>+ Show History »</v>
      </c>
      <c r="E103" s="5" t="str">
        <f>IFERROR(__xludf.DUMMYFUNCTION("""COMPUTED_VALUE"""),"Low Risk")</f>
        <v>Low Risk</v>
      </c>
      <c r="F103" s="38">
        <f>IFERROR(__xludf.DUMMYFUNCTION("""COMPUTED_VALUE"""),0.26)</f>
        <v>0.26</v>
      </c>
      <c r="G103" s="5">
        <f>IFERROR(__xludf.DUMMYFUNCTION("""COMPUTED_VALUE"""),0.78)</f>
        <v>0.78</v>
      </c>
      <c r="H103" s="60">
        <f>IFERROR(__xludf.DUMMYFUNCTION("""COMPUTED_VALUE"""),0.018)</f>
        <v>0.018</v>
      </c>
      <c r="I103" s="5">
        <f>IFERROR(__xludf.DUMMYFUNCTION("""COMPUTED_VALUE"""),3.94)</f>
        <v>3.94</v>
      </c>
      <c r="J103" s="5">
        <f>IFERROR(__xludf.DUMMYFUNCTION("""COMPUTED_VALUE"""),27.9)</f>
        <v>27.9</v>
      </c>
    </row>
    <row r="104">
      <c r="A104" s="5" t="str">
        <f>IFERROR(__xludf.DUMMYFUNCTION("""COMPUTED_VALUE"""),"*Low Risk*
1
1
1
X
Robert TonyanTE CHI
Seasons:5
Height:6'5""
Weight:237
Bye:13
View Player Profile »
Injury History [TABLE]")</f>
        <v>*Low Risk*
1
1
1
X
Robert TonyanTE CHI
Seasons:5
Height:6'5"
Weight:237
Bye:13
View Player Profile »
Injury History [TABLE]</v>
      </c>
      <c r="B104" s="5"/>
      <c r="C104" s="5"/>
      <c r="D104" s="5"/>
      <c r="E104" s="5"/>
      <c r="F104" s="5"/>
      <c r="G104" s="5"/>
      <c r="H104" s="5"/>
      <c r="I104" s="5"/>
      <c r="J104" s="5"/>
    </row>
    <row r="105">
      <c r="A105" s="5"/>
      <c r="B105" s="5" t="str">
        <f>IFERROR(__xludf.DUMMYFUNCTION("""COMPUTED_VALUE"""),"Brycen Hopkins, TE LAR")</f>
        <v>Brycen Hopkins, TE LAR</v>
      </c>
      <c r="C105" s="5" t="str">
        <f>IFERROR(__xludf.DUMMYFUNCTION("""COMPUTED_VALUE"""),"1 |")</f>
        <v>1 |</v>
      </c>
      <c r="D105" s="5" t="str">
        <f>IFERROR(__xludf.DUMMYFUNCTION("""COMPUTED_VALUE"""),"+ Show History »")</f>
        <v>+ Show History »</v>
      </c>
      <c r="E105" s="5" t="str">
        <f>IFERROR(__xludf.DUMMYFUNCTION("""COMPUTED_VALUE"""),"Very Low Risk")</f>
        <v>Very Low Risk</v>
      </c>
      <c r="F105" s="38">
        <f>IFERROR(__xludf.DUMMYFUNCTION("""COMPUTED_VALUE"""),0.08)</f>
        <v>0.08</v>
      </c>
      <c r="G105" s="5">
        <f>IFERROR(__xludf.DUMMYFUNCTION("""COMPUTED_VALUE"""),0.56)</f>
        <v>0.56</v>
      </c>
      <c r="H105" s="60">
        <f>IFERROR(__xludf.DUMMYFUNCTION("""COMPUTED_VALUE"""),0.005)</f>
        <v>0.005</v>
      </c>
      <c r="I105" s="5">
        <f>IFERROR(__xludf.DUMMYFUNCTION("""COMPUTED_VALUE"""),5.0)</f>
        <v>5</v>
      </c>
      <c r="J105" s="5">
        <f>IFERROR(__xludf.DUMMYFUNCTION("""COMPUTED_VALUE"""),23.3)</f>
        <v>23.3</v>
      </c>
    </row>
    <row r="106">
      <c r="A106" s="5" t="str">
        <f>IFERROR(__xludf.DUMMYFUNCTION("""COMPUTED_VALUE"""),"*Very Low Risk*
1
X
Brycen HopkinsTE LAR
Seasons:4
Height:6'4""
Weight:245
Bye:10
View Player Profile »
Injury History [TABLE]")</f>
        <v>*Very Low Risk*
1
X
Brycen HopkinsTE LAR
Seasons:4
Height:6'4"
Weight:245
Bye:10
View Player Profile »
Injury History [TABLE]</v>
      </c>
      <c r="B106" s="5"/>
      <c r="C106" s="5"/>
      <c r="D106" s="5"/>
      <c r="E106" s="5"/>
      <c r="F106" s="5"/>
      <c r="G106" s="5"/>
      <c r="H106" s="5"/>
      <c r="I106" s="5"/>
      <c r="J106" s="5"/>
    </row>
    <row r="107">
      <c r="A107" s="5"/>
      <c r="B107" s="5" t="str">
        <f>IFERROR(__xludf.DUMMYFUNCTION("""COMPUTED_VALUE"""),"C.J. Uzomah, TE NYJ")</f>
        <v>C.J. Uzomah, TE NYJ</v>
      </c>
      <c r="C107" s="5" t="str">
        <f>IFERROR(__xludf.DUMMYFUNCTION("""COMPUTED_VALUE"""),"7 | | | | | | |")</f>
        <v>7 | | | | | | |</v>
      </c>
      <c r="D107" s="5" t="str">
        <f>IFERROR(__xludf.DUMMYFUNCTION("""COMPUTED_VALUE"""),"+ Show History »")</f>
        <v>+ Show History »</v>
      </c>
      <c r="E107" s="5" t="str">
        <f>IFERROR(__xludf.DUMMYFUNCTION("""COMPUTED_VALUE"""),"Very High Risk")</f>
        <v>Very High Risk</v>
      </c>
      <c r="F107" s="38">
        <f>IFERROR(__xludf.DUMMYFUNCTION("""COMPUTED_VALUE"""),0.79)</f>
        <v>0.79</v>
      </c>
      <c r="G107" s="5">
        <f>IFERROR(__xludf.DUMMYFUNCTION("""COMPUTED_VALUE"""),2.68)</f>
        <v>2.68</v>
      </c>
      <c r="H107" s="60">
        <f>IFERROR(__xludf.DUMMYFUNCTION("""COMPUTED_VALUE"""),0.088)</f>
        <v>0.088</v>
      </c>
      <c r="I107" s="5">
        <f>IFERROR(__xludf.DUMMYFUNCTION("""COMPUTED_VALUE"""),4.0)</f>
        <v>4</v>
      </c>
      <c r="J107" s="5">
        <f>IFERROR(__xludf.DUMMYFUNCTION("""COMPUTED_VALUE"""),0.0)</f>
        <v>0</v>
      </c>
    </row>
    <row r="108">
      <c r="A108" s="5" t="str">
        <f>IFERROR(__xludf.DUMMYFUNCTION("""COMPUTED_VALUE"""),"*Very High Risk*
1
2
1
2
1
X
C.J. UzomahTE NYJ
Seasons:8
Height:6'5""
Weight:254
Bye:7
View Player Profile »
Injury History [TABLE]")</f>
        <v>*Very High Risk*
1
2
1
2
1
X
C.J. UzomahTE NYJ
Seasons:8
Height:6'5"
Weight:254
Bye:7
View Player Profile »
Injury History [TABLE]</v>
      </c>
      <c r="B108" s="5"/>
      <c r="C108" s="5"/>
      <c r="D108" s="5"/>
      <c r="E108" s="5"/>
      <c r="F108" s="5"/>
      <c r="G108" s="5"/>
      <c r="H108" s="5"/>
      <c r="I108" s="5"/>
      <c r="J108" s="5"/>
    </row>
    <row r="109">
      <c r="A109" s="5"/>
      <c r="B109" s="5" t="str">
        <f>IFERROR(__xludf.DUMMYFUNCTION("""COMPUTED_VALUE"""),"Hayden Hurst, TE CAR")</f>
        <v>Hayden Hurst, TE CAR</v>
      </c>
      <c r="C109" s="5" t="str">
        <f>IFERROR(__xludf.DUMMYFUNCTION("""COMPUTED_VALUE"""),"7 | | | | | | |")</f>
        <v>7 | | | | | | |</v>
      </c>
      <c r="D109" s="5" t="str">
        <f>IFERROR(__xludf.DUMMYFUNCTION("""COMPUTED_VALUE"""),"+ Show History »")</f>
        <v>+ Show History »</v>
      </c>
      <c r="E109" s="5" t="str">
        <f>IFERROR(__xludf.DUMMYFUNCTION("""COMPUTED_VALUE"""),"High Risk")</f>
        <v>High Risk</v>
      </c>
      <c r="F109" s="38">
        <f>IFERROR(__xludf.DUMMYFUNCTION("""COMPUTED_VALUE"""),0.48)</f>
        <v>0.48</v>
      </c>
      <c r="G109" s="5">
        <f>IFERROR(__xludf.DUMMYFUNCTION("""COMPUTED_VALUE"""),2.4)</f>
        <v>2.4</v>
      </c>
      <c r="H109" s="60">
        <f>IFERROR(__xludf.DUMMYFUNCTION("""COMPUTED_VALUE"""),0.038)</f>
        <v>0.038</v>
      </c>
      <c r="I109" s="5">
        <f>IFERROR(__xludf.DUMMYFUNCTION("""COMPUTED_VALUE"""),5.0)</f>
        <v>5</v>
      </c>
      <c r="J109" s="5">
        <f>IFERROR(__xludf.DUMMYFUNCTION("""COMPUTED_VALUE"""),0.0)</f>
        <v>0</v>
      </c>
    </row>
    <row r="110">
      <c r="A110" s="5" t="str">
        <f>IFERROR(__xludf.DUMMYFUNCTION("""COMPUTED_VALUE"""),"*High Risk*
1
1
3
1
1
X
Hayden HurstTE CAR
Seasons:5
Height:6'4""
Weight:250
Bye:7
View Player Profile »
Injury History [TABLE]")</f>
        <v>*High Risk*
1
1
3
1
1
X
Hayden HurstTE CAR
Seasons:5
Height:6'4"
Weight:250
Bye:7
View Player Profile »
Injury History [TABLE]</v>
      </c>
      <c r="B110" s="5"/>
      <c r="C110" s="5"/>
      <c r="D110" s="5"/>
      <c r="E110" s="5"/>
      <c r="F110" s="5"/>
      <c r="G110" s="5"/>
      <c r="H110" s="5"/>
      <c r="I110" s="5"/>
      <c r="J110" s="5"/>
    </row>
    <row r="111">
      <c r="A111" s="5"/>
      <c r="B111" s="5" t="str">
        <f>IFERROR(__xludf.DUMMYFUNCTION("""COMPUTED_VALUE"""),"Mark Andrews, TE BAL")</f>
        <v>Mark Andrews, TE BAL</v>
      </c>
      <c r="C111" s="5" t="str">
        <f>IFERROR(__xludf.DUMMYFUNCTION("""COMPUTED_VALUE"""),"7 | | | | | | |")</f>
        <v>7 | | | | | | |</v>
      </c>
      <c r="D111" s="5" t="str">
        <f>IFERROR(__xludf.DUMMYFUNCTION("""COMPUTED_VALUE"""),"+ Show History »")</f>
        <v>+ Show History »</v>
      </c>
      <c r="E111" s="5" t="str">
        <f>IFERROR(__xludf.DUMMYFUNCTION("""COMPUTED_VALUE"""),"High Risk")</f>
        <v>High Risk</v>
      </c>
      <c r="F111" s="38">
        <f>IFERROR(__xludf.DUMMYFUNCTION("""COMPUTED_VALUE"""),0.45)</f>
        <v>0.45</v>
      </c>
      <c r="G111" s="5">
        <f>IFERROR(__xludf.DUMMYFUNCTION("""COMPUTED_VALUE"""),1.4)</f>
        <v>1.4</v>
      </c>
      <c r="H111" s="60">
        <f>IFERROR(__xludf.DUMMYFUNCTION("""COMPUTED_VALUE"""),0.035)</f>
        <v>0.035</v>
      </c>
      <c r="I111" s="5">
        <f>IFERROR(__xludf.DUMMYFUNCTION("""COMPUTED_VALUE"""),5.0)</f>
        <v>5</v>
      </c>
      <c r="J111" s="5">
        <f>IFERROR(__xludf.DUMMYFUNCTION("""COMPUTED_VALUE"""),0.0)</f>
        <v>0</v>
      </c>
    </row>
    <row r="112">
      <c r="A112" s="5" t="str">
        <f>IFERROR(__xludf.DUMMYFUNCTION("""COMPUTED_VALUE"""),"*High Risk*
1
2
2
1
1
X
Mark AndrewsTE BAL
Seasons:5
Height:6'5""
Weight:256
Bye:13
View Player Profile »
Injury History [TABLE]")</f>
        <v>*High Risk*
1
2
2
1
1
X
Mark AndrewsTE BAL
Seasons:5
Height:6'5"
Weight:256
Bye:13
View Player Profile »
Injury History [TABLE]</v>
      </c>
      <c r="B112" s="5"/>
      <c r="C112" s="5"/>
      <c r="D112" s="5"/>
      <c r="E112" s="5"/>
      <c r="F112" s="5"/>
      <c r="G112" s="5"/>
      <c r="H112" s="5"/>
      <c r="I112" s="5"/>
      <c r="J112" s="5"/>
    </row>
    <row r="113">
      <c r="A113" s="5"/>
      <c r="B113" s="5" t="str">
        <f>IFERROR(__xludf.DUMMYFUNCTION("""COMPUTED_VALUE"""),"T.J. Hockenson, TE MIN")</f>
        <v>T.J. Hockenson, TE MIN</v>
      </c>
      <c r="C113" s="5" t="str">
        <f>IFERROR(__xludf.DUMMYFUNCTION("""COMPUTED_VALUE"""),"6 | | | | | |")</f>
        <v>6 | | | | | |</v>
      </c>
      <c r="D113" s="5" t="str">
        <f>IFERROR(__xludf.DUMMYFUNCTION("""COMPUTED_VALUE"""),"+ Show History »")</f>
        <v>+ Show History »</v>
      </c>
      <c r="E113" s="5" t="str">
        <f>IFERROR(__xludf.DUMMYFUNCTION("""COMPUTED_VALUE"""),"High Risk")</f>
        <v>High Risk</v>
      </c>
      <c r="F113" s="38">
        <f>IFERROR(__xludf.DUMMYFUNCTION("""COMPUTED_VALUE"""),0.51)</f>
        <v>0.51</v>
      </c>
      <c r="G113" s="5">
        <f>IFERROR(__xludf.DUMMYFUNCTION("""COMPUTED_VALUE"""),1.94)</f>
        <v>1.94</v>
      </c>
      <c r="H113" s="60">
        <f>IFERROR(__xludf.DUMMYFUNCTION("""COMPUTED_VALUE"""),0.041)</f>
        <v>0.041</v>
      </c>
      <c r="I113" s="5">
        <f>IFERROR(__xludf.DUMMYFUNCTION("""COMPUTED_VALUE"""),5.0)</f>
        <v>5</v>
      </c>
      <c r="J113" s="5">
        <f>IFERROR(__xludf.DUMMYFUNCTION("""COMPUTED_VALUE"""),0.0)</f>
        <v>0</v>
      </c>
    </row>
    <row r="114">
      <c r="A114" s="5" t="str">
        <f>IFERROR(__xludf.DUMMYFUNCTION("""COMPUTED_VALUE"""),"*High Risk*
1
1
1
2
1
X
T.J. HockensonTE MIN
Seasons:4
Height:6'5""
Weight:251
Bye:13
View Player Profile »
Injury History [TABLE]")</f>
        <v>*High Risk*
1
1
1
2
1
X
T.J. HockensonTE MIN
Seasons:4
Height:6'5"
Weight:251
Bye:13
View Player Profile »
Injury History [TABLE]</v>
      </c>
      <c r="B114" s="5"/>
      <c r="C114" s="5"/>
      <c r="D114" s="5"/>
      <c r="E114" s="5"/>
      <c r="F114" s="5"/>
      <c r="G114" s="5"/>
      <c r="H114" s="5"/>
      <c r="I114" s="5"/>
      <c r="J114" s="5"/>
    </row>
    <row r="115">
      <c r="A115" s="5"/>
      <c r="B115" s="5" t="str">
        <f>IFERROR(__xludf.DUMMYFUNCTION("""COMPUTED_VALUE"""),"Albert Okwuegbunam, TE PHI")</f>
        <v>Albert Okwuegbunam, TE PHI</v>
      </c>
      <c r="C115" s="5" t="str">
        <f>IFERROR(__xludf.DUMMYFUNCTION("""COMPUTED_VALUE"""),"6 | | | | | |")</f>
        <v>6 | | | | | |</v>
      </c>
      <c r="D115" s="5" t="str">
        <f>IFERROR(__xludf.DUMMYFUNCTION("""COMPUTED_VALUE"""),"+ Show History »")</f>
        <v>+ Show History »</v>
      </c>
      <c r="E115" s="5" t="str">
        <f>IFERROR(__xludf.DUMMYFUNCTION("""COMPUTED_VALUE"""),"Medium Risk")</f>
        <v>Medium Risk</v>
      </c>
      <c r="F115" s="38">
        <f>IFERROR(__xludf.DUMMYFUNCTION("""COMPUTED_VALUE"""),0.34)</f>
        <v>0.34</v>
      </c>
      <c r="G115" s="5">
        <f>IFERROR(__xludf.DUMMYFUNCTION("""COMPUTED_VALUE"""),1.38)</f>
        <v>1.38</v>
      </c>
      <c r="H115" s="60">
        <f>IFERROR(__xludf.DUMMYFUNCTION("""COMPUTED_VALUE"""),0.024)</f>
        <v>0.024</v>
      </c>
      <c r="I115" s="5">
        <f>IFERROR(__xludf.DUMMYFUNCTION("""COMPUTED_VALUE"""),1.58)</f>
        <v>1.58</v>
      </c>
      <c r="J115" s="5">
        <f>IFERROR(__xludf.DUMMYFUNCTION("""COMPUTED_VALUE"""),0.0)</f>
        <v>0</v>
      </c>
    </row>
    <row r="116">
      <c r="A116" s="5" t="str">
        <f>IFERROR(__xludf.DUMMYFUNCTION("""COMPUTED_VALUE"""),"*Medium Risk*
3
1
2
X
Albert OkwuegbunamTE PHI
Seasons:3
Height:6'5""
Weight:258
Bye:10
View Player Profile »
Injury History [TABLE]")</f>
        <v>*Medium Risk*
3
1
2
X
Albert OkwuegbunamTE PHI
Seasons:3
Height:6'5"
Weight:258
Bye:10
View Player Profile »
Injury History [TABLE]</v>
      </c>
      <c r="B116" s="5"/>
      <c r="C116" s="5"/>
      <c r="D116" s="5"/>
      <c r="E116" s="5"/>
      <c r="F116" s="5"/>
      <c r="G116" s="5"/>
      <c r="H116" s="5"/>
      <c r="I116" s="5"/>
      <c r="J116" s="5"/>
    </row>
    <row r="117">
      <c r="A117" s="5"/>
      <c r="B117" s="5" t="str">
        <f>IFERROR(__xludf.DUMMYFUNCTION("""COMPUTED_VALUE"""),"Hunter Long, TE LAR")</f>
        <v>Hunter Long, TE LAR</v>
      </c>
      <c r="C117" s="5" t="str">
        <f>IFERROR(__xludf.DUMMYFUNCTION("""COMPUTED_VALUE"""),"1 |")</f>
        <v>1 |</v>
      </c>
      <c r="D117" s="5" t="str">
        <f>IFERROR(__xludf.DUMMYFUNCTION("""COMPUTED_VALUE"""),"+ Show History »")</f>
        <v>+ Show History »</v>
      </c>
      <c r="E117" s="5" t="str">
        <f>IFERROR(__xludf.DUMMYFUNCTION("""COMPUTED_VALUE"""),"Very Low Risk")</f>
        <v>Very Low Risk</v>
      </c>
      <c r="F117" s="38">
        <f>IFERROR(__xludf.DUMMYFUNCTION("""COMPUTED_VALUE"""),0.08)</f>
        <v>0.08</v>
      </c>
      <c r="G117" s="5">
        <f>IFERROR(__xludf.DUMMYFUNCTION("""COMPUTED_VALUE"""),0.88)</f>
        <v>0.88</v>
      </c>
      <c r="H117" s="60">
        <f>IFERROR(__xludf.DUMMYFUNCTION("""COMPUTED_VALUE"""),0.005)</f>
        <v>0.005</v>
      </c>
      <c r="I117" s="5">
        <f>IFERROR(__xludf.DUMMYFUNCTION("""COMPUTED_VALUE"""),5.0)</f>
        <v>5</v>
      </c>
      <c r="J117" s="5">
        <f>IFERROR(__xludf.DUMMYFUNCTION("""COMPUTED_VALUE"""),0.0)</f>
        <v>0</v>
      </c>
    </row>
    <row r="118">
      <c r="A118" s="5" t="str">
        <f>IFERROR(__xludf.DUMMYFUNCTION("""COMPUTED_VALUE"""),"*Very Low Risk*
1
X
Hunter LongTE LAR
Seasons:2
Height:6'5""
Weight:254
Bye:10
View Player Profile »
Injury History [TABLE]")</f>
        <v>*Very Low Risk*
1
X
Hunter LongTE LAR
Seasons:2
Height:6'5"
Weight:254
Bye:10
View Player Profile »
Injury History [TABLE]</v>
      </c>
      <c r="B118" s="5"/>
      <c r="C118" s="5"/>
      <c r="D118" s="5"/>
      <c r="E118" s="5"/>
      <c r="F118" s="5"/>
      <c r="G118" s="5"/>
      <c r="H118" s="5"/>
      <c r="I118" s="5"/>
      <c r="J118" s="5"/>
    </row>
    <row r="119">
      <c r="A119" s="5"/>
      <c r="B119" s="5" t="str">
        <f>IFERROR(__xludf.DUMMYFUNCTION("""COMPUTED_VALUE"""),"Jelani Woods, TE IND")</f>
        <v>Jelani Woods, TE IND</v>
      </c>
      <c r="C119" s="5" t="str">
        <f>IFERROR(__xludf.DUMMYFUNCTION("""COMPUTED_VALUE"""),"4 | | | |")</f>
        <v>4 | | | |</v>
      </c>
      <c r="D119" s="5" t="str">
        <f>IFERROR(__xludf.DUMMYFUNCTION("""COMPUTED_VALUE"""),"+ Show History »")</f>
        <v>+ Show History »</v>
      </c>
      <c r="E119" s="5" t="str">
        <f>IFERROR(__xludf.DUMMYFUNCTION("""COMPUTED_VALUE"""),"Very High Risk")</f>
        <v>Very High Risk</v>
      </c>
      <c r="F119" s="38">
        <f>IFERROR(__xludf.DUMMYFUNCTION("""COMPUTED_VALUE"""),0.62)</f>
        <v>0.62</v>
      </c>
      <c r="G119" s="5">
        <f>IFERROR(__xludf.DUMMYFUNCTION("""COMPUTED_VALUE"""),2.4)</f>
        <v>2.4</v>
      </c>
      <c r="H119" s="60">
        <f>IFERROR(__xludf.DUMMYFUNCTION("""COMPUTED_VALUE"""),0.055)</f>
        <v>0.055</v>
      </c>
      <c r="I119" s="5">
        <f>IFERROR(__xludf.DUMMYFUNCTION("""COMPUTED_VALUE"""),5.0)</f>
        <v>5</v>
      </c>
      <c r="J119" s="5">
        <f>IFERROR(__xludf.DUMMYFUNCTION("""COMPUTED_VALUE"""),0.0)</f>
        <v>0</v>
      </c>
    </row>
    <row r="120">
      <c r="A120" s="5" t="str">
        <f>IFERROR(__xludf.DUMMYFUNCTION("""COMPUTED_VALUE"""),"*Very High Risk*
1
1
2
X
Jelani WoodsTE IND
Seasons:2
Height:6'7""
Weight:253
Bye:11
View Player Profile »
Injury History [TABLE]")</f>
        <v>*Very High Risk*
1
1
2
X
Jelani WoodsTE IND
Seasons:2
Height:6'7"
Weight:253
Bye:11
View Player Profile »
Injury History [TABLE]</v>
      </c>
      <c r="B120" s="5"/>
      <c r="C120" s="5"/>
      <c r="D120" s="5"/>
      <c r="E120" s="5"/>
      <c r="F120" s="5"/>
      <c r="G120" s="5"/>
      <c r="H120" s="5"/>
      <c r="I120" s="5"/>
      <c r="J120" s="5"/>
    </row>
    <row r="121">
      <c r="A121" s="5"/>
      <c r="B121" s="5" t="str">
        <f>IFERROR(__xludf.DUMMYFUNCTION("""COMPUTED_VALUE"""),"Luke Musgrave, TE GB")</f>
        <v>Luke Musgrave, TE GB</v>
      </c>
      <c r="C121" s="5" t="str">
        <f>IFERROR(__xludf.DUMMYFUNCTION("""COMPUTED_VALUE"""),"3 | | |")</f>
        <v>3 | | |</v>
      </c>
      <c r="D121" s="5" t="str">
        <f>IFERROR(__xludf.DUMMYFUNCTION("""COMPUTED_VALUE"""),"+ Show History »")</f>
        <v>+ Show History »</v>
      </c>
      <c r="E121" s="5" t="str">
        <f>IFERROR(__xludf.DUMMYFUNCTION("""COMPUTED_VALUE"""),"Low Risk")</f>
        <v>Low Risk</v>
      </c>
      <c r="F121" s="38">
        <f>IFERROR(__xludf.DUMMYFUNCTION("""COMPUTED_VALUE"""),0.3)</f>
        <v>0.3</v>
      </c>
      <c r="G121" s="5">
        <f>IFERROR(__xludf.DUMMYFUNCTION("""COMPUTED_VALUE"""),0.9)</f>
        <v>0.9</v>
      </c>
      <c r="H121" s="60">
        <f>IFERROR(__xludf.DUMMYFUNCTION("""COMPUTED_VALUE"""),0.021)</f>
        <v>0.021</v>
      </c>
      <c r="I121" s="5">
        <f>IFERROR(__xludf.DUMMYFUNCTION("""COMPUTED_VALUE"""),0.85)</f>
        <v>0.85</v>
      </c>
      <c r="J121" s="5">
        <f>IFERROR(__xludf.DUMMYFUNCTION("""COMPUTED_VALUE"""),0.0)</f>
        <v>0</v>
      </c>
    </row>
    <row r="122">
      <c r="A122" s="5" t="str">
        <f>IFERROR(__xludf.DUMMYFUNCTION("""COMPUTED_VALUE"""),"*Low Risk*
1
1
1
X
Luke MusgraveTE GB
Seasons:0
Height:6'5""
Weight:253
Bye:6
View Player Profile »
Injury History [TABLE]")</f>
        <v>*Low Risk*
1
1
1
X
Luke MusgraveTE GB
Seasons:0
Height:6'5"
Weight:253
Bye:6
View Player Profile »
Injury History [TABLE]</v>
      </c>
      <c r="B122" s="5"/>
      <c r="C122" s="5"/>
      <c r="D122" s="5"/>
      <c r="E122" s="5"/>
      <c r="F122" s="5"/>
      <c r="G122" s="5"/>
      <c r="H122" s="5"/>
      <c r="I122" s="5"/>
      <c r="J122" s="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tr">
        <f>IFERROR(__xludf.DUMMYFUNCTION("IMPORTHTML(""https://www.draftsharks.com/injury-predictor/qb"",""table"",1)"),"Player")</f>
        <v>Player</v>
      </c>
      <c r="B1" s="5"/>
      <c r="C1" s="5" t="str">
        <f>IFERROR(__xludf.DUMMYFUNCTION("""COMPUTED_VALUE"""),"Historic Stats")</f>
        <v>Historic Stats</v>
      </c>
      <c r="D1" s="5"/>
      <c r="E1" s="5" t="str">
        <f>IFERROR(__xludf.DUMMYFUNCTION("""COMPUTED_VALUE"""),"Injury Probabilities")</f>
        <v>Injury Probabilities</v>
      </c>
      <c r="F1" s="5"/>
      <c r="G1" s="5"/>
      <c r="H1" s="5"/>
      <c r="I1" s="5"/>
      <c r="J1" s="5" t="str">
        <f>IFERROR(__xludf.DUMMYFUNCTION("""COMPUTED_VALUE"""),"Projected Points")</f>
        <v>Projected Points</v>
      </c>
    </row>
    <row r="2">
      <c r="A2" s="5" t="str">
        <f>IFERROR(__xludf.DUMMYFUNCTION("""COMPUTED_VALUE"""),"Player")</f>
        <v>Player</v>
      </c>
      <c r="B2" s="5"/>
      <c r="C2" s="5" t="str">
        <f>IFERROR(__xludf.DUMMYFUNCTION("""COMPUTED_VALUE"""),"Career Injuries")</f>
        <v>Career Injuries</v>
      </c>
      <c r="D2" s="5"/>
      <c r="E2" s="5" t="str">
        <f>IFERROR(__xludf.DUMMYFUNCTION("""COMPUTED_VALUE"""),"Injury Risk")</f>
        <v>Injury Risk</v>
      </c>
      <c r="F2" s="5" t="str">
        <f>IFERROR(__xludf.DUMMYFUNCTION("""COMPUTED_VALUE"""),"Probability of Injury In the Season")</f>
        <v>Probability of Injury In the Season</v>
      </c>
      <c r="G2" s="5" t="str">
        <f>IFERROR(__xludf.DUMMYFUNCTION("""COMPUTED_VALUE"""),"Projected Games Missed")</f>
        <v>Projected Games Missed</v>
      </c>
      <c r="H2" s="5" t="str">
        <f>IFERROR(__xludf.DUMMYFUNCTION("""COMPUTED_VALUE"""),"Probability of Injury Per Game")</f>
        <v>Probability of Injury Per Game</v>
      </c>
      <c r="I2" s="5" t="str">
        <f>IFERROR(__xludf.DUMMYFUNCTION("""COMPUTED_VALUE"""),"Durability")</f>
        <v>Durability</v>
      </c>
      <c r="J2" s="5" t="str">
        <f>IFERROR(__xludf.DUMMYFUNCTION("""COMPUTED_VALUE"""),"PPR Points")</f>
        <v>PPR Points</v>
      </c>
    </row>
    <row r="3">
      <c r="A3" s="5"/>
      <c r="B3" s="5" t="str">
        <f>IFERROR(__xludf.DUMMYFUNCTION("""COMPUTED_VALUE"""),"Jalen Hurts, QB PHI")</f>
        <v>Jalen Hurts, QB PHI</v>
      </c>
      <c r="C3" s="5" t="str">
        <f>IFERROR(__xludf.DUMMYFUNCTION("""COMPUTED_VALUE"""),"3 | | |")</f>
        <v>3 | | |</v>
      </c>
      <c r="D3" s="5" t="str">
        <f>IFERROR(__xludf.DUMMYFUNCTION("""COMPUTED_VALUE"""),"+ Show History »")</f>
        <v>+ Show History »</v>
      </c>
      <c r="E3" s="5" t="str">
        <f>IFERROR(__xludf.DUMMYFUNCTION("""COMPUTED_VALUE"""),"Very High Risk")</f>
        <v>Very High Risk</v>
      </c>
      <c r="F3" s="38">
        <f>IFERROR(__xludf.DUMMYFUNCTION("""COMPUTED_VALUE"""),0.59)</f>
        <v>0.59</v>
      </c>
      <c r="G3" s="5">
        <f>IFERROR(__xludf.DUMMYFUNCTION("""COMPUTED_VALUE"""),2.1)</f>
        <v>2.1</v>
      </c>
      <c r="H3" s="60">
        <f>IFERROR(__xludf.DUMMYFUNCTION("""COMPUTED_VALUE"""),0.051)</f>
        <v>0.051</v>
      </c>
      <c r="I3" s="5">
        <f>IFERROR(__xludf.DUMMYFUNCTION("""COMPUTED_VALUE"""),5.0)</f>
        <v>5</v>
      </c>
      <c r="J3" s="5">
        <f>IFERROR(__xludf.DUMMYFUNCTION("""COMPUTED_VALUE"""),340.4)</f>
        <v>340.4</v>
      </c>
    </row>
    <row r="4">
      <c r="A4" s="5" t="str">
        <f>IFERROR(__xludf.DUMMYFUNCTION("""COMPUTED_VALUE"""),"*Very High Risk*
1
2
X
Jalen HurtsQB PHI
Seasons:3
Height:6'1""
Weight:222
Bye:10
View Player Profile »
Injury History [TABLE]")</f>
        <v>*Very High Risk*
1
2
X
Jalen HurtsQB PHI
Seasons:3
Height:6'1"
Weight:222
Bye:10
View Player Profile »
Injury History [TABLE]</v>
      </c>
      <c r="B4" s="5"/>
      <c r="C4" s="5"/>
      <c r="D4" s="5"/>
      <c r="E4" s="5"/>
      <c r="F4" s="5"/>
      <c r="G4" s="5"/>
      <c r="H4" s="5"/>
      <c r="I4" s="5"/>
      <c r="J4" s="5"/>
    </row>
    <row r="5">
      <c r="A5" s="5"/>
      <c r="B5" s="5" t="str">
        <f>IFERROR(__xludf.DUMMYFUNCTION("""COMPUTED_VALUE"""),"Dak Prescott, QB DAL")</f>
        <v>Dak Prescott, QB DAL</v>
      </c>
      <c r="C5" s="5" t="str">
        <f>IFERROR(__xludf.DUMMYFUNCTION("""COMPUTED_VALUE"""),"7 | | | | | | |")</f>
        <v>7 | | | | | | |</v>
      </c>
      <c r="D5" s="5" t="str">
        <f>IFERROR(__xludf.DUMMYFUNCTION("""COMPUTED_VALUE"""),"+ Show History »")</f>
        <v>+ Show History »</v>
      </c>
      <c r="E5" s="5" t="str">
        <f>IFERROR(__xludf.DUMMYFUNCTION("""COMPUTED_VALUE"""),"High Risk")</f>
        <v>High Risk</v>
      </c>
      <c r="F5" s="38">
        <f>IFERROR(__xludf.DUMMYFUNCTION("""COMPUTED_VALUE"""),0.51)</f>
        <v>0.51</v>
      </c>
      <c r="G5" s="5">
        <f>IFERROR(__xludf.DUMMYFUNCTION("""COMPUTED_VALUE"""),2.1)</f>
        <v>2.1</v>
      </c>
      <c r="H5" s="60">
        <f>IFERROR(__xludf.DUMMYFUNCTION("""COMPUTED_VALUE"""),0.041)</f>
        <v>0.041</v>
      </c>
      <c r="I5" s="5">
        <f>IFERROR(__xludf.DUMMYFUNCTION("""COMPUTED_VALUE"""),5.0)</f>
        <v>5</v>
      </c>
      <c r="J5" s="5">
        <f>IFERROR(__xludf.DUMMYFUNCTION("""COMPUTED_VALUE"""),338.2)</f>
        <v>338.2</v>
      </c>
    </row>
    <row r="6">
      <c r="A6" s="5" t="str">
        <f>IFERROR(__xludf.DUMMYFUNCTION("""COMPUTED_VALUE"""),"*High Risk*
1
1
2
2
1
X
Dak PrescottQB DAL
Seasons:7
Height:6'2""
Weight:226
Bye:7
View Player Profile »
Injury History [TABLE]")</f>
        <v>*High Risk*
1
1
2
2
1
X
Dak PrescottQB DAL
Seasons:7
Height:6'2"
Weight:226
Bye:7
View Player Profile »
Injury History [TABLE]</v>
      </c>
      <c r="B6" s="5"/>
      <c r="C6" s="5"/>
      <c r="D6" s="5"/>
      <c r="E6" s="5"/>
      <c r="F6" s="5"/>
      <c r="G6" s="5"/>
      <c r="H6" s="5"/>
      <c r="I6" s="5"/>
      <c r="J6" s="5"/>
    </row>
    <row r="7">
      <c r="A7" s="5"/>
      <c r="B7" s="5" t="str">
        <f>IFERROR(__xludf.DUMMYFUNCTION("""COMPUTED_VALUE"""),"Josh Allen, QB BUF")</f>
        <v>Josh Allen, QB BUF</v>
      </c>
      <c r="C7" s="5" t="str">
        <f>IFERROR(__xludf.DUMMYFUNCTION("""COMPUTED_VALUE"""),"7 | | | | | | |")</f>
        <v>7 | | | | | | |</v>
      </c>
      <c r="D7" s="5" t="str">
        <f>IFERROR(__xludf.DUMMYFUNCTION("""COMPUTED_VALUE"""),"+ Show History »")</f>
        <v>+ Show History »</v>
      </c>
      <c r="E7" s="5" t="str">
        <f>IFERROR(__xludf.DUMMYFUNCTION("""COMPUTED_VALUE"""),"Very Low Risk")</f>
        <v>Very Low Risk</v>
      </c>
      <c r="F7" s="38">
        <f>IFERROR(__xludf.DUMMYFUNCTION("""COMPUTED_VALUE"""),0.13)</f>
        <v>0.13</v>
      </c>
      <c r="G7" s="5">
        <f>IFERROR(__xludf.DUMMYFUNCTION("""COMPUTED_VALUE"""),0.53)</f>
        <v>0.53</v>
      </c>
      <c r="H7" s="60">
        <f>IFERROR(__xludf.DUMMYFUNCTION("""COMPUTED_VALUE"""),0.008)</f>
        <v>0.008</v>
      </c>
      <c r="I7" s="5">
        <f>IFERROR(__xludf.DUMMYFUNCTION("""COMPUTED_VALUE"""),3.58)</f>
        <v>3.58</v>
      </c>
      <c r="J7" s="5">
        <f>IFERROR(__xludf.DUMMYFUNCTION("""COMPUTED_VALUE"""),327.4)</f>
        <v>327.4</v>
      </c>
    </row>
    <row r="8">
      <c r="A8" s="5" t="str">
        <f>IFERROR(__xludf.DUMMYFUNCTION("""COMPUTED_VALUE"""),"*Very Low Risk*
2
1
1
3
X
Josh AllenQB BUF
Seasons:5
Height:6'5""
Weight:237
Bye:13
View Player Profile »
Injury History [TABLE]")</f>
        <v>*Very Low Risk*
2
1
1
3
X
Josh AllenQB BUF
Seasons:5
Height:6'5"
Weight:237
Bye:13
View Player Profile »
Injury History [TABLE]</v>
      </c>
      <c r="B8" s="5"/>
      <c r="C8" s="5"/>
      <c r="D8" s="5"/>
      <c r="E8" s="5"/>
      <c r="F8" s="5"/>
      <c r="G8" s="5"/>
      <c r="H8" s="5"/>
      <c r="I8" s="5"/>
      <c r="J8" s="5"/>
    </row>
    <row r="9">
      <c r="A9" s="5"/>
      <c r="B9" s="5" t="str">
        <f>IFERROR(__xludf.DUMMYFUNCTION("""COMPUTED_VALUE"""),"Lamar Jackson, QB BAL")</f>
        <v>Lamar Jackson, QB BAL</v>
      </c>
      <c r="C9" s="5" t="str">
        <f>IFERROR(__xludf.DUMMYFUNCTION("""COMPUTED_VALUE"""),"6 | | | | | |")</f>
        <v>6 | | | | | |</v>
      </c>
      <c r="D9" s="5" t="str">
        <f>IFERROR(__xludf.DUMMYFUNCTION("""COMPUTED_VALUE"""),"+ Show History »")</f>
        <v>+ Show History »</v>
      </c>
      <c r="E9" s="5" t="str">
        <f>IFERROR(__xludf.DUMMYFUNCTION("""COMPUTED_VALUE"""),"High Risk")</f>
        <v>High Risk</v>
      </c>
      <c r="F9" s="38">
        <f>IFERROR(__xludf.DUMMYFUNCTION("""COMPUTED_VALUE"""),0.52)</f>
        <v>0.52</v>
      </c>
      <c r="G9" s="5">
        <f>IFERROR(__xludf.DUMMYFUNCTION("""COMPUTED_VALUE"""),2.2)</f>
        <v>2.2</v>
      </c>
      <c r="H9" s="60">
        <f>IFERROR(__xludf.DUMMYFUNCTION("""COMPUTED_VALUE"""),0.042)</f>
        <v>0.042</v>
      </c>
      <c r="I9" s="5">
        <f>IFERROR(__xludf.DUMMYFUNCTION("""COMPUTED_VALUE"""),5.0)</f>
        <v>5</v>
      </c>
      <c r="J9" s="5">
        <f>IFERROR(__xludf.DUMMYFUNCTION("""COMPUTED_VALUE"""),326.3)</f>
        <v>326.3</v>
      </c>
    </row>
    <row r="10">
      <c r="A10" s="5" t="str">
        <f>IFERROR(__xludf.DUMMYFUNCTION("""COMPUTED_VALUE"""),"*High Risk*
2
2
1
1
X
Lamar JacksonQB BAL
Seasons:6
Height:6'2""
Weight:230
Bye:13
View Player Profile »
Injury History [TABLE]")</f>
        <v>*High Risk*
2
2
1
1
X
Lamar JacksonQB BAL
Seasons:6
Height:6'2"
Weight:230
Bye:13
View Player Profile »
Injury History [TABLE]</v>
      </c>
      <c r="B10" s="5"/>
      <c r="C10" s="5"/>
      <c r="D10" s="5"/>
      <c r="E10" s="5"/>
      <c r="F10" s="5"/>
      <c r="G10" s="5"/>
      <c r="H10" s="5"/>
      <c r="I10" s="5"/>
      <c r="J10" s="5"/>
    </row>
    <row r="11">
      <c r="A11" s="5"/>
      <c r="B11" s="5" t="str">
        <f>IFERROR(__xludf.DUMMYFUNCTION("""COMPUTED_VALUE"""),"Brock Purdy, QB SF")</f>
        <v>Brock Purdy, QB SF</v>
      </c>
      <c r="C11" s="5" t="str">
        <f>IFERROR(__xludf.DUMMYFUNCTION("""COMPUTED_VALUE"""),"2 | |")</f>
        <v>2 | |</v>
      </c>
      <c r="D11" s="5" t="str">
        <f>IFERROR(__xludf.DUMMYFUNCTION("""COMPUTED_VALUE"""),"+ Show History »")</f>
        <v>+ Show History »</v>
      </c>
      <c r="E11" s="5" t="str">
        <f>IFERROR(__xludf.DUMMYFUNCTION("""COMPUTED_VALUE"""),"Very Low Risk")</f>
        <v>Very Low Risk</v>
      </c>
      <c r="F11" s="38">
        <f>IFERROR(__xludf.DUMMYFUNCTION("""COMPUTED_VALUE"""),0.18)</f>
        <v>0.18</v>
      </c>
      <c r="G11" s="5">
        <f>IFERROR(__xludf.DUMMYFUNCTION("""COMPUTED_VALUE"""),0.76)</f>
        <v>0.76</v>
      </c>
      <c r="H11" s="60">
        <f>IFERROR(__xludf.DUMMYFUNCTION("""COMPUTED_VALUE"""),0.012)</f>
        <v>0.012</v>
      </c>
      <c r="I11" s="5">
        <f>IFERROR(__xludf.DUMMYFUNCTION("""COMPUTED_VALUE"""),5.0)</f>
        <v>5</v>
      </c>
      <c r="J11" s="5">
        <f>IFERROR(__xludf.DUMMYFUNCTION("""COMPUTED_VALUE"""),314.8)</f>
        <v>314.8</v>
      </c>
    </row>
    <row r="12">
      <c r="A12" s="5" t="str">
        <f>IFERROR(__xludf.DUMMYFUNCTION("""COMPUTED_VALUE"""),"*Very Low Risk*
1
1
X
Brock PurdyQB SF
Seasons:2
Height:6'1""
Weight:220
Bye:9
View Player Profile »
Injury History [TABLE]")</f>
        <v>*Very Low Risk*
1
1
X
Brock PurdyQB SF
Seasons:2
Height:6'1"
Weight:220
Bye:9
View Player Profile »
Injury History [TABLE]</v>
      </c>
      <c r="B12" s="5"/>
      <c r="C12" s="5"/>
      <c r="D12" s="5"/>
      <c r="E12" s="5"/>
      <c r="F12" s="5"/>
      <c r="G12" s="5"/>
      <c r="H12" s="5"/>
      <c r="I12" s="5"/>
      <c r="J12" s="5"/>
    </row>
    <row r="13">
      <c r="A13" s="5"/>
      <c r="B13" s="5" t="str">
        <f>IFERROR(__xludf.DUMMYFUNCTION("""COMPUTED_VALUE"""),"Patrick Mahomes, QB KC")</f>
        <v>Patrick Mahomes, QB KC</v>
      </c>
      <c r="C13" s="5" t="str">
        <f>IFERROR(__xludf.DUMMYFUNCTION("""COMPUTED_VALUE"""),"8 | | | | | | | |")</f>
        <v>8 | | | | | | | |</v>
      </c>
      <c r="D13" s="5" t="str">
        <f>IFERROR(__xludf.DUMMYFUNCTION("""COMPUTED_VALUE"""),"+ Show History »")</f>
        <v>+ Show History »</v>
      </c>
      <c r="E13" s="5" t="str">
        <f>IFERROR(__xludf.DUMMYFUNCTION("""COMPUTED_VALUE"""),"Low Risk")</f>
        <v>Low Risk</v>
      </c>
      <c r="F13" s="38">
        <f>IFERROR(__xludf.DUMMYFUNCTION("""COMPUTED_VALUE"""),0.25)</f>
        <v>0.25</v>
      </c>
      <c r="G13" s="5">
        <f>IFERROR(__xludf.DUMMYFUNCTION("""COMPUTED_VALUE"""),1.07)</f>
        <v>1.07</v>
      </c>
      <c r="H13" s="60">
        <f>IFERROR(__xludf.DUMMYFUNCTION("""COMPUTED_VALUE"""),0.017)</f>
        <v>0.017</v>
      </c>
      <c r="I13" s="5">
        <f>IFERROR(__xludf.DUMMYFUNCTION("""COMPUTED_VALUE"""),5.0)</f>
        <v>5</v>
      </c>
      <c r="J13" s="5">
        <f>IFERROR(__xludf.DUMMYFUNCTION("""COMPUTED_VALUE"""),299.0)</f>
        <v>299</v>
      </c>
    </row>
    <row r="14">
      <c r="A14" s="5" t="str">
        <f>IFERROR(__xludf.DUMMYFUNCTION("""COMPUTED_VALUE"""),"*Low Risk*
4
2
1
1
X
Patrick MahomesQB KC
Seasons:6
Height:6'3""
Weight:220
Bye:10
View Player Profile »
Injury History [TABLE]")</f>
        <v>*Low Risk*
4
2
1
1
X
Patrick MahomesQB KC
Seasons:6
Height:6'3"
Weight:220
Bye:10
View Player Profile »
Injury History [TABLE]</v>
      </c>
      <c r="B14" s="5"/>
      <c r="C14" s="5"/>
      <c r="D14" s="5"/>
      <c r="E14" s="5"/>
      <c r="F14" s="5"/>
      <c r="G14" s="5"/>
      <c r="H14" s="5"/>
      <c r="I14" s="5"/>
      <c r="J14" s="5"/>
    </row>
    <row r="15">
      <c r="A15" s="5"/>
      <c r="B15" s="5" t="str">
        <f>IFERROR(__xludf.DUMMYFUNCTION("""COMPUTED_VALUE"""),"Justin Fields, QB CHI")</f>
        <v>Justin Fields, QB CHI</v>
      </c>
      <c r="C15" s="5" t="str">
        <f>IFERROR(__xludf.DUMMYFUNCTION("""COMPUTED_VALUE"""),"9 | | | | | | | | |")</f>
        <v>9 | | | | | | | | |</v>
      </c>
      <c r="D15" s="5" t="str">
        <f>IFERROR(__xludf.DUMMYFUNCTION("""COMPUTED_VALUE"""),"+ Show History »")</f>
        <v>+ Show History »</v>
      </c>
      <c r="E15" s="5" t="str">
        <f>IFERROR(__xludf.DUMMYFUNCTION("""COMPUTED_VALUE"""),"Very High Risk")</f>
        <v>Very High Risk</v>
      </c>
      <c r="F15" s="38">
        <f>IFERROR(__xludf.DUMMYFUNCTION("""COMPUTED_VALUE"""),0.89)</f>
        <v>0.89</v>
      </c>
      <c r="G15" s="5">
        <f>IFERROR(__xludf.DUMMYFUNCTION("""COMPUTED_VALUE"""),2.5)</f>
        <v>2.5</v>
      </c>
      <c r="H15" s="60">
        <f>IFERROR(__xludf.DUMMYFUNCTION("""COMPUTED_VALUE"""),0.122)</f>
        <v>0.122</v>
      </c>
      <c r="I15" s="5">
        <f>IFERROR(__xludf.DUMMYFUNCTION("""COMPUTED_VALUE"""),5.0)</f>
        <v>5</v>
      </c>
      <c r="J15" s="5">
        <f>IFERROR(__xludf.DUMMYFUNCTION("""COMPUTED_VALUE"""),297.7)</f>
        <v>297.7</v>
      </c>
    </row>
    <row r="16">
      <c r="A16" s="5" t="str">
        <f>IFERROR(__xludf.DUMMYFUNCTION("""COMPUTED_VALUE"""),"*Very High Risk*
2
2
1
2
2
X
Justin FieldsQB CHI
Seasons:2
Height:6'3""
Weight:228
Bye:13
View Player Profile »
Injury History [TABLE]")</f>
        <v>*Very High Risk*
2
2
1
2
2
X
Justin FieldsQB CHI
Seasons:2
Height:6'3"
Weight:228
Bye:13
View Player Profile »
Injury History [TABLE]</v>
      </c>
      <c r="B16" s="5"/>
      <c r="C16" s="5"/>
      <c r="D16" s="5"/>
      <c r="E16" s="5"/>
      <c r="F16" s="5"/>
      <c r="G16" s="5"/>
      <c r="H16" s="5"/>
      <c r="I16" s="5"/>
      <c r="J16" s="5"/>
    </row>
    <row r="17">
      <c r="A17" s="5"/>
      <c r="B17" s="5" t="str">
        <f>IFERROR(__xludf.DUMMYFUNCTION("""COMPUTED_VALUE"""),"Jared Goff, QB DET")</f>
        <v>Jared Goff, QB DET</v>
      </c>
      <c r="C17" s="5" t="str">
        <f>IFERROR(__xludf.DUMMYFUNCTION("""COMPUTED_VALUE"""),"4 | | | |")</f>
        <v>4 | | | |</v>
      </c>
      <c r="D17" s="5" t="str">
        <f>IFERROR(__xludf.DUMMYFUNCTION("""COMPUTED_VALUE"""),"+ Show History »")</f>
        <v>+ Show History »</v>
      </c>
      <c r="E17" s="5" t="str">
        <f>IFERROR(__xludf.DUMMYFUNCTION("""COMPUTED_VALUE"""),"Very Low Risk")</f>
        <v>Very Low Risk</v>
      </c>
      <c r="F17" s="38">
        <f>IFERROR(__xludf.DUMMYFUNCTION("""COMPUTED_VALUE"""),0.18)</f>
        <v>0.18</v>
      </c>
      <c r="G17" s="5">
        <f>IFERROR(__xludf.DUMMYFUNCTION("""COMPUTED_VALUE"""),0.76)</f>
        <v>0.76</v>
      </c>
      <c r="H17" s="60">
        <f>IFERROR(__xludf.DUMMYFUNCTION("""COMPUTED_VALUE"""),0.012)</f>
        <v>0.012</v>
      </c>
      <c r="I17" s="5">
        <f>IFERROR(__xludf.DUMMYFUNCTION("""COMPUTED_VALUE"""),5.0)</f>
        <v>5</v>
      </c>
      <c r="J17" s="5">
        <f>IFERROR(__xludf.DUMMYFUNCTION("""COMPUTED_VALUE"""),284.8)</f>
        <v>284.8</v>
      </c>
    </row>
    <row r="18">
      <c r="A18" s="5" t="str">
        <f>IFERROR(__xludf.DUMMYFUNCTION("""COMPUTED_VALUE"""),"*Very Low Risk*
1
1
1
1
X
Jared GoffQB DET
Seasons:7
Height:6'4""
Weight:215
Bye:9
View Player Profile »
Injury History [TABLE]")</f>
        <v>*Very Low Risk*
1
1
1
1
X
Jared GoffQB DET
Seasons:7
Height:6'4"
Weight:215
Bye:9
View Player Profile »
Injury History [TABLE]</v>
      </c>
      <c r="B18" s="5"/>
      <c r="C18" s="5"/>
      <c r="D18" s="5"/>
      <c r="E18" s="5"/>
      <c r="F18" s="5"/>
      <c r="G18" s="5"/>
      <c r="H18" s="5"/>
      <c r="I18" s="5"/>
      <c r="J18" s="5"/>
    </row>
    <row r="19">
      <c r="A19" s="5"/>
      <c r="B19" s="5" t="str">
        <f>IFERROR(__xludf.DUMMYFUNCTION("""COMPUTED_VALUE"""),"Kyler Murray, QB ARI")</f>
        <v>Kyler Murray, QB ARI</v>
      </c>
      <c r="C19" s="5" t="str">
        <f>IFERROR(__xludf.DUMMYFUNCTION("""COMPUTED_VALUE"""),"7 | | | | | | |")</f>
        <v>7 | | | | | | |</v>
      </c>
      <c r="D19" s="5" t="str">
        <f>IFERROR(__xludf.DUMMYFUNCTION("""COMPUTED_VALUE"""),"+ Show History »")</f>
        <v>+ Show History »</v>
      </c>
      <c r="E19" s="5" t="str">
        <f>IFERROR(__xludf.DUMMYFUNCTION("""COMPUTED_VALUE"""),"High Risk")</f>
        <v>High Risk</v>
      </c>
      <c r="F19" s="38">
        <f>IFERROR(__xludf.DUMMYFUNCTION("""COMPUTED_VALUE"""),0.58)</f>
        <v>0.58</v>
      </c>
      <c r="G19" s="5">
        <f>IFERROR(__xludf.DUMMYFUNCTION("""COMPUTED_VALUE"""),4.09)</f>
        <v>4.09</v>
      </c>
      <c r="H19" s="38">
        <f>IFERROR(__xludf.DUMMYFUNCTION("""COMPUTED_VALUE"""),0.05)</f>
        <v>0.05</v>
      </c>
      <c r="I19" s="5">
        <f>IFERROR(__xludf.DUMMYFUNCTION("""COMPUTED_VALUE"""),5.0)</f>
        <v>5</v>
      </c>
      <c r="J19" s="5">
        <f>IFERROR(__xludf.DUMMYFUNCTION("""COMPUTED_VALUE"""),275.5)</f>
        <v>275.5</v>
      </c>
    </row>
    <row r="20">
      <c r="A20" s="5" t="str">
        <f>IFERROR(__xludf.DUMMYFUNCTION("""COMPUTED_VALUE"""),"*High Risk*
1
2
1
1
1
1
X
Kyler MurrayQB ARI
Seasons:4
Height:5'10""
Weight:207
Bye:14
View Player Profile »
Injury History [TABLE]")</f>
        <v>*High Risk*
1
2
1
1
1
1
X
Kyler MurrayQB ARI
Seasons:4
Height:5'10"
Weight:207
Bye:14
View Player Profile »
Injury History [TABLE]</v>
      </c>
      <c r="B20" s="5"/>
      <c r="C20" s="5"/>
      <c r="D20" s="5"/>
      <c r="E20" s="5"/>
      <c r="F20" s="5"/>
      <c r="G20" s="5"/>
      <c r="H20" s="5"/>
      <c r="I20" s="5"/>
      <c r="J20" s="5"/>
    </row>
    <row r="21">
      <c r="A21" s="5"/>
      <c r="B21" s="5" t="str">
        <f>IFERROR(__xludf.DUMMYFUNCTION("""COMPUTED_VALUE"""),"Jordan Love, QB GB")</f>
        <v>Jordan Love, QB GB</v>
      </c>
      <c r="C21" s="5" t="str">
        <f>IFERROR(__xludf.DUMMYFUNCTION("""COMPUTED_VALUE"""),"2 | |")</f>
        <v>2 | |</v>
      </c>
      <c r="D21" s="5" t="str">
        <f>IFERROR(__xludf.DUMMYFUNCTION("""COMPUTED_VALUE"""),"+ Show History »")</f>
        <v>+ Show History »</v>
      </c>
      <c r="E21" s="5" t="str">
        <f>IFERROR(__xludf.DUMMYFUNCTION("""COMPUTED_VALUE"""),"Low Risk")</f>
        <v>Low Risk</v>
      </c>
      <c r="F21" s="38">
        <f>IFERROR(__xludf.DUMMYFUNCTION("""COMPUTED_VALUE"""),0.22)</f>
        <v>0.22</v>
      </c>
      <c r="G21" s="5">
        <f>IFERROR(__xludf.DUMMYFUNCTION("""COMPUTED_VALUE"""),1.07)</f>
        <v>1.07</v>
      </c>
      <c r="H21" s="60">
        <f>IFERROR(__xludf.DUMMYFUNCTION("""COMPUTED_VALUE"""),0.015)</f>
        <v>0.015</v>
      </c>
      <c r="I21" s="5">
        <f>IFERROR(__xludf.DUMMYFUNCTION("""COMPUTED_VALUE"""),5.0)</f>
        <v>5</v>
      </c>
      <c r="J21" s="5">
        <f>IFERROR(__xludf.DUMMYFUNCTION("""COMPUTED_VALUE"""),274.4)</f>
        <v>274.4</v>
      </c>
    </row>
    <row r="22">
      <c r="A22" s="5" t="str">
        <f>IFERROR(__xludf.DUMMYFUNCTION("""COMPUTED_VALUE"""),"*Low Risk*
1
1
X
Jordan LoveQB GB
Seasons:3
Height:6'4""
Weight:224
Bye:6
View Player Profile »
Injury History [TABLE]")</f>
        <v>*Low Risk*
1
1
X
Jordan LoveQB GB
Seasons:3
Height:6'4"
Weight:224
Bye:6
View Player Profile »
Injury History [TABLE]</v>
      </c>
      <c r="B22" s="5"/>
      <c r="C22" s="5"/>
      <c r="D22" s="5"/>
      <c r="E22" s="5"/>
      <c r="F22" s="5"/>
      <c r="G22" s="5"/>
      <c r="H22" s="5"/>
      <c r="I22" s="5"/>
      <c r="J22" s="5"/>
    </row>
    <row r="23">
      <c r="A23" s="5"/>
      <c r="B23" s="5" t="str">
        <f>IFERROR(__xludf.DUMMYFUNCTION("""COMPUTED_VALUE"""),"Matthew Stafford, QB LAR")</f>
        <v>Matthew Stafford, QB LAR</v>
      </c>
      <c r="C23" s="5" t="str">
        <f>IFERROR(__xludf.DUMMYFUNCTION("""COMPUTED_VALUE"""),"21 | | | | | | | | | | | | | | | | | | | | |")</f>
        <v>21 | | | | | | | | | | | | | | | | | | | | |</v>
      </c>
      <c r="D23" s="5" t="str">
        <f>IFERROR(__xludf.DUMMYFUNCTION("""COMPUTED_VALUE"""),"+ Show History »")</f>
        <v>+ Show History »</v>
      </c>
      <c r="E23" s="5" t="str">
        <f>IFERROR(__xludf.DUMMYFUNCTION("""COMPUTED_VALUE"""),"High Risk")</f>
        <v>High Risk</v>
      </c>
      <c r="F23" s="38">
        <f>IFERROR(__xludf.DUMMYFUNCTION("""COMPUTED_VALUE"""),0.58)</f>
        <v>0.58</v>
      </c>
      <c r="G23" s="5">
        <f>IFERROR(__xludf.DUMMYFUNCTION("""COMPUTED_VALUE"""),2.1)</f>
        <v>2.1</v>
      </c>
      <c r="H23" s="38">
        <f>IFERROR(__xludf.DUMMYFUNCTION("""COMPUTED_VALUE"""),0.05)</f>
        <v>0.05</v>
      </c>
      <c r="I23" s="5">
        <f>IFERROR(__xludf.DUMMYFUNCTION("""COMPUTED_VALUE"""),4.02)</f>
        <v>4.02</v>
      </c>
      <c r="J23" s="5">
        <f>IFERROR(__xludf.DUMMYFUNCTION("""COMPUTED_VALUE"""),262.3)</f>
        <v>262.3</v>
      </c>
    </row>
    <row r="24">
      <c r="A24" s="5" t="str">
        <f>IFERROR(__xludf.DUMMYFUNCTION("""COMPUTED_VALUE"""),"*High Risk*
5
1
1
2
4
2
1
4
1
X
Matthew StaffordQB LAR
Seasons:14
Height:6'3""
Weight:232
Bye:10
View Player Profile »
Injury History [TABLE]")</f>
        <v>*High Risk*
5
1
1
2
4
2
1
4
1
X
Matthew StaffordQB LAR
Seasons:14
Height:6'3"
Weight:232
Bye:10
View Player Profile »
Injury History [TABLE]</v>
      </c>
      <c r="B24" s="5"/>
      <c r="C24" s="5"/>
      <c r="D24" s="5"/>
      <c r="E24" s="5"/>
      <c r="F24" s="5"/>
      <c r="G24" s="5"/>
      <c r="H24" s="5"/>
      <c r="I24" s="5"/>
      <c r="J24" s="5"/>
    </row>
    <row r="25">
      <c r="A25" s="5"/>
      <c r="B25" s="5" t="str">
        <f>IFERROR(__xludf.DUMMYFUNCTION("""COMPUTED_VALUE"""),"Tua Tagovailoa, QB MIA")</f>
        <v>Tua Tagovailoa, QB MIA</v>
      </c>
      <c r="C25" s="5" t="str">
        <f>IFERROR(__xludf.DUMMYFUNCTION("""COMPUTED_VALUE"""),"11 | | | | | | | | | | |")</f>
        <v>11 | | | | | | | | | | |</v>
      </c>
      <c r="D25" s="5" t="str">
        <f>IFERROR(__xludf.DUMMYFUNCTION("""COMPUTED_VALUE"""),"+ Show History »")</f>
        <v>+ Show History »</v>
      </c>
      <c r="E25" s="5" t="str">
        <f>IFERROR(__xludf.DUMMYFUNCTION("""COMPUTED_VALUE"""),"Very High Risk")</f>
        <v>Very High Risk</v>
      </c>
      <c r="F25" s="38">
        <f>IFERROR(__xludf.DUMMYFUNCTION("""COMPUTED_VALUE"""),0.84)</f>
        <v>0.84</v>
      </c>
      <c r="G25" s="5">
        <f>IFERROR(__xludf.DUMMYFUNCTION("""COMPUTED_VALUE"""),2.4)</f>
        <v>2.4</v>
      </c>
      <c r="H25" s="60">
        <f>IFERROR(__xludf.DUMMYFUNCTION("""COMPUTED_VALUE"""),0.102)</f>
        <v>0.102</v>
      </c>
      <c r="I25" s="5">
        <f>IFERROR(__xludf.DUMMYFUNCTION("""COMPUTED_VALUE"""),2.15)</f>
        <v>2.15</v>
      </c>
      <c r="J25" s="5">
        <f>IFERROR(__xludf.DUMMYFUNCTION("""COMPUTED_VALUE"""),261.0)</f>
        <v>261</v>
      </c>
    </row>
    <row r="26">
      <c r="A26" s="5" t="str">
        <f>IFERROR(__xludf.DUMMYFUNCTION("""COMPUTED_VALUE"""),"*Very High Risk*
2
3
1
1
2
1
1
X
Tua TagovailoaQB MIA
Seasons:3
Height:6'0""
Weight:217
Bye:10
View Player Profile »
Injury History [TABLE]")</f>
        <v>*Very High Risk*
2
3
1
1
2
1
1
X
Tua TagovailoaQB MIA
Seasons:3
Height:6'0"
Weight:217
Bye:10
View Player Profile »
Injury History [TABLE]</v>
      </c>
      <c r="B26" s="5"/>
      <c r="C26" s="5"/>
      <c r="D26" s="5"/>
      <c r="E26" s="5"/>
      <c r="F26" s="5"/>
      <c r="G26" s="5"/>
      <c r="H26" s="5"/>
      <c r="I26" s="5"/>
      <c r="J26" s="5"/>
    </row>
    <row r="27">
      <c r="A27" s="5"/>
      <c r="B27" s="5" t="str">
        <f>IFERROR(__xludf.DUMMYFUNCTION("""COMPUTED_VALUE"""),"Joe Flacco, QB CLE")</f>
        <v>Joe Flacco, QB CLE</v>
      </c>
      <c r="C27" s="5" t="str">
        <f>IFERROR(__xludf.DUMMYFUNCTION("""COMPUTED_VALUE"""),"7 | | | | | | |")</f>
        <v>7 | | | | | | |</v>
      </c>
      <c r="D27" s="5" t="str">
        <f>IFERROR(__xludf.DUMMYFUNCTION("""COMPUTED_VALUE"""),"+ Show History »")</f>
        <v>+ Show History »</v>
      </c>
      <c r="E27" s="5" t="str">
        <f>IFERROR(__xludf.DUMMYFUNCTION("""COMPUTED_VALUE"""),"High Risk")</f>
        <v>High Risk</v>
      </c>
      <c r="F27" s="38">
        <f>IFERROR(__xludf.DUMMYFUNCTION("""COMPUTED_VALUE"""),0.7)</f>
        <v>0.7</v>
      </c>
      <c r="G27" s="5">
        <f>IFERROR(__xludf.DUMMYFUNCTION("""COMPUTED_VALUE"""),2.5)</f>
        <v>2.5</v>
      </c>
      <c r="H27" s="60">
        <f>IFERROR(__xludf.DUMMYFUNCTION("""COMPUTED_VALUE"""),0.068)</f>
        <v>0.068</v>
      </c>
      <c r="I27" s="5">
        <f>IFERROR(__xludf.DUMMYFUNCTION("""COMPUTED_VALUE"""),5.0)</f>
        <v>5</v>
      </c>
      <c r="J27" s="5">
        <f>IFERROR(__xludf.DUMMYFUNCTION("""COMPUTED_VALUE"""),258.3)</f>
        <v>258.3</v>
      </c>
    </row>
    <row r="28">
      <c r="A28" s="5" t="str">
        <f>IFERROR(__xludf.DUMMYFUNCTION("""COMPUTED_VALUE"""),"*High Risk*
1
1
1
1
1
2
X
Joe FlaccoQB CLE
Seasons:15
Height:6'6""
Weight:245
Bye:5
View Player Profile »
Injury History [TABLE]")</f>
        <v>*High Risk*
1
1
1
1
1
2
X
Joe FlaccoQB CLE
Seasons:15
Height:6'6"
Weight:245
Bye:5
View Player Profile »
Injury History [TABLE]</v>
      </c>
      <c r="B28" s="5"/>
      <c r="C28" s="5"/>
      <c r="D28" s="5"/>
      <c r="E28" s="5"/>
      <c r="F28" s="5"/>
      <c r="G28" s="5"/>
      <c r="H28" s="5"/>
      <c r="I28" s="5"/>
      <c r="J28" s="5"/>
    </row>
    <row r="29">
      <c r="A29" s="5"/>
      <c r="B29" s="5" t="str">
        <f>IFERROR(__xludf.DUMMYFUNCTION("""COMPUTED_VALUE"""),"Baker Mayfield, QB TB")</f>
        <v>Baker Mayfield, QB TB</v>
      </c>
      <c r="C29" s="5" t="str">
        <f>IFERROR(__xludf.DUMMYFUNCTION("""COMPUTED_VALUE"""),"9 | | | | | | | | |")</f>
        <v>9 | | | | | | | | |</v>
      </c>
      <c r="D29" s="5" t="str">
        <f>IFERROR(__xludf.DUMMYFUNCTION("""COMPUTED_VALUE"""),"+ Show History »")</f>
        <v>+ Show History »</v>
      </c>
      <c r="E29" s="5" t="str">
        <f>IFERROR(__xludf.DUMMYFUNCTION("""COMPUTED_VALUE"""),"High Risk")</f>
        <v>High Risk</v>
      </c>
      <c r="F29" s="38">
        <f>IFERROR(__xludf.DUMMYFUNCTION("""COMPUTED_VALUE"""),0.59)</f>
        <v>0.59</v>
      </c>
      <c r="G29" s="5">
        <f>IFERROR(__xludf.DUMMYFUNCTION("""COMPUTED_VALUE"""),2.74)</f>
        <v>2.74</v>
      </c>
      <c r="H29" s="60">
        <f>IFERROR(__xludf.DUMMYFUNCTION("""COMPUTED_VALUE"""),0.051)</f>
        <v>0.051</v>
      </c>
      <c r="I29" s="5">
        <f>IFERROR(__xludf.DUMMYFUNCTION("""COMPUTED_VALUE"""),5.0)</f>
        <v>5</v>
      </c>
      <c r="J29" s="5">
        <f>IFERROR(__xludf.DUMMYFUNCTION("""COMPUTED_VALUE"""),246.7)</f>
        <v>246.7</v>
      </c>
    </row>
    <row r="30">
      <c r="A30" s="5" t="str">
        <f>IFERROR(__xludf.DUMMYFUNCTION("""COMPUTED_VALUE"""),"*High Risk*
1
3
2
1
2
X
Baker MayfieldQB TB
Seasons:5
Height:6'2""
Weight:215
Bye:5
View Player Profile »
Injury History [TABLE]")</f>
        <v>*High Risk*
1
3
2
1
2
X
Baker MayfieldQB TB
Seasons:5
Height:6'2"
Weight:215
Bye:5
View Player Profile »
Injury History [TABLE]</v>
      </c>
      <c r="B30" s="5"/>
      <c r="C30" s="5"/>
      <c r="D30" s="5"/>
      <c r="E30" s="5"/>
      <c r="F30" s="5"/>
      <c r="G30" s="5"/>
      <c r="H30" s="5"/>
      <c r="I30" s="5"/>
      <c r="J30" s="5"/>
    </row>
    <row r="31">
      <c r="A31" s="5"/>
      <c r="B31" s="5" t="str">
        <f>IFERROR(__xludf.DUMMYFUNCTION("""COMPUTED_VALUE"""),"C.J. Stroud, QB HOU")</f>
        <v>C.J. Stroud, QB HOU</v>
      </c>
      <c r="C31" s="5" t="str">
        <f>IFERROR(__xludf.DUMMYFUNCTION("""COMPUTED_VALUE"""),"2 | |")</f>
        <v>2 | |</v>
      </c>
      <c r="D31" s="5" t="str">
        <f>IFERROR(__xludf.DUMMYFUNCTION("""COMPUTED_VALUE"""),"+ Show History »")</f>
        <v>+ Show History »</v>
      </c>
      <c r="E31" s="5" t="str">
        <f>IFERROR(__xludf.DUMMYFUNCTION("""COMPUTED_VALUE"""),"Low Risk")</f>
        <v>Low Risk</v>
      </c>
      <c r="F31" s="38">
        <f>IFERROR(__xludf.DUMMYFUNCTION("""COMPUTED_VALUE"""),0.24)</f>
        <v>0.24</v>
      </c>
      <c r="G31" s="5">
        <f>IFERROR(__xludf.DUMMYFUNCTION("""COMPUTED_VALUE"""),1.2)</f>
        <v>1.2</v>
      </c>
      <c r="H31" s="60">
        <f>IFERROR(__xludf.DUMMYFUNCTION("""COMPUTED_VALUE"""),0.016)</f>
        <v>0.016</v>
      </c>
      <c r="I31" s="5">
        <f>IFERROR(__xludf.DUMMYFUNCTION("""COMPUTED_VALUE"""),5.0)</f>
        <v>5</v>
      </c>
      <c r="J31" s="5">
        <f>IFERROR(__xludf.DUMMYFUNCTION("""COMPUTED_VALUE"""),244.5)</f>
        <v>244.5</v>
      </c>
    </row>
    <row r="32">
      <c r="A32" s="5" t="str">
        <f>IFERROR(__xludf.DUMMYFUNCTION("""COMPUTED_VALUE"""),"*Low Risk*
1
1
X
C.J. StroudQB HOU
Seasons:0
Height:6'3""
Weight:218
Bye:7
View Player Profile »
Injury History [TABLE]")</f>
        <v>*Low Risk*
1
1
X
C.J. StroudQB HOU
Seasons:0
Height:6'3"
Weight:218
Bye:7
View Player Profile »
Injury History [TABLE]</v>
      </c>
      <c r="B32" s="5"/>
      <c r="C32" s="5"/>
      <c r="D32" s="5"/>
      <c r="E32" s="5"/>
      <c r="F32" s="5"/>
      <c r="G32" s="5"/>
      <c r="H32" s="5"/>
      <c r="I32" s="5"/>
      <c r="J32" s="5"/>
    </row>
    <row r="33">
      <c r="A33" s="5"/>
      <c r="B33" s="5" t="str">
        <f>IFERROR(__xludf.DUMMYFUNCTION("""COMPUTED_VALUE"""),"Geno Smith, QB SEA")</f>
        <v>Geno Smith, QB SEA</v>
      </c>
      <c r="C33" s="5" t="str">
        <f>IFERROR(__xludf.DUMMYFUNCTION("""COMPUTED_VALUE"""),"4 | | | |")</f>
        <v>4 | | | |</v>
      </c>
      <c r="D33" s="5" t="str">
        <f>IFERROR(__xludf.DUMMYFUNCTION("""COMPUTED_VALUE"""),"+ Show History »")</f>
        <v>+ Show History »</v>
      </c>
      <c r="E33" s="5" t="str">
        <f>IFERROR(__xludf.DUMMYFUNCTION("""COMPUTED_VALUE"""),"Low Risk")</f>
        <v>Low Risk</v>
      </c>
      <c r="F33" s="38">
        <f>IFERROR(__xludf.DUMMYFUNCTION("""COMPUTED_VALUE"""),0.2)</f>
        <v>0.2</v>
      </c>
      <c r="G33" s="5">
        <f>IFERROR(__xludf.DUMMYFUNCTION("""COMPUTED_VALUE"""),0.92)</f>
        <v>0.92</v>
      </c>
      <c r="H33" s="60">
        <f>IFERROR(__xludf.DUMMYFUNCTION("""COMPUTED_VALUE"""),0.013)</f>
        <v>0.013</v>
      </c>
      <c r="I33" s="5">
        <f>IFERROR(__xludf.DUMMYFUNCTION("""COMPUTED_VALUE"""),5.0)</f>
        <v>5</v>
      </c>
      <c r="J33" s="5">
        <f>IFERROR(__xludf.DUMMYFUNCTION("""COMPUTED_VALUE"""),241.2)</f>
        <v>241.2</v>
      </c>
    </row>
    <row r="34">
      <c r="A34" s="5" t="str">
        <f>IFERROR(__xludf.DUMMYFUNCTION("""COMPUTED_VALUE"""),"*Low Risk*
2
2
X
Geno SmithQB SEA
Seasons:10
Height:6'2""
Weight:220
Bye:5
View Player Profile »
Injury History [TABLE]")</f>
        <v>*Low Risk*
2
2
X
Geno SmithQB SEA
Seasons:10
Height:6'2"
Weight:220
Bye:5
View Player Profile »
Injury History [TABLE]</v>
      </c>
      <c r="B34" s="5"/>
      <c r="C34" s="5"/>
      <c r="D34" s="5"/>
      <c r="E34" s="5"/>
      <c r="F34" s="5"/>
      <c r="G34" s="5"/>
      <c r="H34" s="5"/>
      <c r="I34" s="5"/>
      <c r="J34" s="5"/>
    </row>
    <row r="35">
      <c r="A35" s="5"/>
      <c r="B35" s="5" t="str">
        <f>IFERROR(__xludf.DUMMYFUNCTION("""COMPUTED_VALUE"""),"Derek Carr, QB NO")</f>
        <v>Derek Carr, QB NO</v>
      </c>
      <c r="C35" s="5" t="str">
        <f>IFERROR(__xludf.DUMMYFUNCTION("""COMPUTED_VALUE"""),"14 | | | | | | | | | | | | | |")</f>
        <v>14 | | | | | | | | | | | | | |</v>
      </c>
      <c r="D35" s="5" t="str">
        <f>IFERROR(__xludf.DUMMYFUNCTION("""COMPUTED_VALUE"""),"+ Show History »")</f>
        <v>+ Show History »</v>
      </c>
      <c r="E35" s="5" t="str">
        <f>IFERROR(__xludf.DUMMYFUNCTION("""COMPUTED_VALUE"""),"Very Low Risk")</f>
        <v>Very Low Risk</v>
      </c>
      <c r="F35" s="38">
        <f>IFERROR(__xludf.DUMMYFUNCTION("""COMPUTED_VALUE"""),0.07)</f>
        <v>0.07</v>
      </c>
      <c r="G35" s="5">
        <f>IFERROR(__xludf.DUMMYFUNCTION("""COMPUTED_VALUE"""),0.4)</f>
        <v>0.4</v>
      </c>
      <c r="H35" s="60">
        <f>IFERROR(__xludf.DUMMYFUNCTION("""COMPUTED_VALUE"""),0.004)</f>
        <v>0.004</v>
      </c>
      <c r="I35" s="5">
        <f>IFERROR(__xludf.DUMMYFUNCTION("""COMPUTED_VALUE"""),5.0)</f>
        <v>5</v>
      </c>
      <c r="J35" s="5">
        <f>IFERROR(__xludf.DUMMYFUNCTION("""COMPUTED_VALUE"""),238.4)</f>
        <v>238.4</v>
      </c>
    </row>
    <row r="36">
      <c r="A36" s="5" t="str">
        <f>IFERROR(__xludf.DUMMYFUNCTION("""COMPUTED_VALUE"""),"*Very Low Risk*
3
3
1
1
3
1
1
1
X
Derek CarrQB NO
Seasons:9
Height:6'2""
Weight:214
Bye:11
View Player Profile »
Injury History [TABLE]")</f>
        <v>*Very Low Risk*
3
3
1
1
3
1
1
1
X
Derek CarrQB NO
Seasons:9
Height:6'2"
Weight:214
Bye:11
View Player Profile »
Injury History [TABLE]</v>
      </c>
      <c r="B36" s="5"/>
      <c r="C36" s="5"/>
      <c r="D36" s="5"/>
      <c r="E36" s="5"/>
      <c r="F36" s="5"/>
      <c r="G36" s="5"/>
      <c r="H36" s="5"/>
      <c r="I36" s="5"/>
      <c r="J36" s="5"/>
    </row>
    <row r="37">
      <c r="A37" s="5"/>
      <c r="B37" s="5" t="str">
        <f>IFERROR(__xludf.DUMMYFUNCTION("""COMPUTED_VALUE"""),"Gardner Minshew, QB IND")</f>
        <v>Gardner Minshew, QB IND</v>
      </c>
      <c r="C37" s="5">
        <f>IFERROR(__xludf.DUMMYFUNCTION("""COMPUTED_VALUE"""),0.0)</f>
        <v>0</v>
      </c>
      <c r="D37" s="5" t="str">
        <f>IFERROR(__xludf.DUMMYFUNCTION("""COMPUTED_VALUE"""),"+ Show History »")</f>
        <v>+ Show History »</v>
      </c>
      <c r="E37" s="5" t="str">
        <f>IFERROR(__xludf.DUMMYFUNCTION("""COMPUTED_VALUE"""),"Very Low Risk")</f>
        <v>Very Low Risk</v>
      </c>
      <c r="F37" s="38">
        <f>IFERROR(__xludf.DUMMYFUNCTION("""COMPUTED_VALUE"""),0.14)</f>
        <v>0.14</v>
      </c>
      <c r="G37" s="5">
        <f>IFERROR(__xludf.DUMMYFUNCTION("""COMPUTED_VALUE"""),0.4)</f>
        <v>0.4</v>
      </c>
      <c r="H37" s="60">
        <f>IFERROR(__xludf.DUMMYFUNCTION("""COMPUTED_VALUE"""),0.009)</f>
        <v>0.009</v>
      </c>
      <c r="I37" s="5">
        <f>IFERROR(__xludf.DUMMYFUNCTION("""COMPUTED_VALUE"""),5.0)</f>
        <v>5</v>
      </c>
      <c r="J37" s="5">
        <f>IFERROR(__xludf.DUMMYFUNCTION("""COMPUTED_VALUE"""),235.0)</f>
        <v>235</v>
      </c>
    </row>
    <row r="38">
      <c r="A38" s="5" t="str">
        <f>IFERROR(__xludf.DUMMYFUNCTION("""COMPUTED_VALUE"""),"*Very Low Risk*
X
Gardner MinshewQB IND
Seasons:4
Height:6'1""
Weight:225
Bye:11
View Player Profile »
Injury History [TABLE]")</f>
        <v>*Very Low Risk*
X
Gardner MinshewQB IND
Seasons:4
Height:6'1"
Weight:225
Bye:11
View Player Profile »
Injury History [TABLE]</v>
      </c>
      <c r="B38" s="5"/>
      <c r="C38" s="5"/>
      <c r="D38" s="5"/>
      <c r="E38" s="5"/>
      <c r="F38" s="5"/>
      <c r="G38" s="5"/>
      <c r="H38" s="5"/>
      <c r="I38" s="5"/>
      <c r="J38" s="5"/>
    </row>
    <row r="39">
      <c r="A39" s="5"/>
      <c r="B39" s="5" t="str">
        <f>IFERROR(__xludf.DUMMYFUNCTION("""COMPUTED_VALUE"""),"Trevor Lawrence, QB JAC")</f>
        <v>Trevor Lawrence, QB JAC</v>
      </c>
      <c r="C39" s="5" t="str">
        <f>IFERROR(__xludf.DUMMYFUNCTION("""COMPUTED_VALUE"""),"8 | | | | | | | |")</f>
        <v>8 | | | | | | | |</v>
      </c>
      <c r="D39" s="5" t="str">
        <f>IFERROR(__xludf.DUMMYFUNCTION("""COMPUTED_VALUE"""),"+ Show History »")</f>
        <v>+ Show History »</v>
      </c>
      <c r="E39" s="5" t="str">
        <f>IFERROR(__xludf.DUMMYFUNCTION("""COMPUTED_VALUE"""),"Very Low Risk")</f>
        <v>Very Low Risk</v>
      </c>
      <c r="F39" s="38">
        <f>IFERROR(__xludf.DUMMYFUNCTION("""COMPUTED_VALUE"""),0.17)</f>
        <v>0.17</v>
      </c>
      <c r="G39" s="5">
        <f>IFERROR(__xludf.DUMMYFUNCTION("""COMPUTED_VALUE"""),0.85)</f>
        <v>0.85</v>
      </c>
      <c r="H39" s="60">
        <f>IFERROR(__xludf.DUMMYFUNCTION("""COMPUTED_VALUE"""),0.011)</f>
        <v>0.011</v>
      </c>
      <c r="I39" s="5">
        <f>IFERROR(__xludf.DUMMYFUNCTION("""COMPUTED_VALUE"""),5.0)</f>
        <v>5</v>
      </c>
      <c r="J39" s="5">
        <f>IFERROR(__xludf.DUMMYFUNCTION("""COMPUTED_VALUE"""),224.5)</f>
        <v>224.5</v>
      </c>
    </row>
    <row r="40">
      <c r="A40" s="5" t="str">
        <f>IFERROR(__xludf.DUMMYFUNCTION("""COMPUTED_VALUE"""),"*Very Low Risk*
1
3
1
1
1
1
X
Trevor LawrenceQB JAC
Seasons:2
Height:6'6""
Weight:220
Bye:9
View Player Profile »
Injury History [TABLE]")</f>
        <v>*Very Low Risk*
1
3
1
1
1
1
X
Trevor LawrenceQB JAC
Seasons:2
Height:6'6"
Weight:220
Bye:9
View Player Profile »
Injury History [TABLE]</v>
      </c>
      <c r="B40" s="5"/>
      <c r="C40" s="5"/>
      <c r="D40" s="5"/>
      <c r="E40" s="5"/>
      <c r="F40" s="5"/>
      <c r="G40" s="5"/>
      <c r="H40" s="5"/>
      <c r="I40" s="5"/>
      <c r="J40" s="5"/>
    </row>
    <row r="41">
      <c r="A41" s="5"/>
      <c r="B41" s="5" t="str">
        <f>IFERROR(__xludf.DUMMYFUNCTION("""COMPUTED_VALUE"""),"Jacoby Brissett, QB WAS")</f>
        <v>Jacoby Brissett, QB WAS</v>
      </c>
      <c r="C41" s="5" t="str">
        <f>IFERROR(__xludf.DUMMYFUNCTION("""COMPUTED_VALUE"""),"1 |")</f>
        <v>1 |</v>
      </c>
      <c r="D41" s="5" t="str">
        <f>IFERROR(__xludf.DUMMYFUNCTION("""COMPUTED_VALUE"""),"+ Show History »")</f>
        <v>+ Show History »</v>
      </c>
      <c r="E41" s="5" t="str">
        <f>IFERROR(__xludf.DUMMYFUNCTION("""COMPUTED_VALUE"""),"Very Low Risk")</f>
        <v>Very Low Risk</v>
      </c>
      <c r="F41" s="38">
        <f>IFERROR(__xludf.DUMMYFUNCTION("""COMPUTED_VALUE"""),0.07)</f>
        <v>0.07</v>
      </c>
      <c r="G41" s="5">
        <f>IFERROR(__xludf.DUMMYFUNCTION("""COMPUTED_VALUE"""),0.3)</f>
        <v>0.3</v>
      </c>
      <c r="H41" s="60">
        <f>IFERROR(__xludf.DUMMYFUNCTION("""COMPUTED_VALUE"""),0.004)</f>
        <v>0.004</v>
      </c>
      <c r="I41" s="5">
        <f>IFERROR(__xludf.DUMMYFUNCTION("""COMPUTED_VALUE"""),5.0)</f>
        <v>5</v>
      </c>
      <c r="J41" s="5">
        <f>IFERROR(__xludf.DUMMYFUNCTION("""COMPUTED_VALUE"""),194.0)</f>
        <v>194</v>
      </c>
    </row>
    <row r="42">
      <c r="A42" s="5" t="str">
        <f>IFERROR(__xludf.DUMMYFUNCTION("""COMPUTED_VALUE"""),"*Very Low Risk*
1
X
Jacoby BrissettQB WAS
Seasons:7
Height:6'4""
Weight:231
Bye:14
View Player Profile »
Injury History [TABLE]")</f>
        <v>*Very Low Risk*
1
X
Jacoby BrissettQB WAS
Seasons:7
Height:6'4"
Weight:231
Bye:14
View Player Profile »
Injury History [TABLE]</v>
      </c>
      <c r="B42" s="5"/>
      <c r="C42" s="5"/>
      <c r="D42" s="5"/>
      <c r="E42" s="5"/>
      <c r="F42" s="5"/>
      <c r="G42" s="5"/>
      <c r="H42" s="5"/>
      <c r="I42" s="5"/>
      <c r="J42" s="5"/>
    </row>
    <row r="43">
      <c r="A43" s="5"/>
      <c r="B43" s="5" t="str">
        <f>IFERROR(__xludf.DUMMYFUNCTION("""COMPUTED_VALUE"""),"Tyrod Taylor, QB NYG")</f>
        <v>Tyrod Taylor, QB NYG</v>
      </c>
      <c r="C43" s="5" t="str">
        <f>IFERROR(__xludf.DUMMYFUNCTION("""COMPUTED_VALUE"""),"13 | | | | | | | | | | | | |")</f>
        <v>13 | | | | | | | | | | | | |</v>
      </c>
      <c r="D43" s="5" t="str">
        <f>IFERROR(__xludf.DUMMYFUNCTION("""COMPUTED_VALUE"""),"+ Show History »")</f>
        <v>+ Show History »</v>
      </c>
      <c r="E43" s="5" t="str">
        <f>IFERROR(__xludf.DUMMYFUNCTION("""COMPUTED_VALUE"""),"Very High Risk")</f>
        <v>Very High Risk</v>
      </c>
      <c r="F43" s="38">
        <f>IFERROR(__xludf.DUMMYFUNCTION("""COMPUTED_VALUE"""),0.92)</f>
        <v>0.92</v>
      </c>
      <c r="G43" s="5">
        <f>IFERROR(__xludf.DUMMYFUNCTION("""COMPUTED_VALUE"""),3.06)</f>
        <v>3.06</v>
      </c>
      <c r="H43" s="60">
        <f>IFERROR(__xludf.DUMMYFUNCTION("""COMPUTED_VALUE"""),0.138)</f>
        <v>0.138</v>
      </c>
      <c r="I43" s="5">
        <f>IFERROR(__xludf.DUMMYFUNCTION("""COMPUTED_VALUE"""),4.46)</f>
        <v>4.46</v>
      </c>
      <c r="J43" s="5">
        <f>IFERROR(__xludf.DUMMYFUNCTION("""COMPUTED_VALUE"""),160.3)</f>
        <v>160.3</v>
      </c>
    </row>
    <row r="44">
      <c r="A44" s="5" t="str">
        <f>IFERROR(__xludf.DUMMYFUNCTION("""COMPUTED_VALUE"""),"*Very High Risk*
3
4
2
1
2
1
X
Tyrod TaylorQB NYG
Seasons:12
Height:6'1""
Weight:215
Bye:13
View Player Profile »
Injury History [TABLE]")</f>
        <v>*Very High Risk*
3
4
2
1
2
1
X
Tyrod TaylorQB NYG
Seasons:12
Height:6'1"
Weight:215
Bye:13
View Player Profile »
Injury History [TABLE]</v>
      </c>
      <c r="B44" s="5"/>
      <c r="C44" s="5"/>
      <c r="D44" s="5"/>
      <c r="E44" s="5"/>
      <c r="F44" s="5"/>
      <c r="G44" s="5"/>
      <c r="H44" s="5"/>
      <c r="I44" s="5"/>
      <c r="J44" s="5"/>
    </row>
    <row r="45">
      <c r="A45" s="5"/>
      <c r="B45" s="5" t="str">
        <f>IFERROR(__xludf.DUMMYFUNCTION("""COMPUTED_VALUE"""),"Jameis Winston, QB NO")</f>
        <v>Jameis Winston, QB NO</v>
      </c>
      <c r="C45" s="5" t="str">
        <f>IFERROR(__xludf.DUMMYFUNCTION("""COMPUTED_VALUE"""),"9 | | | | | | | | |")</f>
        <v>9 | | | | | | | | |</v>
      </c>
      <c r="D45" s="5" t="str">
        <f>IFERROR(__xludf.DUMMYFUNCTION("""COMPUTED_VALUE"""),"+ Show History »")</f>
        <v>+ Show History »</v>
      </c>
      <c r="E45" s="5" t="str">
        <f>IFERROR(__xludf.DUMMYFUNCTION("""COMPUTED_VALUE"""),"High Risk")</f>
        <v>High Risk</v>
      </c>
      <c r="F45" s="38">
        <f>IFERROR(__xludf.DUMMYFUNCTION("""COMPUTED_VALUE"""),0.29)</f>
        <v>0.29</v>
      </c>
      <c r="G45" s="5">
        <f>IFERROR(__xludf.DUMMYFUNCTION("""COMPUTED_VALUE"""),0.9)</f>
        <v>0.9</v>
      </c>
      <c r="H45" s="38">
        <f>IFERROR(__xludf.DUMMYFUNCTION("""COMPUTED_VALUE"""),0.02)</f>
        <v>0.02</v>
      </c>
      <c r="I45" s="5">
        <f>IFERROR(__xludf.DUMMYFUNCTION("""COMPUTED_VALUE"""),5.0)</f>
        <v>5</v>
      </c>
      <c r="J45" s="5">
        <f>IFERROR(__xludf.DUMMYFUNCTION("""COMPUTED_VALUE"""),150.5)</f>
        <v>150.5</v>
      </c>
    </row>
    <row r="46">
      <c r="A46" s="5" t="str">
        <f>IFERROR(__xludf.DUMMYFUNCTION("""COMPUTED_VALUE"""),"*High Risk*
1
1
3
1
1
2
X
Jameis WinstonQB NO
Seasons:8
Height:6'4""
Weight:231
Bye:11
View Player Profile »
Injury History [TABLE]")</f>
        <v>*High Risk*
1
1
3
1
1
2
X
Jameis WinstonQB NO
Seasons:8
Height:6'4"
Weight:231
Bye:11
View Player Profile »
Injury History [TABLE]</v>
      </c>
      <c r="B46" s="5"/>
      <c r="C46" s="5"/>
      <c r="D46" s="5"/>
      <c r="E46" s="5"/>
      <c r="F46" s="5"/>
      <c r="G46" s="5"/>
      <c r="H46" s="5"/>
      <c r="I46" s="5"/>
      <c r="J46" s="5"/>
    </row>
    <row r="47">
      <c r="A47" s="5"/>
      <c r="B47" s="5" t="str">
        <f>IFERROR(__xludf.DUMMYFUNCTION("""COMPUTED_VALUE"""),"Bryce Young, QB CAR")</f>
        <v>Bryce Young, QB CAR</v>
      </c>
      <c r="C47" s="5" t="str">
        <f>IFERROR(__xludf.DUMMYFUNCTION("""COMPUTED_VALUE"""),"1 |")</f>
        <v>1 |</v>
      </c>
      <c r="D47" s="5" t="str">
        <f>IFERROR(__xludf.DUMMYFUNCTION("""COMPUTED_VALUE"""),"+ Show History »")</f>
        <v>+ Show History »</v>
      </c>
      <c r="E47" s="5" t="str">
        <f>IFERROR(__xludf.DUMMYFUNCTION("""COMPUTED_VALUE"""),"Medium Risk")</f>
        <v>Medium Risk</v>
      </c>
      <c r="F47" s="38">
        <f>IFERROR(__xludf.DUMMYFUNCTION("""COMPUTED_VALUE"""),0.31)</f>
        <v>0.31</v>
      </c>
      <c r="G47" s="5">
        <f>IFERROR(__xludf.DUMMYFUNCTION("""COMPUTED_VALUE"""),2.4)</f>
        <v>2.4</v>
      </c>
      <c r="H47" s="60">
        <f>IFERROR(__xludf.DUMMYFUNCTION("""COMPUTED_VALUE"""),0.022)</f>
        <v>0.022</v>
      </c>
      <c r="I47" s="5">
        <f>IFERROR(__xludf.DUMMYFUNCTION("""COMPUTED_VALUE"""),5.0)</f>
        <v>5</v>
      </c>
      <c r="J47" s="5">
        <f>IFERROR(__xludf.DUMMYFUNCTION("""COMPUTED_VALUE"""),147.0)</f>
        <v>147</v>
      </c>
    </row>
    <row r="48">
      <c r="A48" s="5" t="str">
        <f>IFERROR(__xludf.DUMMYFUNCTION("""COMPUTED_VALUE"""),"*Medium Risk*
1
X
Bryce YoungQB CAR
Seasons:0
Height:5'10""
Weight:204
Bye:7
View Player Profile »
Injury History [TABLE]")</f>
        <v>*Medium Risk*
1
X
Bryce YoungQB CAR
Seasons:0
Height:5'10"
Weight:204
Bye:7
View Player Profile »
Injury History [TABLE]</v>
      </c>
      <c r="B48" s="5"/>
      <c r="C48" s="5"/>
      <c r="D48" s="5"/>
      <c r="E48" s="5"/>
      <c r="F48" s="5"/>
      <c r="G48" s="5"/>
      <c r="H48" s="5"/>
      <c r="I48" s="5"/>
      <c r="J48" s="5"/>
    </row>
    <row r="49">
      <c r="A49" s="5"/>
      <c r="B49" s="5" t="str">
        <f>IFERROR(__xludf.DUMMYFUNCTION("""COMPUTED_VALUE"""),"Will Levis, QB TEN")</f>
        <v>Will Levis, QB TEN</v>
      </c>
      <c r="C49" s="5" t="str">
        <f>IFERROR(__xludf.DUMMYFUNCTION("""COMPUTED_VALUE"""),"5 | | | | |")</f>
        <v>5 | | | | |</v>
      </c>
      <c r="D49" s="5" t="str">
        <f>IFERROR(__xludf.DUMMYFUNCTION("""COMPUTED_VALUE"""),"+ Show History »")</f>
        <v>+ Show History »</v>
      </c>
      <c r="E49" s="5" t="str">
        <f>IFERROR(__xludf.DUMMYFUNCTION("""COMPUTED_VALUE"""),"Medium Risk")</f>
        <v>Medium Risk</v>
      </c>
      <c r="F49" s="38">
        <f>IFERROR(__xludf.DUMMYFUNCTION("""COMPUTED_VALUE"""),0.35)</f>
        <v>0.35</v>
      </c>
      <c r="G49" s="5">
        <f>IFERROR(__xludf.DUMMYFUNCTION("""COMPUTED_VALUE"""),1.6)</f>
        <v>1.6</v>
      </c>
      <c r="H49" s="60">
        <f>IFERROR(__xludf.DUMMYFUNCTION("""COMPUTED_VALUE"""),0.025)</f>
        <v>0.025</v>
      </c>
      <c r="I49" s="5">
        <f>IFERROR(__xludf.DUMMYFUNCTION("""COMPUTED_VALUE"""),5.0)</f>
        <v>5</v>
      </c>
      <c r="J49" s="5">
        <f>IFERROR(__xludf.DUMMYFUNCTION("""COMPUTED_VALUE"""),140.1)</f>
        <v>140.1</v>
      </c>
    </row>
    <row r="50">
      <c r="A50" s="5" t="str">
        <f>IFERROR(__xludf.DUMMYFUNCTION("""COMPUTED_VALUE"""),"*Medium Risk*
2
1
1
1
X
Will LevisQB TEN
Seasons:0
Height:6'4""
Weight:229
Bye:7
View Player Profile »
Injury History [TABLE]")</f>
        <v>*Medium Risk*
2
1
1
1
X
Will LevisQB TEN
Seasons:0
Height:6'4"
Weight:229
Bye:7
View Player Profile »
Injury History [TABLE]</v>
      </c>
      <c r="B50" s="5"/>
      <c r="C50" s="5"/>
      <c r="D50" s="5"/>
      <c r="E50" s="5"/>
      <c r="F50" s="5"/>
      <c r="G50" s="5"/>
      <c r="H50" s="5"/>
      <c r="I50" s="5"/>
      <c r="J50" s="5"/>
    </row>
    <row r="51">
      <c r="A51" s="5"/>
      <c r="B51" s="5" t="str">
        <f>IFERROR(__xludf.DUMMYFUNCTION("""COMPUTED_VALUE"""),"Zach Wilson, QB NYJ")</f>
        <v>Zach Wilson, QB NYJ</v>
      </c>
      <c r="C51" s="5" t="str">
        <f>IFERROR(__xludf.DUMMYFUNCTION("""COMPUTED_VALUE"""),"5 | | | | |")</f>
        <v>5 | | | | |</v>
      </c>
      <c r="D51" s="5" t="str">
        <f>IFERROR(__xludf.DUMMYFUNCTION("""COMPUTED_VALUE"""),"+ Show History »")</f>
        <v>+ Show History »</v>
      </c>
      <c r="E51" s="5" t="str">
        <f>IFERROR(__xludf.DUMMYFUNCTION("""COMPUTED_VALUE"""),"Medium Risk")</f>
        <v>Medium Risk</v>
      </c>
      <c r="F51" s="38">
        <f>IFERROR(__xludf.DUMMYFUNCTION("""COMPUTED_VALUE"""),0.33)</f>
        <v>0.33</v>
      </c>
      <c r="G51" s="5">
        <f>IFERROR(__xludf.DUMMYFUNCTION("""COMPUTED_VALUE"""),2.31)</f>
        <v>2.31</v>
      </c>
      <c r="H51" s="60">
        <f>IFERROR(__xludf.DUMMYFUNCTION("""COMPUTED_VALUE"""),0.023)</f>
        <v>0.023</v>
      </c>
      <c r="I51" s="5">
        <f>IFERROR(__xludf.DUMMYFUNCTION("""COMPUTED_VALUE"""),1.92)</f>
        <v>1.92</v>
      </c>
      <c r="J51" s="5">
        <f>IFERROR(__xludf.DUMMYFUNCTION("""COMPUTED_VALUE"""),109.5)</f>
        <v>109.5</v>
      </c>
    </row>
    <row r="52">
      <c r="A52" s="5" t="str">
        <f>IFERROR(__xludf.DUMMYFUNCTION("""COMPUTED_VALUE"""),"*Medium Risk*
1
2
1
1
X
Zach WilsonQB NYJ
Seasons:2
Height:6'3""
Weight:210
Bye:7
View Player Profile »
Injury History [TABLE]")</f>
        <v>*Medium Risk*
1
2
1
1
X
Zach WilsonQB NYJ
Seasons:2
Height:6'3"
Weight:210
Bye:7
View Player Profile »
Injury History [TABLE]</v>
      </c>
      <c r="B52" s="5"/>
      <c r="C52" s="5"/>
      <c r="D52" s="5"/>
      <c r="E52" s="5"/>
      <c r="F52" s="5"/>
      <c r="G52" s="5"/>
      <c r="H52" s="5"/>
      <c r="I52" s="5"/>
      <c r="J52" s="5"/>
    </row>
    <row r="53">
      <c r="A53" s="5"/>
      <c r="B53" s="5" t="str">
        <f>IFERROR(__xludf.DUMMYFUNCTION("""COMPUTED_VALUE"""),"Ryan Tannehill, QB TEN")</f>
        <v>Ryan Tannehill, QB TEN</v>
      </c>
      <c r="C53" s="5" t="str">
        <f>IFERROR(__xludf.DUMMYFUNCTION("""COMPUTED_VALUE"""),"7 | | | | | | |")</f>
        <v>7 | | | | | | |</v>
      </c>
      <c r="D53" s="5" t="str">
        <f>IFERROR(__xludf.DUMMYFUNCTION("""COMPUTED_VALUE"""),"+ Show History »")</f>
        <v>+ Show History »</v>
      </c>
      <c r="E53" s="5" t="str">
        <f>IFERROR(__xludf.DUMMYFUNCTION("""COMPUTED_VALUE"""),"Medium Risk")</f>
        <v>Medium Risk</v>
      </c>
      <c r="F53" s="38">
        <f>IFERROR(__xludf.DUMMYFUNCTION("""COMPUTED_VALUE"""),0.3)</f>
        <v>0.3</v>
      </c>
      <c r="G53" s="5">
        <f>IFERROR(__xludf.DUMMYFUNCTION("""COMPUTED_VALUE"""),1.45)</f>
        <v>1.45</v>
      </c>
      <c r="H53" s="60">
        <f>IFERROR(__xludf.DUMMYFUNCTION("""COMPUTED_VALUE"""),0.021)</f>
        <v>0.021</v>
      </c>
      <c r="I53" s="5">
        <f>IFERROR(__xludf.DUMMYFUNCTION("""COMPUTED_VALUE"""),5.0)</f>
        <v>5</v>
      </c>
      <c r="J53" s="5">
        <f>IFERROR(__xludf.DUMMYFUNCTION("""COMPUTED_VALUE"""),92.1)</f>
        <v>92.1</v>
      </c>
    </row>
    <row r="54">
      <c r="A54" s="5" t="str">
        <f>IFERROR(__xludf.DUMMYFUNCTION("""COMPUTED_VALUE"""),"*Medium Risk*
3
1
2
1
X
Ryan TannehillQB TEN
Seasons:11
Height:6'4""
Weight:222
Bye:7
View Player Profile »
Injury History [TABLE]")</f>
        <v>*Medium Risk*
3
1
2
1
X
Ryan TannehillQB TEN
Seasons:11
Height:6'4"
Weight:222
Bye:7
View Player Profile »
Injury History [TABLE]</v>
      </c>
      <c r="B54" s="5"/>
      <c r="C54" s="5"/>
      <c r="D54" s="5"/>
      <c r="E54" s="5"/>
      <c r="F54" s="5"/>
      <c r="G54" s="5"/>
      <c r="H54" s="5"/>
      <c r="I54" s="5"/>
      <c r="J54" s="5"/>
    </row>
    <row r="55">
      <c r="A55" s="5"/>
      <c r="B55" s="5" t="str">
        <f>IFERROR(__xludf.DUMMYFUNCTION("""COMPUTED_VALUE"""),"Malik Willis, QB TEN")</f>
        <v>Malik Willis, QB TEN</v>
      </c>
      <c r="C55" s="5" t="str">
        <f>IFERROR(__xludf.DUMMYFUNCTION("""COMPUTED_VALUE"""),"2 | |")</f>
        <v>2 | |</v>
      </c>
      <c r="D55" s="5" t="str">
        <f>IFERROR(__xludf.DUMMYFUNCTION("""COMPUTED_VALUE"""),"+ Show History »")</f>
        <v>+ Show History »</v>
      </c>
      <c r="E55" s="5" t="str">
        <f>IFERROR(__xludf.DUMMYFUNCTION("""COMPUTED_VALUE"""),"Low Risk")</f>
        <v>Low Risk</v>
      </c>
      <c r="F55" s="38">
        <f>IFERROR(__xludf.DUMMYFUNCTION("""COMPUTED_VALUE"""),0.21)</f>
        <v>0.21</v>
      </c>
      <c r="G55" s="5">
        <f>IFERROR(__xludf.DUMMYFUNCTION("""COMPUTED_VALUE"""),1.58)</f>
        <v>1.58</v>
      </c>
      <c r="H55" s="60">
        <f>IFERROR(__xludf.DUMMYFUNCTION("""COMPUTED_VALUE"""),0.014)</f>
        <v>0.014</v>
      </c>
      <c r="I55" s="5">
        <f>IFERROR(__xludf.DUMMYFUNCTION("""COMPUTED_VALUE"""),5.0)</f>
        <v>5</v>
      </c>
      <c r="J55" s="5">
        <f>IFERROR(__xludf.DUMMYFUNCTION("""COMPUTED_VALUE"""),10.7)</f>
        <v>10.7</v>
      </c>
    </row>
    <row r="56">
      <c r="A56" s="5" t="str">
        <f>IFERROR(__xludf.DUMMYFUNCTION("""COMPUTED_VALUE"""),"*Low Risk*
1
1
X
Malik WillisQB TEN
Seasons:2
Height:6'1""
Weight:219
Bye:7
View Player Profile »
Injury History [TABLE]")</f>
        <v>*Low Risk*
1
1
X
Malik WillisQB TEN
Seasons:2
Height:6'1"
Weight:219
Bye:7
View Player Profile »
Injury History [TABLE]</v>
      </c>
      <c r="B56" s="5"/>
      <c r="C56" s="5"/>
      <c r="D56" s="5"/>
      <c r="E56" s="5"/>
      <c r="F56" s="5"/>
      <c r="G56" s="5"/>
      <c r="H56" s="5"/>
      <c r="I56" s="5"/>
      <c r="J56" s="5"/>
    </row>
    <row r="57">
      <c r="A57" s="5"/>
      <c r="B57" s="5" t="str">
        <f>IFERROR(__xludf.DUMMYFUNCTION("""COMPUTED_VALUE"""),"Russell Wilson, QB DEN")</f>
        <v>Russell Wilson, QB DEN</v>
      </c>
      <c r="C57" s="5" t="str">
        <f>IFERROR(__xludf.DUMMYFUNCTION("""COMPUTED_VALUE"""),"7 | | | | | | |")</f>
        <v>7 | | | | | | |</v>
      </c>
      <c r="D57" s="5" t="str">
        <f>IFERROR(__xludf.DUMMYFUNCTION("""COMPUTED_VALUE"""),"+ Show History »")</f>
        <v>+ Show History »</v>
      </c>
      <c r="E57" s="5" t="str">
        <f>IFERROR(__xludf.DUMMYFUNCTION("""COMPUTED_VALUE"""),"High Risk")</f>
        <v>High Risk</v>
      </c>
      <c r="F57" s="38">
        <f>IFERROR(__xludf.DUMMYFUNCTION("""COMPUTED_VALUE"""),0.49)</f>
        <v>0.49</v>
      </c>
      <c r="G57" s="5">
        <f>IFERROR(__xludf.DUMMYFUNCTION("""COMPUTED_VALUE"""),2.5)</f>
        <v>2.5</v>
      </c>
      <c r="H57" s="60">
        <f>IFERROR(__xludf.DUMMYFUNCTION("""COMPUTED_VALUE"""),0.039)</f>
        <v>0.039</v>
      </c>
      <c r="I57" s="5">
        <f>IFERROR(__xludf.DUMMYFUNCTION("""COMPUTED_VALUE"""),5.0)</f>
        <v>5</v>
      </c>
      <c r="J57" s="5">
        <f>IFERROR(__xludf.DUMMYFUNCTION("""COMPUTED_VALUE"""),0.0)</f>
        <v>0</v>
      </c>
    </row>
    <row r="58">
      <c r="A58" s="5" t="str">
        <f>IFERROR(__xludf.DUMMYFUNCTION("""COMPUTED_VALUE"""),"*High Risk*
2
1
1
1
1
1
X
Russell WilsonQB DEN
Seasons:11
Height:5'11""
Weight:206
Bye:9
View Player Profile »
Injury History [TABLE]")</f>
        <v>*High Risk*
2
1
1
1
1
1
X
Russell WilsonQB DEN
Seasons:11
Height:5'11"
Weight:206
Bye:9
View Player Profile »
Injury History [TABLE]</v>
      </c>
      <c r="B58" s="5"/>
      <c r="C58" s="5"/>
      <c r="D58" s="5"/>
      <c r="E58" s="5"/>
      <c r="F58" s="5"/>
      <c r="G58" s="5"/>
      <c r="H58" s="5"/>
      <c r="I58" s="5"/>
      <c r="J58" s="5"/>
    </row>
    <row r="59">
      <c r="A59" s="5"/>
      <c r="B59" s="5" t="str">
        <f>IFERROR(__xludf.DUMMYFUNCTION("""COMPUTED_VALUE"""),"Kirk Cousins, QB MIN")</f>
        <v>Kirk Cousins, QB MIN</v>
      </c>
      <c r="C59" s="5" t="str">
        <f>IFERROR(__xludf.DUMMYFUNCTION("""COMPUTED_VALUE"""),"2 | |")</f>
        <v>2 | |</v>
      </c>
      <c r="D59" s="5" t="str">
        <f>IFERROR(__xludf.DUMMYFUNCTION("""COMPUTED_VALUE"""),"+ Show History »")</f>
        <v>+ Show History »</v>
      </c>
      <c r="E59" s="5" t="str">
        <f>IFERROR(__xludf.DUMMYFUNCTION("""COMPUTED_VALUE"""),"Very Low Risk")</f>
        <v>Very Low Risk</v>
      </c>
      <c r="F59" s="38">
        <f>IFERROR(__xludf.DUMMYFUNCTION("""COMPUTED_VALUE"""),0.06)</f>
        <v>0.06</v>
      </c>
      <c r="G59" s="5">
        <f>IFERROR(__xludf.DUMMYFUNCTION("""COMPUTED_VALUE"""),0.5)</f>
        <v>0.5</v>
      </c>
      <c r="H59" s="60">
        <f>IFERROR(__xludf.DUMMYFUNCTION("""COMPUTED_VALUE"""),0.004)</f>
        <v>0.004</v>
      </c>
      <c r="I59" s="5">
        <f>IFERROR(__xludf.DUMMYFUNCTION("""COMPUTED_VALUE"""),5.0)</f>
        <v>5</v>
      </c>
      <c r="J59" s="5">
        <f>IFERROR(__xludf.DUMMYFUNCTION("""COMPUTED_VALUE"""),0.0)</f>
        <v>0</v>
      </c>
    </row>
    <row r="60">
      <c r="A60" s="5" t="str">
        <f>IFERROR(__xludf.DUMMYFUNCTION("""COMPUTED_VALUE"""),"*Very Low Risk*
2
X
Kirk CousinsQB MIN
Seasons:11
Height:6'3""
Weight:214
Bye:13
View Player Profile »
Injury History [TABLE]")</f>
        <v>*Very Low Risk*
2
X
Kirk CousinsQB MIN
Seasons:11
Height:6'3"
Weight:214
Bye:13
View Player Profile »
Injury History [TABLE]</v>
      </c>
      <c r="B60" s="5"/>
      <c r="C60" s="5"/>
      <c r="D60" s="5"/>
      <c r="E60" s="5"/>
      <c r="F60" s="5"/>
      <c r="G60" s="5"/>
      <c r="H60" s="5"/>
      <c r="I60" s="5"/>
      <c r="J60" s="5"/>
    </row>
    <row r="61">
      <c r="A61" s="5"/>
      <c r="B61" s="5" t="str">
        <f>IFERROR(__xludf.DUMMYFUNCTION("""COMPUTED_VALUE"""),"Daniel Jones, QB NYG")</f>
        <v>Daniel Jones, QB NYG</v>
      </c>
      <c r="C61" s="5" t="str">
        <f>IFERROR(__xludf.DUMMYFUNCTION("""COMPUTED_VALUE"""),"10 | | | | | | | | | |")</f>
        <v>10 | | | | | | | | | |</v>
      </c>
      <c r="D61" s="5" t="str">
        <f>IFERROR(__xludf.DUMMYFUNCTION("""COMPUTED_VALUE"""),"+ Show History »")</f>
        <v>+ Show History »</v>
      </c>
      <c r="E61" s="5" t="str">
        <f>IFERROR(__xludf.DUMMYFUNCTION("""COMPUTED_VALUE"""),"Very High Risk")</f>
        <v>Very High Risk</v>
      </c>
      <c r="F61" s="38">
        <f>IFERROR(__xludf.DUMMYFUNCTION("""COMPUTED_VALUE"""),0.64)</f>
        <v>0.64</v>
      </c>
      <c r="G61" s="5">
        <f>IFERROR(__xludf.DUMMYFUNCTION("""COMPUTED_VALUE"""),2.5)</f>
        <v>2.5</v>
      </c>
      <c r="H61" s="60">
        <f>IFERROR(__xludf.DUMMYFUNCTION("""COMPUTED_VALUE"""),0.058)</f>
        <v>0.058</v>
      </c>
      <c r="I61" s="5">
        <f>IFERROR(__xludf.DUMMYFUNCTION("""COMPUTED_VALUE"""),3.86)</f>
        <v>3.86</v>
      </c>
      <c r="J61" s="5">
        <f>IFERROR(__xludf.DUMMYFUNCTION("""COMPUTED_VALUE"""),0.0)</f>
        <v>0</v>
      </c>
    </row>
    <row r="62">
      <c r="A62" s="5" t="str">
        <f>IFERROR(__xludf.DUMMYFUNCTION("""COMPUTED_VALUE"""),"*Very High Risk*
1
2
3
1
2
1
X
Daniel JonesQB NYG
Seasons:4
Height:6'5""
Weight:221
Bye:13
View Player Profile »
Injury History [TABLE]")</f>
        <v>*Very High Risk*
1
2
3
1
2
1
X
Daniel JonesQB NYG
Seasons:4
Height:6'5"
Weight:221
Bye:13
View Player Profile »
Injury History [TABLE]</v>
      </c>
      <c r="B62" s="5"/>
      <c r="C62" s="5"/>
      <c r="D62" s="5"/>
      <c r="E62" s="5"/>
      <c r="F62" s="5"/>
      <c r="G62" s="5"/>
      <c r="H62" s="5"/>
      <c r="I62" s="5"/>
      <c r="J62" s="5"/>
    </row>
    <row r="63">
      <c r="A63" s="5"/>
      <c r="B63" s="5" t="str">
        <f>IFERROR(__xludf.DUMMYFUNCTION("""COMPUTED_VALUE"""),"Joe Burrow, QB CIN")</f>
        <v>Joe Burrow, QB CIN</v>
      </c>
      <c r="C63" s="5" t="str">
        <f>IFERROR(__xludf.DUMMYFUNCTION("""COMPUTED_VALUE"""),"11 | | | | | | | | | | |")</f>
        <v>11 | | | | | | | | | | |</v>
      </c>
      <c r="D63" s="5" t="str">
        <f>IFERROR(__xludf.DUMMYFUNCTION("""COMPUTED_VALUE"""),"+ Show History »")</f>
        <v>+ Show History »</v>
      </c>
      <c r="E63" s="5" t="str">
        <f>IFERROR(__xludf.DUMMYFUNCTION("""COMPUTED_VALUE"""),"High Risk")</f>
        <v>High Risk</v>
      </c>
      <c r="F63" s="38">
        <f>IFERROR(__xludf.DUMMYFUNCTION("""COMPUTED_VALUE"""),0.58)</f>
        <v>0.58</v>
      </c>
      <c r="G63" s="5">
        <f>IFERROR(__xludf.DUMMYFUNCTION("""COMPUTED_VALUE"""),1.5)</f>
        <v>1.5</v>
      </c>
      <c r="H63" s="38">
        <f>IFERROR(__xludf.DUMMYFUNCTION("""COMPUTED_VALUE"""),0.05)</f>
        <v>0.05</v>
      </c>
      <c r="I63" s="5">
        <f>IFERROR(__xludf.DUMMYFUNCTION("""COMPUTED_VALUE"""),5.0)</f>
        <v>5</v>
      </c>
      <c r="J63" s="5">
        <f>IFERROR(__xludf.DUMMYFUNCTION("""COMPUTED_VALUE"""),0.0)</f>
        <v>0</v>
      </c>
    </row>
    <row r="64">
      <c r="A64" s="5" t="str">
        <f>IFERROR(__xludf.DUMMYFUNCTION("""COMPUTED_VALUE"""),"*High Risk*
3
1
6
1
X
Joe BurrowQB CIN
Seasons:3
Height:6'3""
Weight:221
Bye:7
View Player Profile »
Injury History [TABLE]")</f>
        <v>*High Risk*
3
1
6
1
X
Joe BurrowQB CIN
Seasons:3
Height:6'3"
Weight:221
Bye:7
View Player Profile »
Injury History [TABLE]</v>
      </c>
      <c r="B64" s="5"/>
      <c r="C64" s="5"/>
      <c r="D64" s="5"/>
      <c r="E64" s="5"/>
      <c r="F64" s="5"/>
      <c r="G64" s="5"/>
      <c r="H64" s="5"/>
      <c r="I64" s="5"/>
      <c r="J64" s="5"/>
    </row>
    <row r="65">
      <c r="A65" s="5"/>
      <c r="B65" s="5" t="str">
        <f>IFERROR(__xludf.DUMMYFUNCTION("""COMPUTED_VALUE"""),"Justin Herbert, QB LAC")</f>
        <v>Justin Herbert, QB LAC</v>
      </c>
      <c r="C65" s="5" t="str">
        <f>IFERROR(__xludf.DUMMYFUNCTION("""COMPUTED_VALUE"""),"7 | | | | | | |")</f>
        <v>7 | | | | | | |</v>
      </c>
      <c r="D65" s="5" t="str">
        <f>IFERROR(__xludf.DUMMYFUNCTION("""COMPUTED_VALUE"""),"+ Show History »")</f>
        <v>+ Show History »</v>
      </c>
      <c r="E65" s="5" t="str">
        <f>IFERROR(__xludf.DUMMYFUNCTION("""COMPUTED_VALUE"""),"Very High Risk")</f>
        <v>Very High Risk</v>
      </c>
      <c r="F65" s="38">
        <f>IFERROR(__xludf.DUMMYFUNCTION("""COMPUTED_VALUE"""),0.67)</f>
        <v>0.67</v>
      </c>
      <c r="G65" s="5">
        <f>IFERROR(__xludf.DUMMYFUNCTION("""COMPUTED_VALUE"""),1.5)</f>
        <v>1.5</v>
      </c>
      <c r="H65" s="60">
        <f>IFERROR(__xludf.DUMMYFUNCTION("""COMPUTED_VALUE"""),0.063)</f>
        <v>0.063</v>
      </c>
      <c r="I65" s="5">
        <f>IFERROR(__xludf.DUMMYFUNCTION("""COMPUTED_VALUE"""),5.0)</f>
        <v>5</v>
      </c>
      <c r="J65" s="5">
        <f>IFERROR(__xludf.DUMMYFUNCTION("""COMPUTED_VALUE"""),0.0)</f>
        <v>0</v>
      </c>
    </row>
    <row r="66">
      <c r="A66" s="5" t="str">
        <f>IFERROR(__xludf.DUMMYFUNCTION("""COMPUTED_VALUE"""),"*Very High Risk*
2
3
1
1
X
Justin HerbertQB LAC
Seasons:3
Height:6'6""
Weight:236
Bye:5
View Player Profile »
Injury History [TABLE]")</f>
        <v>*Very High Risk*
2
3
1
1
X
Justin HerbertQB LAC
Seasons:3
Height:6'6"
Weight:236
Bye:5
View Player Profile »
Injury History [TABLE]</v>
      </c>
      <c r="B66" s="5"/>
      <c r="C66" s="5"/>
      <c r="D66" s="5"/>
      <c r="E66" s="5"/>
      <c r="F66" s="5"/>
      <c r="G66" s="5"/>
      <c r="H66" s="5"/>
      <c r="I66" s="5"/>
      <c r="J66" s="5"/>
    </row>
    <row r="67">
      <c r="A67" s="5"/>
      <c r="B67" s="5" t="str">
        <f>IFERROR(__xludf.DUMMYFUNCTION("""COMPUTED_VALUE"""),"Sam Howell, QB WAS")</f>
        <v>Sam Howell, QB WAS</v>
      </c>
      <c r="C67" s="5" t="str">
        <f>IFERROR(__xludf.DUMMYFUNCTION("""COMPUTED_VALUE"""),"1 |")</f>
        <v>1 |</v>
      </c>
      <c r="D67" s="5" t="str">
        <f>IFERROR(__xludf.DUMMYFUNCTION("""COMPUTED_VALUE"""),"+ Show History »")</f>
        <v>+ Show History »</v>
      </c>
      <c r="E67" s="5" t="str">
        <f>IFERROR(__xludf.DUMMYFUNCTION("""COMPUTED_VALUE"""),"Medium Risk")</f>
        <v>Medium Risk</v>
      </c>
      <c r="F67" s="38">
        <f>IFERROR(__xludf.DUMMYFUNCTION("""COMPUTED_VALUE"""),0.35)</f>
        <v>0.35</v>
      </c>
      <c r="G67" s="5">
        <f>IFERROR(__xludf.DUMMYFUNCTION("""COMPUTED_VALUE"""),1.9)</f>
        <v>1.9</v>
      </c>
      <c r="H67" s="60">
        <f>IFERROR(__xludf.DUMMYFUNCTION("""COMPUTED_VALUE"""),0.025)</f>
        <v>0.025</v>
      </c>
      <c r="I67" s="5">
        <f>IFERROR(__xludf.DUMMYFUNCTION("""COMPUTED_VALUE"""),5.0)</f>
        <v>5</v>
      </c>
      <c r="J67" s="5">
        <f>IFERROR(__xludf.DUMMYFUNCTION("""COMPUTED_VALUE"""),0.0)</f>
        <v>0</v>
      </c>
    </row>
    <row r="68">
      <c r="A68" s="5" t="str">
        <f>IFERROR(__xludf.DUMMYFUNCTION("""COMPUTED_VALUE"""),"*Medium Risk*
1
X
Sam HowellQB WAS
Seasons:2
Height:6'1""
Weight:220
Bye:14
View Player Profile »
Injury History [TABLE]")</f>
        <v>*Medium Risk*
1
X
Sam HowellQB WAS
Seasons:2
Height:6'1"
Weight:220
Bye:14
View Player Profile »
Injury History [TABLE]</v>
      </c>
      <c r="B68" s="5"/>
      <c r="C68" s="5"/>
      <c r="D68" s="5"/>
      <c r="E68" s="5"/>
      <c r="F68" s="5"/>
      <c r="G68" s="5"/>
      <c r="H68" s="5"/>
      <c r="I68" s="5"/>
      <c r="J68" s="5"/>
    </row>
    <row r="69">
      <c r="A69" s="5"/>
      <c r="B69" s="5" t="str">
        <f>IFERROR(__xludf.DUMMYFUNCTION("""COMPUTED_VALUE"""),"Desmond Ridder, QB ATL")</f>
        <v>Desmond Ridder, QB ATL</v>
      </c>
      <c r="C69" s="5" t="str">
        <f>IFERROR(__xludf.DUMMYFUNCTION("""COMPUTED_VALUE"""),"3 | | |")</f>
        <v>3 | | |</v>
      </c>
      <c r="D69" s="5" t="str">
        <f>IFERROR(__xludf.DUMMYFUNCTION("""COMPUTED_VALUE"""),"+ Show History »")</f>
        <v>+ Show History »</v>
      </c>
      <c r="E69" s="5" t="str">
        <f>IFERROR(__xludf.DUMMYFUNCTION("""COMPUTED_VALUE"""),"Low Risk")</f>
        <v>Low Risk</v>
      </c>
      <c r="F69" s="38">
        <f>IFERROR(__xludf.DUMMYFUNCTION("""COMPUTED_VALUE"""),0.26)</f>
        <v>0.26</v>
      </c>
      <c r="G69" s="5">
        <f>IFERROR(__xludf.DUMMYFUNCTION("""COMPUTED_VALUE"""),0.88)</f>
        <v>0.88</v>
      </c>
      <c r="H69" s="60">
        <f>IFERROR(__xludf.DUMMYFUNCTION("""COMPUTED_VALUE"""),0.018)</f>
        <v>0.018</v>
      </c>
      <c r="I69" s="5">
        <f>IFERROR(__xludf.DUMMYFUNCTION("""COMPUTED_VALUE"""),5.0)</f>
        <v>5</v>
      </c>
      <c r="J69" s="5">
        <f>IFERROR(__xludf.DUMMYFUNCTION("""COMPUTED_VALUE"""),0.0)</f>
        <v>0</v>
      </c>
    </row>
    <row r="70">
      <c r="A70" s="5" t="str">
        <f>IFERROR(__xludf.DUMMYFUNCTION("""COMPUTED_VALUE"""),"*Low Risk*
1
2
X
Desmond RidderQB ATL
Seasons:2
Height:6'3""
Weight:207
Bye:11
View Player Profile »
Injury History [TABLE]")</f>
        <v>*Low Risk*
1
2
X
Desmond RidderQB ATL
Seasons:2
Height:6'3"
Weight:207
Bye:11
View Player Profile »
Injury History [TABLE]</v>
      </c>
      <c r="B70" s="5"/>
      <c r="C70" s="5"/>
      <c r="D70" s="5"/>
      <c r="E70" s="5"/>
      <c r="F70" s="5"/>
      <c r="G70" s="5"/>
      <c r="H70" s="5"/>
      <c r="I70" s="5"/>
      <c r="J70" s="5"/>
    </row>
    <row r="71">
      <c r="A71" s="5"/>
      <c r="B71" s="5" t="str">
        <f>IFERROR(__xludf.DUMMYFUNCTION("""COMPUTED_VALUE"""),"Deshaun Watson, QB CLE")</f>
        <v>Deshaun Watson, QB CLE</v>
      </c>
      <c r="C71" s="5" t="str">
        <f>IFERROR(__xludf.DUMMYFUNCTION("""COMPUTED_VALUE"""),"8 | | | | | | | |")</f>
        <v>8 | | | | | | | |</v>
      </c>
      <c r="D71" s="5" t="str">
        <f>IFERROR(__xludf.DUMMYFUNCTION("""COMPUTED_VALUE"""),"+ Show History »")</f>
        <v>+ Show History »</v>
      </c>
      <c r="E71" s="5" t="str">
        <f>IFERROR(__xludf.DUMMYFUNCTION("""COMPUTED_VALUE"""),"Very Low Risk")</f>
        <v>Very Low Risk</v>
      </c>
      <c r="F71" s="38">
        <f>IFERROR(__xludf.DUMMYFUNCTION("""COMPUTED_VALUE"""),0.06)</f>
        <v>0.06</v>
      </c>
      <c r="G71" s="5">
        <f>IFERROR(__xludf.DUMMYFUNCTION("""COMPUTED_VALUE"""),0.77)</f>
        <v>0.77</v>
      </c>
      <c r="H71" s="60">
        <f>IFERROR(__xludf.DUMMYFUNCTION("""COMPUTED_VALUE"""),0.004)</f>
        <v>0.004</v>
      </c>
      <c r="I71" s="5">
        <f>IFERROR(__xludf.DUMMYFUNCTION("""COMPUTED_VALUE"""),3.48)</f>
        <v>3.48</v>
      </c>
      <c r="J71" s="5">
        <f>IFERROR(__xludf.DUMMYFUNCTION("""COMPUTED_VALUE"""),0.0)</f>
        <v>0</v>
      </c>
    </row>
    <row r="72">
      <c r="A72" s="5" t="str">
        <f>IFERROR(__xludf.DUMMYFUNCTION("""COMPUTED_VALUE"""),"*Very Low Risk*
3
1
3
1
X
Deshaun WatsonQB CLE
Seasons:6
Height:6'3""
Weight:221
Bye:5
View Player Profile »
Injury History [TABLE]")</f>
        <v>*Very Low Risk*
3
1
3
1
X
Deshaun WatsonQB CLE
Seasons:6
Height:6'3"
Weight:221
Bye:5
View Player Profile »
Injury History [TABLE]</v>
      </c>
      <c r="B72" s="5"/>
      <c r="C72" s="5"/>
      <c r="D72" s="5"/>
      <c r="E72" s="5"/>
      <c r="F72" s="5"/>
      <c r="G72" s="5"/>
      <c r="H72" s="5"/>
      <c r="I72" s="5"/>
      <c r="J72" s="5"/>
    </row>
    <row r="73">
      <c r="A73" s="5"/>
      <c r="B73" s="5" t="str">
        <f>IFERROR(__xludf.DUMMYFUNCTION("""COMPUTED_VALUE"""),"Kenny Pickett, QB PIT")</f>
        <v>Kenny Pickett, QB PIT</v>
      </c>
      <c r="C73" s="5" t="str">
        <f>IFERROR(__xludf.DUMMYFUNCTION("""COMPUTED_VALUE"""),"7 | | | | | | |")</f>
        <v>7 | | | | | | |</v>
      </c>
      <c r="D73" s="5" t="str">
        <f>IFERROR(__xludf.DUMMYFUNCTION("""COMPUTED_VALUE"""),"+ Show History »")</f>
        <v>+ Show History »</v>
      </c>
      <c r="E73" s="5" t="str">
        <f>IFERROR(__xludf.DUMMYFUNCTION("""COMPUTED_VALUE"""),"Medium Risk")</f>
        <v>Medium Risk</v>
      </c>
      <c r="F73" s="38">
        <f>IFERROR(__xludf.DUMMYFUNCTION("""COMPUTED_VALUE"""),0.3)</f>
        <v>0.3</v>
      </c>
      <c r="G73" s="5">
        <f>IFERROR(__xludf.DUMMYFUNCTION("""COMPUTED_VALUE"""),1.39)</f>
        <v>1.39</v>
      </c>
      <c r="H73" s="60">
        <f>IFERROR(__xludf.DUMMYFUNCTION("""COMPUTED_VALUE"""),0.021)</f>
        <v>0.021</v>
      </c>
      <c r="I73" s="5">
        <f>IFERROR(__xludf.DUMMYFUNCTION("""COMPUTED_VALUE"""),4.95)</f>
        <v>4.95</v>
      </c>
      <c r="J73" s="5">
        <f>IFERROR(__xludf.DUMMYFUNCTION("""COMPUTED_VALUE"""),0.0)</f>
        <v>0</v>
      </c>
    </row>
    <row r="74">
      <c r="A74" s="5" t="str">
        <f>IFERROR(__xludf.DUMMYFUNCTION("""COMPUTED_VALUE"""),"*Medium Risk*
2
1
1
2
1
X
Kenny PickettQB PIT
Seasons:2
Height:6'3""
Weight:220
Bye:6
View Player Profile »
Injury History [TABLE]")</f>
        <v>*Medium Risk*
2
1
1
2
1
X
Kenny PickettQB PIT
Seasons:2
Height:6'3"
Weight:220
Bye:6
View Player Profile »
Injury History [TABLE]</v>
      </c>
      <c r="B74" s="5"/>
      <c r="C74" s="5"/>
      <c r="D74" s="5"/>
      <c r="E74" s="5"/>
      <c r="F74" s="5"/>
      <c r="G74" s="5"/>
      <c r="H74" s="5"/>
      <c r="I74" s="5"/>
      <c r="J74" s="5"/>
    </row>
    <row r="75">
      <c r="A75" s="5"/>
      <c r="B75" s="5" t="str">
        <f>IFERROR(__xludf.DUMMYFUNCTION("""COMPUTED_VALUE"""),"Kyle Trask, QB TB")</f>
        <v>Kyle Trask, QB TB</v>
      </c>
      <c r="C75" s="5">
        <f>IFERROR(__xludf.DUMMYFUNCTION("""COMPUTED_VALUE"""),0.0)</f>
        <v>0</v>
      </c>
      <c r="D75" s="5" t="str">
        <f>IFERROR(__xludf.DUMMYFUNCTION("""COMPUTED_VALUE"""),"+ Show History »")</f>
        <v>+ Show History »</v>
      </c>
      <c r="E75" s="5" t="str">
        <f>IFERROR(__xludf.DUMMYFUNCTION("""COMPUTED_VALUE"""),"Very Low Risk")</f>
        <v>Very Low Risk</v>
      </c>
      <c r="F75" s="38">
        <f>IFERROR(__xludf.DUMMYFUNCTION("""COMPUTED_VALUE"""),0.1)</f>
        <v>0.1</v>
      </c>
      <c r="G75" s="5">
        <f>IFERROR(__xludf.DUMMYFUNCTION("""COMPUTED_VALUE"""),0.5)</f>
        <v>0.5</v>
      </c>
      <c r="H75" s="60">
        <f>IFERROR(__xludf.DUMMYFUNCTION("""COMPUTED_VALUE"""),0.006)</f>
        <v>0.006</v>
      </c>
      <c r="I75" s="5">
        <f>IFERROR(__xludf.DUMMYFUNCTION("""COMPUTED_VALUE"""),5.0)</f>
        <v>5</v>
      </c>
      <c r="J75" s="5">
        <f>IFERROR(__xludf.DUMMYFUNCTION("""COMPUTED_VALUE"""),0.0)</f>
        <v>0</v>
      </c>
    </row>
    <row r="76">
      <c r="A76" s="5" t="str">
        <f>IFERROR(__xludf.DUMMYFUNCTION("""COMPUTED_VALUE"""),"*Very Low Risk*
X
Kyle TraskQB TB
Seasons:3
Height:6'5""
Weight:240
Bye:5
View Player Profile »
Injury History [TABLE]")</f>
        <v>*Very Low Risk*
X
Kyle TraskQB TB
Seasons:3
Height:6'5"
Weight:240
Bye:5
View Player Profile »
Injury History [TABLE]</v>
      </c>
      <c r="B76" s="5"/>
      <c r="C76" s="5"/>
      <c r="D76" s="5"/>
      <c r="E76" s="5"/>
      <c r="F76" s="5"/>
      <c r="G76" s="5"/>
      <c r="H76" s="5"/>
      <c r="I76" s="5"/>
      <c r="J76" s="5"/>
    </row>
    <row r="77">
      <c r="A77" s="5"/>
      <c r="B77" s="5" t="str">
        <f>IFERROR(__xludf.DUMMYFUNCTION("""COMPUTED_VALUE"""),"Anthony Richardson, QB IND")</f>
        <v>Anthony Richardson, QB IND</v>
      </c>
      <c r="C77" s="5" t="str">
        <f>IFERROR(__xludf.DUMMYFUNCTION("""COMPUTED_VALUE"""),"5 | | | | |")</f>
        <v>5 | | | | |</v>
      </c>
      <c r="D77" s="5" t="str">
        <f>IFERROR(__xludf.DUMMYFUNCTION("""COMPUTED_VALUE"""),"+ Show History »")</f>
        <v>+ Show History »</v>
      </c>
      <c r="E77" s="5" t="str">
        <f>IFERROR(__xludf.DUMMYFUNCTION("""COMPUTED_VALUE"""),"Medium Risk")</f>
        <v>Medium Risk</v>
      </c>
      <c r="F77" s="38">
        <f>IFERROR(__xludf.DUMMYFUNCTION("""COMPUTED_VALUE"""),0.44)</f>
        <v>0.44</v>
      </c>
      <c r="G77" s="5">
        <f>IFERROR(__xludf.DUMMYFUNCTION("""COMPUTED_VALUE"""),1.3)</f>
        <v>1.3</v>
      </c>
      <c r="H77" s="60">
        <f>IFERROR(__xludf.DUMMYFUNCTION("""COMPUTED_VALUE"""),0.034)</f>
        <v>0.034</v>
      </c>
      <c r="I77" s="5">
        <f>IFERROR(__xludf.DUMMYFUNCTION("""COMPUTED_VALUE"""),5.0)</f>
        <v>5</v>
      </c>
      <c r="J77" s="5">
        <f>IFERROR(__xludf.DUMMYFUNCTION("""COMPUTED_VALUE"""),0.0)</f>
        <v>0</v>
      </c>
    </row>
    <row r="78">
      <c r="A78" s="5" t="str">
        <f>IFERROR(__xludf.DUMMYFUNCTION("""COMPUTED_VALUE"""),"*Medium Risk*
1
2
1
1
X
Anthony RichardsonQB IND
Seasons:0
Height:6'4""
Weight:244
Bye:11
View Player Profile »
Injury History [TABLE]")</f>
        <v>*Medium Risk*
1
2
1
1
X
Anthony RichardsonQB IND
Seasons:0
Height:6'4"
Weight:244
Bye:11
View Player Profile »
Injury History [TABLE]</v>
      </c>
      <c r="B78" s="5"/>
      <c r="C78" s="5"/>
      <c r="D78" s="5"/>
      <c r="E78" s="5"/>
      <c r="F78" s="5"/>
      <c r="G78" s="5"/>
      <c r="H78" s="5"/>
      <c r="I78" s="5"/>
      <c r="J78" s="5"/>
    </row>
    <row r="79">
      <c r="A79" s="5"/>
      <c r="B79" s="5" t="str">
        <f>IFERROR(__xludf.DUMMYFUNCTION("""COMPUTED_VALUE"""),"Aaron Rodgers, QB NYJ")</f>
        <v>Aaron Rodgers, QB NYJ</v>
      </c>
      <c r="C79" s="5" t="str">
        <f>IFERROR(__xludf.DUMMYFUNCTION("""COMPUTED_VALUE"""),"14 | | | | | | | | | | | | | |")</f>
        <v>14 | | | | | | | | | | | | | |</v>
      </c>
      <c r="D79" s="5" t="str">
        <f>IFERROR(__xludf.DUMMYFUNCTION("""COMPUTED_VALUE"""),"+ Show History »")</f>
        <v>+ Show History »</v>
      </c>
      <c r="E79" s="5" t="str">
        <f>IFERROR(__xludf.DUMMYFUNCTION("""COMPUTED_VALUE"""),"Medium Risk")</f>
        <v>Medium Risk</v>
      </c>
      <c r="F79" s="38">
        <f>IFERROR(__xludf.DUMMYFUNCTION("""COMPUTED_VALUE"""),0.39)</f>
        <v>0.39</v>
      </c>
      <c r="G79" s="5">
        <f>IFERROR(__xludf.DUMMYFUNCTION("""COMPUTED_VALUE"""),2.4)</f>
        <v>2.4</v>
      </c>
      <c r="H79" s="60">
        <f>IFERROR(__xludf.DUMMYFUNCTION("""COMPUTED_VALUE"""),0.029)</f>
        <v>0.029</v>
      </c>
      <c r="I79" s="5">
        <f>IFERROR(__xludf.DUMMYFUNCTION("""COMPUTED_VALUE"""),5.0)</f>
        <v>5</v>
      </c>
      <c r="J79" s="5">
        <f>IFERROR(__xludf.DUMMYFUNCTION("""COMPUTED_VALUE"""),0.0)</f>
        <v>0</v>
      </c>
    </row>
    <row r="80">
      <c r="A80" s="5" t="str">
        <f>IFERROR(__xludf.DUMMYFUNCTION("""COMPUTED_VALUE"""),"*Medium Risk*
3
3
1
1
3
1
2
X
Aaron RodgersQB NYJ
Seasons:18
Height:6'2""
Weight:225
Bye:7
View Player Profile »
Injury History [TABLE]")</f>
        <v>*Medium Risk*
3
3
1
1
3
1
2
X
Aaron RodgersQB NYJ
Seasons:18
Height:6'2"
Weight:225
Bye:7
View Player Profile »
Injury History [TABLE]</v>
      </c>
      <c r="B80" s="5"/>
      <c r="C80" s="5"/>
      <c r="D80" s="5"/>
      <c r="E80" s="5"/>
      <c r="F80" s="5"/>
      <c r="G80" s="5"/>
      <c r="H80" s="5"/>
      <c r="I80" s="5"/>
      <c r="J80" s="5"/>
    </row>
    <row r="81">
      <c r="A81" s="5"/>
      <c r="B81" s="5" t="str">
        <f>IFERROR(__xludf.DUMMYFUNCTION("""COMPUTED_VALUE"""),"Hendon Hooker, QB DET")</f>
        <v>Hendon Hooker, QB DET</v>
      </c>
      <c r="C81" s="5" t="str">
        <f>IFERROR(__xludf.DUMMYFUNCTION("""COMPUTED_VALUE"""),"1 |")</f>
        <v>1 |</v>
      </c>
      <c r="D81" s="5" t="str">
        <f>IFERROR(__xludf.DUMMYFUNCTION("""COMPUTED_VALUE"""),"+ Show History »")</f>
        <v>+ Show History »</v>
      </c>
      <c r="E81" s="5" t="str">
        <f>IFERROR(__xludf.DUMMYFUNCTION("""COMPUTED_VALUE"""),"Medium Risk")</f>
        <v>Medium Risk</v>
      </c>
      <c r="F81" s="38">
        <f>IFERROR(__xludf.DUMMYFUNCTION("""COMPUTED_VALUE"""),0.35)</f>
        <v>0.35</v>
      </c>
      <c r="G81" s="5">
        <f>IFERROR(__xludf.DUMMYFUNCTION("""COMPUTED_VALUE"""),1.7)</f>
        <v>1.7</v>
      </c>
      <c r="H81" s="60">
        <f>IFERROR(__xludf.DUMMYFUNCTION("""COMPUTED_VALUE"""),0.025)</f>
        <v>0.025</v>
      </c>
      <c r="I81" s="5">
        <f>IFERROR(__xludf.DUMMYFUNCTION("""COMPUTED_VALUE"""),5.0)</f>
        <v>5</v>
      </c>
      <c r="J81" s="5">
        <f>IFERROR(__xludf.DUMMYFUNCTION("""COMPUTED_VALUE"""),0.0)</f>
        <v>0</v>
      </c>
    </row>
    <row r="82">
      <c r="A82" s="5" t="str">
        <f>IFERROR(__xludf.DUMMYFUNCTION("""COMPUTED_VALUE"""),"*Medium Risk*
1
X
Hendon HookerQB DET
Seasons:0
Height:6'3""
Weight:217
Bye:9
View Player Profile »
Injury History [TABLE]")</f>
        <v>*Medium Risk*
1
X
Hendon HookerQB DET
Seasons:0
Height:6'3"
Weight:217
Bye:9
View Player Profile »
Injury History [TABLE]</v>
      </c>
      <c r="B82" s="5"/>
      <c r="C82" s="5"/>
      <c r="D82" s="5"/>
      <c r="E82" s="5"/>
      <c r="F82" s="5"/>
      <c r="G82" s="5"/>
      <c r="H82" s="5"/>
      <c r="I82" s="5"/>
      <c r="J82" s="5"/>
    </row>
    <row r="83">
      <c r="A83" s="5"/>
      <c r="B83" s="5" t="str">
        <f>IFERROR(__xludf.DUMMYFUNCTION("""COMPUTED_VALUE"""),"Blaine Gabbert, QB KC")</f>
        <v>Blaine Gabbert, QB KC</v>
      </c>
      <c r="C83" s="5" t="str">
        <f>IFERROR(__xludf.DUMMYFUNCTION("""COMPUTED_VALUE"""),"7 | | | | | | |")</f>
        <v>7 | | | | | | |</v>
      </c>
      <c r="D83" s="5" t="str">
        <f>IFERROR(__xludf.DUMMYFUNCTION("""COMPUTED_VALUE"""),"+ Show History »")</f>
        <v>+ Show History »</v>
      </c>
      <c r="E83" s="5" t="str">
        <f>IFERROR(__xludf.DUMMYFUNCTION("""COMPUTED_VALUE"""),"Low Risk")</f>
        <v>Low Risk</v>
      </c>
      <c r="F83" s="38">
        <f>IFERROR(__xludf.DUMMYFUNCTION("""COMPUTED_VALUE"""),0.19)</f>
        <v>0.19</v>
      </c>
      <c r="G83" s="5">
        <f>IFERROR(__xludf.DUMMYFUNCTION("""COMPUTED_VALUE"""),0.9)</f>
        <v>0.9</v>
      </c>
      <c r="H83" s="60">
        <f>IFERROR(__xludf.DUMMYFUNCTION("""COMPUTED_VALUE"""),0.012)</f>
        <v>0.012</v>
      </c>
      <c r="I83" s="5">
        <f>IFERROR(__xludf.DUMMYFUNCTION("""COMPUTED_VALUE"""),1.89)</f>
        <v>1.89</v>
      </c>
      <c r="J83" s="5">
        <f>IFERROR(__xludf.DUMMYFUNCTION("""COMPUTED_VALUE"""),0.0)</f>
        <v>0</v>
      </c>
    </row>
    <row r="84">
      <c r="A84" s="5" t="str">
        <f>IFERROR(__xludf.DUMMYFUNCTION("""COMPUTED_VALUE"""),"*Low Risk*
2
1
1
1
1
1
X
Blaine GabbertQB KC
Seasons:11
Height:6'4""
Weight:234
Bye:10
View Player Profile »
Injury History [TABLE]")</f>
        <v>*Low Risk*
2
1
1
1
1
1
X
Blaine GabbertQB KC
Seasons:11
Height:6'4"
Weight:234
Bye:10
View Player Profile »
Injury History [TABLE]</v>
      </c>
      <c r="B84" s="5"/>
      <c r="C84" s="5"/>
      <c r="D84" s="5"/>
      <c r="E84" s="5"/>
      <c r="F84" s="5"/>
      <c r="G84" s="5"/>
      <c r="H84" s="5"/>
      <c r="I84" s="5"/>
      <c r="J84" s="5"/>
    </row>
    <row r="85">
      <c r="A85" s="5"/>
      <c r="B85" s="5" t="str">
        <f>IFERROR(__xludf.DUMMYFUNCTION("""COMPUTED_VALUE"""),"Davis Mills, QB HOU")</f>
        <v>Davis Mills, QB HOU</v>
      </c>
      <c r="C85" s="5" t="str">
        <f>IFERROR(__xludf.DUMMYFUNCTION("""COMPUTED_VALUE"""),"2 | |")</f>
        <v>2 | |</v>
      </c>
      <c r="D85" s="5" t="str">
        <f>IFERROR(__xludf.DUMMYFUNCTION("""COMPUTED_VALUE"""),"+ Show History »")</f>
        <v>+ Show History »</v>
      </c>
      <c r="E85" s="5" t="str">
        <f>IFERROR(__xludf.DUMMYFUNCTION("""COMPUTED_VALUE"""),"Very Low Risk")</f>
        <v>Very Low Risk</v>
      </c>
      <c r="F85" s="38">
        <f>IFERROR(__xludf.DUMMYFUNCTION("""COMPUTED_VALUE"""),0.18)</f>
        <v>0.18</v>
      </c>
      <c r="G85" s="5">
        <f>IFERROR(__xludf.DUMMYFUNCTION("""COMPUTED_VALUE"""),0.5)</f>
        <v>0.5</v>
      </c>
      <c r="H85" s="60">
        <f>IFERROR(__xludf.DUMMYFUNCTION("""COMPUTED_VALUE"""),0.012)</f>
        <v>0.012</v>
      </c>
      <c r="I85" s="5">
        <f>IFERROR(__xludf.DUMMYFUNCTION("""COMPUTED_VALUE"""),5.0)</f>
        <v>5</v>
      </c>
      <c r="J85" s="5">
        <f>IFERROR(__xludf.DUMMYFUNCTION("""COMPUTED_VALUE"""),0.0)</f>
        <v>0</v>
      </c>
    </row>
    <row r="86">
      <c r="A86" s="5" t="str">
        <f>IFERROR(__xludf.DUMMYFUNCTION("""COMPUTED_VALUE"""),"*Very Low Risk*
1
1
X
Davis MillsQB HOU
Seasons:3
Height:6'4""
Weight:225
Bye:7
View Player Profile »
Injury History [TABLE]")</f>
        <v>*Very Low Risk*
1
1
X
Davis MillsQB HOU
Seasons:3
Height:6'4"
Weight:225
Bye:7
View Player Profile »
Injury History [TABLE]</v>
      </c>
      <c r="B86" s="5"/>
      <c r="C86" s="5"/>
      <c r="D86" s="5"/>
      <c r="E86" s="5"/>
      <c r="F86" s="5"/>
      <c r="G86" s="5"/>
      <c r="H86" s="5"/>
      <c r="I86" s="5"/>
      <c r="J86" s="5"/>
    </row>
    <row r="87">
      <c r="A87" s="5"/>
      <c r="B87" s="5" t="str">
        <f>IFERROR(__xludf.DUMMYFUNCTION("""COMPUTED_VALUE"""),"Teddy Bridgewater, QB DET")</f>
        <v>Teddy Bridgewater, QB DET</v>
      </c>
      <c r="C87" s="5" t="str">
        <f>IFERROR(__xludf.DUMMYFUNCTION("""COMPUTED_VALUE"""),"11 | | | | | | | | | | |")</f>
        <v>11 | | | | | | | | | | |</v>
      </c>
      <c r="D87" s="5" t="str">
        <f>IFERROR(__xludf.DUMMYFUNCTION("""COMPUTED_VALUE"""),"+ Show History »")</f>
        <v>+ Show History »</v>
      </c>
      <c r="E87" s="5" t="str">
        <f>IFERROR(__xludf.DUMMYFUNCTION("""COMPUTED_VALUE"""),"High Risk")</f>
        <v>High Risk</v>
      </c>
      <c r="F87" s="38">
        <f>IFERROR(__xludf.DUMMYFUNCTION("""COMPUTED_VALUE"""),0.5)</f>
        <v>0.5</v>
      </c>
      <c r="G87" s="5">
        <f>IFERROR(__xludf.DUMMYFUNCTION("""COMPUTED_VALUE"""),2.86)</f>
        <v>2.86</v>
      </c>
      <c r="H87" s="38">
        <f>IFERROR(__xludf.DUMMYFUNCTION("""COMPUTED_VALUE"""),0.04)</f>
        <v>0.04</v>
      </c>
      <c r="I87" s="5">
        <f>IFERROR(__xludf.DUMMYFUNCTION("""COMPUTED_VALUE"""),3.26)</f>
        <v>3.26</v>
      </c>
      <c r="J87" s="5">
        <f>IFERROR(__xludf.DUMMYFUNCTION("""COMPUTED_VALUE"""),0.0)</f>
        <v>0</v>
      </c>
    </row>
    <row r="88">
      <c r="A88" s="5" t="str">
        <f>IFERROR(__xludf.DUMMYFUNCTION("""COMPUTED_VALUE"""),"*High Risk*
2
4
1
2
2
X
Teddy BridgewaterQB DET
Seasons:9
Height:6'2""
Weight:214
Bye:9
View Player Profile »
Injury History [TABLE]")</f>
        <v>*High Risk*
2
4
1
2
2
X
Teddy BridgewaterQB DET
Seasons:9
Height:6'2"
Weight:214
Bye:9
View Player Profile »
Injury History [TABLE]</v>
      </c>
      <c r="B88" s="5"/>
      <c r="C88" s="5"/>
      <c r="D88" s="5"/>
      <c r="E88" s="5"/>
      <c r="F88" s="5"/>
      <c r="G88" s="5"/>
      <c r="H88" s="5"/>
      <c r="I88" s="5"/>
      <c r="J88" s="5"/>
    </row>
    <row r="89">
      <c r="A89" s="5"/>
      <c r="B89" s="5" t="str">
        <f>IFERROR(__xludf.DUMMYFUNCTION("""COMPUTED_VALUE"""),"Jimmy Garoppolo, QB LVR")</f>
        <v>Jimmy Garoppolo, QB LVR</v>
      </c>
      <c r="C89" s="5" t="str">
        <f>IFERROR(__xludf.DUMMYFUNCTION("""COMPUTED_VALUE"""),"11 | | | | | | | | | | |")</f>
        <v>11 | | | | | | | | | | |</v>
      </c>
      <c r="D89" s="5" t="str">
        <f>IFERROR(__xludf.DUMMYFUNCTION("""COMPUTED_VALUE"""),"+ Show History »")</f>
        <v>+ Show History »</v>
      </c>
      <c r="E89" s="5" t="str">
        <f>IFERROR(__xludf.DUMMYFUNCTION("""COMPUTED_VALUE"""),"Very High Risk")</f>
        <v>Very High Risk</v>
      </c>
      <c r="F89" s="38">
        <f>IFERROR(__xludf.DUMMYFUNCTION("""COMPUTED_VALUE"""),0.65)</f>
        <v>0.65</v>
      </c>
      <c r="G89" s="5">
        <f>IFERROR(__xludf.DUMMYFUNCTION("""COMPUTED_VALUE"""),3.4)</f>
        <v>3.4</v>
      </c>
      <c r="H89" s="38">
        <f>IFERROR(__xludf.DUMMYFUNCTION("""COMPUTED_VALUE"""),0.06)</f>
        <v>0.06</v>
      </c>
      <c r="I89" s="5">
        <f>IFERROR(__xludf.DUMMYFUNCTION("""COMPUTED_VALUE"""),2.15)</f>
        <v>2.15</v>
      </c>
      <c r="J89" s="5">
        <f>IFERROR(__xludf.DUMMYFUNCTION("""COMPUTED_VALUE"""),0.0)</f>
        <v>0</v>
      </c>
    </row>
    <row r="90">
      <c r="A90" s="5" t="str">
        <f>IFERROR(__xludf.DUMMYFUNCTION("""COMPUTED_VALUE"""),"*Very High Risk*
1
1
3
2
2
1
1
X
Jimmy GaroppoloQB LVR
Seasons:9
Height:6'2""
Weight:226
Bye:13
View Player Profile »
Injury History [TABLE]")</f>
        <v>*Very High Risk*
1
1
3
2
2
1
1
X
Jimmy GaroppoloQB LVR
Seasons:9
Height:6'2"
Weight:226
Bye:13
View Player Profile »
Injury History [TABLE]</v>
      </c>
      <c r="B90" s="5"/>
      <c r="C90" s="5"/>
      <c r="D90" s="5"/>
      <c r="E90" s="5"/>
      <c r="F90" s="5"/>
      <c r="G90" s="5"/>
      <c r="H90" s="5"/>
      <c r="I90" s="5"/>
      <c r="J90" s="5"/>
    </row>
    <row r="91">
      <c r="A91" s="5"/>
      <c r="B91" s="5" t="str">
        <f>IFERROR(__xludf.DUMMYFUNCTION("""COMPUTED_VALUE"""),"Marcus Mariota, QB PHI")</f>
        <v>Marcus Mariota, QB PHI</v>
      </c>
      <c r="C91" s="5" t="str">
        <f>IFERROR(__xludf.DUMMYFUNCTION("""COMPUTED_VALUE"""),"12 | | | | | | | | | | | |")</f>
        <v>12 | | | | | | | | | | | |</v>
      </c>
      <c r="D91" s="5" t="str">
        <f>IFERROR(__xludf.DUMMYFUNCTION("""COMPUTED_VALUE"""),"+ Show History »")</f>
        <v>+ Show History »</v>
      </c>
      <c r="E91" s="5" t="str">
        <f>IFERROR(__xludf.DUMMYFUNCTION("""COMPUTED_VALUE"""),"Very High Risk")</f>
        <v>Very High Risk</v>
      </c>
      <c r="F91" s="38">
        <f>IFERROR(__xludf.DUMMYFUNCTION("""COMPUTED_VALUE"""),0.61)</f>
        <v>0.61</v>
      </c>
      <c r="G91" s="5">
        <f>IFERROR(__xludf.DUMMYFUNCTION("""COMPUTED_VALUE"""),3.76)</f>
        <v>3.76</v>
      </c>
      <c r="H91" s="60">
        <f>IFERROR(__xludf.DUMMYFUNCTION("""COMPUTED_VALUE"""),0.054)</f>
        <v>0.054</v>
      </c>
      <c r="I91" s="5">
        <f>IFERROR(__xludf.DUMMYFUNCTION("""COMPUTED_VALUE"""),3.32)</f>
        <v>3.32</v>
      </c>
      <c r="J91" s="5">
        <f>IFERROR(__xludf.DUMMYFUNCTION("""COMPUTED_VALUE"""),0.0)</f>
        <v>0</v>
      </c>
    </row>
    <row r="92">
      <c r="A92" s="5" t="str">
        <f>IFERROR(__xludf.DUMMYFUNCTION("""COMPUTED_VALUE"""),"*Very High Risk*
3
3
1
2
1
1
1
X
Marcus MariotaQB PHI
Seasons:8
Height:6'4""
Weight:215
Bye:10
View Player Profile »
Injury History [TABLE]")</f>
        <v>*Very High Risk*
3
3
1
2
1
1
1
X
Marcus MariotaQB PHI
Seasons:8
Height:6'4"
Weight:215
Bye:10
View Player Profile »
Injury History [TABLE]</v>
      </c>
      <c r="B92" s="5"/>
      <c r="C92" s="5"/>
      <c r="D92" s="5"/>
      <c r="E92" s="5"/>
      <c r="F92" s="5"/>
      <c r="G92" s="5"/>
      <c r="H92" s="5"/>
      <c r="I92" s="5"/>
      <c r="J92" s="5"/>
    </row>
    <row r="93">
      <c r="A93" s="5"/>
      <c r="B93" s="5" t="str">
        <f>IFERROR(__xludf.DUMMYFUNCTION("""COMPUTED_VALUE"""),"Sam Darnold, QB SF")</f>
        <v>Sam Darnold, QB SF</v>
      </c>
      <c r="C93" s="5" t="str">
        <f>IFERROR(__xludf.DUMMYFUNCTION("""COMPUTED_VALUE"""),"8 | | | | | | | |")</f>
        <v>8 | | | | | | | |</v>
      </c>
      <c r="D93" s="5" t="str">
        <f>IFERROR(__xludf.DUMMYFUNCTION("""COMPUTED_VALUE"""),"+ Show History »")</f>
        <v>+ Show History »</v>
      </c>
      <c r="E93" s="5" t="str">
        <f>IFERROR(__xludf.DUMMYFUNCTION("""COMPUTED_VALUE"""),"Very High Risk")</f>
        <v>Very High Risk</v>
      </c>
      <c r="F93" s="38">
        <f>IFERROR(__xludf.DUMMYFUNCTION("""COMPUTED_VALUE"""),0.63)</f>
        <v>0.63</v>
      </c>
      <c r="G93" s="5">
        <f>IFERROR(__xludf.DUMMYFUNCTION("""COMPUTED_VALUE"""),4.48)</f>
        <v>4.48</v>
      </c>
      <c r="H93" s="60">
        <f>IFERROR(__xludf.DUMMYFUNCTION("""COMPUTED_VALUE"""),0.057)</f>
        <v>0.057</v>
      </c>
      <c r="I93" s="5">
        <f>IFERROR(__xludf.DUMMYFUNCTION("""COMPUTED_VALUE"""),2.29)</f>
        <v>2.29</v>
      </c>
      <c r="J93" s="5">
        <f>IFERROR(__xludf.DUMMYFUNCTION("""COMPUTED_VALUE"""),0.0)</f>
        <v>0</v>
      </c>
    </row>
    <row r="94">
      <c r="A94" s="5" t="str">
        <f>IFERROR(__xludf.DUMMYFUNCTION("""COMPUTED_VALUE"""),"*Very High Risk*
3
3
1
1
X
Sam DarnoldQB SF
Seasons:5
Height:6'3""
Weight:221
Bye:9
View Player Profile »
Injury History [TABLE]")</f>
        <v>*Very High Risk*
3
3
1
1
X
Sam DarnoldQB SF
Seasons:5
Height:6'3"
Weight:221
Bye:9
View Player Profile »
Injury History [TABLE]</v>
      </c>
      <c r="B94" s="5"/>
      <c r="C94" s="5"/>
      <c r="D94" s="5"/>
      <c r="E94" s="5"/>
      <c r="F94" s="5"/>
      <c r="G94" s="5"/>
      <c r="H94" s="5"/>
      <c r="I94" s="5"/>
      <c r="J94" s="5"/>
    </row>
    <row r="95">
      <c r="A95" s="5"/>
      <c r="B95" s="5" t="str">
        <f>IFERROR(__xludf.DUMMYFUNCTION("""COMPUTED_VALUE"""),"Andy Dalton, QB CAR")</f>
        <v>Andy Dalton, QB CAR</v>
      </c>
      <c r="C95" s="5" t="str">
        <f>IFERROR(__xludf.DUMMYFUNCTION("""COMPUTED_VALUE"""),"6 | | | | | |")</f>
        <v>6 | | | | | |</v>
      </c>
      <c r="D95" s="5" t="str">
        <f>IFERROR(__xludf.DUMMYFUNCTION("""COMPUTED_VALUE"""),"+ Show History »")</f>
        <v>+ Show History »</v>
      </c>
      <c r="E95" s="5" t="str">
        <f>IFERROR(__xludf.DUMMYFUNCTION("""COMPUTED_VALUE"""),"High Risk")</f>
        <v>High Risk</v>
      </c>
      <c r="F95" s="38">
        <f>IFERROR(__xludf.DUMMYFUNCTION("""COMPUTED_VALUE"""),0.49)</f>
        <v>0.49</v>
      </c>
      <c r="G95" s="5">
        <f>IFERROR(__xludf.DUMMYFUNCTION("""COMPUTED_VALUE"""),2.33)</f>
        <v>2.33</v>
      </c>
      <c r="H95" s="60">
        <f>IFERROR(__xludf.DUMMYFUNCTION("""COMPUTED_VALUE"""),0.039)</f>
        <v>0.039</v>
      </c>
      <c r="I95" s="5">
        <f>IFERROR(__xludf.DUMMYFUNCTION("""COMPUTED_VALUE"""),5.0)</f>
        <v>5</v>
      </c>
      <c r="J95" s="5">
        <f>IFERROR(__xludf.DUMMYFUNCTION("""COMPUTED_VALUE"""),0.0)</f>
        <v>0</v>
      </c>
    </row>
    <row r="96">
      <c r="A96" s="5" t="str">
        <f>IFERROR(__xludf.DUMMYFUNCTION("""COMPUTED_VALUE"""),"*High Risk*
4
1
1
X
Andy DaltonQB CAR
Seasons:12
Height:6'2""
Weight:215
Bye:7
View Player Profile »
Injury History [TABLE]")</f>
        <v>*High Risk*
4
1
1
X
Andy DaltonQB CAR
Seasons:12
Height:6'2"
Weight:215
Bye:7
View Player Profile »
Injury History [TABLE]</v>
      </c>
      <c r="B96" s="5"/>
      <c r="C96" s="5"/>
      <c r="D96" s="5"/>
      <c r="E96" s="5"/>
      <c r="F96" s="5"/>
      <c r="G96" s="5"/>
      <c r="H96" s="5"/>
      <c r="I96" s="5"/>
      <c r="J96" s="5"/>
    </row>
    <row r="97">
      <c r="A97" s="5"/>
      <c r="B97" s="5" t="str">
        <f>IFERROR(__xludf.DUMMYFUNCTION("""COMPUTED_VALUE"""),"Taylor Heinicke, QB ATL")</f>
        <v>Taylor Heinicke, QB ATL</v>
      </c>
      <c r="C97" s="5" t="str">
        <f>IFERROR(__xludf.DUMMYFUNCTION("""COMPUTED_VALUE"""),"6 | | | | | |")</f>
        <v>6 | | | | | |</v>
      </c>
      <c r="D97" s="5" t="str">
        <f>IFERROR(__xludf.DUMMYFUNCTION("""COMPUTED_VALUE"""),"+ Show History »")</f>
        <v>+ Show History »</v>
      </c>
      <c r="E97" s="5" t="str">
        <f>IFERROR(__xludf.DUMMYFUNCTION("""COMPUTED_VALUE"""),"Low Risk")</f>
        <v>Low Risk</v>
      </c>
      <c r="F97" s="38">
        <f>IFERROR(__xludf.DUMMYFUNCTION("""COMPUTED_VALUE"""),0.3)</f>
        <v>0.3</v>
      </c>
      <c r="G97" s="5">
        <f>IFERROR(__xludf.DUMMYFUNCTION("""COMPUTED_VALUE"""),1.29)</f>
        <v>1.29</v>
      </c>
      <c r="H97" s="60">
        <f>IFERROR(__xludf.DUMMYFUNCTION("""COMPUTED_VALUE"""),0.021)</f>
        <v>0.021</v>
      </c>
      <c r="I97" s="5">
        <f>IFERROR(__xludf.DUMMYFUNCTION("""COMPUTED_VALUE"""),2.7)</f>
        <v>2.7</v>
      </c>
      <c r="J97" s="5">
        <f>IFERROR(__xludf.DUMMYFUNCTION("""COMPUTED_VALUE"""),0.0)</f>
        <v>0</v>
      </c>
    </row>
    <row r="98">
      <c r="A98" s="5" t="str">
        <f>IFERROR(__xludf.DUMMYFUNCTION("""COMPUTED_VALUE"""),"*Low Risk*
1
1
1
1
1
1
X
Taylor HeinickeQB ATL
Seasons:7
Height:6'0""
Weight:198
Bye:11
View Player Profile »
Injury History [TABLE]")</f>
        <v>*Low Risk*
1
1
1
1
1
1
X
Taylor HeinickeQB ATL
Seasons:7
Height:6'0"
Weight:198
Bye:11
View Player Profile »
Injury History [TABLE]</v>
      </c>
      <c r="B98" s="5"/>
      <c r="C98" s="5"/>
      <c r="D98" s="5"/>
      <c r="E98" s="5"/>
      <c r="F98" s="5"/>
      <c r="G98" s="5"/>
      <c r="H98" s="5"/>
      <c r="I98" s="5"/>
      <c r="J98" s="5"/>
    </row>
    <row r="99">
      <c r="A99" s="5"/>
      <c r="B99" s="5" t="str">
        <f>IFERROR(__xludf.DUMMYFUNCTION("""COMPUTED_VALUE"""),"Mac Jones, QB NE")</f>
        <v>Mac Jones, QB NE</v>
      </c>
      <c r="C99" s="5" t="str">
        <f>IFERROR(__xludf.DUMMYFUNCTION("""COMPUTED_VALUE"""),"3 | | |")</f>
        <v>3 | | |</v>
      </c>
      <c r="D99" s="5" t="str">
        <f>IFERROR(__xludf.DUMMYFUNCTION("""COMPUTED_VALUE"""),"+ Show History »")</f>
        <v>+ Show History »</v>
      </c>
      <c r="E99" s="5" t="str">
        <f>IFERROR(__xludf.DUMMYFUNCTION("""COMPUTED_VALUE"""),"Medium Risk")</f>
        <v>Medium Risk</v>
      </c>
      <c r="F99" s="38">
        <f>IFERROR(__xludf.DUMMYFUNCTION("""COMPUTED_VALUE"""),0.37)</f>
        <v>0.37</v>
      </c>
      <c r="G99" s="5">
        <f>IFERROR(__xludf.DUMMYFUNCTION("""COMPUTED_VALUE"""),1.5)</f>
        <v>1.5</v>
      </c>
      <c r="H99" s="60">
        <f>IFERROR(__xludf.DUMMYFUNCTION("""COMPUTED_VALUE"""),0.027)</f>
        <v>0.027</v>
      </c>
      <c r="I99" s="5">
        <f>IFERROR(__xludf.DUMMYFUNCTION("""COMPUTED_VALUE"""),5.0)</f>
        <v>5</v>
      </c>
      <c r="J99" s="5">
        <f>IFERROR(__xludf.DUMMYFUNCTION("""COMPUTED_VALUE"""),0.0)</f>
        <v>0</v>
      </c>
    </row>
    <row r="100">
      <c r="A100" s="5" t="str">
        <f>IFERROR(__xludf.DUMMYFUNCTION("""COMPUTED_VALUE"""),"*Medium Risk*
2
1
X
Mac JonesQB NE
Seasons:2
Height:6'3""
Weight:214
Bye:11
View Player Profile »
Injury History [TABLE]")</f>
        <v>*Medium Risk*
2
1
X
Mac JonesQB NE
Seasons:2
Height:6'3"
Weight:214
Bye:11
View Player Profile »
Injury History [TABLE]</v>
      </c>
      <c r="B100" s="5"/>
      <c r="C100" s="5"/>
      <c r="D100" s="5"/>
      <c r="E100" s="5"/>
      <c r="F100" s="5"/>
      <c r="G100" s="5"/>
      <c r="H100" s="5"/>
      <c r="I100" s="5"/>
      <c r="J100" s="5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43.13"/>
    <col customWidth="1" min="3" max="3" width="36.38"/>
  </cols>
  <sheetData>
    <row r="1">
      <c r="A1" s="62"/>
      <c r="B1" s="62"/>
      <c r="C1" s="62"/>
    </row>
    <row r="2">
      <c r="A2" s="62"/>
      <c r="B2" s="63" t="s">
        <v>2256</v>
      </c>
      <c r="C2" s="64"/>
    </row>
    <row r="3">
      <c r="A3" s="65"/>
      <c r="B3" s="66" t="s">
        <v>2257</v>
      </c>
      <c r="C3" s="67" t="s">
        <v>2258</v>
      </c>
    </row>
    <row r="4">
      <c r="A4" s="65"/>
      <c r="B4" s="66" t="s">
        <v>2259</v>
      </c>
      <c r="C4" s="67" t="s">
        <v>2260</v>
      </c>
    </row>
    <row r="5">
      <c r="A5" s="65"/>
      <c r="B5" s="66" t="s">
        <v>2261</v>
      </c>
      <c r="C5" s="67" t="s">
        <v>2262</v>
      </c>
    </row>
    <row r="6">
      <c r="A6" s="65"/>
      <c r="B6" s="66" t="s">
        <v>2263</v>
      </c>
      <c r="C6" s="67" t="s">
        <v>2264</v>
      </c>
    </row>
    <row r="7">
      <c r="A7" s="65"/>
      <c r="B7" s="66" t="s">
        <v>2265</v>
      </c>
      <c r="C7" s="67" t="s">
        <v>2266</v>
      </c>
    </row>
    <row r="8">
      <c r="A8" s="65"/>
      <c r="B8" s="66" t="s">
        <v>2267</v>
      </c>
      <c r="C8" s="67" t="s">
        <v>2268</v>
      </c>
    </row>
    <row r="9">
      <c r="A9" s="65"/>
      <c r="B9" s="66" t="s">
        <v>2269</v>
      </c>
      <c r="C9" s="67" t="s">
        <v>2270</v>
      </c>
    </row>
    <row r="10">
      <c r="A10" s="65"/>
      <c r="B10" s="66" t="s">
        <v>2271</v>
      </c>
      <c r="C10" s="67" t="s">
        <v>2272</v>
      </c>
    </row>
    <row r="11">
      <c r="A11" s="65"/>
      <c r="B11" s="66" t="s">
        <v>2273</v>
      </c>
      <c r="C11" s="67" t="s">
        <v>2274</v>
      </c>
    </row>
    <row r="12">
      <c r="A12" s="65"/>
      <c r="B12" s="66" t="s">
        <v>2275</v>
      </c>
      <c r="C12" s="67" t="s">
        <v>2264</v>
      </c>
    </row>
    <row r="13">
      <c r="A13" s="65"/>
      <c r="B13" s="66" t="s">
        <v>2276</v>
      </c>
      <c r="C13" s="67" t="s">
        <v>2277</v>
      </c>
    </row>
    <row r="14">
      <c r="A14" s="65"/>
      <c r="B14" s="66" t="s">
        <v>2278</v>
      </c>
      <c r="C14" s="67" t="s">
        <v>2266</v>
      </c>
    </row>
    <row r="15">
      <c r="A15" s="65"/>
      <c r="B15" s="66" t="s">
        <v>2279</v>
      </c>
      <c r="C15" s="67" t="s">
        <v>2280</v>
      </c>
    </row>
    <row r="16">
      <c r="A16" s="65"/>
      <c r="B16" s="66" t="s">
        <v>2281</v>
      </c>
      <c r="C16" s="67" t="s">
        <v>2266</v>
      </c>
    </row>
    <row r="17">
      <c r="A17" s="62"/>
      <c r="B17" s="63" t="s">
        <v>2282</v>
      </c>
      <c r="C17" s="64"/>
    </row>
    <row r="18">
      <c r="A18" s="65"/>
      <c r="B18" s="66" t="s">
        <v>2283</v>
      </c>
      <c r="C18" s="67" t="s">
        <v>2272</v>
      </c>
    </row>
    <row r="19">
      <c r="A19" s="65"/>
      <c r="B19" s="66" t="s">
        <v>2284</v>
      </c>
      <c r="C19" s="67" t="s">
        <v>2272</v>
      </c>
    </row>
    <row r="20">
      <c r="A20" s="68"/>
      <c r="B20" s="66" t="s">
        <v>2285</v>
      </c>
      <c r="C20" s="67" t="s">
        <v>2272</v>
      </c>
    </row>
    <row r="21">
      <c r="A21" s="68"/>
      <c r="B21" s="66" t="s">
        <v>2286</v>
      </c>
      <c r="C21" s="67" t="s">
        <v>2280</v>
      </c>
    </row>
    <row r="22">
      <c r="A22" s="68"/>
      <c r="B22" s="66" t="s">
        <v>2287</v>
      </c>
      <c r="C22" s="67" t="s">
        <v>2272</v>
      </c>
    </row>
    <row r="23">
      <c r="A23" s="68"/>
      <c r="B23" s="66" t="s">
        <v>2288</v>
      </c>
      <c r="C23" s="67" t="s">
        <v>2289</v>
      </c>
    </row>
    <row r="24">
      <c r="A24" s="68"/>
      <c r="B24" s="66" t="s">
        <v>2290</v>
      </c>
      <c r="C24" s="67" t="s">
        <v>2291</v>
      </c>
    </row>
    <row r="25">
      <c r="A25" s="68"/>
      <c r="B25" s="66" t="s">
        <v>2292</v>
      </c>
      <c r="C25" s="67" t="s">
        <v>2264</v>
      </c>
    </row>
    <row r="26">
      <c r="A26" s="68"/>
      <c r="B26" s="66" t="s">
        <v>2293</v>
      </c>
      <c r="C26" s="67" t="s">
        <v>2294</v>
      </c>
    </row>
    <row r="27">
      <c r="A27" s="68"/>
      <c r="B27" s="66" t="s">
        <v>2295</v>
      </c>
      <c r="C27" s="67" t="s">
        <v>2296</v>
      </c>
    </row>
    <row r="28">
      <c r="A28" s="68"/>
      <c r="B28" s="66" t="s">
        <v>2297</v>
      </c>
      <c r="C28" s="67" t="s">
        <v>2298</v>
      </c>
    </row>
    <row r="29">
      <c r="A29" s="68"/>
      <c r="B29" s="66" t="s">
        <v>2299</v>
      </c>
      <c r="C29" s="67" t="s">
        <v>2300</v>
      </c>
    </row>
    <row r="30">
      <c r="A30" s="68"/>
      <c r="B30" s="66" t="s">
        <v>2301</v>
      </c>
      <c r="C30" s="67" t="s">
        <v>2258</v>
      </c>
    </row>
    <row r="31">
      <c r="A31" s="69"/>
      <c r="B31" s="63" t="s">
        <v>2302</v>
      </c>
      <c r="C31" s="64"/>
    </row>
    <row r="32">
      <c r="A32" s="70"/>
      <c r="B32" s="67" t="s">
        <v>2303</v>
      </c>
      <c r="C32" s="67" t="s">
        <v>2304</v>
      </c>
    </row>
    <row r="33">
      <c r="A33" s="70"/>
      <c r="B33" s="67" t="s">
        <v>2305</v>
      </c>
      <c r="C33" s="67" t="s">
        <v>2306</v>
      </c>
    </row>
    <row r="34">
      <c r="A34" s="70"/>
      <c r="B34" s="67" t="s">
        <v>2307</v>
      </c>
      <c r="C34" s="67" t="s">
        <v>2272</v>
      </c>
    </row>
    <row r="35">
      <c r="A35" s="70"/>
      <c r="B35" s="67" t="s">
        <v>2308</v>
      </c>
      <c r="C35" s="67" t="s">
        <v>2264</v>
      </c>
    </row>
    <row r="36">
      <c r="A36" s="70"/>
      <c r="B36" s="67" t="s">
        <v>2309</v>
      </c>
      <c r="C36" s="67" t="s">
        <v>2277</v>
      </c>
    </row>
    <row r="37">
      <c r="A37" s="70"/>
      <c r="B37" s="67" t="s">
        <v>2310</v>
      </c>
      <c r="C37" s="67" t="s">
        <v>2264</v>
      </c>
    </row>
    <row r="38">
      <c r="A38" s="70"/>
      <c r="B38" s="67" t="s">
        <v>2311</v>
      </c>
      <c r="C38" s="67" t="s">
        <v>2264</v>
      </c>
    </row>
    <row r="39">
      <c r="A39" s="70"/>
      <c r="B39" s="67" t="s">
        <v>2312</v>
      </c>
      <c r="C39" s="67" t="s">
        <v>2258</v>
      </c>
    </row>
    <row r="40">
      <c r="A40" s="70"/>
      <c r="B40" s="67" t="s">
        <v>2287</v>
      </c>
      <c r="C40" s="67" t="s">
        <v>2272</v>
      </c>
    </row>
    <row r="41">
      <c r="A41" s="70"/>
      <c r="B41" s="67" t="s">
        <v>2313</v>
      </c>
      <c r="C41" s="67" t="s">
        <v>2304</v>
      </c>
    </row>
  </sheetData>
  <mergeCells count="3">
    <mergeCell ref="B2:C2"/>
    <mergeCell ref="B17:C17"/>
    <mergeCell ref="B31:C3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4" max="4" width="21.88"/>
    <col hidden="1" min="7" max="15" width="12.63"/>
  </cols>
  <sheetData>
    <row r="3">
      <c r="C3" s="5" t="str">
        <f>IFERROR(__xludf.DUMMYFUNCTION("IMPORTHTML(""https://betiq.teamrankings.com/fantasy-football/projections/half-ppr/"",""table"",1)"),"Projections last updated: Sep 10, 2023")</f>
        <v>Projections last updated: Sep 10, 2023</v>
      </c>
      <c r="D3" s="5"/>
      <c r="E3" s="5"/>
      <c r="F3" s="5"/>
      <c r="G3" s="5"/>
      <c r="H3" s="5" t="str">
        <f>IFERROR(__xludf.DUMMYFUNCTION("""COMPUTED_VALUE"""),"Passing")</f>
        <v>Passing</v>
      </c>
      <c r="I3" s="5"/>
      <c r="J3" s="5"/>
      <c r="K3" s="5" t="str">
        <f>IFERROR(__xludf.DUMMYFUNCTION("""COMPUTED_VALUE"""),"Rushing")</f>
        <v>Rushing</v>
      </c>
      <c r="L3" s="5"/>
      <c r="M3" s="5" t="str">
        <f>IFERROR(__xludf.DUMMYFUNCTION("""COMPUTED_VALUE"""),"Receiving")</f>
        <v>Receiving</v>
      </c>
      <c r="N3" s="5"/>
      <c r="O3" s="5"/>
      <c r="P3" s="5" t="str">
        <f>IFERROR(__xludf.DUMMYFUNCTION("""COMPUTED_VALUE"""),"Fantasy")</f>
        <v>Fantasy</v>
      </c>
    </row>
    <row r="4">
      <c r="A4" s="2" t="s">
        <v>1250</v>
      </c>
      <c r="B4" s="2" t="s">
        <v>919</v>
      </c>
      <c r="C4" s="5" t="str">
        <f>IFERROR(__xludf.DUMMYFUNCTION("""COMPUTED_VALUE"""),"Rank")</f>
        <v>Rank</v>
      </c>
      <c r="D4" s="5" t="str">
        <f>IFERROR(__xludf.DUMMYFUNCTION("""COMPUTED_VALUE"""),"Player")</f>
        <v>Player</v>
      </c>
      <c r="E4" s="5" t="str">
        <f>IFERROR(__xludf.DUMMYFUNCTION("""COMPUTED_VALUE"""),"Pos")</f>
        <v>Pos</v>
      </c>
      <c r="F4" s="5" t="str">
        <f>IFERROR(__xludf.DUMMYFUNCTION("""COMPUTED_VALUE"""),"Team")</f>
        <v>Team</v>
      </c>
      <c r="G4" s="5" t="str">
        <f>IFERROR(__xludf.DUMMYFUNCTION("""COMPUTED_VALUE"""),"Bye")</f>
        <v>Bye</v>
      </c>
      <c r="H4" s="5" t="str">
        <f>IFERROR(__xludf.DUMMYFUNCTION("""COMPUTED_VALUE"""),"Yds")</f>
        <v>Yds</v>
      </c>
      <c r="I4" s="5" t="str">
        <f>IFERROR(__xludf.DUMMYFUNCTION("""COMPUTED_VALUE"""),"TD")</f>
        <v>TD</v>
      </c>
      <c r="J4" s="5" t="str">
        <f>IFERROR(__xludf.DUMMYFUNCTION("""COMPUTED_VALUE"""),"Int")</f>
        <v>Int</v>
      </c>
      <c r="K4" s="5" t="str">
        <f>IFERROR(__xludf.DUMMYFUNCTION("""COMPUTED_VALUE"""),"Yds")</f>
        <v>Yds</v>
      </c>
      <c r="L4" s="5" t="str">
        <f>IFERROR(__xludf.DUMMYFUNCTION("""COMPUTED_VALUE"""),"TD")</f>
        <v>TD</v>
      </c>
      <c r="M4" s="5" t="str">
        <f>IFERROR(__xludf.DUMMYFUNCTION("""COMPUTED_VALUE"""),"Rec")</f>
        <v>Rec</v>
      </c>
      <c r="N4" s="5" t="str">
        <f>IFERROR(__xludf.DUMMYFUNCTION("""COMPUTED_VALUE"""),"Yds")</f>
        <v>Yds</v>
      </c>
      <c r="O4" s="5" t="str">
        <f>IFERROR(__xludf.DUMMYFUNCTION("""COMPUTED_VALUE"""),"TD")</f>
        <v>TD</v>
      </c>
      <c r="P4" s="5" t="str">
        <f>IFERROR(__xludf.DUMMYFUNCTION("""COMPUTED_VALUE"""),"FPts")</f>
        <v>FPts</v>
      </c>
    </row>
    <row r="5">
      <c r="A5" s="19" t="str">
        <f>vlookup(B5,'Player Codes'!A:D,4,)</f>
        <v>0167</v>
      </c>
      <c r="B5" s="21" t="s">
        <v>251</v>
      </c>
      <c r="C5" s="5">
        <f>IFERROR(__xludf.DUMMYFUNCTION("""COMPUTED_VALUE"""),1.0)</f>
        <v>1</v>
      </c>
      <c r="D5" s="5" t="str">
        <f>IFERROR(__xludf.DUMMYFUNCTION("""COMPUTED_VALUE"""),"Josh Allen")</f>
        <v>Josh Allen</v>
      </c>
      <c r="E5" s="5" t="str">
        <f>IFERROR(__xludf.DUMMYFUNCTION("""COMPUTED_VALUE"""),"QB1")</f>
        <v>QB1</v>
      </c>
      <c r="F5" s="5" t="str">
        <f>IFERROR(__xludf.DUMMYFUNCTION("""COMPUTED_VALUE"""),"BUF")</f>
        <v>BUF</v>
      </c>
      <c r="G5" s="5">
        <f>IFERROR(__xludf.DUMMYFUNCTION("""COMPUTED_VALUE"""),13.0)</f>
        <v>13</v>
      </c>
      <c r="H5" s="5">
        <f>IFERROR(__xludf.DUMMYFUNCTION("""COMPUTED_VALUE"""),4288.0)</f>
        <v>4288</v>
      </c>
      <c r="I5" s="5">
        <f>IFERROR(__xludf.DUMMYFUNCTION("""COMPUTED_VALUE"""),32.4)</f>
        <v>32.4</v>
      </c>
      <c r="J5" s="5">
        <f>IFERROR(__xludf.DUMMYFUNCTION("""COMPUTED_VALUE"""),13.4)</f>
        <v>13.4</v>
      </c>
      <c r="K5" s="5">
        <f>IFERROR(__xludf.DUMMYFUNCTION("""COMPUTED_VALUE"""),623.0)</f>
        <v>623</v>
      </c>
      <c r="L5" s="5">
        <f>IFERROR(__xludf.DUMMYFUNCTION("""COMPUTED_VALUE"""),5.8)</f>
        <v>5.8</v>
      </c>
      <c r="M5" s="5">
        <f>IFERROR(__xludf.DUMMYFUNCTION("""COMPUTED_VALUE"""),0.0)</f>
        <v>0</v>
      </c>
      <c r="N5" s="5">
        <f>IFERROR(__xludf.DUMMYFUNCTION("""COMPUTED_VALUE"""),5.0)</f>
        <v>5</v>
      </c>
      <c r="O5" s="5">
        <f>IFERROR(__xludf.DUMMYFUNCTION("""COMPUTED_VALUE"""),0.1)</f>
        <v>0.1</v>
      </c>
      <c r="P5" s="5">
        <f>IFERROR(__xludf.DUMMYFUNCTION("""COMPUTED_VALUE"""),372.5)</f>
        <v>372.5</v>
      </c>
    </row>
    <row r="6">
      <c r="A6" s="19" t="str">
        <f>vlookup(B6,'Player Codes'!A:D,4,)</f>
        <v>0140</v>
      </c>
      <c r="B6" s="21" t="s">
        <v>264</v>
      </c>
      <c r="C6" s="5">
        <f>IFERROR(__xludf.DUMMYFUNCTION("""COMPUTED_VALUE"""),2.0)</f>
        <v>2</v>
      </c>
      <c r="D6" s="5" t="str">
        <f>IFERROR(__xludf.DUMMYFUNCTION("""COMPUTED_VALUE"""),"Jalen Hurts")</f>
        <v>Jalen Hurts</v>
      </c>
      <c r="E6" s="5" t="str">
        <f>IFERROR(__xludf.DUMMYFUNCTION("""COMPUTED_VALUE"""),"QB2")</f>
        <v>QB2</v>
      </c>
      <c r="F6" s="5" t="str">
        <f>IFERROR(__xludf.DUMMYFUNCTION("""COMPUTED_VALUE"""),"PHI")</f>
        <v>PHI</v>
      </c>
      <c r="G6" s="5">
        <f>IFERROR(__xludf.DUMMYFUNCTION("""COMPUTED_VALUE"""),10.0)</f>
        <v>10</v>
      </c>
      <c r="H6" s="5">
        <f>IFERROR(__xludf.DUMMYFUNCTION("""COMPUTED_VALUE"""),4004.0)</f>
        <v>4004</v>
      </c>
      <c r="I6" s="5">
        <f>IFERROR(__xludf.DUMMYFUNCTION("""COMPUTED_VALUE"""),24.3)</f>
        <v>24.3</v>
      </c>
      <c r="J6" s="5">
        <f>IFERROR(__xludf.DUMMYFUNCTION("""COMPUTED_VALUE"""),8.9)</f>
        <v>8.9</v>
      </c>
      <c r="K6" s="5">
        <f>IFERROR(__xludf.DUMMYFUNCTION("""COMPUTED_VALUE"""),737.0)</f>
        <v>737</v>
      </c>
      <c r="L6" s="5">
        <f>IFERROR(__xludf.DUMMYFUNCTION("""COMPUTED_VALUE"""),9.3)</f>
        <v>9.3</v>
      </c>
      <c r="M6" s="5">
        <f>IFERROR(__xludf.DUMMYFUNCTION("""COMPUTED_VALUE"""),0.0)</f>
        <v>0</v>
      </c>
      <c r="N6" s="5">
        <f>IFERROR(__xludf.DUMMYFUNCTION("""COMPUTED_VALUE"""),0.0)</f>
        <v>0</v>
      </c>
      <c r="O6" s="5">
        <f>IFERROR(__xludf.DUMMYFUNCTION("""COMPUTED_VALUE"""),0.0)</f>
        <v>0</v>
      </c>
      <c r="P6" s="5">
        <f>IFERROR(__xludf.DUMMYFUNCTION("""COMPUTED_VALUE"""),369.0)</f>
        <v>369</v>
      </c>
    </row>
    <row r="7">
      <c r="A7" s="19" t="str">
        <f>vlookup(B7,'Player Codes'!A:D,4,)</f>
        <v>0235</v>
      </c>
      <c r="B7" s="21" t="s">
        <v>267</v>
      </c>
      <c r="C7" s="5">
        <f>IFERROR(__xludf.DUMMYFUNCTION("""COMPUTED_VALUE"""),3.0)</f>
        <v>3</v>
      </c>
      <c r="D7" s="5" t="str">
        <f>IFERROR(__xludf.DUMMYFUNCTION("""COMPUTED_VALUE"""),"Patrick Mahomes")</f>
        <v>Patrick Mahomes</v>
      </c>
      <c r="E7" s="5" t="str">
        <f>IFERROR(__xludf.DUMMYFUNCTION("""COMPUTED_VALUE"""),"QB3")</f>
        <v>QB3</v>
      </c>
      <c r="F7" s="5" t="str">
        <f>IFERROR(__xludf.DUMMYFUNCTION("""COMPUTED_VALUE"""),"KC")</f>
        <v>KC</v>
      </c>
      <c r="G7" s="5">
        <f>IFERROR(__xludf.DUMMYFUNCTION("""COMPUTED_VALUE"""),10.0)</f>
        <v>10</v>
      </c>
      <c r="H7" s="5">
        <f>IFERROR(__xludf.DUMMYFUNCTION("""COMPUTED_VALUE"""),4716.0)</f>
        <v>4716</v>
      </c>
      <c r="I7" s="5">
        <f>IFERROR(__xludf.DUMMYFUNCTION("""COMPUTED_VALUE"""),36.2)</f>
        <v>36.2</v>
      </c>
      <c r="J7" s="5">
        <f>IFERROR(__xludf.DUMMYFUNCTION("""COMPUTED_VALUE"""),11.0)</f>
        <v>11</v>
      </c>
      <c r="K7" s="5">
        <f>IFERROR(__xludf.DUMMYFUNCTION("""COMPUTED_VALUE"""),315.0)</f>
        <v>315</v>
      </c>
      <c r="L7" s="5">
        <f>IFERROR(__xludf.DUMMYFUNCTION("""COMPUTED_VALUE"""),3.0)</f>
        <v>3</v>
      </c>
      <c r="M7" s="5">
        <f>IFERROR(__xludf.DUMMYFUNCTION("""COMPUTED_VALUE"""),0.0)</f>
        <v>0</v>
      </c>
      <c r="N7" s="5">
        <f>IFERROR(__xludf.DUMMYFUNCTION("""COMPUTED_VALUE"""),0.0)</f>
        <v>0</v>
      </c>
      <c r="O7" s="5">
        <f>IFERROR(__xludf.DUMMYFUNCTION("""COMPUTED_VALUE"""),0.0)</f>
        <v>0</v>
      </c>
      <c r="P7" s="5">
        <f>IFERROR(__xludf.DUMMYFUNCTION("""COMPUTED_VALUE"""),361.0)</f>
        <v>361</v>
      </c>
    </row>
    <row r="8">
      <c r="A8" s="19" t="str">
        <f>vlookup(B8,'Player Codes'!A:D,4,)</f>
        <v>0159</v>
      </c>
      <c r="B8" s="21" t="s">
        <v>207</v>
      </c>
      <c r="C8" s="5">
        <f>IFERROR(__xludf.DUMMYFUNCTION("""COMPUTED_VALUE"""),4.0)</f>
        <v>4</v>
      </c>
      <c r="D8" s="5" t="str">
        <f>IFERROR(__xludf.DUMMYFUNCTION("""COMPUTED_VALUE"""),"Joe Burrow")</f>
        <v>Joe Burrow</v>
      </c>
      <c r="E8" s="5" t="str">
        <f>IFERROR(__xludf.DUMMYFUNCTION("""COMPUTED_VALUE"""),"QB4")</f>
        <v>QB4</v>
      </c>
      <c r="F8" s="5" t="str">
        <f>IFERROR(__xludf.DUMMYFUNCTION("""COMPUTED_VALUE"""),"CIN")</f>
        <v>CIN</v>
      </c>
      <c r="G8" s="5">
        <f>IFERROR(__xludf.DUMMYFUNCTION("""COMPUTED_VALUE"""),7.0)</f>
        <v>7</v>
      </c>
      <c r="H8" s="5">
        <f>IFERROR(__xludf.DUMMYFUNCTION("""COMPUTED_VALUE"""),4570.0)</f>
        <v>4570</v>
      </c>
      <c r="I8" s="5">
        <f>IFERROR(__xludf.DUMMYFUNCTION("""COMPUTED_VALUE"""),35.5)</f>
        <v>35.5</v>
      </c>
      <c r="J8" s="5">
        <f>IFERROR(__xludf.DUMMYFUNCTION("""COMPUTED_VALUE"""),11.7)</f>
        <v>11.7</v>
      </c>
      <c r="K8" s="5">
        <f>IFERROR(__xludf.DUMMYFUNCTION("""COMPUTED_VALUE"""),251.0)</f>
        <v>251</v>
      </c>
      <c r="L8" s="5">
        <f>IFERROR(__xludf.DUMMYFUNCTION("""COMPUTED_VALUE"""),3.2)</f>
        <v>3.2</v>
      </c>
      <c r="M8" s="5">
        <f>IFERROR(__xludf.DUMMYFUNCTION("""COMPUTED_VALUE"""),0.0)</f>
        <v>0</v>
      </c>
      <c r="N8" s="5">
        <f>IFERROR(__xludf.DUMMYFUNCTION("""COMPUTED_VALUE"""),0.0)</f>
        <v>0</v>
      </c>
      <c r="O8" s="5">
        <f>IFERROR(__xludf.DUMMYFUNCTION("""COMPUTED_VALUE"""),0.0)</f>
        <v>0</v>
      </c>
      <c r="P8" s="5">
        <f>IFERROR(__xludf.DUMMYFUNCTION("""COMPUTED_VALUE"""),345.7)</f>
        <v>345.7</v>
      </c>
    </row>
    <row r="9">
      <c r="A9" s="19" t="str">
        <f>vlookup(B9,'Player Codes'!A:D,4,)</f>
        <v>0195</v>
      </c>
      <c r="B9" s="21" t="s">
        <v>211</v>
      </c>
      <c r="C9" s="5">
        <f>IFERROR(__xludf.DUMMYFUNCTION("""COMPUTED_VALUE"""),5.0)</f>
        <v>5</v>
      </c>
      <c r="D9" s="5" t="str">
        <f>IFERROR(__xludf.DUMMYFUNCTION("""COMPUTED_VALUE"""),"Lamar Jackson")</f>
        <v>Lamar Jackson</v>
      </c>
      <c r="E9" s="5" t="str">
        <f>IFERROR(__xludf.DUMMYFUNCTION("""COMPUTED_VALUE"""),"QB5")</f>
        <v>QB5</v>
      </c>
      <c r="F9" s="5" t="str">
        <f>IFERROR(__xludf.DUMMYFUNCTION("""COMPUTED_VALUE"""),"BAL")</f>
        <v>BAL</v>
      </c>
      <c r="G9" s="5">
        <f>IFERROR(__xludf.DUMMYFUNCTION("""COMPUTED_VALUE"""),13.0)</f>
        <v>13</v>
      </c>
      <c r="H9" s="5">
        <f>IFERROR(__xludf.DUMMYFUNCTION("""COMPUTED_VALUE"""),3523.0)</f>
        <v>3523</v>
      </c>
      <c r="I9" s="5">
        <f>IFERROR(__xludf.DUMMYFUNCTION("""COMPUTED_VALUE"""),24.7)</f>
        <v>24.7</v>
      </c>
      <c r="J9" s="5">
        <f>IFERROR(__xludf.DUMMYFUNCTION("""COMPUTED_VALUE"""),10.4)</f>
        <v>10.4</v>
      </c>
      <c r="K9" s="5">
        <f>IFERROR(__xludf.DUMMYFUNCTION("""COMPUTED_VALUE"""),789.0)</f>
        <v>789</v>
      </c>
      <c r="L9" s="5">
        <f>IFERROR(__xludf.DUMMYFUNCTION("""COMPUTED_VALUE"""),4.6)</f>
        <v>4.6</v>
      </c>
      <c r="M9" s="5">
        <f>IFERROR(__xludf.DUMMYFUNCTION("""COMPUTED_VALUE"""),0.0)</f>
        <v>0</v>
      </c>
      <c r="N9" s="5">
        <f>IFERROR(__xludf.DUMMYFUNCTION("""COMPUTED_VALUE"""),0.0)</f>
        <v>0</v>
      </c>
      <c r="O9" s="5">
        <f>IFERROR(__xludf.DUMMYFUNCTION("""COMPUTED_VALUE"""),0.0)</f>
        <v>0</v>
      </c>
      <c r="P9" s="5">
        <f>IFERROR(__xludf.DUMMYFUNCTION("""COMPUTED_VALUE"""),325.4)</f>
        <v>325.4</v>
      </c>
    </row>
    <row r="10">
      <c r="A10" s="19" t="str">
        <f>vlookup(B10,'Player Codes'!A:D,4,)</f>
        <v>0173</v>
      </c>
      <c r="B10" s="21" t="s">
        <v>219</v>
      </c>
      <c r="C10" s="5">
        <f>IFERROR(__xludf.DUMMYFUNCTION("""COMPUTED_VALUE"""),6.0)</f>
        <v>6</v>
      </c>
      <c r="D10" s="5" t="str">
        <f>IFERROR(__xludf.DUMMYFUNCTION("""COMPUTED_VALUE"""),"Justin Herbert")</f>
        <v>Justin Herbert</v>
      </c>
      <c r="E10" s="5" t="str">
        <f>IFERROR(__xludf.DUMMYFUNCTION("""COMPUTED_VALUE"""),"QB6")</f>
        <v>QB6</v>
      </c>
      <c r="F10" s="5" t="str">
        <f>IFERROR(__xludf.DUMMYFUNCTION("""COMPUTED_VALUE"""),"LAC")</f>
        <v>LAC</v>
      </c>
      <c r="G10" s="5">
        <f>IFERROR(__xludf.DUMMYFUNCTION("""COMPUTED_VALUE"""),5.0)</f>
        <v>5</v>
      </c>
      <c r="H10" s="5">
        <f>IFERROR(__xludf.DUMMYFUNCTION("""COMPUTED_VALUE"""),4518.0)</f>
        <v>4518</v>
      </c>
      <c r="I10" s="5">
        <f>IFERROR(__xludf.DUMMYFUNCTION("""COMPUTED_VALUE"""),29.8)</f>
        <v>29.8</v>
      </c>
      <c r="J10" s="5">
        <f>IFERROR(__xludf.DUMMYFUNCTION("""COMPUTED_VALUE"""),9.8)</f>
        <v>9.8</v>
      </c>
      <c r="K10" s="5">
        <f>IFERROR(__xludf.DUMMYFUNCTION("""COMPUTED_VALUE"""),230.0)</f>
        <v>230</v>
      </c>
      <c r="L10" s="5">
        <f>IFERROR(__xludf.DUMMYFUNCTION("""COMPUTED_VALUE"""),1.7)</f>
        <v>1.7</v>
      </c>
      <c r="M10" s="5">
        <f>IFERROR(__xludf.DUMMYFUNCTION("""COMPUTED_VALUE"""),1.0)</f>
        <v>1</v>
      </c>
      <c r="N10" s="5">
        <f>IFERROR(__xludf.DUMMYFUNCTION("""COMPUTED_VALUE"""),0.0)</f>
        <v>0</v>
      </c>
      <c r="O10" s="5">
        <f>IFERROR(__xludf.DUMMYFUNCTION("""COMPUTED_VALUE"""),0.0)</f>
        <v>0</v>
      </c>
      <c r="P10" s="5">
        <f>IFERROR(__xludf.DUMMYFUNCTION("""COMPUTED_VALUE"""),314.0)</f>
        <v>314</v>
      </c>
    </row>
    <row r="11">
      <c r="A11" s="19" t="str">
        <f>vlookup(B11,'Player Codes'!A:D,4,)</f>
        <v>0172</v>
      </c>
      <c r="B11" s="23" t="s">
        <v>222</v>
      </c>
      <c r="C11" s="5">
        <f>IFERROR(__xludf.DUMMYFUNCTION("""COMPUTED_VALUE"""),7.0)</f>
        <v>7</v>
      </c>
      <c r="D11" s="5" t="str">
        <f>IFERROR(__xludf.DUMMYFUNCTION("""COMPUTED_VALUE"""),"Justin Fields")</f>
        <v>Justin Fields</v>
      </c>
      <c r="E11" s="5" t="str">
        <f>IFERROR(__xludf.DUMMYFUNCTION("""COMPUTED_VALUE"""),"QB7")</f>
        <v>QB7</v>
      </c>
      <c r="F11" s="5" t="str">
        <f>IFERROR(__xludf.DUMMYFUNCTION("""COMPUTED_VALUE"""),"CHI")</f>
        <v>CHI</v>
      </c>
      <c r="G11" s="5">
        <f>IFERROR(__xludf.DUMMYFUNCTION("""COMPUTED_VALUE"""),13.0)</f>
        <v>13</v>
      </c>
      <c r="H11" s="5">
        <f>IFERROR(__xludf.DUMMYFUNCTION("""COMPUTED_VALUE"""),3091.0)</f>
        <v>3091</v>
      </c>
      <c r="I11" s="5">
        <f>IFERROR(__xludf.DUMMYFUNCTION("""COMPUTED_VALUE"""),20.5)</f>
        <v>20.5</v>
      </c>
      <c r="J11" s="5">
        <f>IFERROR(__xludf.DUMMYFUNCTION("""COMPUTED_VALUE"""),12.6)</f>
        <v>12.6</v>
      </c>
      <c r="K11" s="5">
        <f>IFERROR(__xludf.DUMMYFUNCTION("""COMPUTED_VALUE"""),905.0)</f>
        <v>905</v>
      </c>
      <c r="L11" s="5">
        <f>IFERROR(__xludf.DUMMYFUNCTION("""COMPUTED_VALUE"""),6.8)</f>
        <v>6.8</v>
      </c>
      <c r="M11" s="5">
        <f>IFERROR(__xludf.DUMMYFUNCTION("""COMPUTED_VALUE"""),0.0)</f>
        <v>0</v>
      </c>
      <c r="N11" s="5">
        <f>IFERROR(__xludf.DUMMYFUNCTION("""COMPUTED_VALUE"""),0.0)</f>
        <v>0</v>
      </c>
      <c r="O11" s="5">
        <f>IFERROR(__xludf.DUMMYFUNCTION("""COMPUTED_VALUE"""),0.0)</f>
        <v>0</v>
      </c>
      <c r="P11" s="5">
        <f>IFERROR(__xludf.DUMMYFUNCTION("""COMPUTED_VALUE"""),311.8)</f>
        <v>311.8</v>
      </c>
    </row>
    <row r="12">
      <c r="A12" s="19" t="str">
        <f>vlookup(B12,'Player Codes'!A:D,4,)</f>
        <v>0277</v>
      </c>
      <c r="B12" s="21" t="s">
        <v>303</v>
      </c>
      <c r="C12" s="5">
        <f>IFERROR(__xludf.DUMMYFUNCTION("""COMPUTED_VALUE"""),8.0)</f>
        <v>8</v>
      </c>
      <c r="D12" s="5" t="str">
        <f>IFERROR(__xludf.DUMMYFUNCTION("""COMPUTED_VALUE"""),"Trevor Lawrence")</f>
        <v>Trevor Lawrence</v>
      </c>
      <c r="E12" s="5" t="str">
        <f>IFERROR(__xludf.DUMMYFUNCTION("""COMPUTED_VALUE"""),"QB8")</f>
        <v>QB8</v>
      </c>
      <c r="F12" s="5" t="str">
        <f>IFERROR(__xludf.DUMMYFUNCTION("""COMPUTED_VALUE"""),"JAC")</f>
        <v>JAC</v>
      </c>
      <c r="G12" s="5">
        <f>IFERROR(__xludf.DUMMYFUNCTION("""COMPUTED_VALUE"""),9.0)</f>
        <v>9</v>
      </c>
      <c r="H12" s="5">
        <f>IFERROR(__xludf.DUMMYFUNCTION("""COMPUTED_VALUE"""),4245.0)</f>
        <v>4245</v>
      </c>
      <c r="I12" s="5">
        <f>IFERROR(__xludf.DUMMYFUNCTION("""COMPUTED_VALUE"""),27.4)</f>
        <v>27.4</v>
      </c>
      <c r="J12" s="5">
        <f>IFERROR(__xludf.DUMMYFUNCTION("""COMPUTED_VALUE"""),10.3)</f>
        <v>10.3</v>
      </c>
      <c r="K12" s="5">
        <f>IFERROR(__xludf.DUMMYFUNCTION("""COMPUTED_VALUE"""),246.0)</f>
        <v>246</v>
      </c>
      <c r="L12" s="5">
        <f>IFERROR(__xludf.DUMMYFUNCTION("""COMPUTED_VALUE"""),3.0)</f>
        <v>3</v>
      </c>
      <c r="M12" s="5">
        <f>IFERROR(__xludf.DUMMYFUNCTION("""COMPUTED_VALUE"""),0.0)</f>
        <v>0</v>
      </c>
      <c r="N12" s="5">
        <f>IFERROR(__xludf.DUMMYFUNCTION("""COMPUTED_VALUE"""),0.0)</f>
        <v>0</v>
      </c>
      <c r="O12" s="5">
        <f>IFERROR(__xludf.DUMMYFUNCTION("""COMPUTED_VALUE"""),0.0)</f>
        <v>0</v>
      </c>
      <c r="P12" s="5">
        <f>IFERROR(__xludf.DUMMYFUNCTION("""COMPUTED_VALUE"""),301.4)</f>
        <v>301.4</v>
      </c>
    </row>
    <row r="13">
      <c r="A13" s="19" t="str">
        <f>vlookup(B13,'Player Codes'!A:D,4,)</f>
        <v>0090</v>
      </c>
      <c r="B13" s="21" t="s">
        <v>275</v>
      </c>
      <c r="C13" s="5">
        <f>IFERROR(__xludf.DUMMYFUNCTION("""COMPUTED_VALUE"""),9.0)</f>
        <v>9</v>
      </c>
      <c r="D13" s="5" t="str">
        <f>IFERROR(__xludf.DUMMYFUNCTION("""COMPUTED_VALUE"""),"Deshaun Watson")</f>
        <v>Deshaun Watson</v>
      </c>
      <c r="E13" s="5" t="str">
        <f>IFERROR(__xludf.DUMMYFUNCTION("""COMPUTED_VALUE"""),"QB9")</f>
        <v>QB9</v>
      </c>
      <c r="F13" s="5" t="str">
        <f>IFERROR(__xludf.DUMMYFUNCTION("""COMPUTED_VALUE"""),"CLE")</f>
        <v>CLE</v>
      </c>
      <c r="G13" s="5">
        <f>IFERROR(__xludf.DUMMYFUNCTION("""COMPUTED_VALUE"""),5.0)</f>
        <v>5</v>
      </c>
      <c r="H13" s="5">
        <f>IFERROR(__xludf.DUMMYFUNCTION("""COMPUTED_VALUE"""),3833.0)</f>
        <v>3833</v>
      </c>
      <c r="I13" s="5">
        <f>IFERROR(__xludf.DUMMYFUNCTION("""COMPUTED_VALUE"""),24.3)</f>
        <v>24.3</v>
      </c>
      <c r="J13" s="5">
        <f>IFERROR(__xludf.DUMMYFUNCTION("""COMPUTED_VALUE"""),11.7)</f>
        <v>11.7</v>
      </c>
      <c r="K13" s="5">
        <f>IFERROR(__xludf.DUMMYFUNCTION("""COMPUTED_VALUE"""),409.0)</f>
        <v>409</v>
      </c>
      <c r="L13" s="5">
        <f>IFERROR(__xludf.DUMMYFUNCTION("""COMPUTED_VALUE"""),4.2)</f>
        <v>4.2</v>
      </c>
      <c r="M13" s="5">
        <f>IFERROR(__xludf.DUMMYFUNCTION("""COMPUTED_VALUE"""),0.0)</f>
        <v>0</v>
      </c>
      <c r="N13" s="5">
        <f>IFERROR(__xludf.DUMMYFUNCTION("""COMPUTED_VALUE"""),0.0)</f>
        <v>0</v>
      </c>
      <c r="O13" s="5">
        <f>IFERROR(__xludf.DUMMYFUNCTION("""COMPUTED_VALUE"""),0.0)</f>
        <v>0</v>
      </c>
      <c r="P13" s="5">
        <f>IFERROR(__xludf.DUMMYFUNCTION("""COMPUTED_VALUE"""),293.2)</f>
        <v>293.2</v>
      </c>
    </row>
    <row r="14">
      <c r="A14" s="19" t="str">
        <f>vlookup(B14,'Player Codes'!A:D,4,)</f>
        <v>0112</v>
      </c>
      <c r="B14" s="21" t="s">
        <v>227</v>
      </c>
      <c r="C14" s="5">
        <f>IFERROR(__xludf.DUMMYFUNCTION("""COMPUTED_VALUE"""),10.0)</f>
        <v>10</v>
      </c>
      <c r="D14" s="5" t="str">
        <f>IFERROR(__xludf.DUMMYFUNCTION("""COMPUTED_VALUE"""),"Geno Smith")</f>
        <v>Geno Smith</v>
      </c>
      <c r="E14" s="5" t="str">
        <f>IFERROR(__xludf.DUMMYFUNCTION("""COMPUTED_VALUE"""),"QB10")</f>
        <v>QB10</v>
      </c>
      <c r="F14" s="5" t="str">
        <f>IFERROR(__xludf.DUMMYFUNCTION("""COMPUTED_VALUE"""),"SEA")</f>
        <v>SEA</v>
      </c>
      <c r="G14" s="5">
        <f>IFERROR(__xludf.DUMMYFUNCTION("""COMPUTED_VALUE"""),5.0)</f>
        <v>5</v>
      </c>
      <c r="H14" s="5">
        <f>IFERROR(__xludf.DUMMYFUNCTION("""COMPUTED_VALUE"""),4077.0)</f>
        <v>4077</v>
      </c>
      <c r="I14" s="5">
        <f>IFERROR(__xludf.DUMMYFUNCTION("""COMPUTED_VALUE"""),25.6)</f>
        <v>25.6</v>
      </c>
      <c r="J14" s="5">
        <f>IFERROR(__xludf.DUMMYFUNCTION("""COMPUTED_VALUE"""),10.2)</f>
        <v>10.2</v>
      </c>
      <c r="K14" s="5">
        <f>IFERROR(__xludf.DUMMYFUNCTION("""COMPUTED_VALUE"""),319.0)</f>
        <v>319</v>
      </c>
      <c r="L14" s="5">
        <f>IFERROR(__xludf.DUMMYFUNCTION("""COMPUTED_VALUE"""),1.5)</f>
        <v>1.5</v>
      </c>
      <c r="M14" s="5">
        <f>IFERROR(__xludf.DUMMYFUNCTION("""COMPUTED_VALUE"""),0.0)</f>
        <v>0</v>
      </c>
      <c r="N14" s="5">
        <f>IFERROR(__xludf.DUMMYFUNCTION("""COMPUTED_VALUE"""),0.0)</f>
        <v>0</v>
      </c>
      <c r="O14" s="5">
        <f>IFERROR(__xludf.DUMMYFUNCTION("""COMPUTED_VALUE"""),0.0)</f>
        <v>0</v>
      </c>
      <c r="P14" s="5">
        <f>IFERROR(__xludf.DUMMYFUNCTION("""COMPUTED_VALUE"""),285.9)</f>
        <v>285.9</v>
      </c>
    </row>
    <row r="15">
      <c r="A15" s="19" t="str">
        <f>vlookup(B15,'Player Codes'!A:D,4,)</f>
        <v>0077</v>
      </c>
      <c r="B15" s="21" t="s">
        <v>173</v>
      </c>
      <c r="C15" s="5">
        <f>IFERROR(__xludf.DUMMYFUNCTION("""COMPUTED_VALUE"""),11.0)</f>
        <v>11</v>
      </c>
      <c r="D15" s="5" t="str">
        <f>IFERROR(__xludf.DUMMYFUNCTION("""COMPUTED_VALUE"""),"Daniel Jones")</f>
        <v>Daniel Jones</v>
      </c>
      <c r="E15" s="5" t="str">
        <f>IFERROR(__xludf.DUMMYFUNCTION("""COMPUTED_VALUE"""),"QB11")</f>
        <v>QB11</v>
      </c>
      <c r="F15" s="5" t="str">
        <f>IFERROR(__xludf.DUMMYFUNCTION("""COMPUTED_VALUE"""),"NYG")</f>
        <v>NYG</v>
      </c>
      <c r="G15" s="5">
        <f>IFERROR(__xludf.DUMMYFUNCTION("""COMPUTED_VALUE"""),13.0)</f>
        <v>13</v>
      </c>
      <c r="H15" s="5">
        <f>IFERROR(__xludf.DUMMYFUNCTION("""COMPUTED_VALUE"""),3548.0)</f>
        <v>3548</v>
      </c>
      <c r="I15" s="5">
        <f>IFERROR(__xludf.DUMMYFUNCTION("""COMPUTED_VALUE"""),19.4)</f>
        <v>19.4</v>
      </c>
      <c r="J15" s="5">
        <f>IFERROR(__xludf.DUMMYFUNCTION("""COMPUTED_VALUE"""),9.7)</f>
        <v>9.7</v>
      </c>
      <c r="K15" s="5">
        <f>IFERROR(__xludf.DUMMYFUNCTION("""COMPUTED_VALUE"""),546.0)</f>
        <v>546</v>
      </c>
      <c r="L15" s="5">
        <f>IFERROR(__xludf.DUMMYFUNCTION("""COMPUTED_VALUE"""),4.9)</f>
        <v>4.9</v>
      </c>
      <c r="M15" s="5">
        <f>IFERROR(__xludf.DUMMYFUNCTION("""COMPUTED_VALUE"""),0.0)</f>
        <v>0</v>
      </c>
      <c r="N15" s="5">
        <f>IFERROR(__xludf.DUMMYFUNCTION("""COMPUTED_VALUE"""),0.0)</f>
        <v>0</v>
      </c>
      <c r="O15" s="5">
        <f>IFERROR(__xludf.DUMMYFUNCTION("""COMPUTED_VALUE"""),0.0)</f>
        <v>0</v>
      </c>
      <c r="P15" s="5">
        <f>IFERROR(__xludf.DUMMYFUNCTION("""COMPUTED_VALUE"""),284.1)</f>
        <v>284.1</v>
      </c>
    </row>
    <row r="16">
      <c r="A16" s="19" t="str">
        <f>vlookup(B16,'Player Codes'!A:D,4,)</f>
        <v>0068</v>
      </c>
      <c r="B16" s="21" t="s">
        <v>229</v>
      </c>
      <c r="C16" s="5">
        <f>IFERROR(__xludf.DUMMYFUNCTION("""COMPUTED_VALUE"""),12.0)</f>
        <v>12</v>
      </c>
      <c r="D16" s="5" t="str">
        <f>IFERROR(__xludf.DUMMYFUNCTION("""COMPUTED_VALUE"""),"Dak Prescott")</f>
        <v>Dak Prescott</v>
      </c>
      <c r="E16" s="5" t="str">
        <f>IFERROR(__xludf.DUMMYFUNCTION("""COMPUTED_VALUE"""),"QB12")</f>
        <v>QB12</v>
      </c>
      <c r="F16" s="5" t="str">
        <f>IFERROR(__xludf.DUMMYFUNCTION("""COMPUTED_VALUE"""),"DAL")</f>
        <v>DAL</v>
      </c>
      <c r="G16" s="5">
        <f>IFERROR(__xludf.DUMMYFUNCTION("""COMPUTED_VALUE"""),7.0)</f>
        <v>7</v>
      </c>
      <c r="H16" s="5">
        <f>IFERROR(__xludf.DUMMYFUNCTION("""COMPUTED_VALUE"""),3945.0)</f>
        <v>3945</v>
      </c>
      <c r="I16" s="5">
        <f>IFERROR(__xludf.DUMMYFUNCTION("""COMPUTED_VALUE"""),26.3)</f>
        <v>26.3</v>
      </c>
      <c r="J16" s="5">
        <f>IFERROR(__xludf.DUMMYFUNCTION("""COMPUTED_VALUE"""),13.0)</f>
        <v>13</v>
      </c>
      <c r="K16" s="5">
        <f>IFERROR(__xludf.DUMMYFUNCTION("""COMPUTED_VALUE"""),248.0)</f>
        <v>248</v>
      </c>
      <c r="L16" s="5">
        <f>IFERROR(__xludf.DUMMYFUNCTION("""COMPUTED_VALUE"""),2.6)</f>
        <v>2.6</v>
      </c>
      <c r="M16" s="5">
        <f>IFERROR(__xludf.DUMMYFUNCTION("""COMPUTED_VALUE"""),0.0)</f>
        <v>0</v>
      </c>
      <c r="N16" s="5">
        <f>IFERROR(__xludf.DUMMYFUNCTION("""COMPUTED_VALUE"""),0.0)</f>
        <v>0</v>
      </c>
      <c r="O16" s="5">
        <f>IFERROR(__xludf.DUMMYFUNCTION("""COMPUTED_VALUE"""),0.0)</f>
        <v>0</v>
      </c>
      <c r="P16" s="5">
        <f>IFERROR(__xludf.DUMMYFUNCTION("""COMPUTED_VALUE"""),277.4)</f>
        <v>277.4</v>
      </c>
    </row>
    <row r="17">
      <c r="A17" s="19" t="str">
        <f>vlookup(B17,'Player Codes'!A:D,4,)</f>
        <v>0280</v>
      </c>
      <c r="B17" s="21" t="s">
        <v>231</v>
      </c>
      <c r="C17" s="5">
        <f>IFERROR(__xludf.DUMMYFUNCTION("""COMPUTED_VALUE"""),13.0)</f>
        <v>13</v>
      </c>
      <c r="D17" s="5" t="str">
        <f>IFERROR(__xludf.DUMMYFUNCTION("""COMPUTED_VALUE"""),"Tua Tagovailoa")</f>
        <v>Tua Tagovailoa</v>
      </c>
      <c r="E17" s="5" t="str">
        <f>IFERROR(__xludf.DUMMYFUNCTION("""COMPUTED_VALUE"""),"QB13")</f>
        <v>QB13</v>
      </c>
      <c r="F17" s="5" t="str">
        <f>IFERROR(__xludf.DUMMYFUNCTION("""COMPUTED_VALUE"""),"MIA")</f>
        <v>MIA</v>
      </c>
      <c r="G17" s="5">
        <f>IFERROR(__xludf.DUMMYFUNCTION("""COMPUTED_VALUE"""),10.0)</f>
        <v>10</v>
      </c>
      <c r="H17" s="5">
        <f>IFERROR(__xludf.DUMMYFUNCTION("""COMPUTED_VALUE"""),4219.0)</f>
        <v>4219</v>
      </c>
      <c r="I17" s="5">
        <f>IFERROR(__xludf.DUMMYFUNCTION("""COMPUTED_VALUE"""),26.9)</f>
        <v>26.9</v>
      </c>
      <c r="J17" s="5">
        <f>IFERROR(__xludf.DUMMYFUNCTION("""COMPUTED_VALUE"""),11.2)</f>
        <v>11.2</v>
      </c>
      <c r="K17" s="5">
        <f>IFERROR(__xludf.DUMMYFUNCTION("""COMPUTED_VALUE"""),115.0)</f>
        <v>115</v>
      </c>
      <c r="L17" s="5">
        <f>IFERROR(__xludf.DUMMYFUNCTION("""COMPUTED_VALUE"""),1.5)</f>
        <v>1.5</v>
      </c>
      <c r="M17" s="5">
        <f>IFERROR(__xludf.DUMMYFUNCTION("""COMPUTED_VALUE"""),0.0)</f>
        <v>0</v>
      </c>
      <c r="N17" s="5">
        <f>IFERROR(__xludf.DUMMYFUNCTION("""COMPUTED_VALUE"""),0.0)</f>
        <v>0</v>
      </c>
      <c r="O17" s="5">
        <f>IFERROR(__xludf.DUMMYFUNCTION("""COMPUTED_VALUE"""),0.0)</f>
        <v>0</v>
      </c>
      <c r="P17" s="5">
        <f>IFERROR(__xludf.DUMMYFUNCTION("""COMPUTED_VALUE"""),274.5)</f>
        <v>274.5</v>
      </c>
    </row>
    <row r="18">
      <c r="A18" s="19" t="str">
        <f>vlookup(B18,'Player Codes'!A:D,4,)</f>
        <v>0190</v>
      </c>
      <c r="B18" s="21" t="s">
        <v>237</v>
      </c>
      <c r="C18" s="5">
        <f>IFERROR(__xludf.DUMMYFUNCTION("""COMPUTED_VALUE"""),14.0)</f>
        <v>14</v>
      </c>
      <c r="D18" s="5" t="str">
        <f>IFERROR(__xludf.DUMMYFUNCTION("""COMPUTED_VALUE"""),"Kirk Cousins")</f>
        <v>Kirk Cousins</v>
      </c>
      <c r="E18" s="5" t="str">
        <f>IFERROR(__xludf.DUMMYFUNCTION("""COMPUTED_VALUE"""),"QB14")</f>
        <v>QB14</v>
      </c>
      <c r="F18" s="5" t="str">
        <f>IFERROR(__xludf.DUMMYFUNCTION("""COMPUTED_VALUE"""),"MIN")</f>
        <v>MIN</v>
      </c>
      <c r="G18" s="5">
        <f>IFERROR(__xludf.DUMMYFUNCTION("""COMPUTED_VALUE"""),13.0)</f>
        <v>13</v>
      </c>
      <c r="H18" s="5">
        <f>IFERROR(__xludf.DUMMYFUNCTION("""COMPUTED_VALUE"""),4298.0)</f>
        <v>4298</v>
      </c>
      <c r="I18" s="5">
        <f>IFERROR(__xludf.DUMMYFUNCTION("""COMPUTED_VALUE"""),27.0)</f>
        <v>27</v>
      </c>
      <c r="J18" s="5">
        <f>IFERROR(__xludf.DUMMYFUNCTION("""COMPUTED_VALUE"""),12.9)</f>
        <v>12.9</v>
      </c>
      <c r="K18" s="5">
        <f>IFERROR(__xludf.DUMMYFUNCTION("""COMPUTED_VALUE"""),87.0)</f>
        <v>87</v>
      </c>
      <c r="L18" s="5">
        <f>IFERROR(__xludf.DUMMYFUNCTION("""COMPUTED_VALUE"""),1.5)</f>
        <v>1.5</v>
      </c>
      <c r="M18" s="5">
        <f>IFERROR(__xludf.DUMMYFUNCTION("""COMPUTED_VALUE"""),0.0)</f>
        <v>0</v>
      </c>
      <c r="N18" s="5">
        <f>IFERROR(__xludf.DUMMYFUNCTION("""COMPUTED_VALUE"""),0.0)</f>
        <v>0</v>
      </c>
      <c r="O18" s="5">
        <f>IFERROR(__xludf.DUMMYFUNCTION("""COMPUTED_VALUE"""),0.0)</f>
        <v>0</v>
      </c>
      <c r="P18" s="5">
        <f>IFERROR(__xludf.DUMMYFUNCTION("""COMPUTED_VALUE"""),271.8)</f>
        <v>271.8</v>
      </c>
    </row>
    <row r="19">
      <c r="A19" s="19" t="str">
        <f>vlookup(B19,'Player Codes'!A:D,4,)</f>
        <v>0014</v>
      </c>
      <c r="B19" s="23" t="s">
        <v>288</v>
      </c>
      <c r="C19" s="5">
        <f>IFERROR(__xludf.DUMMYFUNCTION("""COMPUTED_VALUE"""),15.0)</f>
        <v>15</v>
      </c>
      <c r="D19" s="5" t="str">
        <f>IFERROR(__xludf.DUMMYFUNCTION("""COMPUTED_VALUE"""),"Anthony Richardson")</f>
        <v>Anthony Richardson</v>
      </c>
      <c r="E19" s="5" t="str">
        <f>IFERROR(__xludf.DUMMYFUNCTION("""COMPUTED_VALUE"""),"QB15")</f>
        <v>QB15</v>
      </c>
      <c r="F19" s="5" t="str">
        <f>IFERROR(__xludf.DUMMYFUNCTION("""COMPUTED_VALUE"""),"IND")</f>
        <v>IND</v>
      </c>
      <c r="G19" s="5">
        <f>IFERROR(__xludf.DUMMYFUNCTION("""COMPUTED_VALUE"""),11.0)</f>
        <v>11</v>
      </c>
      <c r="H19" s="5">
        <f>IFERROR(__xludf.DUMMYFUNCTION("""COMPUTED_VALUE"""),2721.0)</f>
        <v>2721</v>
      </c>
      <c r="I19" s="5">
        <f>IFERROR(__xludf.DUMMYFUNCTION("""COMPUTED_VALUE"""),15.8)</f>
        <v>15.8</v>
      </c>
      <c r="J19" s="5">
        <f>IFERROR(__xludf.DUMMYFUNCTION("""COMPUTED_VALUE"""),10.3)</f>
        <v>10.3</v>
      </c>
      <c r="K19" s="5">
        <f>IFERROR(__xludf.DUMMYFUNCTION("""COMPUTED_VALUE"""),801.0)</f>
        <v>801</v>
      </c>
      <c r="L19" s="5">
        <f>IFERROR(__xludf.DUMMYFUNCTION("""COMPUTED_VALUE"""),6.3)</f>
        <v>6.3</v>
      </c>
      <c r="M19" s="5">
        <f>IFERROR(__xludf.DUMMYFUNCTION("""COMPUTED_VALUE"""),0.0)</f>
        <v>0</v>
      </c>
      <c r="N19" s="5">
        <f>IFERROR(__xludf.DUMMYFUNCTION("""COMPUTED_VALUE"""),0.0)</f>
        <v>0</v>
      </c>
      <c r="O19" s="5">
        <f>IFERROR(__xludf.DUMMYFUNCTION("""COMPUTED_VALUE"""),0.0)</f>
        <v>0</v>
      </c>
      <c r="P19" s="5">
        <f>IFERROR(__xludf.DUMMYFUNCTION("""COMPUTED_VALUE"""),269.4)</f>
        <v>269.4</v>
      </c>
    </row>
    <row r="20">
      <c r="A20" s="19" t="str">
        <f>vlookup(B20,'Player Codes'!A:D,4,)</f>
        <v>0146</v>
      </c>
      <c r="B20" s="21" t="s">
        <v>290</v>
      </c>
      <c r="C20" s="5">
        <f>IFERROR(__xludf.DUMMYFUNCTION("""COMPUTED_VALUE"""),16.0)</f>
        <v>16</v>
      </c>
      <c r="D20" s="5" t="str">
        <f>IFERROR(__xludf.DUMMYFUNCTION("""COMPUTED_VALUE"""),"Jared Goff")</f>
        <v>Jared Goff</v>
      </c>
      <c r="E20" s="5" t="str">
        <f>IFERROR(__xludf.DUMMYFUNCTION("""COMPUTED_VALUE"""),"QB16")</f>
        <v>QB16</v>
      </c>
      <c r="F20" s="5" t="str">
        <f>IFERROR(__xludf.DUMMYFUNCTION("""COMPUTED_VALUE"""),"DET")</f>
        <v>DET</v>
      </c>
      <c r="G20" s="5">
        <f>IFERROR(__xludf.DUMMYFUNCTION("""COMPUTED_VALUE"""),9.0)</f>
        <v>9</v>
      </c>
      <c r="H20" s="5">
        <f>IFERROR(__xludf.DUMMYFUNCTION("""COMPUTED_VALUE"""),4206.0)</f>
        <v>4206</v>
      </c>
      <c r="I20" s="5">
        <f>IFERROR(__xludf.DUMMYFUNCTION("""COMPUTED_VALUE"""),26.0)</f>
        <v>26</v>
      </c>
      <c r="J20" s="5">
        <f>IFERROR(__xludf.DUMMYFUNCTION("""COMPUTED_VALUE"""),10.9)</f>
        <v>10.9</v>
      </c>
      <c r="K20" s="5">
        <f>IFERROR(__xludf.DUMMYFUNCTION("""COMPUTED_VALUE"""),71.0)</f>
        <v>71</v>
      </c>
      <c r="L20" s="5">
        <f>IFERROR(__xludf.DUMMYFUNCTION("""COMPUTED_VALUE"""),1.1)</f>
        <v>1.1</v>
      </c>
      <c r="M20" s="5">
        <f>IFERROR(__xludf.DUMMYFUNCTION("""COMPUTED_VALUE"""),0.0)</f>
        <v>0</v>
      </c>
      <c r="N20" s="5">
        <f>IFERROR(__xludf.DUMMYFUNCTION("""COMPUTED_VALUE"""),0.0)</f>
        <v>0</v>
      </c>
      <c r="O20" s="5">
        <f>IFERROR(__xludf.DUMMYFUNCTION("""COMPUTED_VALUE"""),0.0)</f>
        <v>0</v>
      </c>
      <c r="P20" s="5">
        <f>IFERROR(__xludf.DUMMYFUNCTION("""COMPUTED_VALUE"""),264.1)</f>
        <v>264.1</v>
      </c>
    </row>
    <row r="21">
      <c r="A21" s="19" t="str">
        <f>vlookup(B21,'Player Codes'!A:D,4,)</f>
        <v>0003</v>
      </c>
      <c r="B21" s="21" t="s">
        <v>196</v>
      </c>
      <c r="C21" s="5">
        <f>IFERROR(__xludf.DUMMYFUNCTION("""COMPUTED_VALUE"""),17.0)</f>
        <v>17</v>
      </c>
      <c r="D21" s="5" t="str">
        <f>IFERROR(__xludf.DUMMYFUNCTION("""COMPUTED_VALUE"""),"Aaron Rodgers")</f>
        <v>Aaron Rodgers</v>
      </c>
      <c r="E21" s="5" t="str">
        <f>IFERROR(__xludf.DUMMYFUNCTION("""COMPUTED_VALUE"""),"QB17")</f>
        <v>QB17</v>
      </c>
      <c r="F21" s="5" t="str">
        <f>IFERROR(__xludf.DUMMYFUNCTION("""COMPUTED_VALUE"""),"NYJ")</f>
        <v>NYJ</v>
      </c>
      <c r="G21" s="5">
        <f>IFERROR(__xludf.DUMMYFUNCTION("""COMPUTED_VALUE"""),7.0)</f>
        <v>7</v>
      </c>
      <c r="H21" s="5">
        <f>IFERROR(__xludf.DUMMYFUNCTION("""COMPUTED_VALUE"""),3942.0)</f>
        <v>3942</v>
      </c>
      <c r="I21" s="5">
        <f>IFERROR(__xludf.DUMMYFUNCTION("""COMPUTED_VALUE"""),27.0)</f>
        <v>27</v>
      </c>
      <c r="J21" s="5">
        <f>IFERROR(__xludf.DUMMYFUNCTION("""COMPUTED_VALUE"""),11.0)</f>
        <v>11</v>
      </c>
      <c r="K21" s="5">
        <f>IFERROR(__xludf.DUMMYFUNCTION("""COMPUTED_VALUE"""),69.0)</f>
        <v>69</v>
      </c>
      <c r="L21" s="5">
        <f>IFERROR(__xludf.DUMMYFUNCTION("""COMPUTED_VALUE"""),1.8)</f>
        <v>1.8</v>
      </c>
      <c r="M21" s="5">
        <f>IFERROR(__xludf.DUMMYFUNCTION("""COMPUTED_VALUE"""),0.0)</f>
        <v>0</v>
      </c>
      <c r="N21" s="5">
        <f>IFERROR(__xludf.DUMMYFUNCTION("""COMPUTED_VALUE"""),0.0)</f>
        <v>0</v>
      </c>
      <c r="O21" s="5">
        <f>IFERROR(__xludf.DUMMYFUNCTION("""COMPUTED_VALUE"""),0.0)</f>
        <v>0</v>
      </c>
      <c r="P21" s="5">
        <f>IFERROR(__xludf.DUMMYFUNCTION("""COMPUTED_VALUE"""),261.3)</f>
        <v>261.3</v>
      </c>
    </row>
    <row r="22">
      <c r="A22" s="19" t="str">
        <f>vlookup(B22,'Player Codes'!A:D,4,)</f>
        <v>0174</v>
      </c>
      <c r="B22" s="21" t="s">
        <v>95</v>
      </c>
      <c r="C22" s="5">
        <f>IFERROR(__xludf.DUMMYFUNCTION("""COMPUTED_VALUE"""),18.0)</f>
        <v>18</v>
      </c>
      <c r="D22" s="5" t="str">
        <f>IFERROR(__xludf.DUMMYFUNCTION("""COMPUTED_VALUE"""),"Justin Jefferson")</f>
        <v>Justin Jefferson</v>
      </c>
      <c r="E22" s="5" t="str">
        <f>IFERROR(__xludf.DUMMYFUNCTION("""COMPUTED_VALUE"""),"WR1")</f>
        <v>WR1</v>
      </c>
      <c r="F22" s="5" t="str">
        <f>IFERROR(__xludf.DUMMYFUNCTION("""COMPUTED_VALUE"""),"MIN")</f>
        <v>MIN</v>
      </c>
      <c r="G22" s="5">
        <f>IFERROR(__xludf.DUMMYFUNCTION("""COMPUTED_VALUE"""),13.0)</f>
        <v>13</v>
      </c>
      <c r="H22" s="5">
        <f>IFERROR(__xludf.DUMMYFUNCTION("""COMPUTED_VALUE"""),0.0)</f>
        <v>0</v>
      </c>
      <c r="I22" s="5">
        <f>IFERROR(__xludf.DUMMYFUNCTION("""COMPUTED_VALUE"""),0.0)</f>
        <v>0</v>
      </c>
      <c r="J22" s="5">
        <f>IFERROR(__xludf.DUMMYFUNCTION("""COMPUTED_VALUE"""),0.0)</f>
        <v>0</v>
      </c>
      <c r="K22" s="5">
        <f>IFERROR(__xludf.DUMMYFUNCTION("""COMPUTED_VALUE"""),17.0)</f>
        <v>17</v>
      </c>
      <c r="L22" s="5">
        <f>IFERROR(__xludf.DUMMYFUNCTION("""COMPUTED_VALUE"""),0.4)</f>
        <v>0.4</v>
      </c>
      <c r="M22" s="5">
        <f>IFERROR(__xludf.DUMMYFUNCTION("""COMPUTED_VALUE"""),104.0)</f>
        <v>104</v>
      </c>
      <c r="N22" s="5">
        <f>IFERROR(__xludf.DUMMYFUNCTION("""COMPUTED_VALUE"""),1434.0)</f>
        <v>1434</v>
      </c>
      <c r="O22" s="5">
        <f>IFERROR(__xludf.DUMMYFUNCTION("""COMPUTED_VALUE"""),8.9)</f>
        <v>8.9</v>
      </c>
      <c r="P22" s="5">
        <f>IFERROR(__xludf.DUMMYFUNCTION("""COMPUTED_VALUE"""),252.7)</f>
        <v>252.7</v>
      </c>
    </row>
    <row r="23">
      <c r="A23" s="19" t="str">
        <f>vlookup(B23,'Player Codes'!A:D,4,)</f>
        <v>0055</v>
      </c>
      <c r="B23" s="21" t="s">
        <v>14</v>
      </c>
      <c r="C23" s="5">
        <f>IFERROR(__xludf.DUMMYFUNCTION("""COMPUTED_VALUE"""),19.0)</f>
        <v>19</v>
      </c>
      <c r="D23" s="5" t="str">
        <f>IFERROR(__xludf.DUMMYFUNCTION("""COMPUTED_VALUE"""),"Christian McCaffrey")</f>
        <v>Christian McCaffrey</v>
      </c>
      <c r="E23" s="5" t="str">
        <f>IFERROR(__xludf.DUMMYFUNCTION("""COMPUTED_VALUE"""),"RB1")</f>
        <v>RB1</v>
      </c>
      <c r="F23" s="5" t="str">
        <f>IFERROR(__xludf.DUMMYFUNCTION("""COMPUTED_VALUE"""),"SF")</f>
        <v>SF</v>
      </c>
      <c r="G23" s="5">
        <f>IFERROR(__xludf.DUMMYFUNCTION("""COMPUTED_VALUE"""),9.0)</f>
        <v>9</v>
      </c>
      <c r="H23" s="5">
        <f>IFERROR(__xludf.DUMMYFUNCTION("""COMPUTED_VALUE"""),0.0)</f>
        <v>0</v>
      </c>
      <c r="I23" s="5">
        <f>IFERROR(__xludf.DUMMYFUNCTION("""COMPUTED_VALUE"""),0.0)</f>
        <v>0</v>
      </c>
      <c r="J23" s="5">
        <f>IFERROR(__xludf.DUMMYFUNCTION("""COMPUTED_VALUE"""),0.0)</f>
        <v>0</v>
      </c>
      <c r="K23" s="5">
        <f>IFERROR(__xludf.DUMMYFUNCTION("""COMPUTED_VALUE"""),924.0)</f>
        <v>924</v>
      </c>
      <c r="L23" s="5">
        <f>IFERROR(__xludf.DUMMYFUNCTION("""COMPUTED_VALUE"""),7.4)</f>
        <v>7.4</v>
      </c>
      <c r="M23" s="5">
        <f>IFERROR(__xludf.DUMMYFUNCTION("""COMPUTED_VALUE"""),71.0)</f>
        <v>71</v>
      </c>
      <c r="N23" s="5">
        <f>IFERROR(__xludf.DUMMYFUNCTION("""COMPUTED_VALUE"""),566.0)</f>
        <v>566</v>
      </c>
      <c r="O23" s="5">
        <f>IFERROR(__xludf.DUMMYFUNCTION("""COMPUTED_VALUE"""),3.1)</f>
        <v>3.1</v>
      </c>
      <c r="P23" s="5">
        <f>IFERROR(__xludf.DUMMYFUNCTION("""COMPUTED_VALUE"""),247.4)</f>
        <v>247.4</v>
      </c>
    </row>
    <row r="24">
      <c r="A24" s="19" t="str">
        <f>vlookup(B24,'Player Codes'!A:D,4,)</f>
        <v>0291</v>
      </c>
      <c r="B24" s="21" t="s">
        <v>31</v>
      </c>
      <c r="C24" s="5">
        <f>IFERROR(__xludf.DUMMYFUNCTION("""COMPUTED_VALUE"""),20.0)</f>
        <v>20</v>
      </c>
      <c r="D24" s="5" t="str">
        <f>IFERROR(__xludf.DUMMYFUNCTION("""COMPUTED_VALUE"""),"Tyreek Hill")</f>
        <v>Tyreek Hill</v>
      </c>
      <c r="E24" s="5" t="str">
        <f>IFERROR(__xludf.DUMMYFUNCTION("""COMPUTED_VALUE"""),"WR2")</f>
        <v>WR2</v>
      </c>
      <c r="F24" s="5" t="str">
        <f>IFERROR(__xludf.DUMMYFUNCTION("""COMPUTED_VALUE"""),"MIA")</f>
        <v>MIA</v>
      </c>
      <c r="G24" s="5">
        <f>IFERROR(__xludf.DUMMYFUNCTION("""COMPUTED_VALUE"""),10.0)</f>
        <v>10</v>
      </c>
      <c r="H24" s="5">
        <f>IFERROR(__xludf.DUMMYFUNCTION("""COMPUTED_VALUE"""),0.0)</f>
        <v>0</v>
      </c>
      <c r="I24" s="5">
        <f>IFERROR(__xludf.DUMMYFUNCTION("""COMPUTED_VALUE"""),0.0)</f>
        <v>0</v>
      </c>
      <c r="J24" s="5">
        <f>IFERROR(__xludf.DUMMYFUNCTION("""COMPUTED_VALUE"""),0.0)</f>
        <v>0</v>
      </c>
      <c r="K24" s="5">
        <f>IFERROR(__xludf.DUMMYFUNCTION("""COMPUTED_VALUE"""),33.0)</f>
        <v>33</v>
      </c>
      <c r="L24" s="5">
        <f>IFERROR(__xludf.DUMMYFUNCTION("""COMPUTED_VALUE"""),0.6)</f>
        <v>0.6</v>
      </c>
      <c r="M24" s="5">
        <f>IFERROR(__xludf.DUMMYFUNCTION("""COMPUTED_VALUE"""),102.0)</f>
        <v>102</v>
      </c>
      <c r="N24" s="5">
        <f>IFERROR(__xludf.DUMMYFUNCTION("""COMPUTED_VALUE"""),1349.0)</f>
        <v>1349</v>
      </c>
      <c r="O24" s="5">
        <f>IFERROR(__xludf.DUMMYFUNCTION("""COMPUTED_VALUE"""),9.0)</f>
        <v>9</v>
      </c>
      <c r="P24" s="5">
        <f>IFERROR(__xludf.DUMMYFUNCTION("""COMPUTED_VALUE"""),246.9)</f>
        <v>246.9</v>
      </c>
    </row>
    <row r="25">
      <c r="A25" s="19" t="str">
        <f>vlookup(B25,'Player Codes'!A:D,4,)</f>
        <v>0253</v>
      </c>
      <c r="B25" s="21" t="s">
        <v>199</v>
      </c>
      <c r="C25" s="5">
        <f>IFERROR(__xludf.DUMMYFUNCTION("""COMPUTED_VALUE"""),21.0)</f>
        <v>21</v>
      </c>
      <c r="D25" s="5" t="str">
        <f>IFERROR(__xludf.DUMMYFUNCTION("""COMPUTED_VALUE"""),"Russell Wilson")</f>
        <v>Russell Wilson</v>
      </c>
      <c r="E25" s="5" t="str">
        <f>IFERROR(__xludf.DUMMYFUNCTION("""COMPUTED_VALUE"""),"QB18")</f>
        <v>QB18</v>
      </c>
      <c r="F25" s="5" t="str">
        <f>IFERROR(__xludf.DUMMYFUNCTION("""COMPUTED_VALUE"""),"DEN")</f>
        <v>DEN</v>
      </c>
      <c r="G25" s="5">
        <f>IFERROR(__xludf.DUMMYFUNCTION("""COMPUTED_VALUE"""),9.0)</f>
        <v>9</v>
      </c>
      <c r="H25" s="5">
        <f>IFERROR(__xludf.DUMMYFUNCTION("""COMPUTED_VALUE"""),3736.0)</f>
        <v>3736</v>
      </c>
      <c r="I25" s="5">
        <f>IFERROR(__xludf.DUMMYFUNCTION("""COMPUTED_VALUE"""),20.8)</f>
        <v>20.8</v>
      </c>
      <c r="J25" s="5">
        <f>IFERROR(__xludf.DUMMYFUNCTION("""COMPUTED_VALUE"""),14.1)</f>
        <v>14.1</v>
      </c>
      <c r="K25" s="5">
        <f>IFERROR(__xludf.DUMMYFUNCTION("""COMPUTED_VALUE"""),245.0)</f>
        <v>245</v>
      </c>
      <c r="L25" s="5">
        <f>IFERROR(__xludf.DUMMYFUNCTION("""COMPUTED_VALUE"""),2.6)</f>
        <v>2.6</v>
      </c>
      <c r="M25" s="5">
        <f>IFERROR(__xludf.DUMMYFUNCTION("""COMPUTED_VALUE"""),0.0)</f>
        <v>0</v>
      </c>
      <c r="N25" s="5">
        <f>IFERROR(__xludf.DUMMYFUNCTION("""COMPUTED_VALUE"""),0.0)</f>
        <v>0</v>
      </c>
      <c r="O25" s="5">
        <f>IFERROR(__xludf.DUMMYFUNCTION("""COMPUTED_VALUE"""),0.0)</f>
        <v>0</v>
      </c>
      <c r="P25" s="5">
        <f>IFERROR(__xludf.DUMMYFUNCTION("""COMPUTED_VALUE"""),244.5)</f>
        <v>244.5</v>
      </c>
    </row>
    <row r="26">
      <c r="A26" s="19" t="str">
        <f>vlookup(B26,'Player Codes'!A:D,4,)</f>
        <v>0132</v>
      </c>
      <c r="B26" s="21" t="s">
        <v>67</v>
      </c>
      <c r="C26" s="5">
        <f>IFERROR(__xludf.DUMMYFUNCTION("""COMPUTED_VALUE"""),22.0)</f>
        <v>22</v>
      </c>
      <c r="D26" s="5" t="str">
        <f>IFERROR(__xludf.DUMMYFUNCTION("""COMPUTED_VALUE"""),"Ja'Marr Chase")</f>
        <v>Ja'Marr Chase</v>
      </c>
      <c r="E26" s="5" t="str">
        <f>IFERROR(__xludf.DUMMYFUNCTION("""COMPUTED_VALUE"""),"WR3")</f>
        <v>WR3</v>
      </c>
      <c r="F26" s="5" t="str">
        <f>IFERROR(__xludf.DUMMYFUNCTION("""COMPUTED_VALUE"""),"CIN")</f>
        <v>CIN</v>
      </c>
      <c r="G26" s="5">
        <f>IFERROR(__xludf.DUMMYFUNCTION("""COMPUTED_VALUE"""),7.0)</f>
        <v>7</v>
      </c>
      <c r="H26" s="5">
        <f>IFERROR(__xludf.DUMMYFUNCTION("""COMPUTED_VALUE"""),0.0)</f>
        <v>0</v>
      </c>
      <c r="I26" s="5">
        <f>IFERROR(__xludf.DUMMYFUNCTION("""COMPUTED_VALUE"""),0.0)</f>
        <v>0</v>
      </c>
      <c r="J26" s="5">
        <f>IFERROR(__xludf.DUMMYFUNCTION("""COMPUTED_VALUE"""),0.0)</f>
        <v>0</v>
      </c>
      <c r="K26" s="5">
        <f>IFERROR(__xludf.DUMMYFUNCTION("""COMPUTED_VALUE"""),14.0)</f>
        <v>14</v>
      </c>
      <c r="L26" s="5">
        <f>IFERROR(__xludf.DUMMYFUNCTION("""COMPUTED_VALUE"""),0.1)</f>
        <v>0.1</v>
      </c>
      <c r="M26" s="5">
        <f>IFERROR(__xludf.DUMMYFUNCTION("""COMPUTED_VALUE"""),101.0)</f>
        <v>101</v>
      </c>
      <c r="N26" s="5">
        <f>IFERROR(__xludf.DUMMYFUNCTION("""COMPUTED_VALUE"""),1306.0)</f>
        <v>1306</v>
      </c>
      <c r="O26" s="5">
        <f>IFERROR(__xludf.DUMMYFUNCTION("""COMPUTED_VALUE"""),10.2)</f>
        <v>10.2</v>
      </c>
      <c r="P26" s="5">
        <f>IFERROR(__xludf.DUMMYFUNCTION("""COMPUTED_VALUE"""),244.0)</f>
        <v>244</v>
      </c>
    </row>
    <row r="27">
      <c r="A27" s="19" t="str">
        <f>vlookup(B27,'Player Codes'!A:D,4,)</f>
        <v>0063</v>
      </c>
      <c r="B27" s="21" t="s">
        <v>71</v>
      </c>
      <c r="C27" s="5">
        <f>IFERROR(__xludf.DUMMYFUNCTION("""COMPUTED_VALUE"""),23.0)</f>
        <v>23</v>
      </c>
      <c r="D27" s="5" t="str">
        <f>IFERROR(__xludf.DUMMYFUNCTION("""COMPUTED_VALUE"""),"Derek Carr")</f>
        <v>Derek Carr</v>
      </c>
      <c r="E27" s="5" t="str">
        <f>IFERROR(__xludf.DUMMYFUNCTION("""COMPUTED_VALUE"""),"QB19")</f>
        <v>QB19</v>
      </c>
      <c r="F27" s="5" t="str">
        <f>IFERROR(__xludf.DUMMYFUNCTION("""COMPUTED_VALUE"""),"NO")</f>
        <v>NO</v>
      </c>
      <c r="G27" s="5">
        <f>IFERROR(__xludf.DUMMYFUNCTION("""COMPUTED_VALUE"""),11.0)</f>
        <v>11</v>
      </c>
      <c r="H27" s="5">
        <f>IFERROR(__xludf.DUMMYFUNCTION("""COMPUTED_VALUE"""),3851.0)</f>
        <v>3851</v>
      </c>
      <c r="I27" s="5">
        <f>IFERROR(__xludf.DUMMYFUNCTION("""COMPUTED_VALUE"""),23.7)</f>
        <v>23.7</v>
      </c>
      <c r="J27" s="5">
        <f>IFERROR(__xludf.DUMMYFUNCTION("""COMPUTED_VALUE"""),12.5)</f>
        <v>12.5</v>
      </c>
      <c r="K27" s="5">
        <f>IFERROR(__xludf.DUMMYFUNCTION("""COMPUTED_VALUE"""),86.0)</f>
        <v>86</v>
      </c>
      <c r="L27" s="5">
        <f>IFERROR(__xludf.DUMMYFUNCTION("""COMPUTED_VALUE"""),1.0)</f>
        <v>1</v>
      </c>
      <c r="M27" s="5">
        <f>IFERROR(__xludf.DUMMYFUNCTION("""COMPUTED_VALUE"""),0.0)</f>
        <v>0</v>
      </c>
      <c r="N27" s="5">
        <f>IFERROR(__xludf.DUMMYFUNCTION("""COMPUTED_VALUE"""),0.0)</f>
        <v>0</v>
      </c>
      <c r="O27" s="5">
        <f>IFERROR(__xludf.DUMMYFUNCTION("""COMPUTED_VALUE"""),0.0)</f>
        <v>0</v>
      </c>
      <c r="P27" s="5">
        <f>IFERROR(__xludf.DUMMYFUNCTION("""COMPUTED_VALUE"""),238.4)</f>
        <v>238.4</v>
      </c>
    </row>
    <row r="28">
      <c r="A28" s="19" t="str">
        <f>vlookup(B28,'Player Codes'!A:D,4,)</f>
        <v>0088</v>
      </c>
      <c r="B28" s="21" t="s">
        <v>269</v>
      </c>
      <c r="C28" s="5">
        <f>IFERROR(__xludf.DUMMYFUNCTION("""COMPUTED_VALUE"""),24.0)</f>
        <v>24</v>
      </c>
      <c r="D28" s="5" t="str">
        <f>IFERROR(__xludf.DUMMYFUNCTION("""COMPUTED_VALUE"""),"Kenny Pickett")</f>
        <v>Kenny Pickett</v>
      </c>
      <c r="E28" s="5" t="str">
        <f>IFERROR(__xludf.DUMMYFUNCTION("""COMPUTED_VALUE"""),"QB20")</f>
        <v>QB20</v>
      </c>
      <c r="F28" s="5" t="str">
        <f>IFERROR(__xludf.DUMMYFUNCTION("""COMPUTED_VALUE"""),"PIT")</f>
        <v>PIT</v>
      </c>
      <c r="G28" s="5">
        <f>IFERROR(__xludf.DUMMYFUNCTION("""COMPUTED_VALUE"""),6.0)</f>
        <v>6</v>
      </c>
      <c r="H28" s="5">
        <f>IFERROR(__xludf.DUMMYFUNCTION("""COMPUTED_VALUE"""),3683.0)</f>
        <v>3683</v>
      </c>
      <c r="I28" s="5">
        <f>IFERROR(__xludf.DUMMYFUNCTION("""COMPUTED_VALUE"""),19.1)</f>
        <v>19.1</v>
      </c>
      <c r="J28" s="5">
        <f>IFERROR(__xludf.DUMMYFUNCTION("""COMPUTED_VALUE"""),13.7)</f>
        <v>13.7</v>
      </c>
      <c r="K28" s="5">
        <f>IFERROR(__xludf.DUMMYFUNCTION("""COMPUTED_VALUE"""),258.0)</f>
        <v>258</v>
      </c>
      <c r="L28" s="5">
        <f>IFERROR(__xludf.DUMMYFUNCTION("""COMPUTED_VALUE"""),2.7)</f>
        <v>2.7</v>
      </c>
      <c r="M28" s="5">
        <f>IFERROR(__xludf.DUMMYFUNCTION("""COMPUTED_VALUE"""),0.0)</f>
        <v>0</v>
      </c>
      <c r="N28" s="5">
        <f>IFERROR(__xludf.DUMMYFUNCTION("""COMPUTED_VALUE"""),0.0)</f>
        <v>0</v>
      </c>
      <c r="O28" s="5">
        <f>IFERROR(__xludf.DUMMYFUNCTION("""COMPUTED_VALUE"""),0.0)</f>
        <v>0</v>
      </c>
      <c r="P28" s="5">
        <f>IFERROR(__xludf.DUMMYFUNCTION("""COMPUTED_VALUE"""),238.3)</f>
        <v>238.3</v>
      </c>
    </row>
    <row r="29">
      <c r="A29" s="19" t="str">
        <f>vlookup(B29,'Player Codes'!A:D,4,)</f>
        <v>0187</v>
      </c>
      <c r="B29" s="21" t="s">
        <v>334</v>
      </c>
      <c r="C29" s="5">
        <f>IFERROR(__xludf.DUMMYFUNCTION("""COMPUTED_VALUE"""),24.0)</f>
        <v>24</v>
      </c>
      <c r="D29" s="5" t="str">
        <f>IFERROR(__xludf.DUMMYFUNCTION("""COMPUTED_VALUE"""),"Austin Ekeler")</f>
        <v>Austin Ekeler</v>
      </c>
      <c r="E29" s="5" t="str">
        <f>IFERROR(__xludf.DUMMYFUNCTION("""COMPUTED_VALUE"""),"RB2")</f>
        <v>RB2</v>
      </c>
      <c r="F29" s="5" t="str">
        <f>IFERROR(__xludf.DUMMYFUNCTION("""COMPUTED_VALUE"""),"LAC")</f>
        <v>LAC</v>
      </c>
      <c r="G29" s="5">
        <f>IFERROR(__xludf.DUMMYFUNCTION("""COMPUTED_VALUE"""),5.0)</f>
        <v>5</v>
      </c>
      <c r="H29" s="5">
        <f>IFERROR(__xludf.DUMMYFUNCTION("""COMPUTED_VALUE"""),0.0)</f>
        <v>0</v>
      </c>
      <c r="I29" s="5">
        <f>IFERROR(__xludf.DUMMYFUNCTION("""COMPUTED_VALUE"""),0.0)</f>
        <v>0</v>
      </c>
      <c r="J29" s="5">
        <f>IFERROR(__xludf.DUMMYFUNCTION("""COMPUTED_VALUE"""),0.0)</f>
        <v>0</v>
      </c>
      <c r="K29" s="5">
        <f>IFERROR(__xludf.DUMMYFUNCTION("""COMPUTED_VALUE"""),786.0)</f>
        <v>786</v>
      </c>
      <c r="L29" s="5">
        <f>IFERROR(__xludf.DUMMYFUNCTION("""COMPUTED_VALUE"""),6.4)</f>
        <v>6.4</v>
      </c>
      <c r="M29" s="5">
        <f>IFERROR(__xludf.DUMMYFUNCTION("""COMPUTED_VALUE"""),74.0)</f>
        <v>74</v>
      </c>
      <c r="N29" s="5">
        <f>IFERROR(__xludf.DUMMYFUNCTION("""COMPUTED_VALUE"""),586.0)</f>
        <v>586</v>
      </c>
      <c r="O29" s="5">
        <f>IFERROR(__xludf.DUMMYFUNCTION("""COMPUTED_VALUE"""),4.3)</f>
        <v>4.3</v>
      </c>
      <c r="P29" s="5">
        <f>IFERROR(__xludf.DUMMYFUNCTION("""COMPUTED_VALUE"""),238.3)</f>
        <v>238.3</v>
      </c>
    </row>
    <row r="30">
      <c r="A30" s="19" t="str">
        <f>vlookup(B30,'Player Codes'!A:D,4,)</f>
        <v>0018</v>
      </c>
      <c r="B30" s="21" t="s">
        <v>18</v>
      </c>
      <c r="C30" s="5">
        <f>IFERROR(__xludf.DUMMYFUNCTION("""COMPUTED_VALUE"""),26.0)</f>
        <v>26</v>
      </c>
      <c r="D30" s="5" t="str">
        <f>IFERROR(__xludf.DUMMYFUNCTION("""COMPUTED_VALUE"""),"Jordan Love")</f>
        <v>Jordan Love</v>
      </c>
      <c r="E30" s="5" t="str">
        <f>IFERROR(__xludf.DUMMYFUNCTION("""COMPUTED_VALUE"""),"QB21")</f>
        <v>QB21</v>
      </c>
      <c r="F30" s="5" t="str">
        <f>IFERROR(__xludf.DUMMYFUNCTION("""COMPUTED_VALUE"""),"GB")</f>
        <v>GB</v>
      </c>
      <c r="G30" s="5">
        <f>IFERROR(__xludf.DUMMYFUNCTION("""COMPUTED_VALUE"""),6.0)</f>
        <v>6</v>
      </c>
      <c r="H30" s="5">
        <f>IFERROR(__xludf.DUMMYFUNCTION("""COMPUTED_VALUE"""),3356.0)</f>
        <v>3356</v>
      </c>
      <c r="I30" s="5">
        <f>IFERROR(__xludf.DUMMYFUNCTION("""COMPUTED_VALUE"""),19.5)</f>
        <v>19.5</v>
      </c>
      <c r="J30" s="5">
        <f>IFERROR(__xludf.DUMMYFUNCTION("""COMPUTED_VALUE"""),12.9)</f>
        <v>12.9</v>
      </c>
      <c r="K30" s="5">
        <f>IFERROR(__xludf.DUMMYFUNCTION("""COMPUTED_VALUE"""),313.0)</f>
        <v>313</v>
      </c>
      <c r="L30" s="5">
        <f>IFERROR(__xludf.DUMMYFUNCTION("""COMPUTED_VALUE"""),2.8)</f>
        <v>2.8</v>
      </c>
      <c r="M30" s="5">
        <f>IFERROR(__xludf.DUMMYFUNCTION("""COMPUTED_VALUE"""),0.0)</f>
        <v>0</v>
      </c>
      <c r="N30" s="5">
        <f>IFERROR(__xludf.DUMMYFUNCTION("""COMPUTED_VALUE"""),0.0)</f>
        <v>0</v>
      </c>
      <c r="O30" s="5">
        <f>IFERROR(__xludf.DUMMYFUNCTION("""COMPUTED_VALUE"""),0.0)</f>
        <v>0</v>
      </c>
      <c r="P30" s="5">
        <f>IFERROR(__xludf.DUMMYFUNCTION("""COMPUTED_VALUE"""),234.5)</f>
        <v>234.5</v>
      </c>
    </row>
    <row r="31">
      <c r="A31" s="19" t="str">
        <f>vlookup(B31,'Player Codes'!A:D,4,)</f>
        <v>0166</v>
      </c>
      <c r="B31" s="21" t="s">
        <v>344</v>
      </c>
      <c r="C31" s="5">
        <f>IFERROR(__xludf.DUMMYFUNCTION("""COMPUTED_VALUE"""),27.0)</f>
        <v>27</v>
      </c>
      <c r="D31" s="5" t="str">
        <f>IFERROR(__xludf.DUMMYFUNCTION("""COMPUTED_VALUE"""),"C.J. Stroud")</f>
        <v>C.J. Stroud</v>
      </c>
      <c r="E31" s="5" t="str">
        <f>IFERROR(__xludf.DUMMYFUNCTION("""COMPUTED_VALUE"""),"QB22")</f>
        <v>QB22</v>
      </c>
      <c r="F31" s="5" t="str">
        <f>IFERROR(__xludf.DUMMYFUNCTION("""COMPUTED_VALUE"""),"HOU")</f>
        <v>HOU</v>
      </c>
      <c r="G31" s="5">
        <f>IFERROR(__xludf.DUMMYFUNCTION("""COMPUTED_VALUE"""),7.0)</f>
        <v>7</v>
      </c>
      <c r="H31" s="5">
        <f>IFERROR(__xludf.DUMMYFUNCTION("""COMPUTED_VALUE"""),3478.0)</f>
        <v>3478</v>
      </c>
      <c r="I31" s="5">
        <f>IFERROR(__xludf.DUMMYFUNCTION("""COMPUTED_VALUE"""),18.9)</f>
        <v>18.9</v>
      </c>
      <c r="J31" s="5">
        <f>IFERROR(__xludf.DUMMYFUNCTION("""COMPUTED_VALUE"""),14.7)</f>
        <v>14.7</v>
      </c>
      <c r="K31" s="5">
        <f>IFERROR(__xludf.DUMMYFUNCTION("""COMPUTED_VALUE"""),293.0)</f>
        <v>293</v>
      </c>
      <c r="L31" s="5">
        <f>IFERROR(__xludf.DUMMYFUNCTION("""COMPUTED_VALUE"""),2.8)</f>
        <v>2.8</v>
      </c>
      <c r="M31" s="5">
        <f>IFERROR(__xludf.DUMMYFUNCTION("""COMPUTED_VALUE"""),0.0)</f>
        <v>0</v>
      </c>
      <c r="N31" s="5">
        <f>IFERROR(__xludf.DUMMYFUNCTION("""COMPUTED_VALUE"""),4.0)</f>
        <v>4</v>
      </c>
      <c r="O31" s="5">
        <f>IFERROR(__xludf.DUMMYFUNCTION("""COMPUTED_VALUE"""),0.0)</f>
        <v>0</v>
      </c>
      <c r="P31" s="5">
        <f>IFERROR(__xludf.DUMMYFUNCTION("""COMPUTED_VALUE"""),232.0)</f>
        <v>232</v>
      </c>
    </row>
    <row r="32">
      <c r="A32" s="19" t="str">
        <f>vlookup(B32,'Player Codes'!A:D,4,)</f>
        <v>0032</v>
      </c>
      <c r="B32" s="21" t="s">
        <v>346</v>
      </c>
      <c r="C32" s="5">
        <f>IFERROR(__xludf.DUMMYFUNCTION("""COMPUTED_VALUE"""),28.0)</f>
        <v>28</v>
      </c>
      <c r="D32" s="5" t="str">
        <f>IFERROR(__xludf.DUMMYFUNCTION("""COMPUTED_VALUE"""),"Bryce Young")</f>
        <v>Bryce Young</v>
      </c>
      <c r="E32" s="5" t="str">
        <f>IFERROR(__xludf.DUMMYFUNCTION("""COMPUTED_VALUE"""),"QB23")</f>
        <v>QB23</v>
      </c>
      <c r="F32" s="5" t="str">
        <f>IFERROR(__xludf.DUMMYFUNCTION("""COMPUTED_VALUE"""),"CAR")</f>
        <v>CAR</v>
      </c>
      <c r="G32" s="5">
        <f>IFERROR(__xludf.DUMMYFUNCTION("""COMPUTED_VALUE"""),7.0)</f>
        <v>7</v>
      </c>
      <c r="H32" s="5">
        <f>IFERROR(__xludf.DUMMYFUNCTION("""COMPUTED_VALUE"""),3322.0)</f>
        <v>3322</v>
      </c>
      <c r="I32" s="5">
        <f>IFERROR(__xludf.DUMMYFUNCTION("""COMPUTED_VALUE"""),19.6)</f>
        <v>19.6</v>
      </c>
      <c r="J32" s="5">
        <f>IFERROR(__xludf.DUMMYFUNCTION("""COMPUTED_VALUE"""),13.5)</f>
        <v>13.5</v>
      </c>
      <c r="K32" s="5">
        <f>IFERROR(__xludf.DUMMYFUNCTION("""COMPUTED_VALUE"""),293.0)</f>
        <v>293</v>
      </c>
      <c r="L32" s="5">
        <f>IFERROR(__xludf.DUMMYFUNCTION("""COMPUTED_VALUE"""),2.8)</f>
        <v>2.8</v>
      </c>
      <c r="M32" s="5">
        <f>IFERROR(__xludf.DUMMYFUNCTION("""COMPUTED_VALUE"""),0.0)</f>
        <v>0</v>
      </c>
      <c r="N32" s="5">
        <f>IFERROR(__xludf.DUMMYFUNCTION("""COMPUTED_VALUE"""),0.0)</f>
        <v>0</v>
      </c>
      <c r="O32" s="5">
        <f>IFERROR(__xludf.DUMMYFUNCTION("""COMPUTED_VALUE"""),0.0)</f>
        <v>0</v>
      </c>
      <c r="P32" s="5">
        <f>IFERROR(__xludf.DUMMYFUNCTION("""COMPUTED_VALUE"""),230.4)</f>
        <v>230.4</v>
      </c>
    </row>
    <row r="33">
      <c r="A33" s="19" t="str">
        <f>vlookup(B33,'Player Codes'!A:D,4,)</f>
        <v>0030</v>
      </c>
      <c r="B33" s="21" t="s">
        <v>306</v>
      </c>
      <c r="C33" s="5">
        <f>IFERROR(__xludf.DUMMYFUNCTION("""COMPUTED_VALUE"""),29.0)</f>
        <v>29</v>
      </c>
      <c r="D33" s="5" t="str">
        <f>IFERROR(__xludf.DUMMYFUNCTION("""COMPUTED_VALUE"""),"Stefon Diggs")</f>
        <v>Stefon Diggs</v>
      </c>
      <c r="E33" s="5" t="str">
        <f>IFERROR(__xludf.DUMMYFUNCTION("""COMPUTED_VALUE"""),"WR4")</f>
        <v>WR4</v>
      </c>
      <c r="F33" s="5" t="str">
        <f>IFERROR(__xludf.DUMMYFUNCTION("""COMPUTED_VALUE"""),"BUF")</f>
        <v>BUF</v>
      </c>
      <c r="G33" s="5">
        <f>IFERROR(__xludf.DUMMYFUNCTION("""COMPUTED_VALUE"""),13.0)</f>
        <v>13</v>
      </c>
      <c r="H33" s="5">
        <f>IFERROR(__xludf.DUMMYFUNCTION("""COMPUTED_VALUE"""),0.0)</f>
        <v>0</v>
      </c>
      <c r="I33" s="5">
        <f>IFERROR(__xludf.DUMMYFUNCTION("""COMPUTED_VALUE"""),0.0)</f>
        <v>0</v>
      </c>
      <c r="J33" s="5">
        <f>IFERROR(__xludf.DUMMYFUNCTION("""COMPUTED_VALUE"""),0.0)</f>
        <v>0</v>
      </c>
      <c r="K33" s="5">
        <f>IFERROR(__xludf.DUMMYFUNCTION("""COMPUTED_VALUE"""),0.0)</f>
        <v>0</v>
      </c>
      <c r="L33" s="5">
        <f>IFERROR(__xludf.DUMMYFUNCTION("""COMPUTED_VALUE"""),0.0)</f>
        <v>0</v>
      </c>
      <c r="M33" s="5">
        <f>IFERROR(__xludf.DUMMYFUNCTION("""COMPUTED_VALUE"""),101.0)</f>
        <v>101</v>
      </c>
      <c r="N33" s="5">
        <f>IFERROR(__xludf.DUMMYFUNCTION("""COMPUTED_VALUE"""),1282.0)</f>
        <v>1282</v>
      </c>
      <c r="O33" s="5">
        <f>IFERROR(__xludf.DUMMYFUNCTION("""COMPUTED_VALUE"""),8.5)</f>
        <v>8.5</v>
      </c>
      <c r="P33" s="5">
        <f>IFERROR(__xludf.DUMMYFUNCTION("""COMPUTED_VALUE"""),229.6)</f>
        <v>229.6</v>
      </c>
    </row>
    <row r="34">
      <c r="A34" s="19" t="str">
        <f>vlookup(B34,'Player Codes'!A:D,4,)</f>
        <v>0263</v>
      </c>
      <c r="B34" s="21" t="s">
        <v>89</v>
      </c>
      <c r="C34" s="5">
        <f>IFERROR(__xludf.DUMMYFUNCTION("""COMPUTED_VALUE"""),30.0)</f>
        <v>30</v>
      </c>
      <c r="D34" s="5" t="str">
        <f>IFERROR(__xludf.DUMMYFUNCTION("""COMPUTED_VALUE"""),"Travis Kelce")</f>
        <v>Travis Kelce</v>
      </c>
      <c r="E34" s="5" t="str">
        <f>IFERROR(__xludf.DUMMYFUNCTION("""COMPUTED_VALUE"""),"TE1")</f>
        <v>TE1</v>
      </c>
      <c r="F34" s="5" t="str">
        <f>IFERROR(__xludf.DUMMYFUNCTION("""COMPUTED_VALUE"""),"KC")</f>
        <v>KC</v>
      </c>
      <c r="G34" s="5">
        <f>IFERROR(__xludf.DUMMYFUNCTION("""COMPUTED_VALUE"""),10.0)</f>
        <v>10</v>
      </c>
      <c r="H34" s="5">
        <f>IFERROR(__xludf.DUMMYFUNCTION("""COMPUTED_VALUE"""),0.0)</f>
        <v>0</v>
      </c>
      <c r="I34" s="5">
        <f>IFERROR(__xludf.DUMMYFUNCTION("""COMPUTED_VALUE"""),0.0)</f>
        <v>0</v>
      </c>
      <c r="J34" s="5">
        <f>IFERROR(__xludf.DUMMYFUNCTION("""COMPUTED_VALUE"""),0.0)</f>
        <v>0</v>
      </c>
      <c r="K34" s="5">
        <f>IFERROR(__xludf.DUMMYFUNCTION("""COMPUTED_VALUE"""),8.0)</f>
        <v>8</v>
      </c>
      <c r="L34" s="5">
        <f>IFERROR(__xludf.DUMMYFUNCTION("""COMPUTED_VALUE"""),0.4)</f>
        <v>0.4</v>
      </c>
      <c r="M34" s="5">
        <f>IFERROR(__xludf.DUMMYFUNCTION("""COMPUTED_VALUE"""),95.0)</f>
        <v>95</v>
      </c>
      <c r="N34" s="5">
        <f>IFERROR(__xludf.DUMMYFUNCTION("""COMPUTED_VALUE"""),1180.0)</f>
        <v>1180</v>
      </c>
      <c r="O34" s="5">
        <f>IFERROR(__xludf.DUMMYFUNCTION("""COMPUTED_VALUE"""),9.9)</f>
        <v>9.9</v>
      </c>
      <c r="P34" s="5">
        <f>IFERROR(__xludf.DUMMYFUNCTION("""COMPUTED_VALUE"""),227.9)</f>
        <v>227.9</v>
      </c>
    </row>
    <row r="35">
      <c r="A35" s="19" t="str">
        <f>vlookup(B35,'Player Codes'!A:D,4,)</f>
        <v>0276</v>
      </c>
      <c r="B35" s="21" t="s">
        <v>192</v>
      </c>
      <c r="C35" s="5">
        <f>IFERROR(__xludf.DUMMYFUNCTION("""COMPUTED_VALUE"""),30.0)</f>
        <v>30</v>
      </c>
      <c r="D35" s="5" t="str">
        <f>IFERROR(__xludf.DUMMYFUNCTION("""COMPUTED_VALUE"""),"Bijan Robinson")</f>
        <v>Bijan Robinson</v>
      </c>
      <c r="E35" s="5" t="str">
        <f>IFERROR(__xludf.DUMMYFUNCTION("""COMPUTED_VALUE"""),"RB3")</f>
        <v>RB3</v>
      </c>
      <c r="F35" s="5" t="str">
        <f>IFERROR(__xludf.DUMMYFUNCTION("""COMPUTED_VALUE"""),"ATL")</f>
        <v>ATL</v>
      </c>
      <c r="G35" s="5">
        <f>IFERROR(__xludf.DUMMYFUNCTION("""COMPUTED_VALUE"""),11.0)</f>
        <v>11</v>
      </c>
      <c r="H35" s="5">
        <f>IFERROR(__xludf.DUMMYFUNCTION("""COMPUTED_VALUE"""),0.0)</f>
        <v>0</v>
      </c>
      <c r="I35" s="5">
        <f>IFERROR(__xludf.DUMMYFUNCTION("""COMPUTED_VALUE"""),0.0)</f>
        <v>0</v>
      </c>
      <c r="J35" s="5">
        <f>IFERROR(__xludf.DUMMYFUNCTION("""COMPUTED_VALUE"""),0.0)</f>
        <v>0</v>
      </c>
      <c r="K35" s="5">
        <f>IFERROR(__xludf.DUMMYFUNCTION("""COMPUTED_VALUE"""),1146.0)</f>
        <v>1146</v>
      </c>
      <c r="L35" s="5">
        <f>IFERROR(__xludf.DUMMYFUNCTION("""COMPUTED_VALUE"""),8.4)</f>
        <v>8.4</v>
      </c>
      <c r="M35" s="5">
        <f>IFERROR(__xludf.DUMMYFUNCTION("""COMPUTED_VALUE"""),38.0)</f>
        <v>38</v>
      </c>
      <c r="N35" s="5">
        <f>IFERROR(__xludf.DUMMYFUNCTION("""COMPUTED_VALUE"""),331.0)</f>
        <v>331</v>
      </c>
      <c r="O35" s="5">
        <f>IFERROR(__xludf.DUMMYFUNCTION("""COMPUTED_VALUE"""),1.8)</f>
        <v>1.8</v>
      </c>
      <c r="P35" s="5">
        <f>IFERROR(__xludf.DUMMYFUNCTION("""COMPUTED_VALUE"""),227.9)</f>
        <v>227.9</v>
      </c>
    </row>
    <row r="36">
      <c r="A36" s="19" t="str">
        <f>vlookup(B36,'Player Codes'!A:D,4,)</f>
        <v>0021</v>
      </c>
      <c r="B36" s="21" t="s">
        <v>47</v>
      </c>
      <c r="C36" s="5">
        <f>IFERROR(__xludf.DUMMYFUNCTION("""COMPUTED_VALUE"""),32.0)</f>
        <v>32</v>
      </c>
      <c r="D36" s="5" t="str">
        <f>IFERROR(__xludf.DUMMYFUNCTION("""COMPUTED_VALUE"""),"Matthew Stafford")</f>
        <v>Matthew Stafford</v>
      </c>
      <c r="E36" s="5" t="str">
        <f>IFERROR(__xludf.DUMMYFUNCTION("""COMPUTED_VALUE"""),"QB24")</f>
        <v>QB24</v>
      </c>
      <c r="F36" s="5" t="str">
        <f>IFERROR(__xludf.DUMMYFUNCTION("""COMPUTED_VALUE"""),"LAR")</f>
        <v>LAR</v>
      </c>
      <c r="G36" s="5">
        <f>IFERROR(__xludf.DUMMYFUNCTION("""COMPUTED_VALUE"""),10.0)</f>
        <v>10</v>
      </c>
      <c r="H36" s="5">
        <f>IFERROR(__xludf.DUMMYFUNCTION("""COMPUTED_VALUE"""),3796.0)</f>
        <v>3796</v>
      </c>
      <c r="I36" s="5">
        <f>IFERROR(__xludf.DUMMYFUNCTION("""COMPUTED_VALUE"""),23.3)</f>
        <v>23.3</v>
      </c>
      <c r="J36" s="5">
        <f>IFERROR(__xludf.DUMMYFUNCTION("""COMPUTED_VALUE"""),12.7)</f>
        <v>12.7</v>
      </c>
      <c r="K36" s="5">
        <f>IFERROR(__xludf.DUMMYFUNCTION("""COMPUTED_VALUE"""),38.0)</f>
        <v>38</v>
      </c>
      <c r="L36" s="5">
        <f>IFERROR(__xludf.DUMMYFUNCTION("""COMPUTED_VALUE"""),0.7)</f>
        <v>0.7</v>
      </c>
      <c r="M36" s="5">
        <f>IFERROR(__xludf.DUMMYFUNCTION("""COMPUTED_VALUE"""),0.0)</f>
        <v>0</v>
      </c>
      <c r="N36" s="5">
        <f>IFERROR(__xludf.DUMMYFUNCTION("""COMPUTED_VALUE"""),0.0)</f>
        <v>0</v>
      </c>
      <c r="O36" s="5">
        <f>IFERROR(__xludf.DUMMYFUNCTION("""COMPUTED_VALUE"""),0.0)</f>
        <v>0</v>
      </c>
      <c r="P36" s="5">
        <f>IFERROR(__xludf.DUMMYFUNCTION("""COMPUTED_VALUE"""),227.7)</f>
        <v>227.7</v>
      </c>
    </row>
    <row r="37">
      <c r="A37" s="19" t="str">
        <f>vlookup(B37,'Player Codes'!A:D,4,)</f>
        <v>0210</v>
      </c>
      <c r="B37" s="21" t="s">
        <v>239</v>
      </c>
      <c r="C37" s="5">
        <f>IFERROR(__xludf.DUMMYFUNCTION("""COMPUTED_VALUE"""),33.0)</f>
        <v>33</v>
      </c>
      <c r="D37" s="5" t="str">
        <f>IFERROR(__xludf.DUMMYFUNCTION("""COMPUTED_VALUE"""),"Jimmy Garoppolo")</f>
        <v>Jimmy Garoppolo</v>
      </c>
      <c r="E37" s="5" t="str">
        <f>IFERROR(__xludf.DUMMYFUNCTION("""COMPUTED_VALUE"""),"QB25")</f>
        <v>QB25</v>
      </c>
      <c r="F37" s="5" t="str">
        <f>IFERROR(__xludf.DUMMYFUNCTION("""COMPUTED_VALUE"""),"LV")</f>
        <v>LV</v>
      </c>
      <c r="G37" s="5">
        <f>IFERROR(__xludf.DUMMYFUNCTION("""COMPUTED_VALUE"""),13.0)</f>
        <v>13</v>
      </c>
      <c r="H37" s="5">
        <f>IFERROR(__xludf.DUMMYFUNCTION("""COMPUTED_VALUE"""),3825.0)</f>
        <v>3825</v>
      </c>
      <c r="I37" s="5">
        <f>IFERROR(__xludf.DUMMYFUNCTION("""COMPUTED_VALUE"""),21.4)</f>
        <v>21.4</v>
      </c>
      <c r="J37" s="5">
        <f>IFERROR(__xludf.DUMMYFUNCTION("""COMPUTED_VALUE"""),12.4)</f>
        <v>12.4</v>
      </c>
      <c r="K37" s="5">
        <f>IFERROR(__xludf.DUMMYFUNCTION("""COMPUTED_VALUE"""),35.0)</f>
        <v>35</v>
      </c>
      <c r="L37" s="5">
        <f>IFERROR(__xludf.DUMMYFUNCTION("""COMPUTED_VALUE"""),0.9)</f>
        <v>0.9</v>
      </c>
      <c r="M37" s="5">
        <f>IFERROR(__xludf.DUMMYFUNCTION("""COMPUTED_VALUE"""),0.0)</f>
        <v>0</v>
      </c>
      <c r="N37" s="5">
        <f>IFERROR(__xludf.DUMMYFUNCTION("""COMPUTED_VALUE"""),0.0)</f>
        <v>0</v>
      </c>
      <c r="O37" s="5">
        <f>IFERROR(__xludf.DUMMYFUNCTION("""COMPUTED_VALUE"""),0.0)</f>
        <v>0</v>
      </c>
      <c r="P37" s="5">
        <f>IFERROR(__xludf.DUMMYFUNCTION("""COMPUTED_VALUE"""),222.7)</f>
        <v>222.7</v>
      </c>
    </row>
    <row r="38">
      <c r="A38" s="19" t="str">
        <f>vlookup(B38,'Player Codes'!A:D,4,)</f>
        <v>0158</v>
      </c>
      <c r="B38" s="21" t="s">
        <v>194</v>
      </c>
      <c r="C38" s="5">
        <f>IFERROR(__xludf.DUMMYFUNCTION("""COMPUTED_VALUE"""),34.0)</f>
        <v>34</v>
      </c>
      <c r="D38" s="5" t="str">
        <f>IFERROR(__xludf.DUMMYFUNCTION("""COMPUTED_VALUE"""),"A.J. Brown")</f>
        <v>A.J. Brown</v>
      </c>
      <c r="E38" s="5" t="str">
        <f>IFERROR(__xludf.DUMMYFUNCTION("""COMPUTED_VALUE"""),"WR5")</f>
        <v>WR5</v>
      </c>
      <c r="F38" s="5" t="str">
        <f>IFERROR(__xludf.DUMMYFUNCTION("""COMPUTED_VALUE"""),"PHI")</f>
        <v>PHI</v>
      </c>
      <c r="G38" s="5">
        <f>IFERROR(__xludf.DUMMYFUNCTION("""COMPUTED_VALUE"""),10.0)</f>
        <v>10</v>
      </c>
      <c r="H38" s="5">
        <f>IFERROR(__xludf.DUMMYFUNCTION("""COMPUTED_VALUE"""),0.0)</f>
        <v>0</v>
      </c>
      <c r="I38" s="5">
        <f>IFERROR(__xludf.DUMMYFUNCTION("""COMPUTED_VALUE"""),0.0)</f>
        <v>0</v>
      </c>
      <c r="J38" s="5">
        <f>IFERROR(__xludf.DUMMYFUNCTION("""COMPUTED_VALUE"""),0.0)</f>
        <v>0</v>
      </c>
      <c r="K38" s="5">
        <f>IFERROR(__xludf.DUMMYFUNCTION("""COMPUTED_VALUE"""),11.0)</f>
        <v>11</v>
      </c>
      <c r="L38" s="5">
        <f>IFERROR(__xludf.DUMMYFUNCTION("""COMPUTED_VALUE"""),0.1)</f>
        <v>0.1</v>
      </c>
      <c r="M38" s="5">
        <f>IFERROR(__xludf.DUMMYFUNCTION("""COMPUTED_VALUE"""),89.0)</f>
        <v>89</v>
      </c>
      <c r="N38" s="5">
        <f>IFERROR(__xludf.DUMMYFUNCTION("""COMPUTED_VALUE"""),1260.0)</f>
        <v>1260</v>
      </c>
      <c r="O38" s="5">
        <f>IFERROR(__xludf.DUMMYFUNCTION("""COMPUTED_VALUE"""),8.3)</f>
        <v>8.3</v>
      </c>
      <c r="P38" s="5">
        <f>IFERROR(__xludf.DUMMYFUNCTION("""COMPUTED_VALUE"""),222.1)</f>
        <v>222.1</v>
      </c>
    </row>
    <row r="39">
      <c r="A39" s="19" t="str">
        <f>vlookup(B39,'Player Codes'!A:D,4,)</f>
        <v>0001</v>
      </c>
      <c r="B39" s="21" t="s">
        <v>93</v>
      </c>
      <c r="C39" s="5">
        <f>IFERROR(__xludf.DUMMYFUNCTION("""COMPUTED_VALUE"""),35.0)</f>
        <v>35</v>
      </c>
      <c r="D39" s="5" t="str">
        <f>IFERROR(__xludf.DUMMYFUNCTION("""COMPUTED_VALUE"""),"Sam Howell")</f>
        <v>Sam Howell</v>
      </c>
      <c r="E39" s="5" t="str">
        <f>IFERROR(__xludf.DUMMYFUNCTION("""COMPUTED_VALUE"""),"QB26")</f>
        <v>QB26</v>
      </c>
      <c r="F39" s="5" t="str">
        <f>IFERROR(__xludf.DUMMYFUNCTION("""COMPUTED_VALUE"""),"WAS")</f>
        <v>WAS</v>
      </c>
      <c r="G39" s="5">
        <f>IFERROR(__xludf.DUMMYFUNCTION("""COMPUTED_VALUE"""),14.0)</f>
        <v>14</v>
      </c>
      <c r="H39" s="5">
        <f>IFERROR(__xludf.DUMMYFUNCTION("""COMPUTED_VALUE"""),3250.0)</f>
        <v>3250</v>
      </c>
      <c r="I39" s="5">
        <f>IFERROR(__xludf.DUMMYFUNCTION("""COMPUTED_VALUE"""),18.9)</f>
        <v>18.9</v>
      </c>
      <c r="J39" s="5">
        <f>IFERROR(__xludf.DUMMYFUNCTION("""COMPUTED_VALUE"""),13.5)</f>
        <v>13.5</v>
      </c>
      <c r="K39" s="5">
        <f>IFERROR(__xludf.DUMMYFUNCTION("""COMPUTED_VALUE"""),299.0)</f>
        <v>299</v>
      </c>
      <c r="L39" s="5">
        <f>IFERROR(__xludf.DUMMYFUNCTION("""COMPUTED_VALUE"""),2.2)</f>
        <v>2.2</v>
      </c>
      <c r="M39" s="5">
        <f>IFERROR(__xludf.DUMMYFUNCTION("""COMPUTED_VALUE"""),0.0)</f>
        <v>0</v>
      </c>
      <c r="N39" s="5">
        <f>IFERROR(__xludf.DUMMYFUNCTION("""COMPUTED_VALUE"""),0.0)</f>
        <v>0</v>
      </c>
      <c r="O39" s="5">
        <f>IFERROR(__xludf.DUMMYFUNCTION("""COMPUTED_VALUE"""),0.0)</f>
        <v>0</v>
      </c>
      <c r="P39" s="5">
        <f>IFERROR(__xludf.DUMMYFUNCTION("""COMPUTED_VALUE"""),221.7)</f>
        <v>221.7</v>
      </c>
    </row>
    <row r="40">
      <c r="A40" s="19" t="str">
        <f>vlookup(B40,'Player Codes'!A:D,4,)</f>
        <v>0255</v>
      </c>
      <c r="B40" s="21" t="s">
        <v>322</v>
      </c>
      <c r="C40" s="5">
        <f>IFERROR(__xludf.DUMMYFUNCTION("""COMPUTED_VALUE"""),36.0)</f>
        <v>36</v>
      </c>
      <c r="D40" s="5" t="str">
        <f>IFERROR(__xludf.DUMMYFUNCTION("""COMPUTED_VALUE"""),"Garrett Wilson")</f>
        <v>Garrett Wilson</v>
      </c>
      <c r="E40" s="5" t="str">
        <f>IFERROR(__xludf.DUMMYFUNCTION("""COMPUTED_VALUE"""),"WR6")</f>
        <v>WR6</v>
      </c>
      <c r="F40" s="5" t="str">
        <f>IFERROR(__xludf.DUMMYFUNCTION("""COMPUTED_VALUE"""),"NYJ")</f>
        <v>NYJ</v>
      </c>
      <c r="G40" s="5">
        <f>IFERROR(__xludf.DUMMYFUNCTION("""COMPUTED_VALUE"""),7.0)</f>
        <v>7</v>
      </c>
      <c r="H40" s="5">
        <f>IFERROR(__xludf.DUMMYFUNCTION("""COMPUTED_VALUE"""),0.0)</f>
        <v>0</v>
      </c>
      <c r="I40" s="5">
        <f>IFERROR(__xludf.DUMMYFUNCTION("""COMPUTED_VALUE"""),0.0)</f>
        <v>0</v>
      </c>
      <c r="J40" s="5">
        <f>IFERROR(__xludf.DUMMYFUNCTION("""COMPUTED_VALUE"""),0.0)</f>
        <v>0</v>
      </c>
      <c r="K40" s="5">
        <f>IFERROR(__xludf.DUMMYFUNCTION("""COMPUTED_VALUE"""),15.0)</f>
        <v>15</v>
      </c>
      <c r="L40" s="5">
        <f>IFERROR(__xludf.DUMMYFUNCTION("""COMPUTED_VALUE"""),0.1)</f>
        <v>0.1</v>
      </c>
      <c r="M40" s="5">
        <f>IFERROR(__xludf.DUMMYFUNCTION("""COMPUTED_VALUE"""),90.0)</f>
        <v>90</v>
      </c>
      <c r="N40" s="5">
        <f>IFERROR(__xludf.DUMMYFUNCTION("""COMPUTED_VALUE"""),1200.0)</f>
        <v>1200</v>
      </c>
      <c r="O40" s="5">
        <f>IFERROR(__xludf.DUMMYFUNCTION("""COMPUTED_VALUE"""),9.0)</f>
        <v>9</v>
      </c>
      <c r="P40" s="5">
        <f>IFERROR(__xludf.DUMMYFUNCTION("""COMPUTED_VALUE"""),221.2)</f>
        <v>221.2</v>
      </c>
    </row>
    <row r="41">
      <c r="A41" s="19" t="str">
        <f>vlookup(B41,'Player Codes'!A:D,4,)</f>
        <v>0111</v>
      </c>
      <c r="B41" s="21" t="s">
        <v>149</v>
      </c>
      <c r="C41" s="5">
        <f>IFERROR(__xludf.DUMMYFUNCTION("""COMPUTED_VALUE"""),37.0)</f>
        <v>37</v>
      </c>
      <c r="D41" s="5" t="str">
        <f>IFERROR(__xludf.DUMMYFUNCTION("""COMPUTED_VALUE"""),"Tony Pollard")</f>
        <v>Tony Pollard</v>
      </c>
      <c r="E41" s="5" t="str">
        <f>IFERROR(__xludf.DUMMYFUNCTION("""COMPUTED_VALUE"""),"RB4")</f>
        <v>RB4</v>
      </c>
      <c r="F41" s="5" t="str">
        <f>IFERROR(__xludf.DUMMYFUNCTION("""COMPUTED_VALUE"""),"DAL")</f>
        <v>DAL</v>
      </c>
      <c r="G41" s="5">
        <f>IFERROR(__xludf.DUMMYFUNCTION("""COMPUTED_VALUE"""),7.0)</f>
        <v>7</v>
      </c>
      <c r="H41" s="5">
        <f>IFERROR(__xludf.DUMMYFUNCTION("""COMPUTED_VALUE"""),0.0)</f>
        <v>0</v>
      </c>
      <c r="I41" s="5">
        <f>IFERROR(__xludf.DUMMYFUNCTION("""COMPUTED_VALUE"""),0.0)</f>
        <v>0</v>
      </c>
      <c r="J41" s="5">
        <f>IFERROR(__xludf.DUMMYFUNCTION("""COMPUTED_VALUE"""),0.0)</f>
        <v>0</v>
      </c>
      <c r="K41" s="5">
        <f>IFERROR(__xludf.DUMMYFUNCTION("""COMPUTED_VALUE"""),1006.0)</f>
        <v>1006</v>
      </c>
      <c r="L41" s="5">
        <f>IFERROR(__xludf.DUMMYFUNCTION("""COMPUTED_VALUE"""),8.1)</f>
        <v>8.1</v>
      </c>
      <c r="M41" s="5">
        <f>IFERROR(__xludf.DUMMYFUNCTION("""COMPUTED_VALUE"""),46.0)</f>
        <v>46</v>
      </c>
      <c r="N41" s="5">
        <f>IFERROR(__xludf.DUMMYFUNCTION("""COMPUTED_VALUE"""),370.0)</f>
        <v>370</v>
      </c>
      <c r="O41" s="5">
        <f>IFERROR(__xludf.DUMMYFUNCTION("""COMPUTED_VALUE"""),2.0)</f>
        <v>2</v>
      </c>
      <c r="P41" s="5">
        <f>IFERROR(__xludf.DUMMYFUNCTION("""COMPUTED_VALUE"""),221.0)</f>
        <v>221</v>
      </c>
    </row>
    <row r="42">
      <c r="A42" s="19" t="str">
        <f>vlookup(B42,'Player Codes'!A:D,4,)</f>
        <v>0228</v>
      </c>
      <c r="B42" s="21" t="s">
        <v>22</v>
      </c>
      <c r="C42" s="5">
        <f>IFERROR(__xludf.DUMMYFUNCTION("""COMPUTED_VALUE"""),38.0)</f>
        <v>38</v>
      </c>
      <c r="D42" s="5" t="str">
        <f>IFERROR(__xludf.DUMMYFUNCTION("""COMPUTED_VALUE"""),"Nick Chubb")</f>
        <v>Nick Chubb</v>
      </c>
      <c r="E42" s="5" t="str">
        <f>IFERROR(__xludf.DUMMYFUNCTION("""COMPUTED_VALUE"""),"RB5")</f>
        <v>RB5</v>
      </c>
      <c r="F42" s="5" t="str">
        <f>IFERROR(__xludf.DUMMYFUNCTION("""COMPUTED_VALUE"""),"CLE")</f>
        <v>CLE</v>
      </c>
      <c r="G42" s="5">
        <f>IFERROR(__xludf.DUMMYFUNCTION("""COMPUTED_VALUE"""),5.0)</f>
        <v>5</v>
      </c>
      <c r="H42" s="5">
        <f>IFERROR(__xludf.DUMMYFUNCTION("""COMPUTED_VALUE"""),0.0)</f>
        <v>0</v>
      </c>
      <c r="I42" s="5">
        <f>IFERROR(__xludf.DUMMYFUNCTION("""COMPUTED_VALUE"""),0.0)</f>
        <v>0</v>
      </c>
      <c r="J42" s="5">
        <f>IFERROR(__xludf.DUMMYFUNCTION("""COMPUTED_VALUE"""),0.0)</f>
        <v>0</v>
      </c>
      <c r="K42" s="5">
        <f>IFERROR(__xludf.DUMMYFUNCTION("""COMPUTED_VALUE"""),1232.0)</f>
        <v>1232</v>
      </c>
      <c r="L42" s="5">
        <f>IFERROR(__xludf.DUMMYFUNCTION("""COMPUTED_VALUE"""),9.3)</f>
        <v>9.3</v>
      </c>
      <c r="M42" s="5">
        <f>IFERROR(__xludf.DUMMYFUNCTION("""COMPUTED_VALUE"""),26.0)</f>
        <v>26</v>
      </c>
      <c r="N42" s="5">
        <f>IFERROR(__xludf.DUMMYFUNCTION("""COMPUTED_VALUE"""),218.0)</f>
        <v>218</v>
      </c>
      <c r="O42" s="5">
        <f>IFERROR(__xludf.DUMMYFUNCTION("""COMPUTED_VALUE"""),1.0)</f>
        <v>1</v>
      </c>
      <c r="P42" s="5">
        <f>IFERROR(__xludf.DUMMYFUNCTION("""COMPUTED_VALUE"""),219.9)</f>
        <v>219.9</v>
      </c>
    </row>
    <row r="43">
      <c r="A43" s="19" t="str">
        <f>vlookup(B43,'Player Codes'!A:D,4,)</f>
        <v>0274</v>
      </c>
      <c r="B43" s="21" t="s">
        <v>35</v>
      </c>
      <c r="C43" s="5">
        <f>IFERROR(__xludf.DUMMYFUNCTION("""COMPUTED_VALUE"""),39.0)</f>
        <v>39</v>
      </c>
      <c r="D43" s="5" t="str">
        <f>IFERROR(__xludf.DUMMYFUNCTION("""COMPUTED_VALUE"""),"Mac Jones")</f>
        <v>Mac Jones</v>
      </c>
      <c r="E43" s="5" t="str">
        <f>IFERROR(__xludf.DUMMYFUNCTION("""COMPUTED_VALUE"""),"QB27")</f>
        <v>QB27</v>
      </c>
      <c r="F43" s="5" t="str">
        <f>IFERROR(__xludf.DUMMYFUNCTION("""COMPUTED_VALUE"""),"NE")</f>
        <v>NE</v>
      </c>
      <c r="G43" s="5">
        <f>IFERROR(__xludf.DUMMYFUNCTION("""COMPUTED_VALUE"""),11.0)</f>
        <v>11</v>
      </c>
      <c r="H43" s="5">
        <f>IFERROR(__xludf.DUMMYFUNCTION("""COMPUTED_VALUE"""),3494.0)</f>
        <v>3494</v>
      </c>
      <c r="I43" s="5">
        <f>IFERROR(__xludf.DUMMYFUNCTION("""COMPUTED_VALUE"""),19.7)</f>
        <v>19.7</v>
      </c>
      <c r="J43" s="5">
        <f>IFERROR(__xludf.DUMMYFUNCTION("""COMPUTED_VALUE"""),11.7)</f>
        <v>11.7</v>
      </c>
      <c r="K43" s="5">
        <f>IFERROR(__xludf.DUMMYFUNCTION("""COMPUTED_VALUE"""),122.0)</f>
        <v>122</v>
      </c>
      <c r="L43" s="5">
        <f>IFERROR(__xludf.DUMMYFUNCTION("""COMPUTED_VALUE"""),1.7)</f>
        <v>1.7</v>
      </c>
      <c r="M43" s="5">
        <f>IFERROR(__xludf.DUMMYFUNCTION("""COMPUTED_VALUE"""),0.0)</f>
        <v>0</v>
      </c>
      <c r="N43" s="5">
        <f>IFERROR(__xludf.DUMMYFUNCTION("""COMPUTED_VALUE"""),0.0)</f>
        <v>0</v>
      </c>
      <c r="O43" s="5">
        <f>IFERROR(__xludf.DUMMYFUNCTION("""COMPUTED_VALUE"""),0.0)</f>
        <v>0</v>
      </c>
      <c r="P43" s="5">
        <f>IFERROR(__xludf.DUMMYFUNCTION("""COMPUTED_VALUE"""),217.5)</f>
        <v>217.5</v>
      </c>
    </row>
    <row r="44">
      <c r="A44" s="19" t="str">
        <f>vlookup(B44,'Player Codes'!A:D,4,)</f>
        <v>0200</v>
      </c>
      <c r="B44" s="21" t="s">
        <v>331</v>
      </c>
      <c r="C44" s="5">
        <f>IFERROR(__xludf.DUMMYFUNCTION("""COMPUTED_VALUE"""),39.0)</f>
        <v>39</v>
      </c>
      <c r="D44" s="5" t="str">
        <f>IFERROR(__xludf.DUMMYFUNCTION("""COMPUTED_VALUE"""),"Desmond Ridder")</f>
        <v>Desmond Ridder</v>
      </c>
      <c r="E44" s="5" t="str">
        <f>IFERROR(__xludf.DUMMYFUNCTION("""COMPUTED_VALUE"""),"QB27")</f>
        <v>QB27</v>
      </c>
      <c r="F44" s="5" t="str">
        <f>IFERROR(__xludf.DUMMYFUNCTION("""COMPUTED_VALUE"""),"ATL")</f>
        <v>ATL</v>
      </c>
      <c r="G44" s="5">
        <f>IFERROR(__xludf.DUMMYFUNCTION("""COMPUTED_VALUE"""),11.0)</f>
        <v>11</v>
      </c>
      <c r="H44" s="5">
        <f>IFERROR(__xludf.DUMMYFUNCTION("""COMPUTED_VALUE"""),3066.0)</f>
        <v>3066</v>
      </c>
      <c r="I44" s="5">
        <f>IFERROR(__xludf.DUMMYFUNCTION("""COMPUTED_VALUE"""),17.9)</f>
        <v>17.9</v>
      </c>
      <c r="J44" s="5">
        <f>IFERROR(__xludf.DUMMYFUNCTION("""COMPUTED_VALUE"""),11.2)</f>
        <v>11.2</v>
      </c>
      <c r="K44" s="5">
        <f>IFERROR(__xludf.DUMMYFUNCTION("""COMPUTED_VALUE"""),289.0)</f>
        <v>289</v>
      </c>
      <c r="L44" s="5">
        <f>IFERROR(__xludf.DUMMYFUNCTION("""COMPUTED_VALUE"""),2.8)</f>
        <v>2.8</v>
      </c>
      <c r="M44" s="5">
        <f>IFERROR(__xludf.DUMMYFUNCTION("""COMPUTED_VALUE"""),0.0)</f>
        <v>0</v>
      </c>
      <c r="N44" s="5">
        <f>IFERROR(__xludf.DUMMYFUNCTION("""COMPUTED_VALUE"""),0.0)</f>
        <v>0</v>
      </c>
      <c r="O44" s="5">
        <f>IFERROR(__xludf.DUMMYFUNCTION("""COMPUTED_VALUE"""),0.0)</f>
        <v>0</v>
      </c>
      <c r="P44" s="5">
        <f>IFERROR(__xludf.DUMMYFUNCTION("""COMPUTED_VALUE"""),217.5)</f>
        <v>217.5</v>
      </c>
    </row>
    <row r="45">
      <c r="A45" s="19" t="str">
        <f>vlookup(B45,'Player Codes'!A:D,4,)</f>
        <v>0091</v>
      </c>
      <c r="B45" s="21" t="s">
        <v>364</v>
      </c>
      <c r="C45" s="5">
        <f>IFERROR(__xludf.DUMMYFUNCTION("""COMPUTED_VALUE"""),41.0)</f>
        <v>41</v>
      </c>
      <c r="D45" s="5" t="str">
        <f>IFERROR(__xludf.DUMMYFUNCTION("""COMPUTED_VALUE"""),"Brock Purdy")</f>
        <v>Brock Purdy</v>
      </c>
      <c r="E45" s="5" t="str">
        <f>IFERROR(__xludf.DUMMYFUNCTION("""COMPUTED_VALUE"""),"QB29")</f>
        <v>QB29</v>
      </c>
      <c r="F45" s="5" t="str">
        <f>IFERROR(__xludf.DUMMYFUNCTION("""COMPUTED_VALUE"""),"SF")</f>
        <v>SF</v>
      </c>
      <c r="G45" s="5">
        <f>IFERROR(__xludf.DUMMYFUNCTION("""COMPUTED_VALUE"""),9.0)</f>
        <v>9</v>
      </c>
      <c r="H45" s="5">
        <f>IFERROR(__xludf.DUMMYFUNCTION("""COMPUTED_VALUE"""),3307.0)</f>
        <v>3307</v>
      </c>
      <c r="I45" s="5">
        <f>IFERROR(__xludf.DUMMYFUNCTION("""COMPUTED_VALUE"""),20.0)</f>
        <v>20</v>
      </c>
      <c r="J45" s="5">
        <f>IFERROR(__xludf.DUMMYFUNCTION("""COMPUTED_VALUE"""),9.7)</f>
        <v>9.7</v>
      </c>
      <c r="K45" s="5">
        <f>IFERROR(__xludf.DUMMYFUNCTION("""COMPUTED_VALUE"""),138.0)</f>
        <v>138</v>
      </c>
      <c r="L45" s="5">
        <f>IFERROR(__xludf.DUMMYFUNCTION("""COMPUTED_VALUE"""),1.5)</f>
        <v>1.5</v>
      </c>
      <c r="M45" s="5">
        <f>IFERROR(__xludf.DUMMYFUNCTION("""COMPUTED_VALUE"""),0.0)</f>
        <v>0</v>
      </c>
      <c r="N45" s="5">
        <f>IFERROR(__xludf.DUMMYFUNCTION("""COMPUTED_VALUE"""),0.0)</f>
        <v>0</v>
      </c>
      <c r="O45" s="5">
        <f>IFERROR(__xludf.DUMMYFUNCTION("""COMPUTED_VALUE"""),0.0)</f>
        <v>0</v>
      </c>
      <c r="P45" s="5">
        <f>IFERROR(__xludf.DUMMYFUNCTION("""COMPUTED_VALUE"""),215.7)</f>
        <v>215.7</v>
      </c>
    </row>
    <row r="46">
      <c r="A46" s="19" t="str">
        <f>vlookup(B46,'Player Codes'!A:D,4,)</f>
        <v>0029</v>
      </c>
      <c r="B46" s="21" t="s">
        <v>382</v>
      </c>
      <c r="C46" s="5">
        <f>IFERROR(__xludf.DUMMYFUNCTION("""COMPUTED_VALUE"""),42.0)</f>
        <v>42</v>
      </c>
      <c r="D46" s="5" t="str">
        <f>IFERROR(__xludf.DUMMYFUNCTION("""COMPUTED_VALUE"""),"Derrick Henry")</f>
        <v>Derrick Henry</v>
      </c>
      <c r="E46" s="5" t="str">
        <f>IFERROR(__xludf.DUMMYFUNCTION("""COMPUTED_VALUE"""),"RB6")</f>
        <v>RB6</v>
      </c>
      <c r="F46" s="5" t="str">
        <f>IFERROR(__xludf.DUMMYFUNCTION("""COMPUTED_VALUE"""),"TEN")</f>
        <v>TEN</v>
      </c>
      <c r="G46" s="5">
        <f>IFERROR(__xludf.DUMMYFUNCTION("""COMPUTED_VALUE"""),7.0)</f>
        <v>7</v>
      </c>
      <c r="H46" s="5">
        <f>IFERROR(__xludf.DUMMYFUNCTION("""COMPUTED_VALUE"""),0.0)</f>
        <v>0</v>
      </c>
      <c r="I46" s="5">
        <f>IFERROR(__xludf.DUMMYFUNCTION("""COMPUTED_VALUE"""),0.0)</f>
        <v>0</v>
      </c>
      <c r="J46" s="5">
        <f>IFERROR(__xludf.DUMMYFUNCTION("""COMPUTED_VALUE"""),0.0)</f>
        <v>0</v>
      </c>
      <c r="K46" s="5">
        <f>IFERROR(__xludf.DUMMYFUNCTION("""COMPUTED_VALUE"""),1247.0)</f>
        <v>1247</v>
      </c>
      <c r="L46" s="5">
        <f>IFERROR(__xludf.DUMMYFUNCTION("""COMPUTED_VALUE"""),9.5)</f>
        <v>9.5</v>
      </c>
      <c r="M46" s="5">
        <f>IFERROR(__xludf.DUMMYFUNCTION("""COMPUTED_VALUE"""),22.0)</f>
        <v>22</v>
      </c>
      <c r="N46" s="5">
        <f>IFERROR(__xludf.DUMMYFUNCTION("""COMPUTED_VALUE"""),186.0)</f>
        <v>186</v>
      </c>
      <c r="O46" s="5">
        <f>IFERROR(__xludf.DUMMYFUNCTION("""COMPUTED_VALUE"""),0.5)</f>
        <v>0.5</v>
      </c>
      <c r="P46" s="5">
        <f>IFERROR(__xludf.DUMMYFUNCTION("""COMPUTED_VALUE"""),214.2)</f>
        <v>214.2</v>
      </c>
    </row>
    <row r="47">
      <c r="A47" s="19" t="str">
        <f>vlookup(B47,'Player Codes'!A:D,4,)</f>
        <v>0042</v>
      </c>
      <c r="B47" s="21" t="s">
        <v>106</v>
      </c>
      <c r="C47" s="5">
        <f>IFERROR(__xludf.DUMMYFUNCTION("""COMPUTED_VALUE"""),43.0)</f>
        <v>43</v>
      </c>
      <c r="D47" s="5" t="str">
        <f>IFERROR(__xludf.DUMMYFUNCTION("""COMPUTED_VALUE"""),"CeeDee Lamb")</f>
        <v>CeeDee Lamb</v>
      </c>
      <c r="E47" s="5" t="str">
        <f>IFERROR(__xludf.DUMMYFUNCTION("""COMPUTED_VALUE"""),"WR7")</f>
        <v>WR7</v>
      </c>
      <c r="F47" s="5" t="str">
        <f>IFERROR(__xludf.DUMMYFUNCTION("""COMPUTED_VALUE"""),"DAL")</f>
        <v>DAL</v>
      </c>
      <c r="G47" s="5">
        <f>IFERROR(__xludf.DUMMYFUNCTION("""COMPUTED_VALUE"""),7.0)</f>
        <v>7</v>
      </c>
      <c r="H47" s="5">
        <f>IFERROR(__xludf.DUMMYFUNCTION("""COMPUTED_VALUE"""),0.0)</f>
        <v>0</v>
      </c>
      <c r="I47" s="5">
        <f>IFERROR(__xludf.DUMMYFUNCTION("""COMPUTED_VALUE"""),0.0)</f>
        <v>0</v>
      </c>
      <c r="J47" s="5">
        <f>IFERROR(__xludf.DUMMYFUNCTION("""COMPUTED_VALUE"""),0.0)</f>
        <v>0</v>
      </c>
      <c r="K47" s="5">
        <f>IFERROR(__xludf.DUMMYFUNCTION("""COMPUTED_VALUE"""),43.0)</f>
        <v>43</v>
      </c>
      <c r="L47" s="5">
        <f>IFERROR(__xludf.DUMMYFUNCTION("""COMPUTED_VALUE"""),0.4)</f>
        <v>0.4</v>
      </c>
      <c r="M47" s="5">
        <f>IFERROR(__xludf.DUMMYFUNCTION("""COMPUTED_VALUE"""),92.0)</f>
        <v>92</v>
      </c>
      <c r="N47" s="5">
        <f>IFERROR(__xludf.DUMMYFUNCTION("""COMPUTED_VALUE"""),1183.0)</f>
        <v>1183</v>
      </c>
      <c r="O47" s="5">
        <f>IFERROR(__xludf.DUMMYFUNCTION("""COMPUTED_VALUE"""),7.2)</f>
        <v>7.2</v>
      </c>
      <c r="P47" s="5">
        <f>IFERROR(__xludf.DUMMYFUNCTION("""COMPUTED_VALUE"""),214.1)</f>
        <v>214.1</v>
      </c>
    </row>
    <row r="48">
      <c r="A48" s="19" t="str">
        <f>vlookup(B48,'Player Codes'!A:D,4,)</f>
        <v>0089</v>
      </c>
      <c r="B48" s="21" t="s">
        <v>39</v>
      </c>
      <c r="C48" s="5">
        <f>IFERROR(__xludf.DUMMYFUNCTION("""COMPUTED_VALUE"""),44.0)</f>
        <v>44</v>
      </c>
      <c r="D48" s="5" t="str">
        <f>IFERROR(__xludf.DUMMYFUNCTION("""COMPUTED_VALUE"""),"Amon-Ra St. Brown")</f>
        <v>Amon-Ra St. Brown</v>
      </c>
      <c r="E48" s="5" t="str">
        <f>IFERROR(__xludf.DUMMYFUNCTION("""COMPUTED_VALUE"""),"WR8")</f>
        <v>WR8</v>
      </c>
      <c r="F48" s="5" t="str">
        <f>IFERROR(__xludf.DUMMYFUNCTION("""COMPUTED_VALUE"""),"DET")</f>
        <v>DET</v>
      </c>
      <c r="G48" s="5">
        <f>IFERROR(__xludf.DUMMYFUNCTION("""COMPUTED_VALUE"""),9.0)</f>
        <v>9</v>
      </c>
      <c r="H48" s="5">
        <f>IFERROR(__xludf.DUMMYFUNCTION("""COMPUTED_VALUE"""),0.0)</f>
        <v>0</v>
      </c>
      <c r="I48" s="5">
        <f>IFERROR(__xludf.DUMMYFUNCTION("""COMPUTED_VALUE"""),0.0)</f>
        <v>0</v>
      </c>
      <c r="J48" s="5">
        <f>IFERROR(__xludf.DUMMYFUNCTION("""COMPUTED_VALUE"""),0.0)</f>
        <v>0</v>
      </c>
      <c r="K48" s="5">
        <f>IFERROR(__xludf.DUMMYFUNCTION("""COMPUTED_VALUE"""),38.0)</f>
        <v>38</v>
      </c>
      <c r="L48" s="5">
        <f>IFERROR(__xludf.DUMMYFUNCTION("""COMPUTED_VALUE"""),0.3)</f>
        <v>0.3</v>
      </c>
      <c r="M48" s="5">
        <f>IFERROR(__xludf.DUMMYFUNCTION("""COMPUTED_VALUE"""),101.0)</f>
        <v>101</v>
      </c>
      <c r="N48" s="5">
        <f>IFERROR(__xludf.DUMMYFUNCTION("""COMPUTED_VALUE"""),1165.0)</f>
        <v>1165</v>
      </c>
      <c r="O48" s="5">
        <f>IFERROR(__xludf.DUMMYFUNCTION("""COMPUTED_VALUE"""),6.9)</f>
        <v>6.9</v>
      </c>
      <c r="P48" s="5">
        <f>IFERROR(__xludf.DUMMYFUNCTION("""COMPUTED_VALUE"""),213.9)</f>
        <v>213.9</v>
      </c>
    </row>
    <row r="49">
      <c r="A49" s="19" t="str">
        <f>vlookup(B49,'Player Codes'!A:D,4,)</f>
        <v>0012</v>
      </c>
      <c r="B49" s="21" t="s">
        <v>175</v>
      </c>
      <c r="C49" s="5">
        <f>IFERROR(__xludf.DUMMYFUNCTION("""COMPUTED_VALUE"""),45.0)</f>
        <v>45</v>
      </c>
      <c r="D49" s="5" t="str">
        <f>IFERROR(__xludf.DUMMYFUNCTION("""COMPUTED_VALUE"""),"Saquon Barkley")</f>
        <v>Saquon Barkley</v>
      </c>
      <c r="E49" s="5" t="str">
        <f>IFERROR(__xludf.DUMMYFUNCTION("""COMPUTED_VALUE"""),"RB7")</f>
        <v>RB7</v>
      </c>
      <c r="F49" s="5" t="str">
        <f>IFERROR(__xludf.DUMMYFUNCTION("""COMPUTED_VALUE"""),"NYG")</f>
        <v>NYG</v>
      </c>
      <c r="G49" s="5">
        <f>IFERROR(__xludf.DUMMYFUNCTION("""COMPUTED_VALUE"""),13.0)</f>
        <v>13</v>
      </c>
      <c r="H49" s="5">
        <f>IFERROR(__xludf.DUMMYFUNCTION("""COMPUTED_VALUE"""),0.0)</f>
        <v>0</v>
      </c>
      <c r="I49" s="5">
        <f>IFERROR(__xludf.DUMMYFUNCTION("""COMPUTED_VALUE"""),0.0)</f>
        <v>0</v>
      </c>
      <c r="J49" s="5">
        <f>IFERROR(__xludf.DUMMYFUNCTION("""COMPUTED_VALUE"""),0.0)</f>
        <v>0</v>
      </c>
      <c r="K49" s="5">
        <f>IFERROR(__xludf.DUMMYFUNCTION("""COMPUTED_VALUE"""),1037.0)</f>
        <v>1037</v>
      </c>
      <c r="L49" s="5">
        <f>IFERROR(__xludf.DUMMYFUNCTION("""COMPUTED_VALUE"""),7.9)</f>
        <v>7.9</v>
      </c>
      <c r="M49" s="5">
        <f>IFERROR(__xludf.DUMMYFUNCTION("""COMPUTED_VALUE"""),47.0)</f>
        <v>47</v>
      </c>
      <c r="N49" s="5">
        <f>IFERROR(__xludf.DUMMYFUNCTION("""COMPUTED_VALUE"""),320.0)</f>
        <v>320</v>
      </c>
      <c r="O49" s="5">
        <f>IFERROR(__xludf.DUMMYFUNCTION("""COMPUTED_VALUE"""),1.2)</f>
        <v>1.2</v>
      </c>
      <c r="P49" s="5">
        <f>IFERROR(__xludf.DUMMYFUNCTION("""COMPUTED_VALUE"""),213.6)</f>
        <v>213.6</v>
      </c>
    </row>
    <row r="50">
      <c r="A50" s="19" t="str">
        <f>vlookup(B50,'Player Codes'!A:D,4,)</f>
        <v>0259</v>
      </c>
      <c r="B50" s="21" t="s">
        <v>26</v>
      </c>
      <c r="C50" s="5">
        <f>IFERROR(__xludf.DUMMYFUNCTION("""COMPUTED_VALUE"""),46.0)</f>
        <v>46</v>
      </c>
      <c r="D50" s="5" t="str">
        <f>IFERROR(__xludf.DUMMYFUNCTION("""COMPUTED_VALUE"""),"Davante Adams")</f>
        <v>Davante Adams</v>
      </c>
      <c r="E50" s="5" t="str">
        <f>IFERROR(__xludf.DUMMYFUNCTION("""COMPUTED_VALUE"""),"WR9")</f>
        <v>WR9</v>
      </c>
      <c r="F50" s="5" t="str">
        <f>IFERROR(__xludf.DUMMYFUNCTION("""COMPUTED_VALUE"""),"LV")</f>
        <v>LV</v>
      </c>
      <c r="G50" s="5">
        <f>IFERROR(__xludf.DUMMYFUNCTION("""COMPUTED_VALUE"""),13.0)</f>
        <v>13</v>
      </c>
      <c r="H50" s="5">
        <f>IFERROR(__xludf.DUMMYFUNCTION("""COMPUTED_VALUE"""),0.0)</f>
        <v>0</v>
      </c>
      <c r="I50" s="5">
        <f>IFERROR(__xludf.DUMMYFUNCTION("""COMPUTED_VALUE"""),0.0)</f>
        <v>0</v>
      </c>
      <c r="J50" s="5">
        <f>IFERROR(__xludf.DUMMYFUNCTION("""COMPUTED_VALUE"""),0.0)</f>
        <v>0</v>
      </c>
      <c r="K50" s="5">
        <f>IFERROR(__xludf.DUMMYFUNCTION("""COMPUTED_VALUE"""),4.0)</f>
        <v>4</v>
      </c>
      <c r="L50" s="5">
        <f>IFERROR(__xludf.DUMMYFUNCTION("""COMPUTED_VALUE"""),0.0)</f>
        <v>0</v>
      </c>
      <c r="M50" s="5">
        <f>IFERROR(__xludf.DUMMYFUNCTION("""COMPUTED_VALUE"""),91.0)</f>
        <v>91</v>
      </c>
      <c r="N50" s="5">
        <f>IFERROR(__xludf.DUMMYFUNCTION("""COMPUTED_VALUE"""),1166.0)</f>
        <v>1166</v>
      </c>
      <c r="O50" s="5">
        <f>IFERROR(__xludf.DUMMYFUNCTION("""COMPUTED_VALUE"""),8.4)</f>
        <v>8.4</v>
      </c>
      <c r="P50" s="5">
        <f>IFERROR(__xludf.DUMMYFUNCTION("""COMPUTED_VALUE"""),212.9)</f>
        <v>212.9</v>
      </c>
    </row>
    <row r="51">
      <c r="A51" s="19" t="str">
        <f>vlookup(B51,'Player Codes'!A:D,4,)</f>
        <v>0081</v>
      </c>
      <c r="B51" s="21" t="s">
        <v>86</v>
      </c>
      <c r="C51" s="5">
        <f>IFERROR(__xludf.DUMMYFUNCTION("""COMPUTED_VALUE"""),47.0)</f>
        <v>47</v>
      </c>
      <c r="D51" s="5" t="str">
        <f>IFERROR(__xludf.DUMMYFUNCTION("""COMPUTED_VALUE"""),"Josh Jacobs")</f>
        <v>Josh Jacobs</v>
      </c>
      <c r="E51" s="5" t="str">
        <f>IFERROR(__xludf.DUMMYFUNCTION("""COMPUTED_VALUE"""),"RB8")</f>
        <v>RB8</v>
      </c>
      <c r="F51" s="5" t="str">
        <f>IFERROR(__xludf.DUMMYFUNCTION("""COMPUTED_VALUE"""),"LV")</f>
        <v>LV</v>
      </c>
      <c r="G51" s="5">
        <f>IFERROR(__xludf.DUMMYFUNCTION("""COMPUTED_VALUE"""),13.0)</f>
        <v>13</v>
      </c>
      <c r="H51" s="5">
        <f>IFERROR(__xludf.DUMMYFUNCTION("""COMPUTED_VALUE"""),0.0)</f>
        <v>0</v>
      </c>
      <c r="I51" s="5">
        <f>IFERROR(__xludf.DUMMYFUNCTION("""COMPUTED_VALUE"""),0.0)</f>
        <v>0</v>
      </c>
      <c r="J51" s="5">
        <f>IFERROR(__xludf.DUMMYFUNCTION("""COMPUTED_VALUE"""),0.0)</f>
        <v>0</v>
      </c>
      <c r="K51" s="5">
        <f>IFERROR(__xludf.DUMMYFUNCTION("""COMPUTED_VALUE"""),1103.0)</f>
        <v>1103</v>
      </c>
      <c r="L51" s="5">
        <f>IFERROR(__xludf.DUMMYFUNCTION("""COMPUTED_VALUE"""),8.8)</f>
        <v>8.8</v>
      </c>
      <c r="M51" s="5">
        <f>IFERROR(__xludf.DUMMYFUNCTION("""COMPUTED_VALUE"""),33.0)</f>
        <v>33</v>
      </c>
      <c r="N51" s="5">
        <f>IFERROR(__xludf.DUMMYFUNCTION("""COMPUTED_VALUE"""),237.0)</f>
        <v>237</v>
      </c>
      <c r="O51" s="5">
        <f>IFERROR(__xludf.DUMMYFUNCTION("""COMPUTED_VALUE"""),0.7)</f>
        <v>0.7</v>
      </c>
      <c r="P51" s="5">
        <f>IFERROR(__xludf.DUMMYFUNCTION("""COMPUTED_VALUE"""),207.5)</f>
        <v>207.5</v>
      </c>
    </row>
    <row r="52">
      <c r="A52" s="19" t="str">
        <f>vlookup(B52,'Player Codes'!A:D,4,)</f>
        <v>0168</v>
      </c>
      <c r="B52" s="21" t="s">
        <v>43</v>
      </c>
      <c r="C52" s="5">
        <f>IFERROR(__xludf.DUMMYFUNCTION("""COMPUTED_VALUE"""),48.0)</f>
        <v>48</v>
      </c>
      <c r="D52" s="5" t="str">
        <f>IFERROR(__xludf.DUMMYFUNCTION("""COMPUTED_VALUE"""),"Chris Olave")</f>
        <v>Chris Olave</v>
      </c>
      <c r="E52" s="5" t="str">
        <f>IFERROR(__xludf.DUMMYFUNCTION("""COMPUTED_VALUE"""),"WR10")</f>
        <v>WR10</v>
      </c>
      <c r="F52" s="5" t="str">
        <f>IFERROR(__xludf.DUMMYFUNCTION("""COMPUTED_VALUE"""),"NO")</f>
        <v>NO</v>
      </c>
      <c r="G52" s="5">
        <f>IFERROR(__xludf.DUMMYFUNCTION("""COMPUTED_VALUE"""),11.0)</f>
        <v>11</v>
      </c>
      <c r="H52" s="5">
        <f>IFERROR(__xludf.DUMMYFUNCTION("""COMPUTED_VALUE"""),0.0)</f>
        <v>0</v>
      </c>
      <c r="I52" s="5">
        <f>IFERROR(__xludf.DUMMYFUNCTION("""COMPUTED_VALUE"""),0.0)</f>
        <v>0</v>
      </c>
      <c r="J52" s="5">
        <f>IFERROR(__xludf.DUMMYFUNCTION("""COMPUTED_VALUE"""),0.0)</f>
        <v>0</v>
      </c>
      <c r="K52" s="5">
        <f>IFERROR(__xludf.DUMMYFUNCTION("""COMPUTED_VALUE"""),8.0)</f>
        <v>8</v>
      </c>
      <c r="L52" s="5">
        <f>IFERROR(__xludf.DUMMYFUNCTION("""COMPUTED_VALUE"""),0.0)</f>
        <v>0</v>
      </c>
      <c r="M52" s="5">
        <f>IFERROR(__xludf.DUMMYFUNCTION("""COMPUTED_VALUE"""),89.0)</f>
        <v>89</v>
      </c>
      <c r="N52" s="5">
        <f>IFERROR(__xludf.DUMMYFUNCTION("""COMPUTED_VALUE"""),1168.0)</f>
        <v>1168</v>
      </c>
      <c r="O52" s="5">
        <f>IFERROR(__xludf.DUMMYFUNCTION("""COMPUTED_VALUE"""),6.7)</f>
        <v>6.7</v>
      </c>
      <c r="P52" s="5">
        <f>IFERROR(__xludf.DUMMYFUNCTION("""COMPUTED_VALUE"""),202.2)</f>
        <v>202.2</v>
      </c>
    </row>
    <row r="53">
      <c r="A53" s="19" t="str">
        <f>vlookup(B53,'Player Codes'!A:D,4,)</f>
        <v>0053</v>
      </c>
      <c r="B53" s="21" t="s">
        <v>121</v>
      </c>
      <c r="C53" s="5">
        <f>IFERROR(__xludf.DUMMYFUNCTION("""COMPUTED_VALUE"""),49.0)</f>
        <v>49</v>
      </c>
      <c r="D53" s="5" t="str">
        <f>IFERROR(__xludf.DUMMYFUNCTION("""COMPUTED_VALUE"""),"Ryan Tannehill")</f>
        <v>Ryan Tannehill</v>
      </c>
      <c r="E53" s="5" t="str">
        <f>IFERROR(__xludf.DUMMYFUNCTION("""COMPUTED_VALUE"""),"QB30")</f>
        <v>QB30</v>
      </c>
      <c r="F53" s="5" t="str">
        <f>IFERROR(__xludf.DUMMYFUNCTION("""COMPUTED_VALUE"""),"TEN")</f>
        <v>TEN</v>
      </c>
      <c r="G53" s="5">
        <f>IFERROR(__xludf.DUMMYFUNCTION("""COMPUTED_VALUE"""),7.0)</f>
        <v>7</v>
      </c>
      <c r="H53" s="5">
        <f>IFERROR(__xludf.DUMMYFUNCTION("""COMPUTED_VALUE"""),3223.0)</f>
        <v>3223</v>
      </c>
      <c r="I53" s="5">
        <f>IFERROR(__xludf.DUMMYFUNCTION("""COMPUTED_VALUE"""),18.8)</f>
        <v>18.8</v>
      </c>
      <c r="J53" s="5">
        <f>IFERROR(__xludf.DUMMYFUNCTION("""COMPUTED_VALUE"""),11.5)</f>
        <v>11.5</v>
      </c>
      <c r="K53" s="5">
        <f>IFERROR(__xludf.DUMMYFUNCTION("""COMPUTED_VALUE"""),112.0)</f>
        <v>112</v>
      </c>
      <c r="L53" s="5">
        <f>IFERROR(__xludf.DUMMYFUNCTION("""COMPUTED_VALUE"""),1.3)</f>
        <v>1.3</v>
      </c>
      <c r="M53" s="5">
        <f>IFERROR(__xludf.DUMMYFUNCTION("""COMPUTED_VALUE"""),0.0)</f>
        <v>0</v>
      </c>
      <c r="N53" s="5">
        <f>IFERROR(__xludf.DUMMYFUNCTION("""COMPUTED_VALUE"""),0.0)</f>
        <v>0</v>
      </c>
      <c r="O53" s="5">
        <f>IFERROR(__xludf.DUMMYFUNCTION("""COMPUTED_VALUE"""),0.0)</f>
        <v>0</v>
      </c>
      <c r="P53" s="5">
        <f>IFERROR(__xludf.DUMMYFUNCTION("""COMPUTED_VALUE"""),200.1)</f>
        <v>200.1</v>
      </c>
    </row>
    <row r="54">
      <c r="A54" s="19" t="str">
        <f>vlookup(B54,'Player Codes'!A:D,4,)</f>
        <v>0254</v>
      </c>
      <c r="B54" s="21" t="s">
        <v>319</v>
      </c>
      <c r="C54" s="5">
        <f>IFERROR(__xludf.DUMMYFUNCTION("""COMPUTED_VALUE"""),50.0)</f>
        <v>50</v>
      </c>
      <c r="D54" s="5" t="str">
        <f>IFERROR(__xludf.DUMMYFUNCTION("""COMPUTED_VALUE"""),"Cooper Kupp")</f>
        <v>Cooper Kupp</v>
      </c>
      <c r="E54" s="5" t="str">
        <f>IFERROR(__xludf.DUMMYFUNCTION("""COMPUTED_VALUE"""),"WR11")</f>
        <v>WR11</v>
      </c>
      <c r="F54" s="5" t="str">
        <f>IFERROR(__xludf.DUMMYFUNCTION("""COMPUTED_VALUE"""),"LAR")</f>
        <v>LAR</v>
      </c>
      <c r="G54" s="5">
        <f>IFERROR(__xludf.DUMMYFUNCTION("""COMPUTED_VALUE"""),10.0)</f>
        <v>10</v>
      </c>
      <c r="H54" s="5">
        <f>IFERROR(__xludf.DUMMYFUNCTION("""COMPUTED_VALUE"""),0.0)</f>
        <v>0</v>
      </c>
      <c r="I54" s="5">
        <f>IFERROR(__xludf.DUMMYFUNCTION("""COMPUTED_VALUE"""),0.0)</f>
        <v>0</v>
      </c>
      <c r="J54" s="5">
        <f>IFERROR(__xludf.DUMMYFUNCTION("""COMPUTED_VALUE"""),0.0)</f>
        <v>0</v>
      </c>
      <c r="K54" s="5">
        <f>IFERROR(__xludf.DUMMYFUNCTION("""COMPUTED_VALUE"""),30.0)</f>
        <v>30</v>
      </c>
      <c r="L54" s="5">
        <f>IFERROR(__xludf.DUMMYFUNCTION("""COMPUTED_VALUE"""),0.3)</f>
        <v>0.3</v>
      </c>
      <c r="M54" s="5">
        <f>IFERROR(__xludf.DUMMYFUNCTION("""COMPUTED_VALUE"""),87.0)</f>
        <v>87</v>
      </c>
      <c r="N54" s="5">
        <f>IFERROR(__xludf.DUMMYFUNCTION("""COMPUTED_VALUE"""),1070.0)</f>
        <v>1070</v>
      </c>
      <c r="O54" s="5">
        <f>IFERROR(__xludf.DUMMYFUNCTION("""COMPUTED_VALUE"""),7.4)</f>
        <v>7.4</v>
      </c>
      <c r="P54" s="5">
        <f>IFERROR(__xludf.DUMMYFUNCTION("""COMPUTED_VALUE"""),199.6)</f>
        <v>199.6</v>
      </c>
    </row>
    <row r="55">
      <c r="A55" s="19" t="str">
        <f>vlookup(B55,'Player Codes'!A:D,4,)</f>
        <v>0270</v>
      </c>
      <c r="B55" s="21" t="s">
        <v>131</v>
      </c>
      <c r="C55" s="5">
        <f>IFERROR(__xludf.DUMMYFUNCTION("""COMPUTED_VALUE"""),51.0)</f>
        <v>51</v>
      </c>
      <c r="D55" s="5" t="str">
        <f>IFERROR(__xludf.DUMMYFUNCTION("""COMPUTED_VALUE"""),"Tee Higgins")</f>
        <v>Tee Higgins</v>
      </c>
      <c r="E55" s="5" t="str">
        <f>IFERROR(__xludf.DUMMYFUNCTION("""COMPUTED_VALUE"""),"WR12")</f>
        <v>WR12</v>
      </c>
      <c r="F55" s="5" t="str">
        <f>IFERROR(__xludf.DUMMYFUNCTION("""COMPUTED_VALUE"""),"CIN")</f>
        <v>CIN</v>
      </c>
      <c r="G55" s="5">
        <f>IFERROR(__xludf.DUMMYFUNCTION("""COMPUTED_VALUE"""),7.0)</f>
        <v>7</v>
      </c>
      <c r="H55" s="5">
        <f>IFERROR(__xludf.DUMMYFUNCTION("""COMPUTED_VALUE"""),0.0)</f>
        <v>0</v>
      </c>
      <c r="I55" s="5">
        <f>IFERROR(__xludf.DUMMYFUNCTION("""COMPUTED_VALUE"""),0.0)</f>
        <v>0</v>
      </c>
      <c r="J55" s="5">
        <f>IFERROR(__xludf.DUMMYFUNCTION("""COMPUTED_VALUE"""),0.0)</f>
        <v>0</v>
      </c>
      <c r="K55" s="5">
        <f>IFERROR(__xludf.DUMMYFUNCTION("""COMPUTED_VALUE"""),12.0)</f>
        <v>12</v>
      </c>
      <c r="L55" s="5">
        <f>IFERROR(__xludf.DUMMYFUNCTION("""COMPUTED_VALUE"""),0.1)</f>
        <v>0.1</v>
      </c>
      <c r="M55" s="5">
        <f>IFERROR(__xludf.DUMMYFUNCTION("""COMPUTED_VALUE"""),80.0)</f>
        <v>80</v>
      </c>
      <c r="N55" s="5">
        <f>IFERROR(__xludf.DUMMYFUNCTION("""COMPUTED_VALUE"""),1049.0)</f>
        <v>1049</v>
      </c>
      <c r="O55" s="5">
        <f>IFERROR(__xludf.DUMMYFUNCTION("""COMPUTED_VALUE"""),8.8)</f>
        <v>8.8</v>
      </c>
      <c r="P55" s="5">
        <f>IFERROR(__xludf.DUMMYFUNCTION("""COMPUTED_VALUE"""),199.5)</f>
        <v>199.5</v>
      </c>
    </row>
    <row r="56">
      <c r="A56" s="19" t="str">
        <f>vlookup(B56,'Player Codes'!A:D,4,)</f>
        <v>0164</v>
      </c>
      <c r="B56" s="21" t="s">
        <v>51</v>
      </c>
      <c r="C56" s="5">
        <f>IFERROR(__xludf.DUMMYFUNCTION("""COMPUTED_VALUE"""),52.0)</f>
        <v>52</v>
      </c>
      <c r="D56" s="5" t="str">
        <f>IFERROR(__xludf.DUMMYFUNCTION("""COMPUTED_VALUE"""),"Jaylen Waddle")</f>
        <v>Jaylen Waddle</v>
      </c>
      <c r="E56" s="5" t="str">
        <f>IFERROR(__xludf.DUMMYFUNCTION("""COMPUTED_VALUE"""),"WR13")</f>
        <v>WR13</v>
      </c>
      <c r="F56" s="5" t="str">
        <f>IFERROR(__xludf.DUMMYFUNCTION("""COMPUTED_VALUE"""),"MIA")</f>
        <v>MIA</v>
      </c>
      <c r="G56" s="5">
        <f>IFERROR(__xludf.DUMMYFUNCTION("""COMPUTED_VALUE"""),10.0)</f>
        <v>10</v>
      </c>
      <c r="H56" s="5">
        <f>IFERROR(__xludf.DUMMYFUNCTION("""COMPUTED_VALUE"""),0.0)</f>
        <v>0</v>
      </c>
      <c r="I56" s="5">
        <f>IFERROR(__xludf.DUMMYFUNCTION("""COMPUTED_VALUE"""),0.0)</f>
        <v>0</v>
      </c>
      <c r="J56" s="5">
        <f>IFERROR(__xludf.DUMMYFUNCTION("""COMPUTED_VALUE"""),0.0)</f>
        <v>0</v>
      </c>
      <c r="K56" s="5">
        <f>IFERROR(__xludf.DUMMYFUNCTION("""COMPUTED_VALUE"""),14.0)</f>
        <v>14</v>
      </c>
      <c r="L56" s="5">
        <f>IFERROR(__xludf.DUMMYFUNCTION("""COMPUTED_VALUE"""),0.1)</f>
        <v>0.1</v>
      </c>
      <c r="M56" s="5">
        <f>IFERROR(__xludf.DUMMYFUNCTION("""COMPUTED_VALUE"""),86.0)</f>
        <v>86</v>
      </c>
      <c r="N56" s="5">
        <f>IFERROR(__xludf.DUMMYFUNCTION("""COMPUTED_VALUE"""),1125.0)</f>
        <v>1125</v>
      </c>
      <c r="O56" s="5">
        <f>IFERROR(__xludf.DUMMYFUNCTION("""COMPUTED_VALUE"""),6.6)</f>
        <v>6.6</v>
      </c>
      <c r="P56" s="5">
        <f>IFERROR(__xludf.DUMMYFUNCTION("""COMPUTED_VALUE"""),197.1)</f>
        <v>197.1</v>
      </c>
    </row>
    <row r="57">
      <c r="A57" s="19" t="str">
        <f>vlookup(B57,'Player Codes'!A:D,4,)</f>
        <v>0152</v>
      </c>
      <c r="B57" s="21" t="s">
        <v>202</v>
      </c>
      <c r="C57" s="5">
        <f>IFERROR(__xludf.DUMMYFUNCTION("""COMPUTED_VALUE"""),53.0)</f>
        <v>53</v>
      </c>
      <c r="D57" s="5" t="str">
        <f>IFERROR(__xludf.DUMMYFUNCTION("""COMPUTED_VALUE"""),"DK Metcalf")</f>
        <v>DK Metcalf</v>
      </c>
      <c r="E57" s="5" t="str">
        <f>IFERROR(__xludf.DUMMYFUNCTION("""COMPUTED_VALUE"""),"WR14")</f>
        <v>WR14</v>
      </c>
      <c r="F57" s="5" t="str">
        <f>IFERROR(__xludf.DUMMYFUNCTION("""COMPUTED_VALUE"""),"SEA")</f>
        <v>SEA</v>
      </c>
      <c r="G57" s="5">
        <f>IFERROR(__xludf.DUMMYFUNCTION("""COMPUTED_VALUE"""),5.0)</f>
        <v>5</v>
      </c>
      <c r="H57" s="5">
        <f>IFERROR(__xludf.DUMMYFUNCTION("""COMPUTED_VALUE"""),0.0)</f>
        <v>0</v>
      </c>
      <c r="I57" s="5">
        <f>IFERROR(__xludf.DUMMYFUNCTION("""COMPUTED_VALUE"""),0.0)</f>
        <v>0</v>
      </c>
      <c r="J57" s="5">
        <f>IFERROR(__xludf.DUMMYFUNCTION("""COMPUTED_VALUE"""),0.0)</f>
        <v>0</v>
      </c>
      <c r="K57" s="5">
        <f>IFERROR(__xludf.DUMMYFUNCTION("""COMPUTED_VALUE"""),10.0)</f>
        <v>10</v>
      </c>
      <c r="L57" s="5">
        <f>IFERROR(__xludf.DUMMYFUNCTION("""COMPUTED_VALUE"""),0.1)</f>
        <v>0.1</v>
      </c>
      <c r="M57" s="5">
        <f>IFERROR(__xludf.DUMMYFUNCTION("""COMPUTED_VALUE"""),83.0)</f>
        <v>83</v>
      </c>
      <c r="N57" s="5">
        <f>IFERROR(__xludf.DUMMYFUNCTION("""COMPUTED_VALUE"""),1061.0)</f>
        <v>1061</v>
      </c>
      <c r="O57" s="5">
        <f>IFERROR(__xludf.DUMMYFUNCTION("""COMPUTED_VALUE"""),7.5)</f>
        <v>7.5</v>
      </c>
      <c r="P57" s="5">
        <f>IFERROR(__xludf.DUMMYFUNCTION("""COMPUTED_VALUE"""),194.3)</f>
        <v>194.3</v>
      </c>
    </row>
    <row r="58">
      <c r="A58" s="19" t="str">
        <f>vlookup(B58,'Player Codes'!A:D,4,)</f>
        <v>0101</v>
      </c>
      <c r="B58" s="23" t="s">
        <v>209</v>
      </c>
      <c r="C58" s="5">
        <f>IFERROR(__xludf.DUMMYFUNCTION("""COMPUTED_VALUE"""),54.0)</f>
        <v>54</v>
      </c>
      <c r="D58" s="5" t="str">
        <f>IFERROR(__xludf.DUMMYFUNCTION("""COMPUTED_VALUE"""),"DeVonta Smith")</f>
        <v>DeVonta Smith</v>
      </c>
      <c r="E58" s="5" t="str">
        <f>IFERROR(__xludf.DUMMYFUNCTION("""COMPUTED_VALUE"""),"WR15")</f>
        <v>WR15</v>
      </c>
      <c r="F58" s="5" t="str">
        <f>IFERROR(__xludf.DUMMYFUNCTION("""COMPUTED_VALUE"""),"PHI")</f>
        <v>PHI</v>
      </c>
      <c r="G58" s="5">
        <f>IFERROR(__xludf.DUMMYFUNCTION("""COMPUTED_VALUE"""),10.0)</f>
        <v>10</v>
      </c>
      <c r="H58" s="5">
        <f>IFERROR(__xludf.DUMMYFUNCTION("""COMPUTED_VALUE"""),0.0)</f>
        <v>0</v>
      </c>
      <c r="I58" s="5">
        <f>IFERROR(__xludf.DUMMYFUNCTION("""COMPUTED_VALUE"""),0.0)</f>
        <v>0</v>
      </c>
      <c r="J58" s="5">
        <f>IFERROR(__xludf.DUMMYFUNCTION("""COMPUTED_VALUE"""),0.0)</f>
        <v>0</v>
      </c>
      <c r="K58" s="5">
        <f>IFERROR(__xludf.DUMMYFUNCTION("""COMPUTED_VALUE"""),8.0)</f>
        <v>8</v>
      </c>
      <c r="L58" s="5">
        <f>IFERROR(__xludf.DUMMYFUNCTION("""COMPUTED_VALUE"""),0.1)</f>
        <v>0.1</v>
      </c>
      <c r="M58" s="5">
        <f>IFERROR(__xludf.DUMMYFUNCTION("""COMPUTED_VALUE"""),85.0)</f>
        <v>85</v>
      </c>
      <c r="N58" s="5">
        <f>IFERROR(__xludf.DUMMYFUNCTION("""COMPUTED_VALUE"""),1056.0)</f>
        <v>1056</v>
      </c>
      <c r="O58" s="5">
        <f>IFERROR(__xludf.DUMMYFUNCTION("""COMPUTED_VALUE"""),6.5)</f>
        <v>6.5</v>
      </c>
      <c r="P58" s="5">
        <f>IFERROR(__xludf.DUMMYFUNCTION("""COMPUTED_VALUE"""),188.7)</f>
        <v>188.7</v>
      </c>
    </row>
    <row r="59">
      <c r="A59" s="19" t="str">
        <f>vlookup(B59,'Player Codes'!A:D,4,)</f>
        <v>0096</v>
      </c>
      <c r="B59" s="21" t="s">
        <v>146</v>
      </c>
      <c r="C59" s="5">
        <f>IFERROR(__xludf.DUMMYFUNCTION("""COMPUTED_VALUE"""),55.0)</f>
        <v>55</v>
      </c>
      <c r="D59" s="5" t="str">
        <f>IFERROR(__xludf.DUMMYFUNCTION("""COMPUTED_VALUE"""),"Rhamondre Stevenson")</f>
        <v>Rhamondre Stevenson</v>
      </c>
      <c r="E59" s="5" t="str">
        <f>IFERROR(__xludf.DUMMYFUNCTION("""COMPUTED_VALUE"""),"RB9")</f>
        <v>RB9</v>
      </c>
      <c r="F59" s="5" t="str">
        <f>IFERROR(__xludf.DUMMYFUNCTION("""COMPUTED_VALUE"""),"NE")</f>
        <v>NE</v>
      </c>
      <c r="G59" s="5">
        <f>IFERROR(__xludf.DUMMYFUNCTION("""COMPUTED_VALUE"""),11.0)</f>
        <v>11</v>
      </c>
      <c r="H59" s="5">
        <f>IFERROR(__xludf.DUMMYFUNCTION("""COMPUTED_VALUE"""),0.0)</f>
        <v>0</v>
      </c>
      <c r="I59" s="5">
        <f>IFERROR(__xludf.DUMMYFUNCTION("""COMPUTED_VALUE"""),0.0)</f>
        <v>0</v>
      </c>
      <c r="J59" s="5">
        <f>IFERROR(__xludf.DUMMYFUNCTION("""COMPUTED_VALUE"""),0.0)</f>
        <v>0</v>
      </c>
      <c r="K59" s="5">
        <f>IFERROR(__xludf.DUMMYFUNCTION("""COMPUTED_VALUE"""),872.0)</f>
        <v>872</v>
      </c>
      <c r="L59" s="5">
        <f>IFERROR(__xludf.DUMMYFUNCTION("""COMPUTED_VALUE"""),5.9)</f>
        <v>5.9</v>
      </c>
      <c r="M59" s="5">
        <f>IFERROR(__xludf.DUMMYFUNCTION("""COMPUTED_VALUE"""),45.0)</f>
        <v>45</v>
      </c>
      <c r="N59" s="5">
        <f>IFERROR(__xludf.DUMMYFUNCTION("""COMPUTED_VALUE"""),327.0)</f>
        <v>327</v>
      </c>
      <c r="O59" s="5">
        <f>IFERROR(__xludf.DUMMYFUNCTION("""COMPUTED_VALUE"""),1.0)</f>
        <v>1</v>
      </c>
      <c r="P59" s="5">
        <f>IFERROR(__xludf.DUMMYFUNCTION("""COMPUTED_VALUE"""),183.9)</f>
        <v>183.9</v>
      </c>
    </row>
    <row r="60">
      <c r="A60" s="19" t="str">
        <f>vlookup(B60,'Player Codes'!A:D,4,)</f>
        <v>0246</v>
      </c>
      <c r="B60" s="21" t="s">
        <v>63</v>
      </c>
      <c r="C60" s="5">
        <f>IFERROR(__xludf.DUMMYFUNCTION("""COMPUTED_VALUE"""),56.0)</f>
        <v>56</v>
      </c>
      <c r="D60" s="5" t="str">
        <f>IFERROR(__xludf.DUMMYFUNCTION("""COMPUTED_VALUE"""),"Calvin Ridley")</f>
        <v>Calvin Ridley</v>
      </c>
      <c r="E60" s="5" t="str">
        <f>IFERROR(__xludf.DUMMYFUNCTION("""COMPUTED_VALUE"""),"WR16")</f>
        <v>WR16</v>
      </c>
      <c r="F60" s="5" t="str">
        <f>IFERROR(__xludf.DUMMYFUNCTION("""COMPUTED_VALUE"""),"JAC")</f>
        <v>JAC</v>
      </c>
      <c r="G60" s="5">
        <f>IFERROR(__xludf.DUMMYFUNCTION("""COMPUTED_VALUE"""),9.0)</f>
        <v>9</v>
      </c>
      <c r="H60" s="5">
        <f>IFERROR(__xludf.DUMMYFUNCTION("""COMPUTED_VALUE"""),0.0)</f>
        <v>0</v>
      </c>
      <c r="I60" s="5">
        <f>IFERROR(__xludf.DUMMYFUNCTION("""COMPUTED_VALUE"""),0.0)</f>
        <v>0</v>
      </c>
      <c r="J60" s="5">
        <f>IFERROR(__xludf.DUMMYFUNCTION("""COMPUTED_VALUE"""),0.0)</f>
        <v>0</v>
      </c>
      <c r="K60" s="5">
        <f>IFERROR(__xludf.DUMMYFUNCTION("""COMPUTED_VALUE"""),0.0)</f>
        <v>0</v>
      </c>
      <c r="L60" s="5">
        <f>IFERROR(__xludf.DUMMYFUNCTION("""COMPUTED_VALUE"""),0.0)</f>
        <v>0</v>
      </c>
      <c r="M60" s="5">
        <f>IFERROR(__xludf.DUMMYFUNCTION("""COMPUTED_VALUE"""),77.0)</f>
        <v>77</v>
      </c>
      <c r="N60" s="5">
        <f>IFERROR(__xludf.DUMMYFUNCTION("""COMPUTED_VALUE"""),973.0)</f>
        <v>973</v>
      </c>
      <c r="O60" s="5">
        <f>IFERROR(__xludf.DUMMYFUNCTION("""COMPUTED_VALUE"""),7.7)</f>
        <v>7.7</v>
      </c>
      <c r="P60" s="5">
        <f>IFERROR(__xludf.DUMMYFUNCTION("""COMPUTED_VALUE"""),181.8)</f>
        <v>181.8</v>
      </c>
    </row>
    <row r="61">
      <c r="A61" s="19" t="str">
        <f>vlookup(B61,'Player Codes'!A:D,4,)</f>
        <v>0037</v>
      </c>
      <c r="B61" s="21" t="s">
        <v>152</v>
      </c>
      <c r="C61" s="5">
        <f>IFERROR(__xludf.DUMMYFUNCTION("""COMPUTED_VALUE"""),57.0)</f>
        <v>57</v>
      </c>
      <c r="D61" s="5" t="str">
        <f>IFERROR(__xludf.DUMMYFUNCTION("""COMPUTED_VALUE"""),"Najee Harris")</f>
        <v>Najee Harris</v>
      </c>
      <c r="E61" s="5" t="str">
        <f>IFERROR(__xludf.DUMMYFUNCTION("""COMPUTED_VALUE"""),"RB10")</f>
        <v>RB10</v>
      </c>
      <c r="F61" s="5" t="str">
        <f>IFERROR(__xludf.DUMMYFUNCTION("""COMPUTED_VALUE"""),"PIT")</f>
        <v>PIT</v>
      </c>
      <c r="G61" s="5">
        <f>IFERROR(__xludf.DUMMYFUNCTION("""COMPUTED_VALUE"""),6.0)</f>
        <v>6</v>
      </c>
      <c r="H61" s="5">
        <f>IFERROR(__xludf.DUMMYFUNCTION("""COMPUTED_VALUE"""),0.0)</f>
        <v>0</v>
      </c>
      <c r="I61" s="5">
        <f>IFERROR(__xludf.DUMMYFUNCTION("""COMPUTED_VALUE"""),0.0)</f>
        <v>0</v>
      </c>
      <c r="J61" s="5">
        <f>IFERROR(__xludf.DUMMYFUNCTION("""COMPUTED_VALUE"""),0.0)</f>
        <v>0</v>
      </c>
      <c r="K61" s="5">
        <f>IFERROR(__xludf.DUMMYFUNCTION("""COMPUTED_VALUE"""),977.0)</f>
        <v>977</v>
      </c>
      <c r="L61" s="5">
        <f>IFERROR(__xludf.DUMMYFUNCTION("""COMPUTED_VALUE"""),7.2)</f>
        <v>7.2</v>
      </c>
      <c r="M61" s="5">
        <f>IFERROR(__xludf.DUMMYFUNCTION("""COMPUTED_VALUE"""),26.0)</f>
        <v>26</v>
      </c>
      <c r="N61" s="5">
        <f>IFERROR(__xludf.DUMMYFUNCTION("""COMPUTED_VALUE"""),180.0)</f>
        <v>180</v>
      </c>
      <c r="O61" s="5">
        <f>IFERROR(__xludf.DUMMYFUNCTION("""COMPUTED_VALUE"""),1.0)</f>
        <v>1</v>
      </c>
      <c r="P61" s="5">
        <f>IFERROR(__xludf.DUMMYFUNCTION("""COMPUTED_VALUE"""),178.0)</f>
        <v>178</v>
      </c>
    </row>
    <row r="62">
      <c r="A62" s="19" t="str">
        <f>vlookup(B62,'Player Codes'!A:D,4,)</f>
        <v>0223</v>
      </c>
      <c r="B62" s="21" t="s">
        <v>75</v>
      </c>
      <c r="C62" s="5">
        <f>IFERROR(__xludf.DUMMYFUNCTION("""COMPUTED_VALUE"""),58.0)</f>
        <v>58</v>
      </c>
      <c r="D62" s="5" t="str">
        <f>IFERROR(__xludf.DUMMYFUNCTION("""COMPUTED_VALUE"""),"Jahmyr Gibbs")</f>
        <v>Jahmyr Gibbs</v>
      </c>
      <c r="E62" s="5" t="str">
        <f>IFERROR(__xludf.DUMMYFUNCTION("""COMPUTED_VALUE"""),"RB11")</f>
        <v>RB11</v>
      </c>
      <c r="F62" s="5" t="str">
        <f>IFERROR(__xludf.DUMMYFUNCTION("""COMPUTED_VALUE"""),"DET")</f>
        <v>DET</v>
      </c>
      <c r="G62" s="5">
        <f>IFERROR(__xludf.DUMMYFUNCTION("""COMPUTED_VALUE"""),9.0)</f>
        <v>9</v>
      </c>
      <c r="H62" s="5">
        <f>IFERROR(__xludf.DUMMYFUNCTION("""COMPUTED_VALUE"""),0.0)</f>
        <v>0</v>
      </c>
      <c r="I62" s="5">
        <f>IFERROR(__xludf.DUMMYFUNCTION("""COMPUTED_VALUE"""),0.0)</f>
        <v>0</v>
      </c>
      <c r="J62" s="5">
        <f>IFERROR(__xludf.DUMMYFUNCTION("""COMPUTED_VALUE"""),0.0)</f>
        <v>0</v>
      </c>
      <c r="K62" s="5">
        <f>IFERROR(__xludf.DUMMYFUNCTION("""COMPUTED_VALUE"""),721.0)</f>
        <v>721</v>
      </c>
      <c r="L62" s="5">
        <f>IFERROR(__xludf.DUMMYFUNCTION("""COMPUTED_VALUE"""),5.6)</f>
        <v>5.6</v>
      </c>
      <c r="M62" s="5">
        <f>IFERROR(__xludf.DUMMYFUNCTION("""COMPUTED_VALUE"""),46.0)</f>
        <v>46</v>
      </c>
      <c r="N62" s="5">
        <f>IFERROR(__xludf.DUMMYFUNCTION("""COMPUTED_VALUE"""),351.0)</f>
        <v>351</v>
      </c>
      <c r="O62" s="5">
        <f>IFERROR(__xludf.DUMMYFUNCTION("""COMPUTED_VALUE"""),2.2)</f>
        <v>2.2</v>
      </c>
      <c r="P62" s="5">
        <f>IFERROR(__xludf.DUMMYFUNCTION("""COMPUTED_VALUE"""),177.2)</f>
        <v>177.2</v>
      </c>
    </row>
    <row r="63">
      <c r="A63" s="19" t="str">
        <f>vlookup(B63,'Player Codes'!A:D,4,)</f>
        <v>0135</v>
      </c>
      <c r="B63" s="21" t="s">
        <v>113</v>
      </c>
      <c r="C63" s="5">
        <f>IFERROR(__xludf.DUMMYFUNCTION("""COMPUTED_VALUE"""),59.0)</f>
        <v>59</v>
      </c>
      <c r="D63" s="5" t="str">
        <f>IFERROR(__xludf.DUMMYFUNCTION("""COMPUTED_VALUE"""),"Christian Watson")</f>
        <v>Christian Watson</v>
      </c>
      <c r="E63" s="5" t="str">
        <f>IFERROR(__xludf.DUMMYFUNCTION("""COMPUTED_VALUE"""),"WR17")</f>
        <v>WR17</v>
      </c>
      <c r="F63" s="5" t="str">
        <f>IFERROR(__xludf.DUMMYFUNCTION("""COMPUTED_VALUE"""),"GB")</f>
        <v>GB</v>
      </c>
      <c r="G63" s="5">
        <f>IFERROR(__xludf.DUMMYFUNCTION("""COMPUTED_VALUE"""),6.0)</f>
        <v>6</v>
      </c>
      <c r="H63" s="5">
        <f>IFERROR(__xludf.DUMMYFUNCTION("""COMPUTED_VALUE"""),0.0)</f>
        <v>0</v>
      </c>
      <c r="I63" s="5">
        <f>IFERROR(__xludf.DUMMYFUNCTION("""COMPUTED_VALUE"""),0.0)</f>
        <v>0</v>
      </c>
      <c r="J63" s="5">
        <f>IFERROR(__xludf.DUMMYFUNCTION("""COMPUTED_VALUE"""),0.0)</f>
        <v>0</v>
      </c>
      <c r="K63" s="5">
        <f>IFERROR(__xludf.DUMMYFUNCTION("""COMPUTED_VALUE"""),15.0)</f>
        <v>15</v>
      </c>
      <c r="L63" s="5">
        <f>IFERROR(__xludf.DUMMYFUNCTION("""COMPUTED_VALUE"""),0.2)</f>
        <v>0.2</v>
      </c>
      <c r="M63" s="5">
        <f>IFERROR(__xludf.DUMMYFUNCTION("""COMPUTED_VALUE"""),72.0)</f>
        <v>72</v>
      </c>
      <c r="N63" s="5">
        <f>IFERROR(__xludf.DUMMYFUNCTION("""COMPUTED_VALUE"""),991.0)</f>
        <v>991</v>
      </c>
      <c r="O63" s="5">
        <f>IFERROR(__xludf.DUMMYFUNCTION("""COMPUTED_VALUE"""),5.9)</f>
        <v>5.9</v>
      </c>
      <c r="P63" s="5">
        <f>IFERROR(__xludf.DUMMYFUNCTION("""COMPUTED_VALUE"""),173.3)</f>
        <v>173.3</v>
      </c>
    </row>
    <row r="64">
      <c r="A64" s="19" t="str">
        <f>vlookup(B64,'Player Codes'!A:D,4,)</f>
        <v>0056</v>
      </c>
      <c r="B64" s="21" t="s">
        <v>169</v>
      </c>
      <c r="C64" s="5">
        <f>IFERROR(__xludf.DUMMYFUNCTION("""COMPUTED_VALUE"""),60.0)</f>
        <v>60</v>
      </c>
      <c r="D64" s="5" t="str">
        <f>IFERROR(__xludf.DUMMYFUNCTION("""COMPUTED_VALUE"""),"Breece Hall")</f>
        <v>Breece Hall</v>
      </c>
      <c r="E64" s="5" t="str">
        <f>IFERROR(__xludf.DUMMYFUNCTION("""COMPUTED_VALUE"""),"RB12")</f>
        <v>RB12</v>
      </c>
      <c r="F64" s="5" t="str">
        <f>IFERROR(__xludf.DUMMYFUNCTION("""COMPUTED_VALUE"""),"NYJ")</f>
        <v>NYJ</v>
      </c>
      <c r="G64" s="5">
        <f>IFERROR(__xludf.DUMMYFUNCTION("""COMPUTED_VALUE"""),7.0)</f>
        <v>7</v>
      </c>
      <c r="H64" s="5">
        <f>IFERROR(__xludf.DUMMYFUNCTION("""COMPUTED_VALUE"""),0.0)</f>
        <v>0</v>
      </c>
      <c r="I64" s="5">
        <f>IFERROR(__xludf.DUMMYFUNCTION("""COMPUTED_VALUE"""),0.0)</f>
        <v>0</v>
      </c>
      <c r="J64" s="5">
        <f>IFERROR(__xludf.DUMMYFUNCTION("""COMPUTED_VALUE"""),0.0)</f>
        <v>0</v>
      </c>
      <c r="K64" s="5">
        <f>IFERROR(__xludf.DUMMYFUNCTION("""COMPUTED_VALUE"""),782.0)</f>
        <v>782</v>
      </c>
      <c r="L64" s="5">
        <f>IFERROR(__xludf.DUMMYFUNCTION("""COMPUTED_VALUE"""),5.2)</f>
        <v>5.2</v>
      </c>
      <c r="M64" s="5">
        <f>IFERROR(__xludf.DUMMYFUNCTION("""COMPUTED_VALUE"""),39.0)</f>
        <v>39</v>
      </c>
      <c r="N64" s="5">
        <f>IFERROR(__xludf.DUMMYFUNCTION("""COMPUTED_VALUE"""),325.0)</f>
        <v>325</v>
      </c>
      <c r="O64" s="5">
        <f>IFERROR(__xludf.DUMMYFUNCTION("""COMPUTED_VALUE"""),1.8)</f>
        <v>1.8</v>
      </c>
      <c r="P64" s="5">
        <f>IFERROR(__xludf.DUMMYFUNCTION("""COMPUTED_VALUE"""),172.2)</f>
        <v>172.2</v>
      </c>
    </row>
    <row r="65">
      <c r="A65" s="19" t="str">
        <f>vlookup(B65,'Player Codes'!A:D,4,)</f>
        <v>0026</v>
      </c>
      <c r="B65" s="21" t="s">
        <v>79</v>
      </c>
      <c r="C65" s="5">
        <f>IFERROR(__xludf.DUMMYFUNCTION("""COMPUTED_VALUE"""),61.0)</f>
        <v>61</v>
      </c>
      <c r="D65" s="5" t="str">
        <f>IFERROR(__xludf.DUMMYFUNCTION("""COMPUTED_VALUE"""),"Mark Andrews")</f>
        <v>Mark Andrews</v>
      </c>
      <c r="E65" s="5" t="str">
        <f>IFERROR(__xludf.DUMMYFUNCTION("""COMPUTED_VALUE"""),"TE2")</f>
        <v>TE2</v>
      </c>
      <c r="F65" s="5" t="str">
        <f>IFERROR(__xludf.DUMMYFUNCTION("""COMPUTED_VALUE"""),"BAL")</f>
        <v>BAL</v>
      </c>
      <c r="G65" s="5">
        <f>IFERROR(__xludf.DUMMYFUNCTION("""COMPUTED_VALUE"""),13.0)</f>
        <v>13</v>
      </c>
      <c r="H65" s="5">
        <f>IFERROR(__xludf.DUMMYFUNCTION("""COMPUTED_VALUE"""),0.0)</f>
        <v>0</v>
      </c>
      <c r="I65" s="5">
        <f>IFERROR(__xludf.DUMMYFUNCTION("""COMPUTED_VALUE"""),0.0)</f>
        <v>0</v>
      </c>
      <c r="J65" s="5">
        <f>IFERROR(__xludf.DUMMYFUNCTION("""COMPUTED_VALUE"""),0.0)</f>
        <v>0</v>
      </c>
      <c r="K65" s="5">
        <f>IFERROR(__xludf.DUMMYFUNCTION("""COMPUTED_VALUE"""),11.0)</f>
        <v>11</v>
      </c>
      <c r="L65" s="5">
        <f>IFERROR(__xludf.DUMMYFUNCTION("""COMPUTED_VALUE"""),0.0)</f>
        <v>0</v>
      </c>
      <c r="M65" s="5">
        <f>IFERROR(__xludf.DUMMYFUNCTION("""COMPUTED_VALUE"""),75.0)</f>
        <v>75</v>
      </c>
      <c r="N65" s="5">
        <f>IFERROR(__xludf.DUMMYFUNCTION("""COMPUTED_VALUE"""),899.0)</f>
        <v>899</v>
      </c>
      <c r="O65" s="5">
        <f>IFERROR(__xludf.DUMMYFUNCTION("""COMPUTED_VALUE"""),7.2)</f>
        <v>7.2</v>
      </c>
      <c r="P65" s="5">
        <f>IFERROR(__xludf.DUMMYFUNCTION("""COMPUTED_VALUE"""),171.6)</f>
        <v>171.6</v>
      </c>
    </row>
    <row r="66">
      <c r="A66" s="19" t="str">
        <f>vlookup(B66,'Player Codes'!A:D,4,)</f>
        <v>0202</v>
      </c>
      <c r="B66" s="21" t="s">
        <v>277</v>
      </c>
      <c r="C66" s="5">
        <f>IFERROR(__xludf.DUMMYFUNCTION("""COMPUTED_VALUE"""),62.0)</f>
        <v>62</v>
      </c>
      <c r="D66" s="5" t="str">
        <f>IFERROR(__xludf.DUMMYFUNCTION("""COMPUTED_VALUE"""),"Deebo Samuel")</f>
        <v>Deebo Samuel</v>
      </c>
      <c r="E66" s="5" t="str">
        <f>IFERROR(__xludf.DUMMYFUNCTION("""COMPUTED_VALUE"""),"WR18")</f>
        <v>WR18</v>
      </c>
      <c r="F66" s="5" t="str">
        <f>IFERROR(__xludf.DUMMYFUNCTION("""COMPUTED_VALUE"""),"SF")</f>
        <v>SF</v>
      </c>
      <c r="G66" s="5">
        <f>IFERROR(__xludf.DUMMYFUNCTION("""COMPUTED_VALUE"""),9.0)</f>
        <v>9</v>
      </c>
      <c r="H66" s="5">
        <f>IFERROR(__xludf.DUMMYFUNCTION("""COMPUTED_VALUE"""),0.0)</f>
        <v>0</v>
      </c>
      <c r="I66" s="5">
        <f>IFERROR(__xludf.DUMMYFUNCTION("""COMPUTED_VALUE"""),0.0)</f>
        <v>0</v>
      </c>
      <c r="J66" s="5">
        <f>IFERROR(__xludf.DUMMYFUNCTION("""COMPUTED_VALUE"""),0.0)</f>
        <v>0</v>
      </c>
      <c r="K66" s="5">
        <f>IFERROR(__xludf.DUMMYFUNCTION("""COMPUTED_VALUE"""),222.0)</f>
        <v>222</v>
      </c>
      <c r="L66" s="5">
        <f>IFERROR(__xludf.DUMMYFUNCTION("""COMPUTED_VALUE"""),2.9)</f>
        <v>2.9</v>
      </c>
      <c r="M66" s="5">
        <f>IFERROR(__xludf.DUMMYFUNCTION("""COMPUTED_VALUE"""),58.0)</f>
        <v>58</v>
      </c>
      <c r="N66" s="5">
        <f>IFERROR(__xludf.DUMMYFUNCTION("""COMPUTED_VALUE"""),768.0)</f>
        <v>768</v>
      </c>
      <c r="O66" s="5">
        <f>IFERROR(__xludf.DUMMYFUNCTION("""COMPUTED_VALUE"""),4.1)</f>
        <v>4.1</v>
      </c>
      <c r="P66" s="5">
        <f>IFERROR(__xludf.DUMMYFUNCTION("""COMPUTED_VALUE"""),170.2)</f>
        <v>170.2</v>
      </c>
    </row>
    <row r="67">
      <c r="A67" s="19" t="str">
        <f>vlookup(B67,'Player Codes'!A:D,4,)</f>
        <v>0086</v>
      </c>
      <c r="B67" s="21" t="s">
        <v>117</v>
      </c>
      <c r="C67" s="5">
        <f>IFERROR(__xludf.DUMMYFUNCTION("""COMPUTED_VALUE"""),63.0)</f>
        <v>63</v>
      </c>
      <c r="D67" s="5" t="str">
        <f>IFERROR(__xludf.DUMMYFUNCTION("""COMPUTED_VALUE"""),"Amari Cooper")</f>
        <v>Amari Cooper</v>
      </c>
      <c r="E67" s="5" t="str">
        <f>IFERROR(__xludf.DUMMYFUNCTION("""COMPUTED_VALUE"""),"WR19")</f>
        <v>WR19</v>
      </c>
      <c r="F67" s="5" t="str">
        <f>IFERROR(__xludf.DUMMYFUNCTION("""COMPUTED_VALUE"""),"CLE")</f>
        <v>CLE</v>
      </c>
      <c r="G67" s="5">
        <f>IFERROR(__xludf.DUMMYFUNCTION("""COMPUTED_VALUE"""),5.0)</f>
        <v>5</v>
      </c>
      <c r="H67" s="5">
        <f>IFERROR(__xludf.DUMMYFUNCTION("""COMPUTED_VALUE"""),0.0)</f>
        <v>0</v>
      </c>
      <c r="I67" s="5">
        <f>IFERROR(__xludf.DUMMYFUNCTION("""COMPUTED_VALUE"""),0.0)</f>
        <v>0</v>
      </c>
      <c r="J67" s="5">
        <f>IFERROR(__xludf.DUMMYFUNCTION("""COMPUTED_VALUE"""),0.0)</f>
        <v>0</v>
      </c>
      <c r="K67" s="5">
        <f>IFERROR(__xludf.DUMMYFUNCTION("""COMPUTED_VALUE"""),0.0)</f>
        <v>0</v>
      </c>
      <c r="L67" s="5">
        <f>IFERROR(__xludf.DUMMYFUNCTION("""COMPUTED_VALUE"""),0.0)</f>
        <v>0</v>
      </c>
      <c r="M67" s="5">
        <f>IFERROR(__xludf.DUMMYFUNCTION("""COMPUTED_VALUE"""),77.0)</f>
        <v>77</v>
      </c>
      <c r="N67" s="5">
        <f>IFERROR(__xludf.DUMMYFUNCTION("""COMPUTED_VALUE"""),953.0)</f>
        <v>953</v>
      </c>
      <c r="O67" s="5">
        <f>IFERROR(__xludf.DUMMYFUNCTION("""COMPUTED_VALUE"""),6.0)</f>
        <v>6</v>
      </c>
      <c r="P67" s="5">
        <f>IFERROR(__xludf.DUMMYFUNCTION("""COMPUTED_VALUE"""),169.6)</f>
        <v>169.6</v>
      </c>
    </row>
    <row r="68">
      <c r="A68" s="19" t="str">
        <f>vlookup(B68,'Player Codes'!A:D,4,)</f>
        <v>0011</v>
      </c>
      <c r="B68" s="21" t="s">
        <v>182</v>
      </c>
      <c r="C68" s="5">
        <f>IFERROR(__xludf.DUMMYFUNCTION("""COMPUTED_VALUE"""),64.0)</f>
        <v>64</v>
      </c>
      <c r="D68" s="5" t="str">
        <f>IFERROR(__xludf.DUMMYFUNCTION("""COMPUTED_VALUE"""),"DJ Moore")</f>
        <v>DJ Moore</v>
      </c>
      <c r="E68" s="5" t="str">
        <f>IFERROR(__xludf.DUMMYFUNCTION("""COMPUTED_VALUE"""),"WR20")</f>
        <v>WR20</v>
      </c>
      <c r="F68" s="5" t="str">
        <f>IFERROR(__xludf.DUMMYFUNCTION("""COMPUTED_VALUE"""),"CHI")</f>
        <v>CHI</v>
      </c>
      <c r="G68" s="5">
        <f>IFERROR(__xludf.DUMMYFUNCTION("""COMPUTED_VALUE"""),13.0)</f>
        <v>13</v>
      </c>
      <c r="H68" s="5">
        <f>IFERROR(__xludf.DUMMYFUNCTION("""COMPUTED_VALUE"""),0.0)</f>
        <v>0</v>
      </c>
      <c r="I68" s="5">
        <f>IFERROR(__xludf.DUMMYFUNCTION("""COMPUTED_VALUE"""),0.0)</f>
        <v>0</v>
      </c>
      <c r="J68" s="5">
        <f>IFERROR(__xludf.DUMMYFUNCTION("""COMPUTED_VALUE"""),0.0)</f>
        <v>0</v>
      </c>
      <c r="K68" s="5">
        <f>IFERROR(__xludf.DUMMYFUNCTION("""COMPUTED_VALUE"""),25.0)</f>
        <v>25</v>
      </c>
      <c r="L68" s="5">
        <f>IFERROR(__xludf.DUMMYFUNCTION("""COMPUTED_VALUE"""),0.2)</f>
        <v>0.2</v>
      </c>
      <c r="M68" s="5">
        <f>IFERROR(__xludf.DUMMYFUNCTION("""COMPUTED_VALUE"""),72.0)</f>
        <v>72</v>
      </c>
      <c r="N68" s="5">
        <f>IFERROR(__xludf.DUMMYFUNCTION("""COMPUTED_VALUE"""),942.0)</f>
        <v>942</v>
      </c>
      <c r="O68" s="5">
        <f>IFERROR(__xludf.DUMMYFUNCTION("""COMPUTED_VALUE"""),5.9)</f>
        <v>5.9</v>
      </c>
      <c r="P68" s="5">
        <f>IFERROR(__xludf.DUMMYFUNCTION("""COMPUTED_VALUE"""),169.2)</f>
        <v>169.2</v>
      </c>
    </row>
    <row r="69">
      <c r="A69" s="19" t="str">
        <f>vlookup(B69,'Player Codes'!A:D,4,)</f>
        <v>0100</v>
      </c>
      <c r="B69" s="23" t="s">
        <v>188</v>
      </c>
      <c r="C69" s="5">
        <f>IFERROR(__xludf.DUMMYFUNCTION("""COMPUTED_VALUE"""),65.0)</f>
        <v>65</v>
      </c>
      <c r="D69" s="5" t="str">
        <f>IFERROR(__xludf.DUMMYFUNCTION("""COMPUTED_VALUE"""),"Kenneth Walker III")</f>
        <v>Kenneth Walker III</v>
      </c>
      <c r="E69" s="5" t="str">
        <f>IFERROR(__xludf.DUMMYFUNCTION("""COMPUTED_VALUE"""),"RB13")</f>
        <v>RB13</v>
      </c>
      <c r="F69" s="5" t="str">
        <f>IFERROR(__xludf.DUMMYFUNCTION("""COMPUTED_VALUE"""),"SEA")</f>
        <v>SEA</v>
      </c>
      <c r="G69" s="5">
        <f>IFERROR(__xludf.DUMMYFUNCTION("""COMPUTED_VALUE"""),5.0)</f>
        <v>5</v>
      </c>
      <c r="H69" s="5">
        <f>IFERROR(__xludf.DUMMYFUNCTION("""COMPUTED_VALUE"""),0.0)</f>
        <v>0</v>
      </c>
      <c r="I69" s="5">
        <f>IFERROR(__xludf.DUMMYFUNCTION("""COMPUTED_VALUE"""),0.0)</f>
        <v>0</v>
      </c>
      <c r="J69" s="5">
        <f>IFERROR(__xludf.DUMMYFUNCTION("""COMPUTED_VALUE"""),0.0)</f>
        <v>0</v>
      </c>
      <c r="K69" s="5">
        <f>IFERROR(__xludf.DUMMYFUNCTION("""COMPUTED_VALUE"""),943.0)</f>
        <v>943</v>
      </c>
      <c r="L69" s="5">
        <f>IFERROR(__xludf.DUMMYFUNCTION("""COMPUTED_VALUE"""),6.7)</f>
        <v>6.7</v>
      </c>
      <c r="M69" s="5">
        <f>IFERROR(__xludf.DUMMYFUNCTION("""COMPUTED_VALUE"""),27.0)</f>
        <v>27</v>
      </c>
      <c r="N69" s="5">
        <f>IFERROR(__xludf.DUMMYFUNCTION("""COMPUTED_VALUE"""),192.0)</f>
        <v>192</v>
      </c>
      <c r="O69" s="5">
        <f>IFERROR(__xludf.DUMMYFUNCTION("""COMPUTED_VALUE"""),0.3)</f>
        <v>0.3</v>
      </c>
      <c r="P69" s="5">
        <f>IFERROR(__xludf.DUMMYFUNCTION("""COMPUTED_VALUE"""),168.9)</f>
        <v>168.9</v>
      </c>
    </row>
    <row r="70">
      <c r="A70" s="19" t="str">
        <f>vlookup(B70,'Player Codes'!A:D,4,)</f>
        <v>0186</v>
      </c>
      <c r="B70" s="21" t="s">
        <v>128</v>
      </c>
      <c r="C70" s="5">
        <f>IFERROR(__xludf.DUMMYFUNCTION("""COMPUTED_VALUE"""),66.0)</f>
        <v>66</v>
      </c>
      <c r="D70" s="5" t="str">
        <f>IFERROR(__xludf.DUMMYFUNCTION("""COMPUTED_VALUE"""),"Kyler Murray")</f>
        <v>Kyler Murray</v>
      </c>
      <c r="E70" s="5" t="str">
        <f>IFERROR(__xludf.DUMMYFUNCTION("""COMPUTED_VALUE"""),"QB31")</f>
        <v>QB31</v>
      </c>
      <c r="F70" s="5" t="str">
        <f>IFERROR(__xludf.DUMMYFUNCTION("""COMPUTED_VALUE"""),"ARI")</f>
        <v>ARI</v>
      </c>
      <c r="G70" s="5">
        <f>IFERROR(__xludf.DUMMYFUNCTION("""COMPUTED_VALUE"""),14.0)</f>
        <v>14</v>
      </c>
      <c r="H70" s="5">
        <f>IFERROR(__xludf.DUMMYFUNCTION("""COMPUTED_VALUE"""),2245.0)</f>
        <v>2245</v>
      </c>
      <c r="I70" s="5">
        <f>IFERROR(__xludf.DUMMYFUNCTION("""COMPUTED_VALUE"""),11.3)</f>
        <v>11.3</v>
      </c>
      <c r="J70" s="5">
        <f>IFERROR(__xludf.DUMMYFUNCTION("""COMPUTED_VALUE"""),8.6)</f>
        <v>8.6</v>
      </c>
      <c r="K70" s="5">
        <f>IFERROR(__xludf.DUMMYFUNCTION("""COMPUTED_VALUE"""),347.0)</f>
        <v>347</v>
      </c>
      <c r="L70" s="5">
        <f>IFERROR(__xludf.DUMMYFUNCTION("""COMPUTED_VALUE"""),2.6)</f>
        <v>2.6</v>
      </c>
      <c r="M70" s="5">
        <f>IFERROR(__xludf.DUMMYFUNCTION("""COMPUTED_VALUE"""),0.0)</f>
        <v>0</v>
      </c>
      <c r="N70" s="5">
        <f>IFERROR(__xludf.DUMMYFUNCTION("""COMPUTED_VALUE"""),4.0)</f>
        <v>4</v>
      </c>
      <c r="O70" s="5">
        <f>IFERROR(__xludf.DUMMYFUNCTION("""COMPUTED_VALUE"""),0.0)</f>
        <v>0</v>
      </c>
      <c r="P70" s="5">
        <f>IFERROR(__xludf.DUMMYFUNCTION("""COMPUTED_VALUE"""),168.5)</f>
        <v>168.5</v>
      </c>
    </row>
    <row r="71">
      <c r="A71" s="19" t="str">
        <f>vlookup(B71,'Player Codes'!A:D,4,)</f>
        <v>0193</v>
      </c>
      <c r="B71" s="21" t="s">
        <v>352</v>
      </c>
      <c r="C71" s="5">
        <f>IFERROR(__xludf.DUMMYFUNCTION("""COMPUTED_VALUE"""),67.0)</f>
        <v>67</v>
      </c>
      <c r="D71" s="5" t="str">
        <f>IFERROR(__xludf.DUMMYFUNCTION("""COMPUTED_VALUE"""),"Terry McLaurin")</f>
        <v>Terry McLaurin</v>
      </c>
      <c r="E71" s="5" t="str">
        <f>IFERROR(__xludf.DUMMYFUNCTION("""COMPUTED_VALUE"""),"WR21")</f>
        <v>WR21</v>
      </c>
      <c r="F71" s="5" t="str">
        <f>IFERROR(__xludf.DUMMYFUNCTION("""COMPUTED_VALUE"""),"WAS")</f>
        <v>WAS</v>
      </c>
      <c r="G71" s="5">
        <f>IFERROR(__xludf.DUMMYFUNCTION("""COMPUTED_VALUE"""),14.0)</f>
        <v>14</v>
      </c>
      <c r="H71" s="5">
        <f>IFERROR(__xludf.DUMMYFUNCTION("""COMPUTED_VALUE"""),0.0)</f>
        <v>0</v>
      </c>
      <c r="I71" s="5">
        <f>IFERROR(__xludf.DUMMYFUNCTION("""COMPUTED_VALUE"""),0.0)</f>
        <v>0</v>
      </c>
      <c r="J71" s="5">
        <f>IFERROR(__xludf.DUMMYFUNCTION("""COMPUTED_VALUE"""),0.0)</f>
        <v>0</v>
      </c>
      <c r="K71" s="5">
        <f>IFERROR(__xludf.DUMMYFUNCTION("""COMPUTED_VALUE"""),15.0)</f>
        <v>15</v>
      </c>
      <c r="L71" s="5">
        <f>IFERROR(__xludf.DUMMYFUNCTION("""COMPUTED_VALUE"""),0.1)</f>
        <v>0.1</v>
      </c>
      <c r="M71" s="5">
        <f>IFERROR(__xludf.DUMMYFUNCTION("""COMPUTED_VALUE"""),72.0)</f>
        <v>72</v>
      </c>
      <c r="N71" s="5">
        <f>IFERROR(__xludf.DUMMYFUNCTION("""COMPUTED_VALUE"""),963.0)</f>
        <v>963</v>
      </c>
      <c r="O71" s="5">
        <f>IFERROR(__xludf.DUMMYFUNCTION("""COMPUTED_VALUE"""),5.3)</f>
        <v>5.3</v>
      </c>
      <c r="P71" s="5">
        <f>IFERROR(__xludf.DUMMYFUNCTION("""COMPUTED_VALUE"""),166.0)</f>
        <v>166</v>
      </c>
    </row>
    <row r="72">
      <c r="A72" s="19" t="str">
        <f>vlookup(B72,'Player Codes'!A:D,4,)</f>
        <v>0273</v>
      </c>
      <c r="B72" s="21" t="s">
        <v>124</v>
      </c>
      <c r="C72" s="5">
        <f>IFERROR(__xludf.DUMMYFUNCTION("""COMPUTED_VALUE"""),68.0)</f>
        <v>68</v>
      </c>
      <c r="D72" s="5" t="str">
        <f>IFERROR(__xludf.DUMMYFUNCTION("""COMPUTED_VALUE"""),"Alexander Mattison")</f>
        <v>Alexander Mattison</v>
      </c>
      <c r="E72" s="5" t="str">
        <f>IFERROR(__xludf.DUMMYFUNCTION("""COMPUTED_VALUE"""),"RB14")</f>
        <v>RB14</v>
      </c>
      <c r="F72" s="5" t="str">
        <f>IFERROR(__xludf.DUMMYFUNCTION("""COMPUTED_VALUE"""),"MIN")</f>
        <v>MIN</v>
      </c>
      <c r="G72" s="5">
        <f>IFERROR(__xludf.DUMMYFUNCTION("""COMPUTED_VALUE"""),13.0)</f>
        <v>13</v>
      </c>
      <c r="H72" s="5">
        <f>IFERROR(__xludf.DUMMYFUNCTION("""COMPUTED_VALUE"""),0.0)</f>
        <v>0</v>
      </c>
      <c r="I72" s="5">
        <f>IFERROR(__xludf.DUMMYFUNCTION("""COMPUTED_VALUE"""),0.0)</f>
        <v>0</v>
      </c>
      <c r="J72" s="5">
        <f>IFERROR(__xludf.DUMMYFUNCTION("""COMPUTED_VALUE"""),0.0)</f>
        <v>0</v>
      </c>
      <c r="K72" s="5">
        <f>IFERROR(__xludf.DUMMYFUNCTION("""COMPUTED_VALUE"""),774.0)</f>
        <v>774</v>
      </c>
      <c r="L72" s="5">
        <f>IFERROR(__xludf.DUMMYFUNCTION("""COMPUTED_VALUE"""),7.1)</f>
        <v>7.1</v>
      </c>
      <c r="M72" s="5">
        <f>IFERROR(__xludf.DUMMYFUNCTION("""COMPUTED_VALUE"""),33.0)</f>
        <v>33</v>
      </c>
      <c r="N72" s="5">
        <f>IFERROR(__xludf.DUMMYFUNCTION("""COMPUTED_VALUE"""),231.0)</f>
        <v>231</v>
      </c>
      <c r="O72" s="5">
        <f>IFERROR(__xludf.DUMMYFUNCTION("""COMPUTED_VALUE"""),1.1)</f>
        <v>1.1</v>
      </c>
      <c r="P72" s="5">
        <f>IFERROR(__xludf.DUMMYFUNCTION("""COMPUTED_VALUE"""),165.9)</f>
        <v>165.9</v>
      </c>
    </row>
    <row r="73">
      <c r="A73" s="19" t="str">
        <f>vlookup(B73,'Player Codes'!A:D,4,)</f>
        <v>0007</v>
      </c>
      <c r="B73" s="21" t="s">
        <v>135</v>
      </c>
      <c r="C73" s="5">
        <f>IFERROR(__xludf.DUMMYFUNCTION("""COMPUTED_VALUE"""),69.0)</f>
        <v>69</v>
      </c>
      <c r="D73" s="5" t="str">
        <f>IFERROR(__xludf.DUMMYFUNCTION("""COMPUTED_VALUE"""),"Drake London")</f>
        <v>Drake London</v>
      </c>
      <c r="E73" s="5" t="str">
        <f>IFERROR(__xludf.DUMMYFUNCTION("""COMPUTED_VALUE"""),"WR22")</f>
        <v>WR22</v>
      </c>
      <c r="F73" s="5" t="str">
        <f>IFERROR(__xludf.DUMMYFUNCTION("""COMPUTED_VALUE"""),"ATL")</f>
        <v>ATL</v>
      </c>
      <c r="G73" s="5">
        <f>IFERROR(__xludf.DUMMYFUNCTION("""COMPUTED_VALUE"""),11.0)</f>
        <v>11</v>
      </c>
      <c r="H73" s="5">
        <f>IFERROR(__xludf.DUMMYFUNCTION("""COMPUTED_VALUE"""),0.0)</f>
        <v>0</v>
      </c>
      <c r="I73" s="5">
        <f>IFERROR(__xludf.DUMMYFUNCTION("""COMPUTED_VALUE"""),0.0)</f>
        <v>0</v>
      </c>
      <c r="J73" s="5">
        <f>IFERROR(__xludf.DUMMYFUNCTION("""COMPUTED_VALUE"""),0.0)</f>
        <v>0</v>
      </c>
      <c r="K73" s="5">
        <f>IFERROR(__xludf.DUMMYFUNCTION("""COMPUTED_VALUE"""),5.0)</f>
        <v>5</v>
      </c>
      <c r="L73" s="5">
        <f>IFERROR(__xludf.DUMMYFUNCTION("""COMPUTED_VALUE"""),0.0)</f>
        <v>0</v>
      </c>
      <c r="M73" s="5">
        <f>IFERROR(__xludf.DUMMYFUNCTION("""COMPUTED_VALUE"""),76.0)</f>
        <v>76</v>
      </c>
      <c r="N73" s="5">
        <f>IFERROR(__xludf.DUMMYFUNCTION("""COMPUTED_VALUE"""),939.0)</f>
        <v>939</v>
      </c>
      <c r="O73" s="5">
        <f>IFERROR(__xludf.DUMMYFUNCTION("""COMPUTED_VALUE"""),5.6)</f>
        <v>5.6</v>
      </c>
      <c r="P73" s="5">
        <f>IFERROR(__xludf.DUMMYFUNCTION("""COMPUTED_VALUE"""),165.8)</f>
        <v>165.8</v>
      </c>
    </row>
    <row r="74">
      <c r="A74" s="19" t="str">
        <f>vlookup(B74,'Player Codes'!A:D,4,)</f>
        <v>0103</v>
      </c>
      <c r="B74" s="21" t="s">
        <v>262</v>
      </c>
      <c r="C74" s="5">
        <f>IFERROR(__xludf.DUMMYFUNCTION("""COMPUTED_VALUE"""),70.0)</f>
        <v>70</v>
      </c>
      <c r="D74" s="5" t="str">
        <f>IFERROR(__xludf.DUMMYFUNCTION("""COMPUTED_VALUE"""),"Joe Mixon")</f>
        <v>Joe Mixon</v>
      </c>
      <c r="E74" s="5" t="str">
        <f>IFERROR(__xludf.DUMMYFUNCTION("""COMPUTED_VALUE"""),"RB15")</f>
        <v>RB15</v>
      </c>
      <c r="F74" s="5" t="str">
        <f>IFERROR(__xludf.DUMMYFUNCTION("""COMPUTED_VALUE"""),"CIN")</f>
        <v>CIN</v>
      </c>
      <c r="G74" s="5">
        <f>IFERROR(__xludf.DUMMYFUNCTION("""COMPUTED_VALUE"""),7.0)</f>
        <v>7</v>
      </c>
      <c r="H74" s="5">
        <f>IFERROR(__xludf.DUMMYFUNCTION("""COMPUTED_VALUE"""),0.0)</f>
        <v>0</v>
      </c>
      <c r="I74" s="5">
        <f>IFERROR(__xludf.DUMMYFUNCTION("""COMPUTED_VALUE"""),0.0)</f>
        <v>0</v>
      </c>
      <c r="J74" s="5">
        <f>IFERROR(__xludf.DUMMYFUNCTION("""COMPUTED_VALUE"""),0.0)</f>
        <v>0</v>
      </c>
      <c r="K74" s="5">
        <f>IFERROR(__xludf.DUMMYFUNCTION("""COMPUTED_VALUE"""),787.0)</f>
        <v>787</v>
      </c>
      <c r="L74" s="5">
        <f>IFERROR(__xludf.DUMMYFUNCTION("""COMPUTED_VALUE"""),6.5)</f>
        <v>6.5</v>
      </c>
      <c r="M74" s="5">
        <f>IFERROR(__xludf.DUMMYFUNCTION("""COMPUTED_VALUE"""),34.0)</f>
        <v>34</v>
      </c>
      <c r="N74" s="5">
        <f>IFERROR(__xludf.DUMMYFUNCTION("""COMPUTED_VALUE"""),237.0)</f>
        <v>237</v>
      </c>
      <c r="O74" s="5">
        <f>IFERROR(__xludf.DUMMYFUNCTION("""COMPUTED_VALUE"""),1.2)</f>
        <v>1.2</v>
      </c>
      <c r="P74" s="5">
        <f>IFERROR(__xludf.DUMMYFUNCTION("""COMPUTED_VALUE"""),165.5)</f>
        <v>165.5</v>
      </c>
    </row>
    <row r="75">
      <c r="A75" s="19" t="str">
        <f>vlookup(B75,'Player Codes'!A:D,4,)</f>
        <v>0160</v>
      </c>
      <c r="B75" s="21" t="s">
        <v>55</v>
      </c>
      <c r="C75" s="5">
        <f>IFERROR(__xludf.DUMMYFUNCTION("""COMPUTED_VALUE"""),71.0)</f>
        <v>71</v>
      </c>
      <c r="D75" s="5" t="str">
        <f>IFERROR(__xludf.DUMMYFUNCTION("""COMPUTED_VALUE"""),"Keenan Allen")</f>
        <v>Keenan Allen</v>
      </c>
      <c r="E75" s="5" t="str">
        <f>IFERROR(__xludf.DUMMYFUNCTION("""COMPUTED_VALUE"""),"WR23")</f>
        <v>WR23</v>
      </c>
      <c r="F75" s="5" t="str">
        <f>IFERROR(__xludf.DUMMYFUNCTION("""COMPUTED_VALUE"""),"LAC")</f>
        <v>LAC</v>
      </c>
      <c r="G75" s="5">
        <f>IFERROR(__xludf.DUMMYFUNCTION("""COMPUTED_VALUE"""),5.0)</f>
        <v>5</v>
      </c>
      <c r="H75" s="5">
        <f>IFERROR(__xludf.DUMMYFUNCTION("""COMPUTED_VALUE"""),0.0)</f>
        <v>0</v>
      </c>
      <c r="I75" s="5">
        <f>IFERROR(__xludf.DUMMYFUNCTION("""COMPUTED_VALUE"""),0.0)</f>
        <v>0</v>
      </c>
      <c r="J75" s="5">
        <f>IFERROR(__xludf.DUMMYFUNCTION("""COMPUTED_VALUE"""),0.0)</f>
        <v>0</v>
      </c>
      <c r="K75" s="5">
        <f>IFERROR(__xludf.DUMMYFUNCTION("""COMPUTED_VALUE"""),0.0)</f>
        <v>0</v>
      </c>
      <c r="L75" s="5">
        <f>IFERROR(__xludf.DUMMYFUNCTION("""COMPUTED_VALUE"""),0.0)</f>
        <v>0</v>
      </c>
      <c r="M75" s="5">
        <f>IFERROR(__xludf.DUMMYFUNCTION("""COMPUTED_VALUE"""),76.0)</f>
        <v>76</v>
      </c>
      <c r="N75" s="5">
        <f>IFERROR(__xludf.DUMMYFUNCTION("""COMPUTED_VALUE"""),852.0)</f>
        <v>852</v>
      </c>
      <c r="O75" s="5">
        <f>IFERROR(__xludf.DUMMYFUNCTION("""COMPUTED_VALUE"""),6.7)</f>
        <v>6.7</v>
      </c>
      <c r="P75" s="5">
        <f>IFERROR(__xludf.DUMMYFUNCTION("""COMPUTED_VALUE"""),163.6)</f>
        <v>163.6</v>
      </c>
    </row>
    <row r="76">
      <c r="A76" s="19" t="str">
        <f>vlookup(B76,'Player Codes'!A:D,4,)</f>
        <v>0182</v>
      </c>
      <c r="B76" s="21" t="s">
        <v>139</v>
      </c>
      <c r="C76" s="5">
        <f>IFERROR(__xludf.DUMMYFUNCTION("""COMPUTED_VALUE"""),72.0)</f>
        <v>72</v>
      </c>
      <c r="D76" s="5" t="str">
        <f>IFERROR(__xludf.DUMMYFUNCTION("""COMPUTED_VALUE"""),"Aaron Jones")</f>
        <v>Aaron Jones</v>
      </c>
      <c r="E76" s="5" t="str">
        <f>IFERROR(__xludf.DUMMYFUNCTION("""COMPUTED_VALUE"""),"RB16")</f>
        <v>RB16</v>
      </c>
      <c r="F76" s="5" t="str">
        <f>IFERROR(__xludf.DUMMYFUNCTION("""COMPUTED_VALUE"""),"GB")</f>
        <v>GB</v>
      </c>
      <c r="G76" s="5">
        <f>IFERROR(__xludf.DUMMYFUNCTION("""COMPUTED_VALUE"""),6.0)</f>
        <v>6</v>
      </c>
      <c r="H76" s="5">
        <f>IFERROR(__xludf.DUMMYFUNCTION("""COMPUTED_VALUE"""),0.0)</f>
        <v>0</v>
      </c>
      <c r="I76" s="5">
        <f>IFERROR(__xludf.DUMMYFUNCTION("""COMPUTED_VALUE"""),0.0)</f>
        <v>0</v>
      </c>
      <c r="J76" s="5">
        <f>IFERROR(__xludf.DUMMYFUNCTION("""COMPUTED_VALUE"""),0.0)</f>
        <v>0</v>
      </c>
      <c r="K76" s="5">
        <f>IFERROR(__xludf.DUMMYFUNCTION("""COMPUTED_VALUE"""),748.0)</f>
        <v>748</v>
      </c>
      <c r="L76" s="5">
        <f>IFERROR(__xludf.DUMMYFUNCTION("""COMPUTED_VALUE"""),4.9)</f>
        <v>4.9</v>
      </c>
      <c r="M76" s="5">
        <f>IFERROR(__xludf.DUMMYFUNCTION("""COMPUTED_VALUE"""),38.0)</f>
        <v>38</v>
      </c>
      <c r="N76" s="5">
        <f>IFERROR(__xludf.DUMMYFUNCTION("""COMPUTED_VALUE"""),306.0)</f>
        <v>306</v>
      </c>
      <c r="O76" s="5">
        <f>IFERROR(__xludf.DUMMYFUNCTION("""COMPUTED_VALUE"""),1.5)</f>
        <v>1.5</v>
      </c>
      <c r="P76" s="5">
        <f>IFERROR(__xludf.DUMMYFUNCTION("""COMPUTED_VALUE"""),163.0)</f>
        <v>163</v>
      </c>
    </row>
    <row r="77">
      <c r="A77" s="19" t="str">
        <f>vlookup(B77,'Player Codes'!A:D,4,)</f>
        <v>0002</v>
      </c>
      <c r="B77" s="21" t="s">
        <v>59</v>
      </c>
      <c r="C77" s="5">
        <f>IFERROR(__xludf.DUMMYFUNCTION("""COMPUTED_VALUE"""),73.0)</f>
        <v>73</v>
      </c>
      <c r="D77" s="5" t="str">
        <f>IFERROR(__xludf.DUMMYFUNCTION("""COMPUTED_VALUE"""),"Travis Etienne Jr.")</f>
        <v>Travis Etienne Jr.</v>
      </c>
      <c r="E77" s="5" t="str">
        <f>IFERROR(__xludf.DUMMYFUNCTION("""COMPUTED_VALUE"""),"RB17")</f>
        <v>RB17</v>
      </c>
      <c r="F77" s="5" t="str">
        <f>IFERROR(__xludf.DUMMYFUNCTION("""COMPUTED_VALUE"""),"JAC")</f>
        <v>JAC</v>
      </c>
      <c r="G77" s="5">
        <f>IFERROR(__xludf.DUMMYFUNCTION("""COMPUTED_VALUE"""),9.0)</f>
        <v>9</v>
      </c>
      <c r="H77" s="5">
        <f>IFERROR(__xludf.DUMMYFUNCTION("""COMPUTED_VALUE"""),0.0)</f>
        <v>0</v>
      </c>
      <c r="I77" s="5">
        <f>IFERROR(__xludf.DUMMYFUNCTION("""COMPUTED_VALUE"""),0.0)</f>
        <v>0</v>
      </c>
      <c r="J77" s="5">
        <f>IFERROR(__xludf.DUMMYFUNCTION("""COMPUTED_VALUE"""),0.0)</f>
        <v>0</v>
      </c>
      <c r="K77" s="5">
        <f>IFERROR(__xludf.DUMMYFUNCTION("""COMPUTED_VALUE"""),822.0)</f>
        <v>822</v>
      </c>
      <c r="L77" s="5">
        <f>IFERROR(__xludf.DUMMYFUNCTION("""COMPUTED_VALUE"""),6.3)</f>
        <v>6.3</v>
      </c>
      <c r="M77" s="5">
        <f>IFERROR(__xludf.DUMMYFUNCTION("""COMPUTED_VALUE"""),30.0)</f>
        <v>30</v>
      </c>
      <c r="N77" s="5">
        <f>IFERROR(__xludf.DUMMYFUNCTION("""COMPUTED_VALUE"""),214.0)</f>
        <v>214</v>
      </c>
      <c r="O77" s="5">
        <f>IFERROR(__xludf.DUMMYFUNCTION("""COMPUTED_VALUE"""),0.9)</f>
        <v>0.9</v>
      </c>
      <c r="P77" s="5">
        <f>IFERROR(__xludf.DUMMYFUNCTION("""COMPUTED_VALUE"""),161.9)</f>
        <v>161.9</v>
      </c>
    </row>
    <row r="78">
      <c r="A78" s="19" t="str">
        <f>vlookup(B78,'Player Codes'!A:D,4,)</f>
        <v>0275</v>
      </c>
      <c r="B78" s="21" t="s">
        <v>159</v>
      </c>
      <c r="C78" s="5">
        <f>IFERROR(__xludf.DUMMYFUNCTION("""COMPUTED_VALUE"""),74.0)</f>
        <v>74</v>
      </c>
      <c r="D78" s="5" t="str">
        <f>IFERROR(__xludf.DUMMYFUNCTION("""COMPUTED_VALUE"""),"Dameon Pierce")</f>
        <v>Dameon Pierce</v>
      </c>
      <c r="E78" s="5" t="str">
        <f>IFERROR(__xludf.DUMMYFUNCTION("""COMPUTED_VALUE"""),"RB18")</f>
        <v>RB18</v>
      </c>
      <c r="F78" s="5" t="str">
        <f>IFERROR(__xludf.DUMMYFUNCTION("""COMPUTED_VALUE"""),"HOU")</f>
        <v>HOU</v>
      </c>
      <c r="G78" s="5">
        <f>IFERROR(__xludf.DUMMYFUNCTION("""COMPUTED_VALUE"""),7.0)</f>
        <v>7</v>
      </c>
      <c r="H78" s="5">
        <f>IFERROR(__xludf.DUMMYFUNCTION("""COMPUTED_VALUE"""),0.0)</f>
        <v>0</v>
      </c>
      <c r="I78" s="5">
        <f>IFERROR(__xludf.DUMMYFUNCTION("""COMPUTED_VALUE"""),0.0)</f>
        <v>0</v>
      </c>
      <c r="J78" s="5">
        <f>IFERROR(__xludf.DUMMYFUNCTION("""COMPUTED_VALUE"""),0.0)</f>
        <v>0</v>
      </c>
      <c r="K78" s="5">
        <f>IFERROR(__xludf.DUMMYFUNCTION("""COMPUTED_VALUE"""),846.0)</f>
        <v>846</v>
      </c>
      <c r="L78" s="5">
        <f>IFERROR(__xludf.DUMMYFUNCTION("""COMPUTED_VALUE"""),6.5)</f>
        <v>6.5</v>
      </c>
      <c r="M78" s="5">
        <f>IFERROR(__xludf.DUMMYFUNCTION("""COMPUTED_VALUE"""),27.0)</f>
        <v>27</v>
      </c>
      <c r="N78" s="5">
        <f>IFERROR(__xludf.DUMMYFUNCTION("""COMPUTED_VALUE"""),194.0)</f>
        <v>194</v>
      </c>
      <c r="O78" s="5">
        <f>IFERROR(__xludf.DUMMYFUNCTION("""COMPUTED_VALUE"""),0.7)</f>
        <v>0.7</v>
      </c>
      <c r="P78" s="5">
        <f>IFERROR(__xludf.DUMMYFUNCTION("""COMPUTED_VALUE"""),160.8)</f>
        <v>160.8</v>
      </c>
    </row>
    <row r="79">
      <c r="A79" s="19" t="str">
        <f>vlookup(B79,'Player Codes'!A:D,4,)</f>
        <v>0074</v>
      </c>
      <c r="B79" s="21" t="s">
        <v>163</v>
      </c>
      <c r="C79" s="5">
        <f>IFERROR(__xludf.DUMMYFUNCTION("""COMPUTED_VALUE"""),75.0)</f>
        <v>75</v>
      </c>
      <c r="D79" s="5" t="str">
        <f>IFERROR(__xludf.DUMMYFUNCTION("""COMPUTED_VALUE"""),"Mike Williams")</f>
        <v>Mike Williams</v>
      </c>
      <c r="E79" s="5" t="str">
        <f>IFERROR(__xludf.DUMMYFUNCTION("""COMPUTED_VALUE"""),"WR24")</f>
        <v>WR24</v>
      </c>
      <c r="F79" s="5" t="str">
        <f>IFERROR(__xludf.DUMMYFUNCTION("""COMPUTED_VALUE"""),"LAC")</f>
        <v>LAC</v>
      </c>
      <c r="G79" s="5">
        <f>IFERROR(__xludf.DUMMYFUNCTION("""COMPUTED_VALUE"""),5.0)</f>
        <v>5</v>
      </c>
      <c r="H79" s="5">
        <f>IFERROR(__xludf.DUMMYFUNCTION("""COMPUTED_VALUE"""),0.0)</f>
        <v>0</v>
      </c>
      <c r="I79" s="5">
        <f>IFERROR(__xludf.DUMMYFUNCTION("""COMPUTED_VALUE"""),0.0)</f>
        <v>0</v>
      </c>
      <c r="J79" s="5">
        <f>IFERROR(__xludf.DUMMYFUNCTION("""COMPUTED_VALUE"""),0.0)</f>
        <v>0</v>
      </c>
      <c r="K79" s="5">
        <f>IFERROR(__xludf.DUMMYFUNCTION("""COMPUTED_VALUE"""),0.0)</f>
        <v>0</v>
      </c>
      <c r="L79" s="5">
        <f>IFERROR(__xludf.DUMMYFUNCTION("""COMPUTED_VALUE"""),0.0)</f>
        <v>0</v>
      </c>
      <c r="M79" s="5">
        <f>IFERROR(__xludf.DUMMYFUNCTION("""COMPUTED_VALUE"""),69.0)</f>
        <v>69</v>
      </c>
      <c r="N79" s="5">
        <f>IFERROR(__xludf.DUMMYFUNCTION("""COMPUTED_VALUE"""),886.0)</f>
        <v>886</v>
      </c>
      <c r="O79" s="5">
        <f>IFERROR(__xludf.DUMMYFUNCTION("""COMPUTED_VALUE"""),6.0)</f>
        <v>6</v>
      </c>
      <c r="P79" s="5">
        <f>IFERROR(__xludf.DUMMYFUNCTION("""COMPUTED_VALUE"""),159.3)</f>
        <v>159.3</v>
      </c>
    </row>
    <row r="80">
      <c r="A80" s="19" t="str">
        <f>vlookup(B80,'Player Codes'!A:D,4,)</f>
        <v>0220</v>
      </c>
      <c r="B80" s="21" t="s">
        <v>155</v>
      </c>
      <c r="C80" s="5">
        <f>IFERROR(__xludf.DUMMYFUNCTION("""COMPUTED_VALUE"""),76.0)</f>
        <v>76</v>
      </c>
      <c r="D80" s="5" t="str">
        <f>IFERROR(__xludf.DUMMYFUNCTION("""COMPUTED_VALUE"""),"DeAndre Hopkins")</f>
        <v>DeAndre Hopkins</v>
      </c>
      <c r="E80" s="5" t="str">
        <f>IFERROR(__xludf.DUMMYFUNCTION("""COMPUTED_VALUE"""),"WR25")</f>
        <v>WR25</v>
      </c>
      <c r="F80" s="5" t="str">
        <f>IFERROR(__xludf.DUMMYFUNCTION("""COMPUTED_VALUE"""),"TEN")</f>
        <v>TEN</v>
      </c>
      <c r="G80" s="5">
        <f>IFERROR(__xludf.DUMMYFUNCTION("""COMPUTED_VALUE"""),7.0)</f>
        <v>7</v>
      </c>
      <c r="H80" s="5">
        <f>IFERROR(__xludf.DUMMYFUNCTION("""COMPUTED_VALUE"""),0.0)</f>
        <v>0</v>
      </c>
      <c r="I80" s="5">
        <f>IFERROR(__xludf.DUMMYFUNCTION("""COMPUTED_VALUE"""),0.0)</f>
        <v>0</v>
      </c>
      <c r="J80" s="5">
        <f>IFERROR(__xludf.DUMMYFUNCTION("""COMPUTED_VALUE"""),0.0)</f>
        <v>0</v>
      </c>
      <c r="K80" s="5">
        <f>IFERROR(__xludf.DUMMYFUNCTION("""COMPUTED_VALUE"""),0.0)</f>
        <v>0</v>
      </c>
      <c r="L80" s="5">
        <f>IFERROR(__xludf.DUMMYFUNCTION("""COMPUTED_VALUE"""),0.0)</f>
        <v>0</v>
      </c>
      <c r="M80" s="5">
        <f>IFERROR(__xludf.DUMMYFUNCTION("""COMPUTED_VALUE"""),75.0)</f>
        <v>75</v>
      </c>
      <c r="N80" s="5">
        <f>IFERROR(__xludf.DUMMYFUNCTION("""COMPUTED_VALUE"""),863.0)</f>
        <v>863</v>
      </c>
      <c r="O80" s="5">
        <f>IFERROR(__xludf.DUMMYFUNCTION("""COMPUTED_VALUE"""),5.5)</f>
        <v>5.5</v>
      </c>
      <c r="P80" s="5">
        <f>IFERROR(__xludf.DUMMYFUNCTION("""COMPUTED_VALUE"""),157.0)</f>
        <v>157</v>
      </c>
    </row>
    <row r="81">
      <c r="A81" s="19" t="str">
        <f>vlookup(B81,'Player Codes'!A:D,4,)</f>
        <v>0085</v>
      </c>
      <c r="B81" s="21" t="s">
        <v>102</v>
      </c>
      <c r="C81" s="5">
        <f>IFERROR(__xludf.DUMMYFUNCTION("""COMPUTED_VALUE"""),76.0)</f>
        <v>76</v>
      </c>
      <c r="D81" s="5" t="str">
        <f>IFERROR(__xludf.DUMMYFUNCTION("""COMPUTED_VALUE"""),"Chris Godwin")</f>
        <v>Chris Godwin</v>
      </c>
      <c r="E81" s="5" t="str">
        <f>IFERROR(__xludf.DUMMYFUNCTION("""COMPUTED_VALUE"""),"WR25")</f>
        <v>WR25</v>
      </c>
      <c r="F81" s="5" t="str">
        <f>IFERROR(__xludf.DUMMYFUNCTION("""COMPUTED_VALUE"""),"TB")</f>
        <v>TB</v>
      </c>
      <c r="G81" s="5">
        <f>IFERROR(__xludf.DUMMYFUNCTION("""COMPUTED_VALUE"""),5.0)</f>
        <v>5</v>
      </c>
      <c r="H81" s="5">
        <f>IFERROR(__xludf.DUMMYFUNCTION("""COMPUTED_VALUE"""),0.0)</f>
        <v>0</v>
      </c>
      <c r="I81" s="5">
        <f>IFERROR(__xludf.DUMMYFUNCTION("""COMPUTED_VALUE"""),0.0)</f>
        <v>0</v>
      </c>
      <c r="J81" s="5">
        <f>IFERROR(__xludf.DUMMYFUNCTION("""COMPUTED_VALUE"""),0.0)</f>
        <v>0</v>
      </c>
      <c r="K81" s="5">
        <f>IFERROR(__xludf.DUMMYFUNCTION("""COMPUTED_VALUE"""),9.0)</f>
        <v>9</v>
      </c>
      <c r="L81" s="5">
        <f>IFERROR(__xludf.DUMMYFUNCTION("""COMPUTED_VALUE"""),0.1)</f>
        <v>0.1</v>
      </c>
      <c r="M81" s="5">
        <f>IFERROR(__xludf.DUMMYFUNCTION("""COMPUTED_VALUE"""),79.0)</f>
        <v>79</v>
      </c>
      <c r="N81" s="5">
        <f>IFERROR(__xludf.DUMMYFUNCTION("""COMPUTED_VALUE"""),905.0)</f>
        <v>905</v>
      </c>
      <c r="O81" s="5">
        <f>IFERROR(__xludf.DUMMYFUNCTION("""COMPUTED_VALUE"""),4.3)</f>
        <v>4.3</v>
      </c>
      <c r="P81" s="5">
        <f>IFERROR(__xludf.DUMMYFUNCTION("""COMPUTED_VALUE"""),157.0)</f>
        <v>157</v>
      </c>
    </row>
    <row r="82">
      <c r="A82" s="19" t="str">
        <f>vlookup(B82,'Player Codes'!A:D,4,)</f>
        <v>0052</v>
      </c>
      <c r="B82" s="21" t="s">
        <v>166</v>
      </c>
      <c r="C82" s="5">
        <f>IFERROR(__xludf.DUMMYFUNCTION("""COMPUTED_VALUE"""),78.0)</f>
        <v>78</v>
      </c>
      <c r="D82" s="5" t="str">
        <f>IFERROR(__xludf.DUMMYFUNCTION("""COMPUTED_VALUE"""),"Brandon Aiyuk")</f>
        <v>Brandon Aiyuk</v>
      </c>
      <c r="E82" s="5" t="str">
        <f>IFERROR(__xludf.DUMMYFUNCTION("""COMPUTED_VALUE"""),"WR27")</f>
        <v>WR27</v>
      </c>
      <c r="F82" s="5" t="str">
        <f>IFERROR(__xludf.DUMMYFUNCTION("""COMPUTED_VALUE"""),"SF")</f>
        <v>SF</v>
      </c>
      <c r="G82" s="5">
        <f>IFERROR(__xludf.DUMMYFUNCTION("""COMPUTED_VALUE"""),9.0)</f>
        <v>9</v>
      </c>
      <c r="H82" s="5">
        <f>IFERROR(__xludf.DUMMYFUNCTION("""COMPUTED_VALUE"""),0.0)</f>
        <v>0</v>
      </c>
      <c r="I82" s="5">
        <f>IFERROR(__xludf.DUMMYFUNCTION("""COMPUTED_VALUE"""),0.0)</f>
        <v>0</v>
      </c>
      <c r="J82" s="5">
        <f>IFERROR(__xludf.DUMMYFUNCTION("""COMPUTED_VALUE"""),0.0)</f>
        <v>0</v>
      </c>
      <c r="K82" s="5">
        <f>IFERROR(__xludf.DUMMYFUNCTION("""COMPUTED_VALUE"""),16.0)</f>
        <v>16</v>
      </c>
      <c r="L82" s="5">
        <f>IFERROR(__xludf.DUMMYFUNCTION("""COMPUTED_VALUE"""),0.1)</f>
        <v>0.1</v>
      </c>
      <c r="M82" s="5">
        <f>IFERROR(__xludf.DUMMYFUNCTION("""COMPUTED_VALUE"""),64.0)</f>
        <v>64</v>
      </c>
      <c r="N82" s="5">
        <f>IFERROR(__xludf.DUMMYFUNCTION("""COMPUTED_VALUE"""),923.0)</f>
        <v>923</v>
      </c>
      <c r="O82" s="5">
        <f>IFERROR(__xludf.DUMMYFUNCTION("""COMPUTED_VALUE"""),5.1)</f>
        <v>5.1</v>
      </c>
      <c r="P82" s="5">
        <f>IFERROR(__xludf.DUMMYFUNCTION("""COMPUTED_VALUE"""),156.9)</f>
        <v>156.9</v>
      </c>
    </row>
    <row r="83">
      <c r="A83" s="19" t="str">
        <f>vlookup(B83,'Player Codes'!A:D,4,)</f>
        <v>0023</v>
      </c>
      <c r="B83" s="21" t="s">
        <v>279</v>
      </c>
      <c r="C83" s="5">
        <f>IFERROR(__xludf.DUMMYFUNCTION("""COMPUTED_VALUE"""),79.0)</f>
        <v>79</v>
      </c>
      <c r="D83" s="5" t="str">
        <f>IFERROR(__xludf.DUMMYFUNCTION("""COMPUTED_VALUE"""),"Miles Sanders")</f>
        <v>Miles Sanders</v>
      </c>
      <c r="E83" s="5" t="str">
        <f>IFERROR(__xludf.DUMMYFUNCTION("""COMPUTED_VALUE"""),"RB19")</f>
        <v>RB19</v>
      </c>
      <c r="F83" s="5" t="str">
        <f>IFERROR(__xludf.DUMMYFUNCTION("""COMPUTED_VALUE"""),"CAR")</f>
        <v>CAR</v>
      </c>
      <c r="G83" s="5">
        <f>IFERROR(__xludf.DUMMYFUNCTION("""COMPUTED_VALUE"""),7.0)</f>
        <v>7</v>
      </c>
      <c r="H83" s="5">
        <f>IFERROR(__xludf.DUMMYFUNCTION("""COMPUTED_VALUE"""),0.0)</f>
        <v>0</v>
      </c>
      <c r="I83" s="5">
        <f>IFERROR(__xludf.DUMMYFUNCTION("""COMPUTED_VALUE"""),0.0)</f>
        <v>0</v>
      </c>
      <c r="J83" s="5">
        <f>IFERROR(__xludf.DUMMYFUNCTION("""COMPUTED_VALUE"""),0.0)</f>
        <v>0</v>
      </c>
      <c r="K83" s="5">
        <f>IFERROR(__xludf.DUMMYFUNCTION("""COMPUTED_VALUE"""),971.0)</f>
        <v>971</v>
      </c>
      <c r="L83" s="5">
        <f>IFERROR(__xludf.DUMMYFUNCTION("""COMPUTED_VALUE"""),6.2)</f>
        <v>6.2</v>
      </c>
      <c r="M83" s="5">
        <f>IFERROR(__xludf.DUMMYFUNCTION("""COMPUTED_VALUE"""),16.0)</f>
        <v>16</v>
      </c>
      <c r="N83" s="5">
        <f>IFERROR(__xludf.DUMMYFUNCTION("""COMPUTED_VALUE"""),109.0)</f>
        <v>109</v>
      </c>
      <c r="O83" s="5">
        <f>IFERROR(__xludf.DUMMYFUNCTION("""COMPUTED_VALUE"""),0.4)</f>
        <v>0.4</v>
      </c>
      <c r="P83" s="5">
        <f>IFERROR(__xludf.DUMMYFUNCTION("""COMPUTED_VALUE"""),155.5)</f>
        <v>155.5</v>
      </c>
    </row>
    <row r="84">
      <c r="A84" s="19" t="str">
        <f>vlookup(B84,'Player Codes'!A:D,4,)</f>
        <v>0221</v>
      </c>
      <c r="B84" s="21" t="s">
        <v>83</v>
      </c>
      <c r="C84" s="5">
        <f>IFERROR(__xludf.DUMMYFUNCTION("""COMPUTED_VALUE"""),80.0)</f>
        <v>80</v>
      </c>
      <c r="D84" s="5" t="str">
        <f>IFERROR(__xludf.DUMMYFUNCTION("""COMPUTED_VALUE"""),"Tyler Lockett")</f>
        <v>Tyler Lockett</v>
      </c>
      <c r="E84" s="5" t="str">
        <f>IFERROR(__xludf.DUMMYFUNCTION("""COMPUTED_VALUE"""),"WR28")</f>
        <v>WR28</v>
      </c>
      <c r="F84" s="5" t="str">
        <f>IFERROR(__xludf.DUMMYFUNCTION("""COMPUTED_VALUE"""),"SEA")</f>
        <v>SEA</v>
      </c>
      <c r="G84" s="5">
        <f>IFERROR(__xludf.DUMMYFUNCTION("""COMPUTED_VALUE"""),5.0)</f>
        <v>5</v>
      </c>
      <c r="H84" s="5">
        <f>IFERROR(__xludf.DUMMYFUNCTION("""COMPUTED_VALUE"""),0.0)</f>
        <v>0</v>
      </c>
      <c r="I84" s="5">
        <f>IFERROR(__xludf.DUMMYFUNCTION("""COMPUTED_VALUE"""),0.0)</f>
        <v>0</v>
      </c>
      <c r="J84" s="5">
        <f>IFERROR(__xludf.DUMMYFUNCTION("""COMPUTED_VALUE"""),0.0)</f>
        <v>0</v>
      </c>
      <c r="K84" s="5">
        <f>IFERROR(__xludf.DUMMYFUNCTION("""COMPUTED_VALUE"""),4.0)</f>
        <v>4</v>
      </c>
      <c r="L84" s="5">
        <f>IFERROR(__xludf.DUMMYFUNCTION("""COMPUTED_VALUE"""),0.0)</f>
        <v>0</v>
      </c>
      <c r="M84" s="5">
        <f>IFERROR(__xludf.DUMMYFUNCTION("""COMPUTED_VALUE"""),63.0)</f>
        <v>63</v>
      </c>
      <c r="N84" s="5">
        <f>IFERROR(__xludf.DUMMYFUNCTION("""COMPUTED_VALUE"""),873.0)</f>
        <v>873</v>
      </c>
      <c r="O84" s="5">
        <f>IFERROR(__xludf.DUMMYFUNCTION("""COMPUTED_VALUE"""),5.8)</f>
        <v>5.8</v>
      </c>
      <c r="P84" s="5">
        <f>IFERROR(__xludf.DUMMYFUNCTION("""COMPUTED_VALUE"""),154.1)</f>
        <v>154.1</v>
      </c>
    </row>
    <row r="85">
      <c r="A85" s="19" t="str">
        <f>vlookup(B85,'Player Codes'!A:D,4,)</f>
        <v>0289</v>
      </c>
      <c r="B85" s="21" t="s">
        <v>179</v>
      </c>
      <c r="C85" s="5">
        <f>IFERROR(__xludf.DUMMYFUNCTION("""COMPUTED_VALUE"""),81.0)</f>
        <v>81</v>
      </c>
      <c r="D85" s="5" t="str">
        <f>IFERROR(__xludf.DUMMYFUNCTION("""COMPUTED_VALUE"""),"Michael Pittman Jr.")</f>
        <v>Michael Pittman Jr.</v>
      </c>
      <c r="E85" s="5" t="str">
        <f>IFERROR(__xludf.DUMMYFUNCTION("""COMPUTED_VALUE"""),"WR29")</f>
        <v>WR29</v>
      </c>
      <c r="F85" s="5" t="str">
        <f>IFERROR(__xludf.DUMMYFUNCTION("""COMPUTED_VALUE"""),"IND")</f>
        <v>IND</v>
      </c>
      <c r="G85" s="5">
        <f>IFERROR(__xludf.DUMMYFUNCTION("""COMPUTED_VALUE"""),11.0)</f>
        <v>11</v>
      </c>
      <c r="H85" s="5">
        <f>IFERROR(__xludf.DUMMYFUNCTION("""COMPUTED_VALUE"""),0.0)</f>
        <v>0</v>
      </c>
      <c r="I85" s="5">
        <f>IFERROR(__xludf.DUMMYFUNCTION("""COMPUTED_VALUE"""),0.0)</f>
        <v>0</v>
      </c>
      <c r="J85" s="5">
        <f>IFERROR(__xludf.DUMMYFUNCTION("""COMPUTED_VALUE"""),0.0)</f>
        <v>0</v>
      </c>
      <c r="K85" s="5">
        <f>IFERROR(__xludf.DUMMYFUNCTION("""COMPUTED_VALUE"""),8.0)</f>
        <v>8</v>
      </c>
      <c r="L85" s="5">
        <f>IFERROR(__xludf.DUMMYFUNCTION("""COMPUTED_VALUE"""),0.0)</f>
        <v>0</v>
      </c>
      <c r="M85" s="5">
        <f>IFERROR(__xludf.DUMMYFUNCTION("""COMPUTED_VALUE"""),64.0)</f>
        <v>64</v>
      </c>
      <c r="N85" s="5">
        <f>IFERROR(__xludf.DUMMYFUNCTION("""COMPUTED_VALUE"""),887.0)</f>
        <v>887</v>
      </c>
      <c r="O85" s="5">
        <f>IFERROR(__xludf.DUMMYFUNCTION("""COMPUTED_VALUE"""),5.2)</f>
        <v>5.2</v>
      </c>
      <c r="P85" s="5">
        <f>IFERROR(__xludf.DUMMYFUNCTION("""COMPUTED_VALUE"""),152.5)</f>
        <v>152.5</v>
      </c>
    </row>
    <row r="86">
      <c r="A86" s="19" t="str">
        <f>vlookup(B86,'Player Codes'!A:D,4,)</f>
        <v>0215</v>
      </c>
      <c r="B86" s="21" t="s">
        <v>285</v>
      </c>
      <c r="C86" s="5">
        <f>IFERROR(__xludf.DUMMYFUNCTION("""COMPUTED_VALUE"""),82.0)</f>
        <v>82</v>
      </c>
      <c r="D86" s="5" t="str">
        <f>IFERROR(__xludf.DUMMYFUNCTION("""COMPUTED_VALUE"""),"Mike Evans")</f>
        <v>Mike Evans</v>
      </c>
      <c r="E86" s="5" t="str">
        <f>IFERROR(__xludf.DUMMYFUNCTION("""COMPUTED_VALUE"""),"WR30")</f>
        <v>WR30</v>
      </c>
      <c r="F86" s="5" t="str">
        <f>IFERROR(__xludf.DUMMYFUNCTION("""COMPUTED_VALUE"""),"TB")</f>
        <v>TB</v>
      </c>
      <c r="G86" s="5">
        <f>IFERROR(__xludf.DUMMYFUNCTION("""COMPUTED_VALUE"""),5.0)</f>
        <v>5</v>
      </c>
      <c r="H86" s="5">
        <f>IFERROR(__xludf.DUMMYFUNCTION("""COMPUTED_VALUE"""),0.0)</f>
        <v>0</v>
      </c>
      <c r="I86" s="5">
        <f>IFERROR(__xludf.DUMMYFUNCTION("""COMPUTED_VALUE"""),0.0)</f>
        <v>0</v>
      </c>
      <c r="J86" s="5">
        <f>IFERROR(__xludf.DUMMYFUNCTION("""COMPUTED_VALUE"""),0.0)</f>
        <v>0</v>
      </c>
      <c r="K86" s="5">
        <f>IFERROR(__xludf.DUMMYFUNCTION("""COMPUTED_VALUE"""),0.0)</f>
        <v>0</v>
      </c>
      <c r="L86" s="5">
        <f>IFERROR(__xludf.DUMMYFUNCTION("""COMPUTED_VALUE"""),0.0)</f>
        <v>0</v>
      </c>
      <c r="M86" s="5">
        <f>IFERROR(__xludf.DUMMYFUNCTION("""COMPUTED_VALUE"""),66.0)</f>
        <v>66</v>
      </c>
      <c r="N86" s="5">
        <f>IFERROR(__xludf.DUMMYFUNCTION("""COMPUTED_VALUE"""),882.0)</f>
        <v>882</v>
      </c>
      <c r="O86" s="5">
        <f>IFERROR(__xludf.DUMMYFUNCTION("""COMPUTED_VALUE"""),5.2)</f>
        <v>5.2</v>
      </c>
      <c r="P86" s="5">
        <f>IFERROR(__xludf.DUMMYFUNCTION("""COMPUTED_VALUE"""),152.2)</f>
        <v>152.2</v>
      </c>
    </row>
    <row r="87">
      <c r="A87" s="19" t="str">
        <f>vlookup(B87,'Player Codes'!A:D,4,)</f>
        <v>0218</v>
      </c>
      <c r="B87" s="21" t="s">
        <v>185</v>
      </c>
      <c r="C87" s="5">
        <f>IFERROR(__xludf.DUMMYFUNCTION("""COMPUTED_VALUE"""),83.0)</f>
        <v>83</v>
      </c>
      <c r="D87" s="5" t="str">
        <f>IFERROR(__xludf.DUMMYFUNCTION("""COMPUTED_VALUE"""),"Christian Kirk")</f>
        <v>Christian Kirk</v>
      </c>
      <c r="E87" s="5" t="str">
        <f>IFERROR(__xludf.DUMMYFUNCTION("""COMPUTED_VALUE"""),"WR31")</f>
        <v>WR31</v>
      </c>
      <c r="F87" s="5" t="str">
        <f>IFERROR(__xludf.DUMMYFUNCTION("""COMPUTED_VALUE"""),"JAC")</f>
        <v>JAC</v>
      </c>
      <c r="G87" s="5">
        <f>IFERROR(__xludf.DUMMYFUNCTION("""COMPUTED_VALUE"""),9.0)</f>
        <v>9</v>
      </c>
      <c r="H87" s="5">
        <f>IFERROR(__xludf.DUMMYFUNCTION("""COMPUTED_VALUE"""),0.0)</f>
        <v>0</v>
      </c>
      <c r="I87" s="5">
        <f>IFERROR(__xludf.DUMMYFUNCTION("""COMPUTED_VALUE"""),0.0)</f>
        <v>0</v>
      </c>
      <c r="J87" s="5">
        <f>IFERROR(__xludf.DUMMYFUNCTION("""COMPUTED_VALUE"""),0.0)</f>
        <v>0</v>
      </c>
      <c r="K87" s="5">
        <f>IFERROR(__xludf.DUMMYFUNCTION("""COMPUTED_VALUE"""),24.0)</f>
        <v>24</v>
      </c>
      <c r="L87" s="5">
        <f>IFERROR(__xludf.DUMMYFUNCTION("""COMPUTED_VALUE"""),0.2)</f>
        <v>0.2</v>
      </c>
      <c r="M87" s="5">
        <f>IFERROR(__xludf.DUMMYFUNCTION("""COMPUTED_VALUE"""),71.0)</f>
        <v>71</v>
      </c>
      <c r="N87" s="5">
        <f>IFERROR(__xludf.DUMMYFUNCTION("""COMPUTED_VALUE"""),805.0)</f>
        <v>805</v>
      </c>
      <c r="O87" s="5">
        <f>IFERROR(__xludf.DUMMYFUNCTION("""COMPUTED_VALUE"""),5.4)</f>
        <v>5.4</v>
      </c>
      <c r="P87" s="5">
        <f>IFERROR(__xludf.DUMMYFUNCTION("""COMPUTED_VALUE"""),152.0)</f>
        <v>152</v>
      </c>
    </row>
    <row r="88">
      <c r="A88" s="19" t="str">
        <f>vlookup(B88,'Player Codes'!A:D,4,)</f>
        <v>0054</v>
      </c>
      <c r="B88" s="21" t="s">
        <v>243</v>
      </c>
      <c r="C88" s="5">
        <f>IFERROR(__xludf.DUMMYFUNCTION("""COMPUTED_VALUE"""),84.0)</f>
        <v>84</v>
      </c>
      <c r="D88" s="5" t="str">
        <f>IFERROR(__xludf.DUMMYFUNCTION("""COMPUTED_VALUE"""),"George Pickens")</f>
        <v>George Pickens</v>
      </c>
      <c r="E88" s="5" t="str">
        <f>IFERROR(__xludf.DUMMYFUNCTION("""COMPUTED_VALUE"""),"WR32")</f>
        <v>WR32</v>
      </c>
      <c r="F88" s="5" t="str">
        <f>IFERROR(__xludf.DUMMYFUNCTION("""COMPUTED_VALUE"""),"PIT")</f>
        <v>PIT</v>
      </c>
      <c r="G88" s="5">
        <f>IFERROR(__xludf.DUMMYFUNCTION("""COMPUTED_VALUE"""),6.0)</f>
        <v>6</v>
      </c>
      <c r="H88" s="5">
        <f>IFERROR(__xludf.DUMMYFUNCTION("""COMPUTED_VALUE"""),0.0)</f>
        <v>0</v>
      </c>
      <c r="I88" s="5">
        <f>IFERROR(__xludf.DUMMYFUNCTION("""COMPUTED_VALUE"""),0.0)</f>
        <v>0</v>
      </c>
      <c r="J88" s="5">
        <f>IFERROR(__xludf.DUMMYFUNCTION("""COMPUTED_VALUE"""),0.0)</f>
        <v>0</v>
      </c>
      <c r="K88" s="5">
        <f>IFERROR(__xludf.DUMMYFUNCTION("""COMPUTED_VALUE"""),30.0)</f>
        <v>30</v>
      </c>
      <c r="L88" s="5">
        <f>IFERROR(__xludf.DUMMYFUNCTION("""COMPUTED_VALUE"""),0.2)</f>
        <v>0.2</v>
      </c>
      <c r="M88" s="5">
        <f>IFERROR(__xludf.DUMMYFUNCTION("""COMPUTED_VALUE"""),64.0)</f>
        <v>64</v>
      </c>
      <c r="N88" s="5">
        <f>IFERROR(__xludf.DUMMYFUNCTION("""COMPUTED_VALUE"""),891.0)</f>
        <v>891</v>
      </c>
      <c r="O88" s="5">
        <f>IFERROR(__xludf.DUMMYFUNCTION("""COMPUTED_VALUE"""),4.4)</f>
        <v>4.4</v>
      </c>
      <c r="P88" s="5">
        <f>IFERROR(__xludf.DUMMYFUNCTION("""COMPUTED_VALUE"""),151.6)</f>
        <v>151.6</v>
      </c>
    </row>
    <row r="89">
      <c r="A89" s="19" t="str">
        <f>vlookup(B89,'Player Codes'!A:D,4,)</f>
        <v>0114</v>
      </c>
      <c r="B89" s="21" t="s">
        <v>292</v>
      </c>
      <c r="C89" s="5">
        <f>IFERROR(__xludf.DUMMYFUNCTION("""COMPUTED_VALUE"""),85.0)</f>
        <v>85</v>
      </c>
      <c r="D89" s="5" t="str">
        <f>IFERROR(__xludf.DUMMYFUNCTION("""COMPUTED_VALUE"""),"Jerry Jeudy")</f>
        <v>Jerry Jeudy</v>
      </c>
      <c r="E89" s="5" t="str">
        <f>IFERROR(__xludf.DUMMYFUNCTION("""COMPUTED_VALUE"""),"WR33")</f>
        <v>WR33</v>
      </c>
      <c r="F89" s="5" t="str">
        <f>IFERROR(__xludf.DUMMYFUNCTION("""COMPUTED_VALUE"""),"DEN")</f>
        <v>DEN</v>
      </c>
      <c r="G89" s="5">
        <f>IFERROR(__xludf.DUMMYFUNCTION("""COMPUTED_VALUE"""),9.0)</f>
        <v>9</v>
      </c>
      <c r="H89" s="5">
        <f>IFERROR(__xludf.DUMMYFUNCTION("""COMPUTED_VALUE"""),0.0)</f>
        <v>0</v>
      </c>
      <c r="I89" s="5">
        <f>IFERROR(__xludf.DUMMYFUNCTION("""COMPUTED_VALUE"""),0.0)</f>
        <v>0</v>
      </c>
      <c r="J89" s="5">
        <f>IFERROR(__xludf.DUMMYFUNCTION("""COMPUTED_VALUE"""),0.0)</f>
        <v>0</v>
      </c>
      <c r="K89" s="5">
        <f>IFERROR(__xludf.DUMMYFUNCTION("""COMPUTED_VALUE"""),6.0)</f>
        <v>6</v>
      </c>
      <c r="L89" s="5">
        <f>IFERROR(__xludf.DUMMYFUNCTION("""COMPUTED_VALUE"""),0.0)</f>
        <v>0</v>
      </c>
      <c r="M89" s="5">
        <f>IFERROR(__xludf.DUMMYFUNCTION("""COMPUTED_VALUE"""),66.0)</f>
        <v>66</v>
      </c>
      <c r="N89" s="5">
        <f>IFERROR(__xludf.DUMMYFUNCTION("""COMPUTED_VALUE"""),890.0)</f>
        <v>890</v>
      </c>
      <c r="O89" s="5">
        <f>IFERROR(__xludf.DUMMYFUNCTION("""COMPUTED_VALUE"""),4.8)</f>
        <v>4.8</v>
      </c>
      <c r="P89" s="5">
        <f>IFERROR(__xludf.DUMMYFUNCTION("""COMPUTED_VALUE"""),151.5)</f>
        <v>151.5</v>
      </c>
    </row>
    <row r="90">
      <c r="A90" s="19" t="str">
        <f>vlookup(B90,'Player Codes'!A:D,4,)</f>
        <v>0157</v>
      </c>
      <c r="B90" s="21" t="s">
        <v>246</v>
      </c>
      <c r="C90" s="5">
        <f>IFERROR(__xludf.DUMMYFUNCTION("""COMPUTED_VALUE"""),86.0)</f>
        <v>86</v>
      </c>
      <c r="D90" s="5" t="str">
        <f>IFERROR(__xludf.DUMMYFUNCTION("""COMPUTED_VALUE"""),"Isiah Pacheco")</f>
        <v>Isiah Pacheco</v>
      </c>
      <c r="E90" s="5" t="str">
        <f>IFERROR(__xludf.DUMMYFUNCTION("""COMPUTED_VALUE"""),"RB20")</f>
        <v>RB20</v>
      </c>
      <c r="F90" s="5" t="str">
        <f>IFERROR(__xludf.DUMMYFUNCTION("""COMPUTED_VALUE"""),"KC")</f>
        <v>KC</v>
      </c>
      <c r="G90" s="5">
        <f>IFERROR(__xludf.DUMMYFUNCTION("""COMPUTED_VALUE"""),10.0)</f>
        <v>10</v>
      </c>
      <c r="H90" s="5">
        <f>IFERROR(__xludf.DUMMYFUNCTION("""COMPUTED_VALUE"""),0.0)</f>
        <v>0</v>
      </c>
      <c r="I90" s="5">
        <f>IFERROR(__xludf.DUMMYFUNCTION("""COMPUTED_VALUE"""),0.0)</f>
        <v>0</v>
      </c>
      <c r="J90" s="5">
        <f>IFERROR(__xludf.DUMMYFUNCTION("""COMPUTED_VALUE"""),0.0)</f>
        <v>0</v>
      </c>
      <c r="K90" s="5">
        <f>IFERROR(__xludf.DUMMYFUNCTION("""COMPUTED_VALUE"""),795.0)</f>
        <v>795</v>
      </c>
      <c r="L90" s="5">
        <f>IFERROR(__xludf.DUMMYFUNCTION("""COMPUTED_VALUE"""),5.7)</f>
        <v>5.7</v>
      </c>
      <c r="M90" s="5">
        <f>IFERROR(__xludf.DUMMYFUNCTION("""COMPUTED_VALUE"""),22.0)</f>
        <v>22</v>
      </c>
      <c r="N90" s="5">
        <f>IFERROR(__xludf.DUMMYFUNCTION("""COMPUTED_VALUE"""),177.0)</f>
        <v>177</v>
      </c>
      <c r="O90" s="5">
        <f>IFERROR(__xludf.DUMMYFUNCTION("""COMPUTED_VALUE"""),1.5)</f>
        <v>1.5</v>
      </c>
      <c r="P90" s="5">
        <f>IFERROR(__xludf.DUMMYFUNCTION("""COMPUTED_VALUE"""),151.1)</f>
        <v>151.1</v>
      </c>
    </row>
    <row r="91">
      <c r="A91" s="19" t="str">
        <f>vlookup(B91,'Player Codes'!A:D,4,)</f>
        <v>0110</v>
      </c>
      <c r="B91" s="21" t="s">
        <v>300</v>
      </c>
      <c r="C91" s="5">
        <f>IFERROR(__xludf.DUMMYFUNCTION("""COMPUTED_VALUE"""),87.0)</f>
        <v>87</v>
      </c>
      <c r="D91" s="5" t="str">
        <f>IFERROR(__xludf.DUMMYFUNCTION("""COMPUTED_VALUE"""),"Gabe Davis")</f>
        <v>Gabe Davis</v>
      </c>
      <c r="E91" s="5" t="str">
        <f>IFERROR(__xludf.DUMMYFUNCTION("""COMPUTED_VALUE"""),"WR34")</f>
        <v>WR34</v>
      </c>
      <c r="F91" s="5" t="str">
        <f>IFERROR(__xludf.DUMMYFUNCTION("""COMPUTED_VALUE"""),"BUF")</f>
        <v>BUF</v>
      </c>
      <c r="G91" s="5">
        <f>IFERROR(__xludf.DUMMYFUNCTION("""COMPUTED_VALUE"""),13.0)</f>
        <v>13</v>
      </c>
      <c r="H91" s="5">
        <f>IFERROR(__xludf.DUMMYFUNCTION("""COMPUTED_VALUE"""),0.0)</f>
        <v>0</v>
      </c>
      <c r="I91" s="5">
        <f>IFERROR(__xludf.DUMMYFUNCTION("""COMPUTED_VALUE"""),0.0)</f>
        <v>0</v>
      </c>
      <c r="J91" s="5">
        <f>IFERROR(__xludf.DUMMYFUNCTION("""COMPUTED_VALUE"""),0.0)</f>
        <v>0</v>
      </c>
      <c r="K91" s="5">
        <f>IFERROR(__xludf.DUMMYFUNCTION("""COMPUTED_VALUE"""),17.0)</f>
        <v>17</v>
      </c>
      <c r="L91" s="5">
        <f>IFERROR(__xludf.DUMMYFUNCTION("""COMPUTED_VALUE"""),0.1)</f>
        <v>0.1</v>
      </c>
      <c r="M91" s="5">
        <f>IFERROR(__xludf.DUMMYFUNCTION("""COMPUTED_VALUE"""),60.0)</f>
        <v>60</v>
      </c>
      <c r="N91" s="5">
        <f>IFERROR(__xludf.DUMMYFUNCTION("""COMPUTED_VALUE"""),803.0)</f>
        <v>803</v>
      </c>
      <c r="O91" s="5">
        <f>IFERROR(__xludf.DUMMYFUNCTION("""COMPUTED_VALUE"""),6.2)</f>
        <v>6.2</v>
      </c>
      <c r="P91" s="5">
        <f>IFERROR(__xludf.DUMMYFUNCTION("""COMPUTED_VALUE"""),149.5)</f>
        <v>149.5</v>
      </c>
    </row>
    <row r="92">
      <c r="A92" s="19" t="str">
        <f>vlookup(B92,'Player Codes'!A:D,4,)</f>
        <v>0098</v>
      </c>
      <c r="B92" s="21" t="s">
        <v>257</v>
      </c>
      <c r="C92" s="5">
        <f>IFERROR(__xludf.DUMMYFUNCTION("""COMPUTED_VALUE"""),88.0)</f>
        <v>88</v>
      </c>
      <c r="D92" s="5" t="str">
        <f>IFERROR(__xludf.DUMMYFUNCTION("""COMPUTED_VALUE"""),"Diontae Johnson")</f>
        <v>Diontae Johnson</v>
      </c>
      <c r="E92" s="5" t="str">
        <f>IFERROR(__xludf.DUMMYFUNCTION("""COMPUTED_VALUE"""),"WR35")</f>
        <v>WR35</v>
      </c>
      <c r="F92" s="5" t="str">
        <f>IFERROR(__xludf.DUMMYFUNCTION("""COMPUTED_VALUE"""),"PIT")</f>
        <v>PIT</v>
      </c>
      <c r="G92" s="5">
        <f>IFERROR(__xludf.DUMMYFUNCTION("""COMPUTED_VALUE"""),6.0)</f>
        <v>6</v>
      </c>
      <c r="H92" s="5">
        <f>IFERROR(__xludf.DUMMYFUNCTION("""COMPUTED_VALUE"""),0.0)</f>
        <v>0</v>
      </c>
      <c r="I92" s="5">
        <f>IFERROR(__xludf.DUMMYFUNCTION("""COMPUTED_VALUE"""),0.0)</f>
        <v>0</v>
      </c>
      <c r="J92" s="5">
        <f>IFERROR(__xludf.DUMMYFUNCTION("""COMPUTED_VALUE"""),0.0)</f>
        <v>0</v>
      </c>
      <c r="K92" s="5">
        <f>IFERROR(__xludf.DUMMYFUNCTION("""COMPUTED_VALUE"""),26.0)</f>
        <v>26</v>
      </c>
      <c r="L92" s="5">
        <f>IFERROR(__xludf.DUMMYFUNCTION("""COMPUTED_VALUE"""),0.2)</f>
        <v>0.2</v>
      </c>
      <c r="M92" s="5">
        <f>IFERROR(__xludf.DUMMYFUNCTION("""COMPUTED_VALUE"""),81.0)</f>
        <v>81</v>
      </c>
      <c r="N92" s="5">
        <f>IFERROR(__xludf.DUMMYFUNCTION("""COMPUTED_VALUE"""),835.0)</f>
        <v>835</v>
      </c>
      <c r="O92" s="5">
        <f>IFERROR(__xludf.DUMMYFUNCTION("""COMPUTED_VALUE"""),3.6)</f>
        <v>3.6</v>
      </c>
      <c r="P92" s="5">
        <f>IFERROR(__xludf.DUMMYFUNCTION("""COMPUTED_VALUE"""),149.4)</f>
        <v>149.4</v>
      </c>
    </row>
    <row r="93">
      <c r="A93" s="19" t="str">
        <f>vlookup(B93,'Player Codes'!A:D,4,)</f>
        <v>0130</v>
      </c>
      <c r="B93" s="21" t="s">
        <v>142</v>
      </c>
      <c r="C93" s="5">
        <f>IFERROR(__xludf.DUMMYFUNCTION("""COMPUTED_VALUE"""),89.0)</f>
        <v>89</v>
      </c>
      <c r="D93" s="5" t="str">
        <f>IFERROR(__xludf.DUMMYFUNCTION("""COMPUTED_VALUE"""),"J.K. Dobbins")</f>
        <v>J.K. Dobbins</v>
      </c>
      <c r="E93" s="5" t="str">
        <f>IFERROR(__xludf.DUMMYFUNCTION("""COMPUTED_VALUE"""),"RB21")</f>
        <v>RB21</v>
      </c>
      <c r="F93" s="5" t="str">
        <f>IFERROR(__xludf.DUMMYFUNCTION("""COMPUTED_VALUE"""),"BAL")</f>
        <v>BAL</v>
      </c>
      <c r="G93" s="5">
        <f>IFERROR(__xludf.DUMMYFUNCTION("""COMPUTED_VALUE"""),13.0)</f>
        <v>13</v>
      </c>
      <c r="H93" s="5">
        <f>IFERROR(__xludf.DUMMYFUNCTION("""COMPUTED_VALUE"""),0.0)</f>
        <v>0</v>
      </c>
      <c r="I93" s="5">
        <f>IFERROR(__xludf.DUMMYFUNCTION("""COMPUTED_VALUE"""),0.0)</f>
        <v>0</v>
      </c>
      <c r="J93" s="5">
        <f>IFERROR(__xludf.DUMMYFUNCTION("""COMPUTED_VALUE"""),0.0)</f>
        <v>0</v>
      </c>
      <c r="K93" s="5">
        <f>IFERROR(__xludf.DUMMYFUNCTION("""COMPUTED_VALUE"""),933.0)</f>
        <v>933</v>
      </c>
      <c r="L93" s="5">
        <f>IFERROR(__xludf.DUMMYFUNCTION("""COMPUTED_VALUE"""),5.7)</f>
        <v>5.7</v>
      </c>
      <c r="M93" s="5">
        <f>IFERROR(__xludf.DUMMYFUNCTION("""COMPUTED_VALUE"""),13.0)</f>
        <v>13</v>
      </c>
      <c r="N93" s="5">
        <f>IFERROR(__xludf.DUMMYFUNCTION("""COMPUTED_VALUE"""),90.0)</f>
        <v>90</v>
      </c>
      <c r="O93" s="5">
        <f>IFERROR(__xludf.DUMMYFUNCTION("""COMPUTED_VALUE"""),0.8)</f>
        <v>0.8</v>
      </c>
      <c r="P93" s="5">
        <f>IFERROR(__xludf.DUMMYFUNCTION("""COMPUTED_VALUE"""),148.1)</f>
        <v>148.1</v>
      </c>
    </row>
    <row r="94">
      <c r="A94" s="19" t="str">
        <f>vlookup(B94,'Player Codes'!A:D,4,)</f>
        <v>0131</v>
      </c>
      <c r="B94" s="21" t="s">
        <v>217</v>
      </c>
      <c r="C94" s="5">
        <f>IFERROR(__xludf.DUMMYFUNCTION("""COMPUTED_VALUE"""),90.0)</f>
        <v>90</v>
      </c>
      <c r="D94" s="5" t="str">
        <f>IFERROR(__xludf.DUMMYFUNCTION("""COMPUTED_VALUE"""),"Baker Mayfield")</f>
        <v>Baker Mayfield</v>
      </c>
      <c r="E94" s="5" t="str">
        <f>IFERROR(__xludf.DUMMYFUNCTION("""COMPUTED_VALUE"""),"QB32")</f>
        <v>QB32</v>
      </c>
      <c r="F94" s="5" t="str">
        <f>IFERROR(__xludf.DUMMYFUNCTION("""COMPUTED_VALUE"""),"TB")</f>
        <v>TB</v>
      </c>
      <c r="G94" s="5">
        <f>IFERROR(__xludf.DUMMYFUNCTION("""COMPUTED_VALUE"""),5.0)</f>
        <v>5</v>
      </c>
      <c r="H94" s="5">
        <f>IFERROR(__xludf.DUMMYFUNCTION("""COMPUTED_VALUE"""),2524.0)</f>
        <v>2524</v>
      </c>
      <c r="I94" s="5">
        <f>IFERROR(__xludf.DUMMYFUNCTION("""COMPUTED_VALUE"""),12.8)</f>
        <v>12.8</v>
      </c>
      <c r="J94" s="5">
        <f>IFERROR(__xludf.DUMMYFUNCTION("""COMPUTED_VALUE"""),10.7)</f>
        <v>10.7</v>
      </c>
      <c r="K94" s="5">
        <f>IFERROR(__xludf.DUMMYFUNCTION("""COMPUTED_VALUE"""),106.0)</f>
        <v>106</v>
      </c>
      <c r="L94" s="5">
        <f>IFERROR(__xludf.DUMMYFUNCTION("""COMPUTED_VALUE"""),1.1)</f>
        <v>1.1</v>
      </c>
      <c r="M94" s="5">
        <f>IFERROR(__xludf.DUMMYFUNCTION("""COMPUTED_VALUE"""),0.0)</f>
        <v>0</v>
      </c>
      <c r="N94" s="5">
        <f>IFERROR(__xludf.DUMMYFUNCTION("""COMPUTED_VALUE"""),0.0)</f>
        <v>0</v>
      </c>
      <c r="O94" s="5">
        <f>IFERROR(__xludf.DUMMYFUNCTION("""COMPUTED_VALUE"""),0.0)</f>
        <v>0</v>
      </c>
      <c r="P94" s="5">
        <f>IFERROR(__xludf.DUMMYFUNCTION("""COMPUTED_VALUE"""),148.0)</f>
        <v>148</v>
      </c>
    </row>
    <row r="95">
      <c r="A95" s="19" t="str">
        <f>vlookup(B95,'Player Codes'!A:D,4,)</f>
        <v>0019</v>
      </c>
      <c r="B95" s="21" t="s">
        <v>564</v>
      </c>
      <c r="C95" s="5">
        <f>IFERROR(__xludf.DUMMYFUNCTION("""COMPUTED_VALUE"""),91.0)</f>
        <v>91</v>
      </c>
      <c r="D95" s="5" t="str">
        <f>IFERROR(__xludf.DUMMYFUNCTION("""COMPUTED_VALUE"""),"James Conner")</f>
        <v>James Conner</v>
      </c>
      <c r="E95" s="5" t="str">
        <f>IFERROR(__xludf.DUMMYFUNCTION("""COMPUTED_VALUE"""),"RB22")</f>
        <v>RB22</v>
      </c>
      <c r="F95" s="5" t="str">
        <f>IFERROR(__xludf.DUMMYFUNCTION("""COMPUTED_VALUE"""),"ARI")</f>
        <v>ARI</v>
      </c>
      <c r="G95" s="5">
        <f>IFERROR(__xludf.DUMMYFUNCTION("""COMPUTED_VALUE"""),14.0)</f>
        <v>14</v>
      </c>
      <c r="H95" s="5">
        <f>IFERROR(__xludf.DUMMYFUNCTION("""COMPUTED_VALUE"""),0.0)</f>
        <v>0</v>
      </c>
      <c r="I95" s="5">
        <f>IFERROR(__xludf.DUMMYFUNCTION("""COMPUTED_VALUE"""),0.0)</f>
        <v>0</v>
      </c>
      <c r="J95" s="5">
        <f>IFERROR(__xludf.DUMMYFUNCTION("""COMPUTED_VALUE"""),0.0)</f>
        <v>0</v>
      </c>
      <c r="K95" s="5">
        <f>IFERROR(__xludf.DUMMYFUNCTION("""COMPUTED_VALUE"""),699.0)</f>
        <v>699</v>
      </c>
      <c r="L95" s="5">
        <f>IFERROR(__xludf.DUMMYFUNCTION("""COMPUTED_VALUE"""),5.6)</f>
        <v>5.6</v>
      </c>
      <c r="M95" s="5">
        <f>IFERROR(__xludf.DUMMYFUNCTION("""COMPUTED_VALUE"""),33.0)</f>
        <v>33</v>
      </c>
      <c r="N95" s="5">
        <f>IFERROR(__xludf.DUMMYFUNCTION("""COMPUTED_VALUE"""),235.0)</f>
        <v>235</v>
      </c>
      <c r="O95" s="5">
        <f>IFERROR(__xludf.DUMMYFUNCTION("""COMPUTED_VALUE"""),0.7)</f>
        <v>0.7</v>
      </c>
      <c r="P95" s="5">
        <f>IFERROR(__xludf.DUMMYFUNCTION("""COMPUTED_VALUE"""),147.5)</f>
        <v>147.5</v>
      </c>
    </row>
    <row r="96">
      <c r="A96" s="19" t="str">
        <f>vlookup(B96,'Player Codes'!A:D,4,)</f>
        <v>0143</v>
      </c>
      <c r="B96" s="21" t="s">
        <v>98</v>
      </c>
      <c r="C96" s="5">
        <f>IFERROR(__xludf.DUMMYFUNCTION("""COMPUTED_VALUE"""),92.0)</f>
        <v>92</v>
      </c>
      <c r="D96" s="5" t="str">
        <f>IFERROR(__xludf.DUMMYFUNCTION("""COMPUTED_VALUE"""),"Marquise Brown")</f>
        <v>Marquise Brown</v>
      </c>
      <c r="E96" s="5" t="str">
        <f>IFERROR(__xludf.DUMMYFUNCTION("""COMPUTED_VALUE"""),"WR36")</f>
        <v>WR36</v>
      </c>
      <c r="F96" s="5" t="str">
        <f>IFERROR(__xludf.DUMMYFUNCTION("""COMPUTED_VALUE"""),"ARI")</f>
        <v>ARI</v>
      </c>
      <c r="G96" s="5">
        <f>IFERROR(__xludf.DUMMYFUNCTION("""COMPUTED_VALUE"""),14.0)</f>
        <v>14</v>
      </c>
      <c r="H96" s="5">
        <f>IFERROR(__xludf.DUMMYFUNCTION("""COMPUTED_VALUE"""),0.0)</f>
        <v>0</v>
      </c>
      <c r="I96" s="5">
        <f>IFERROR(__xludf.DUMMYFUNCTION("""COMPUTED_VALUE"""),0.0)</f>
        <v>0</v>
      </c>
      <c r="J96" s="5">
        <f>IFERROR(__xludf.DUMMYFUNCTION("""COMPUTED_VALUE"""),0.0)</f>
        <v>0</v>
      </c>
      <c r="K96" s="5">
        <f>IFERROR(__xludf.DUMMYFUNCTION("""COMPUTED_VALUE"""),0.0)</f>
        <v>0</v>
      </c>
      <c r="L96" s="5">
        <f>IFERROR(__xludf.DUMMYFUNCTION("""COMPUTED_VALUE"""),0.0)</f>
        <v>0</v>
      </c>
      <c r="M96" s="5">
        <f>IFERROR(__xludf.DUMMYFUNCTION("""COMPUTED_VALUE"""),71.0)</f>
        <v>71</v>
      </c>
      <c r="N96" s="5">
        <f>IFERROR(__xludf.DUMMYFUNCTION("""COMPUTED_VALUE"""),857.0)</f>
        <v>857</v>
      </c>
      <c r="O96" s="5">
        <f>IFERROR(__xludf.DUMMYFUNCTION("""COMPUTED_VALUE"""),4.3)</f>
        <v>4.3</v>
      </c>
      <c r="P96" s="5">
        <f>IFERROR(__xludf.DUMMYFUNCTION("""COMPUTED_VALUE"""),147.0)</f>
        <v>147</v>
      </c>
    </row>
    <row r="97">
      <c r="A97" s="19" t="str">
        <f>vlookup(B97,'Player Codes'!A:D,4,)</f>
        <v>0204</v>
      </c>
      <c r="B97" s="21" t="s">
        <v>214</v>
      </c>
      <c r="C97" s="5">
        <f>IFERROR(__xludf.DUMMYFUNCTION("""COMPUTED_VALUE"""),93.0)</f>
        <v>93</v>
      </c>
      <c r="D97" s="5" t="str">
        <f>IFERROR(__xludf.DUMMYFUNCTION("""COMPUTED_VALUE"""),"Justin Tucker")</f>
        <v>Justin Tucker</v>
      </c>
      <c r="E97" s="5" t="str">
        <f>IFERROR(__xludf.DUMMYFUNCTION("""COMPUTED_VALUE"""),"K1")</f>
        <v>K1</v>
      </c>
      <c r="F97" s="5" t="str">
        <f>IFERROR(__xludf.DUMMYFUNCTION("""COMPUTED_VALUE"""),"BAL")</f>
        <v>BAL</v>
      </c>
      <c r="G97" s="5">
        <f>IFERROR(__xludf.DUMMYFUNCTION("""COMPUTED_VALUE"""),13.0)</f>
        <v>13</v>
      </c>
      <c r="H97" s="5" t="str">
        <f>IFERROR(__xludf.DUMMYFUNCTION("""COMPUTED_VALUE"""),"--")</f>
        <v>--</v>
      </c>
      <c r="I97" s="5" t="str">
        <f>IFERROR(__xludf.DUMMYFUNCTION("""COMPUTED_VALUE"""),"--")</f>
        <v>--</v>
      </c>
      <c r="J97" s="5" t="str">
        <f>IFERROR(__xludf.DUMMYFUNCTION("""COMPUTED_VALUE"""),"--")</f>
        <v>--</v>
      </c>
      <c r="K97" s="5" t="str">
        <f>IFERROR(__xludf.DUMMYFUNCTION("""COMPUTED_VALUE"""),"--")</f>
        <v>--</v>
      </c>
      <c r="L97" s="5" t="str">
        <f>IFERROR(__xludf.DUMMYFUNCTION("""COMPUTED_VALUE"""),"--")</f>
        <v>--</v>
      </c>
      <c r="M97" s="5" t="str">
        <f>IFERROR(__xludf.DUMMYFUNCTION("""COMPUTED_VALUE"""),"--")</f>
        <v>--</v>
      </c>
      <c r="N97" s="5" t="str">
        <f>IFERROR(__xludf.DUMMYFUNCTION("""COMPUTED_VALUE"""),"--")</f>
        <v>--</v>
      </c>
      <c r="O97" s="5" t="str">
        <f>IFERROR(__xludf.DUMMYFUNCTION("""COMPUTED_VALUE"""),"--")</f>
        <v>--</v>
      </c>
      <c r="P97" s="5">
        <f>IFERROR(__xludf.DUMMYFUNCTION("""COMPUTED_VALUE"""),145.9)</f>
        <v>145.9</v>
      </c>
    </row>
    <row r="98">
      <c r="A98" s="19" t="str">
        <f>vlookup(B98,'Player Codes'!A:D,4,)</f>
        <v>0175</v>
      </c>
      <c r="B98" s="21" t="s">
        <v>517</v>
      </c>
      <c r="C98" s="5">
        <f>IFERROR(__xludf.DUMMYFUNCTION("""COMPUTED_VALUE"""),94.0)</f>
        <v>94</v>
      </c>
      <c r="D98" s="5" t="str">
        <f>IFERROR(__xludf.DUMMYFUNCTION("""COMPUTED_VALUE"""),"Jason Myers")</f>
        <v>Jason Myers</v>
      </c>
      <c r="E98" s="5" t="str">
        <f>IFERROR(__xludf.DUMMYFUNCTION("""COMPUTED_VALUE"""),"K2")</f>
        <v>K2</v>
      </c>
      <c r="F98" s="5" t="str">
        <f>IFERROR(__xludf.DUMMYFUNCTION("""COMPUTED_VALUE"""),"SEA")</f>
        <v>SEA</v>
      </c>
      <c r="G98" s="5">
        <f>IFERROR(__xludf.DUMMYFUNCTION("""COMPUTED_VALUE"""),5.0)</f>
        <v>5</v>
      </c>
      <c r="H98" s="5" t="str">
        <f>IFERROR(__xludf.DUMMYFUNCTION("""COMPUTED_VALUE"""),"--")</f>
        <v>--</v>
      </c>
      <c r="I98" s="5" t="str">
        <f>IFERROR(__xludf.DUMMYFUNCTION("""COMPUTED_VALUE"""),"--")</f>
        <v>--</v>
      </c>
      <c r="J98" s="5" t="str">
        <f>IFERROR(__xludf.DUMMYFUNCTION("""COMPUTED_VALUE"""),"--")</f>
        <v>--</v>
      </c>
      <c r="K98" s="5" t="str">
        <f>IFERROR(__xludf.DUMMYFUNCTION("""COMPUTED_VALUE"""),"--")</f>
        <v>--</v>
      </c>
      <c r="L98" s="5" t="str">
        <f>IFERROR(__xludf.DUMMYFUNCTION("""COMPUTED_VALUE"""),"--")</f>
        <v>--</v>
      </c>
      <c r="M98" s="5" t="str">
        <f>IFERROR(__xludf.DUMMYFUNCTION("""COMPUTED_VALUE"""),"--")</f>
        <v>--</v>
      </c>
      <c r="N98" s="5" t="str">
        <f>IFERROR(__xludf.DUMMYFUNCTION("""COMPUTED_VALUE"""),"--")</f>
        <v>--</v>
      </c>
      <c r="O98" s="5" t="str">
        <f>IFERROR(__xludf.DUMMYFUNCTION("""COMPUTED_VALUE"""),"--")</f>
        <v>--</v>
      </c>
      <c r="P98" s="5">
        <f>IFERROR(__xludf.DUMMYFUNCTION("""COMPUTED_VALUE"""),144.7)</f>
        <v>144.7</v>
      </c>
    </row>
    <row r="99">
      <c r="A99" s="19" t="str">
        <f>vlookup(B99,'Player Codes'!A:D,4,)</f>
        <v>0147</v>
      </c>
      <c r="B99" s="21" t="s">
        <v>520</v>
      </c>
      <c r="C99" s="5">
        <f>IFERROR(__xludf.DUMMYFUNCTION("""COMPUTED_VALUE"""),95.0)</f>
        <v>95</v>
      </c>
      <c r="D99" s="5" t="str">
        <f>IFERROR(__xludf.DUMMYFUNCTION("""COMPUTED_VALUE"""),"David Montgomery")</f>
        <v>David Montgomery</v>
      </c>
      <c r="E99" s="5" t="str">
        <f>IFERROR(__xludf.DUMMYFUNCTION("""COMPUTED_VALUE"""),"RB23")</f>
        <v>RB23</v>
      </c>
      <c r="F99" s="5" t="str">
        <f>IFERROR(__xludf.DUMMYFUNCTION("""COMPUTED_VALUE"""),"DET")</f>
        <v>DET</v>
      </c>
      <c r="G99" s="5">
        <f>IFERROR(__xludf.DUMMYFUNCTION("""COMPUTED_VALUE"""),9.0)</f>
        <v>9</v>
      </c>
      <c r="H99" s="5">
        <f>IFERROR(__xludf.DUMMYFUNCTION("""COMPUTED_VALUE"""),0.0)</f>
        <v>0</v>
      </c>
      <c r="I99" s="5">
        <f>IFERROR(__xludf.DUMMYFUNCTION("""COMPUTED_VALUE"""),0.0)</f>
        <v>0</v>
      </c>
      <c r="J99" s="5">
        <f>IFERROR(__xludf.DUMMYFUNCTION("""COMPUTED_VALUE"""),0.0)</f>
        <v>0</v>
      </c>
      <c r="K99" s="5">
        <f>IFERROR(__xludf.DUMMYFUNCTION("""COMPUTED_VALUE"""),775.0)</f>
        <v>775</v>
      </c>
      <c r="L99" s="5">
        <f>IFERROR(__xludf.DUMMYFUNCTION("""COMPUTED_VALUE"""),7.4)</f>
        <v>7.4</v>
      </c>
      <c r="M99" s="5">
        <f>IFERROR(__xludf.DUMMYFUNCTION("""COMPUTED_VALUE"""),17.0)</f>
        <v>17</v>
      </c>
      <c r="N99" s="5">
        <f>IFERROR(__xludf.DUMMYFUNCTION("""COMPUTED_VALUE"""),117.0)</f>
        <v>117</v>
      </c>
      <c r="O99" s="5">
        <f>IFERROR(__xludf.DUMMYFUNCTION("""COMPUTED_VALUE"""),0.4)</f>
        <v>0.4</v>
      </c>
      <c r="P99" s="5">
        <f>IFERROR(__xludf.DUMMYFUNCTION("""COMPUTED_VALUE"""),144.4)</f>
        <v>144.4</v>
      </c>
    </row>
    <row r="100">
      <c r="A100" s="19" t="str">
        <f>vlookup(B100,'Player Codes'!A:D,4,)</f>
        <v>0082</v>
      </c>
      <c r="B100" s="21" t="s">
        <v>109</v>
      </c>
      <c r="C100" s="5">
        <f>IFERROR(__xludf.DUMMYFUNCTION("""COMPUTED_VALUE"""),95.0)</f>
        <v>95</v>
      </c>
      <c r="D100" s="5" t="str">
        <f>IFERROR(__xludf.DUMMYFUNCTION("""COMPUTED_VALUE"""),"Cameron Dicker")</f>
        <v>Cameron Dicker</v>
      </c>
      <c r="E100" s="5" t="str">
        <f>IFERROR(__xludf.DUMMYFUNCTION("""COMPUTED_VALUE"""),"K3")</f>
        <v>K3</v>
      </c>
      <c r="F100" s="5" t="str">
        <f>IFERROR(__xludf.DUMMYFUNCTION("""COMPUTED_VALUE"""),"LAC")</f>
        <v>LAC</v>
      </c>
      <c r="G100" s="5">
        <f>IFERROR(__xludf.DUMMYFUNCTION("""COMPUTED_VALUE"""),5.0)</f>
        <v>5</v>
      </c>
      <c r="H100" s="5" t="str">
        <f>IFERROR(__xludf.DUMMYFUNCTION("""COMPUTED_VALUE"""),"--")</f>
        <v>--</v>
      </c>
      <c r="I100" s="5" t="str">
        <f>IFERROR(__xludf.DUMMYFUNCTION("""COMPUTED_VALUE"""),"--")</f>
        <v>--</v>
      </c>
      <c r="J100" s="5" t="str">
        <f>IFERROR(__xludf.DUMMYFUNCTION("""COMPUTED_VALUE"""),"--")</f>
        <v>--</v>
      </c>
      <c r="K100" s="5" t="str">
        <f>IFERROR(__xludf.DUMMYFUNCTION("""COMPUTED_VALUE"""),"--")</f>
        <v>--</v>
      </c>
      <c r="L100" s="5" t="str">
        <f>IFERROR(__xludf.DUMMYFUNCTION("""COMPUTED_VALUE"""),"--")</f>
        <v>--</v>
      </c>
      <c r="M100" s="5" t="str">
        <f>IFERROR(__xludf.DUMMYFUNCTION("""COMPUTED_VALUE"""),"--")</f>
        <v>--</v>
      </c>
      <c r="N100" s="5" t="str">
        <f>IFERROR(__xludf.DUMMYFUNCTION("""COMPUTED_VALUE"""),"--")</f>
        <v>--</v>
      </c>
      <c r="O100" s="5" t="str">
        <f>IFERROR(__xludf.DUMMYFUNCTION("""COMPUTED_VALUE"""),"--")</f>
        <v>--</v>
      </c>
      <c r="P100" s="5">
        <f>IFERROR(__xludf.DUMMYFUNCTION("""COMPUTED_VALUE"""),144.4)</f>
        <v>144.4</v>
      </c>
    </row>
    <row r="101">
      <c r="A101" s="19" t="str">
        <f>vlookup(B101,'Player Codes'!A:D,4,)</f>
        <v>0039</v>
      </c>
      <c r="B101" s="21" t="s">
        <v>522</v>
      </c>
      <c r="C101" s="5">
        <f>IFERROR(__xludf.DUMMYFUNCTION("""COMPUTED_VALUE"""),97.0)</f>
        <v>97</v>
      </c>
      <c r="D101" s="5" t="str">
        <f>IFERROR(__xludf.DUMMYFUNCTION("""COMPUTED_VALUE"""),"Harrison Butker")</f>
        <v>Harrison Butker</v>
      </c>
      <c r="E101" s="5" t="str">
        <f>IFERROR(__xludf.DUMMYFUNCTION("""COMPUTED_VALUE"""),"K4")</f>
        <v>K4</v>
      </c>
      <c r="F101" s="5" t="str">
        <f>IFERROR(__xludf.DUMMYFUNCTION("""COMPUTED_VALUE"""),"KC")</f>
        <v>KC</v>
      </c>
      <c r="G101" s="5">
        <f>IFERROR(__xludf.DUMMYFUNCTION("""COMPUTED_VALUE"""),10.0)</f>
        <v>10</v>
      </c>
      <c r="H101" s="5" t="str">
        <f>IFERROR(__xludf.DUMMYFUNCTION("""COMPUTED_VALUE"""),"--")</f>
        <v>--</v>
      </c>
      <c r="I101" s="5" t="str">
        <f>IFERROR(__xludf.DUMMYFUNCTION("""COMPUTED_VALUE"""),"--")</f>
        <v>--</v>
      </c>
      <c r="J101" s="5" t="str">
        <f>IFERROR(__xludf.DUMMYFUNCTION("""COMPUTED_VALUE"""),"--")</f>
        <v>--</v>
      </c>
      <c r="K101" s="5" t="str">
        <f>IFERROR(__xludf.DUMMYFUNCTION("""COMPUTED_VALUE"""),"--")</f>
        <v>--</v>
      </c>
      <c r="L101" s="5" t="str">
        <f>IFERROR(__xludf.DUMMYFUNCTION("""COMPUTED_VALUE"""),"--")</f>
        <v>--</v>
      </c>
      <c r="M101" s="5" t="str">
        <f>IFERROR(__xludf.DUMMYFUNCTION("""COMPUTED_VALUE"""),"--")</f>
        <v>--</v>
      </c>
      <c r="N101" s="5" t="str">
        <f>IFERROR(__xludf.DUMMYFUNCTION("""COMPUTED_VALUE"""),"--")</f>
        <v>--</v>
      </c>
      <c r="O101" s="5" t="str">
        <f>IFERROR(__xludf.DUMMYFUNCTION("""COMPUTED_VALUE"""),"--")</f>
        <v>--</v>
      </c>
      <c r="P101" s="5">
        <f>IFERROR(__xludf.DUMMYFUNCTION("""COMPUTED_VALUE"""),143.8)</f>
        <v>143.8</v>
      </c>
    </row>
    <row r="102">
      <c r="A102" s="19" t="str">
        <f>vlookup(B102,'Player Codes'!A:D,4,)</f>
        <v>0122</v>
      </c>
      <c r="B102" s="21" t="s">
        <v>533</v>
      </c>
      <c r="C102" s="5">
        <f>IFERROR(__xludf.DUMMYFUNCTION("""COMPUTED_VALUE"""),98.0)</f>
        <v>98</v>
      </c>
      <c r="D102" s="5" t="str">
        <f>IFERROR(__xludf.DUMMYFUNCTION("""COMPUTED_VALUE"""),"Cam Akers")</f>
        <v>Cam Akers</v>
      </c>
      <c r="E102" s="5" t="str">
        <f>IFERROR(__xludf.DUMMYFUNCTION("""COMPUTED_VALUE"""),"RB24")</f>
        <v>RB24</v>
      </c>
      <c r="F102" s="5" t="str">
        <f>IFERROR(__xludf.DUMMYFUNCTION("""COMPUTED_VALUE"""),"LAR")</f>
        <v>LAR</v>
      </c>
      <c r="G102" s="5">
        <f>IFERROR(__xludf.DUMMYFUNCTION("""COMPUTED_VALUE"""),10.0)</f>
        <v>10</v>
      </c>
      <c r="H102" s="5">
        <f>IFERROR(__xludf.DUMMYFUNCTION("""COMPUTED_VALUE"""),0.0)</f>
        <v>0</v>
      </c>
      <c r="I102" s="5">
        <f>IFERROR(__xludf.DUMMYFUNCTION("""COMPUTED_VALUE"""),0.0)</f>
        <v>0</v>
      </c>
      <c r="J102" s="5">
        <f>IFERROR(__xludf.DUMMYFUNCTION("""COMPUTED_VALUE"""),0.0)</f>
        <v>0</v>
      </c>
      <c r="K102" s="5">
        <f>IFERROR(__xludf.DUMMYFUNCTION("""COMPUTED_VALUE"""),830.0)</f>
        <v>830</v>
      </c>
      <c r="L102" s="5">
        <f>IFERROR(__xludf.DUMMYFUNCTION("""COMPUTED_VALUE"""),6.0)</f>
        <v>6</v>
      </c>
      <c r="M102" s="5">
        <f>IFERROR(__xludf.DUMMYFUNCTION("""COMPUTED_VALUE"""),18.0)</f>
        <v>18</v>
      </c>
      <c r="N102" s="5">
        <f>IFERROR(__xludf.DUMMYFUNCTION("""COMPUTED_VALUE"""),125.0)</f>
        <v>125</v>
      </c>
      <c r="O102" s="5">
        <f>IFERROR(__xludf.DUMMYFUNCTION("""COMPUTED_VALUE"""),0.5)</f>
        <v>0.5</v>
      </c>
      <c r="P102" s="5">
        <f>IFERROR(__xludf.DUMMYFUNCTION("""COMPUTED_VALUE"""),143.2)</f>
        <v>143.2</v>
      </c>
    </row>
    <row r="103">
      <c r="A103" s="19" t="str">
        <f>vlookup(B103,'Player Codes'!A:D,4,)</f>
        <v>0038</v>
      </c>
      <c r="B103" s="21" t="s">
        <v>235</v>
      </c>
      <c r="C103" s="5">
        <f>IFERROR(__xludf.DUMMYFUNCTION("""COMPUTED_VALUE"""),99.0)</f>
        <v>99</v>
      </c>
      <c r="D103" s="5" t="str">
        <f>IFERROR(__xludf.DUMMYFUNCTION("""COMPUTED_VALUE"""),"T.J. Hockenson")</f>
        <v>T.J. Hockenson</v>
      </c>
      <c r="E103" s="5" t="str">
        <f>IFERROR(__xludf.DUMMYFUNCTION("""COMPUTED_VALUE"""),"TE3")</f>
        <v>TE3</v>
      </c>
      <c r="F103" s="5" t="str">
        <f>IFERROR(__xludf.DUMMYFUNCTION("""COMPUTED_VALUE"""),"MIN")</f>
        <v>MIN</v>
      </c>
      <c r="G103" s="5">
        <f>IFERROR(__xludf.DUMMYFUNCTION("""COMPUTED_VALUE"""),13.0)</f>
        <v>13</v>
      </c>
      <c r="H103" s="5">
        <f>IFERROR(__xludf.DUMMYFUNCTION("""COMPUTED_VALUE"""),0.0)</f>
        <v>0</v>
      </c>
      <c r="I103" s="5">
        <f>IFERROR(__xludf.DUMMYFUNCTION("""COMPUTED_VALUE"""),0.0)</f>
        <v>0</v>
      </c>
      <c r="J103" s="5">
        <f>IFERROR(__xludf.DUMMYFUNCTION("""COMPUTED_VALUE"""),0.0)</f>
        <v>0</v>
      </c>
      <c r="K103" s="5">
        <f>IFERROR(__xludf.DUMMYFUNCTION("""COMPUTED_VALUE"""),0.0)</f>
        <v>0</v>
      </c>
      <c r="L103" s="5">
        <f>IFERROR(__xludf.DUMMYFUNCTION("""COMPUTED_VALUE"""),0.0)</f>
        <v>0</v>
      </c>
      <c r="M103" s="5">
        <f>IFERROR(__xludf.DUMMYFUNCTION("""COMPUTED_VALUE"""),75.0)</f>
        <v>75</v>
      </c>
      <c r="N103" s="5">
        <f>IFERROR(__xludf.DUMMYFUNCTION("""COMPUTED_VALUE"""),766.0)</f>
        <v>766</v>
      </c>
      <c r="O103" s="5">
        <f>IFERROR(__xludf.DUMMYFUNCTION("""COMPUTED_VALUE"""),4.8)</f>
        <v>4.8</v>
      </c>
      <c r="P103" s="5">
        <f>IFERROR(__xludf.DUMMYFUNCTION("""COMPUTED_VALUE"""),142.6)</f>
        <v>142.6</v>
      </c>
    </row>
    <row r="104">
      <c r="A104" s="19" t="str">
        <f>vlookup(B104,'Player Codes'!A:D,4,)</f>
        <v>0264</v>
      </c>
      <c r="B104" s="21" t="s">
        <v>349</v>
      </c>
      <c r="C104" s="5">
        <f>IFERROR(__xludf.DUMMYFUNCTION("""COMPUTED_VALUE"""),100.0)</f>
        <v>100</v>
      </c>
      <c r="D104" s="5" t="str">
        <f>IFERROR(__xludf.DUMMYFUNCTION("""COMPUTED_VALUE"""),"Jordan Addison")</f>
        <v>Jordan Addison</v>
      </c>
      <c r="E104" s="5" t="str">
        <f>IFERROR(__xludf.DUMMYFUNCTION("""COMPUTED_VALUE"""),"WR37")</f>
        <v>WR37</v>
      </c>
      <c r="F104" s="5" t="str">
        <f>IFERROR(__xludf.DUMMYFUNCTION("""COMPUTED_VALUE"""),"MIN")</f>
        <v>MIN</v>
      </c>
      <c r="G104" s="5">
        <f>IFERROR(__xludf.DUMMYFUNCTION("""COMPUTED_VALUE"""),13.0)</f>
        <v>13</v>
      </c>
      <c r="H104" s="5">
        <f>IFERROR(__xludf.DUMMYFUNCTION("""COMPUTED_VALUE"""),0.0)</f>
        <v>0</v>
      </c>
      <c r="I104" s="5">
        <f>IFERROR(__xludf.DUMMYFUNCTION("""COMPUTED_VALUE"""),0.0)</f>
        <v>0</v>
      </c>
      <c r="J104" s="5">
        <f>IFERROR(__xludf.DUMMYFUNCTION("""COMPUTED_VALUE"""),0.0)</f>
        <v>0</v>
      </c>
      <c r="K104" s="5">
        <f>IFERROR(__xludf.DUMMYFUNCTION("""COMPUTED_VALUE"""),5.0)</f>
        <v>5</v>
      </c>
      <c r="L104" s="5">
        <f>IFERROR(__xludf.DUMMYFUNCTION("""COMPUTED_VALUE"""),0.0)</f>
        <v>0</v>
      </c>
      <c r="M104" s="5">
        <f>IFERROR(__xludf.DUMMYFUNCTION("""COMPUTED_VALUE"""),66.0)</f>
        <v>66</v>
      </c>
      <c r="N104" s="5">
        <f>IFERROR(__xludf.DUMMYFUNCTION("""COMPUTED_VALUE"""),798.0)</f>
        <v>798</v>
      </c>
      <c r="O104" s="5">
        <f>IFERROR(__xludf.DUMMYFUNCTION("""COMPUTED_VALUE"""),4.7)</f>
        <v>4.7</v>
      </c>
      <c r="P104" s="5">
        <f>IFERROR(__xludf.DUMMYFUNCTION("""COMPUTED_VALUE"""),141.7)</f>
        <v>141.7</v>
      </c>
    </row>
    <row r="105">
      <c r="A105" s="19" t="str">
        <f>vlookup(B105,'Player Codes'!A:D,4,)</f>
        <v>0165</v>
      </c>
      <c r="B105" s="21" t="s">
        <v>317</v>
      </c>
      <c r="C105" s="5">
        <f>IFERROR(__xludf.DUMMYFUNCTION("""COMPUTED_VALUE"""),101.0)</f>
        <v>101</v>
      </c>
      <c r="D105" s="5" t="str">
        <f>IFERROR(__xludf.DUMMYFUNCTION("""COMPUTED_VALUE"""),"Greg Zuerlein")</f>
        <v>Greg Zuerlein</v>
      </c>
      <c r="E105" s="5" t="str">
        <f>IFERROR(__xludf.DUMMYFUNCTION("""COMPUTED_VALUE"""),"K5")</f>
        <v>K5</v>
      </c>
      <c r="F105" s="5" t="str">
        <f>IFERROR(__xludf.DUMMYFUNCTION("""COMPUTED_VALUE"""),"NYJ")</f>
        <v>NYJ</v>
      </c>
      <c r="G105" s="5">
        <f>IFERROR(__xludf.DUMMYFUNCTION("""COMPUTED_VALUE"""),7.0)</f>
        <v>7</v>
      </c>
      <c r="H105" s="5" t="str">
        <f>IFERROR(__xludf.DUMMYFUNCTION("""COMPUTED_VALUE"""),"--")</f>
        <v>--</v>
      </c>
      <c r="I105" s="5" t="str">
        <f>IFERROR(__xludf.DUMMYFUNCTION("""COMPUTED_VALUE"""),"--")</f>
        <v>--</v>
      </c>
      <c r="J105" s="5" t="str">
        <f>IFERROR(__xludf.DUMMYFUNCTION("""COMPUTED_VALUE"""),"--")</f>
        <v>--</v>
      </c>
      <c r="K105" s="5" t="str">
        <f>IFERROR(__xludf.DUMMYFUNCTION("""COMPUTED_VALUE"""),"--")</f>
        <v>--</v>
      </c>
      <c r="L105" s="5" t="str">
        <f>IFERROR(__xludf.DUMMYFUNCTION("""COMPUTED_VALUE"""),"--")</f>
        <v>--</v>
      </c>
      <c r="M105" s="5" t="str">
        <f>IFERROR(__xludf.DUMMYFUNCTION("""COMPUTED_VALUE"""),"--")</f>
        <v>--</v>
      </c>
      <c r="N105" s="5" t="str">
        <f>IFERROR(__xludf.DUMMYFUNCTION("""COMPUTED_VALUE"""),"--")</f>
        <v>--</v>
      </c>
      <c r="O105" s="5" t="str">
        <f>IFERROR(__xludf.DUMMYFUNCTION("""COMPUTED_VALUE"""),"--")</f>
        <v>--</v>
      </c>
      <c r="P105" s="5">
        <f>IFERROR(__xludf.DUMMYFUNCTION("""COMPUTED_VALUE"""),141.0)</f>
        <v>141</v>
      </c>
    </row>
    <row r="106">
      <c r="A106" s="19" t="str">
        <f>vlookup(B106,'Player Codes'!A:D,4,)</f>
        <v>0120</v>
      </c>
      <c r="B106" s="21" t="s">
        <v>541</v>
      </c>
      <c r="C106" s="5">
        <f>IFERROR(__xludf.DUMMYFUNCTION("""COMPUTED_VALUE"""),102.0)</f>
        <v>102</v>
      </c>
      <c r="D106" s="5" t="str">
        <f>IFERROR(__xludf.DUMMYFUNCTION("""COMPUTED_VALUE"""),"James Cook")</f>
        <v>James Cook</v>
      </c>
      <c r="E106" s="5" t="str">
        <f>IFERROR(__xludf.DUMMYFUNCTION("""COMPUTED_VALUE"""),"RB25")</f>
        <v>RB25</v>
      </c>
      <c r="F106" s="5" t="str">
        <f>IFERROR(__xludf.DUMMYFUNCTION("""COMPUTED_VALUE"""),"BUF")</f>
        <v>BUF</v>
      </c>
      <c r="G106" s="5">
        <f>IFERROR(__xludf.DUMMYFUNCTION("""COMPUTED_VALUE"""),13.0)</f>
        <v>13</v>
      </c>
      <c r="H106" s="5">
        <f>IFERROR(__xludf.DUMMYFUNCTION("""COMPUTED_VALUE"""),0.0)</f>
        <v>0</v>
      </c>
      <c r="I106" s="5">
        <f>IFERROR(__xludf.DUMMYFUNCTION("""COMPUTED_VALUE"""),0.0)</f>
        <v>0</v>
      </c>
      <c r="J106" s="5">
        <f>IFERROR(__xludf.DUMMYFUNCTION("""COMPUTED_VALUE"""),0.0)</f>
        <v>0</v>
      </c>
      <c r="K106" s="5">
        <f>IFERROR(__xludf.DUMMYFUNCTION("""COMPUTED_VALUE"""),543.0)</f>
        <v>543</v>
      </c>
      <c r="L106" s="5">
        <f>IFERROR(__xludf.DUMMYFUNCTION("""COMPUTED_VALUE"""),2.3)</f>
        <v>2.3</v>
      </c>
      <c r="M106" s="5">
        <f>IFERROR(__xludf.DUMMYFUNCTION("""COMPUTED_VALUE"""),46.0)</f>
        <v>46</v>
      </c>
      <c r="N106" s="5">
        <f>IFERROR(__xludf.DUMMYFUNCTION("""COMPUTED_VALUE"""),351.0)</f>
        <v>351</v>
      </c>
      <c r="O106" s="5">
        <f>IFERROR(__xludf.DUMMYFUNCTION("""COMPUTED_VALUE"""),2.4)</f>
        <v>2.4</v>
      </c>
      <c r="P106" s="5">
        <f>IFERROR(__xludf.DUMMYFUNCTION("""COMPUTED_VALUE"""),140.8)</f>
        <v>140.8</v>
      </c>
    </row>
    <row r="107">
      <c r="A107" s="19" t="str">
        <f>vlookup(B107,'Player Codes'!A:D,4,)</f>
        <v>0144</v>
      </c>
      <c r="B107" s="21" t="s">
        <v>249</v>
      </c>
      <c r="C107" s="5">
        <f>IFERROR(__xludf.DUMMYFUNCTION("""COMPUTED_VALUE"""),103.0)</f>
        <v>103</v>
      </c>
      <c r="D107" s="5" t="str">
        <f>IFERROR(__xludf.DUMMYFUNCTION("""COMPUTED_VALUE"""),"Jason Sanders")</f>
        <v>Jason Sanders</v>
      </c>
      <c r="E107" s="5" t="str">
        <f>IFERROR(__xludf.DUMMYFUNCTION("""COMPUTED_VALUE"""),"K6")</f>
        <v>K6</v>
      </c>
      <c r="F107" s="5" t="str">
        <f>IFERROR(__xludf.DUMMYFUNCTION("""COMPUTED_VALUE"""),"MIA")</f>
        <v>MIA</v>
      </c>
      <c r="G107" s="5">
        <f>IFERROR(__xludf.DUMMYFUNCTION("""COMPUTED_VALUE"""),10.0)</f>
        <v>10</v>
      </c>
      <c r="H107" s="5" t="str">
        <f>IFERROR(__xludf.DUMMYFUNCTION("""COMPUTED_VALUE"""),"--")</f>
        <v>--</v>
      </c>
      <c r="I107" s="5" t="str">
        <f>IFERROR(__xludf.DUMMYFUNCTION("""COMPUTED_VALUE"""),"--")</f>
        <v>--</v>
      </c>
      <c r="J107" s="5" t="str">
        <f>IFERROR(__xludf.DUMMYFUNCTION("""COMPUTED_VALUE"""),"--")</f>
        <v>--</v>
      </c>
      <c r="K107" s="5" t="str">
        <f>IFERROR(__xludf.DUMMYFUNCTION("""COMPUTED_VALUE"""),"--")</f>
        <v>--</v>
      </c>
      <c r="L107" s="5" t="str">
        <f>IFERROR(__xludf.DUMMYFUNCTION("""COMPUTED_VALUE"""),"--")</f>
        <v>--</v>
      </c>
      <c r="M107" s="5" t="str">
        <f>IFERROR(__xludf.DUMMYFUNCTION("""COMPUTED_VALUE"""),"--")</f>
        <v>--</v>
      </c>
      <c r="N107" s="5" t="str">
        <f>IFERROR(__xludf.DUMMYFUNCTION("""COMPUTED_VALUE"""),"--")</f>
        <v>--</v>
      </c>
      <c r="O107" s="5" t="str">
        <f>IFERROR(__xludf.DUMMYFUNCTION("""COMPUTED_VALUE"""),"--")</f>
        <v>--</v>
      </c>
      <c r="P107" s="5">
        <f>IFERROR(__xludf.DUMMYFUNCTION("""COMPUTED_VALUE"""),140.5)</f>
        <v>140.5</v>
      </c>
    </row>
    <row r="108">
      <c r="A108" s="19" t="str">
        <f>vlookup(B108,'Player Codes'!A:D,4,)</f>
        <v>0148</v>
      </c>
      <c r="B108" s="21" t="s">
        <v>548</v>
      </c>
      <c r="C108" s="5">
        <f>IFERROR(__xludf.DUMMYFUNCTION("""COMPUTED_VALUE"""),104.0)</f>
        <v>104</v>
      </c>
      <c r="D108" s="5" t="str">
        <f>IFERROR(__xludf.DUMMYFUNCTION("""COMPUTED_VALUE"""),"Javonte Williams")</f>
        <v>Javonte Williams</v>
      </c>
      <c r="E108" s="5" t="str">
        <f>IFERROR(__xludf.DUMMYFUNCTION("""COMPUTED_VALUE"""),"RB26")</f>
        <v>RB26</v>
      </c>
      <c r="F108" s="5" t="str">
        <f>IFERROR(__xludf.DUMMYFUNCTION("""COMPUTED_VALUE"""),"DEN")</f>
        <v>DEN</v>
      </c>
      <c r="G108" s="5">
        <f>IFERROR(__xludf.DUMMYFUNCTION("""COMPUTED_VALUE"""),9.0)</f>
        <v>9</v>
      </c>
      <c r="H108" s="5">
        <f>IFERROR(__xludf.DUMMYFUNCTION("""COMPUTED_VALUE"""),0.0)</f>
        <v>0</v>
      </c>
      <c r="I108" s="5">
        <f>IFERROR(__xludf.DUMMYFUNCTION("""COMPUTED_VALUE"""),0.0)</f>
        <v>0</v>
      </c>
      <c r="J108" s="5">
        <f>IFERROR(__xludf.DUMMYFUNCTION("""COMPUTED_VALUE"""),0.0)</f>
        <v>0</v>
      </c>
      <c r="K108" s="5">
        <f>IFERROR(__xludf.DUMMYFUNCTION("""COMPUTED_VALUE"""),677.0)</f>
        <v>677</v>
      </c>
      <c r="L108" s="5">
        <f>IFERROR(__xludf.DUMMYFUNCTION("""COMPUTED_VALUE"""),5.1)</f>
        <v>5.1</v>
      </c>
      <c r="M108" s="5">
        <f>IFERROR(__xludf.DUMMYFUNCTION("""COMPUTED_VALUE"""),30.0)</f>
        <v>30</v>
      </c>
      <c r="N108" s="5">
        <f>IFERROR(__xludf.DUMMYFUNCTION("""COMPUTED_VALUE"""),221.0)</f>
        <v>221</v>
      </c>
      <c r="O108" s="5">
        <f>IFERROR(__xludf.DUMMYFUNCTION("""COMPUTED_VALUE"""),0.8)</f>
        <v>0.8</v>
      </c>
      <c r="P108" s="5">
        <f>IFERROR(__xludf.DUMMYFUNCTION("""COMPUTED_VALUE"""),140.2)</f>
        <v>140.2</v>
      </c>
    </row>
    <row r="109">
      <c r="A109" s="19" t="str">
        <f>vlookup(B109,'Player Codes'!A:D,4,)</f>
        <v>0149</v>
      </c>
      <c r="B109" s="21" t="s">
        <v>260</v>
      </c>
      <c r="C109" s="5">
        <f>IFERROR(__xludf.DUMMYFUNCTION("""COMPUTED_VALUE"""),105.0)</f>
        <v>105</v>
      </c>
      <c r="D109" s="5" t="str">
        <f>IFERROR(__xludf.DUMMYFUNCTION("""COMPUTED_VALUE"""),"Evan McPherson")</f>
        <v>Evan McPherson</v>
      </c>
      <c r="E109" s="5" t="str">
        <f>IFERROR(__xludf.DUMMYFUNCTION("""COMPUTED_VALUE"""),"K7")</f>
        <v>K7</v>
      </c>
      <c r="F109" s="5" t="str">
        <f>IFERROR(__xludf.DUMMYFUNCTION("""COMPUTED_VALUE"""),"CIN")</f>
        <v>CIN</v>
      </c>
      <c r="G109" s="5">
        <f>IFERROR(__xludf.DUMMYFUNCTION("""COMPUTED_VALUE"""),7.0)</f>
        <v>7</v>
      </c>
      <c r="H109" s="5" t="str">
        <f>IFERROR(__xludf.DUMMYFUNCTION("""COMPUTED_VALUE"""),"--")</f>
        <v>--</v>
      </c>
      <c r="I109" s="5" t="str">
        <f>IFERROR(__xludf.DUMMYFUNCTION("""COMPUTED_VALUE"""),"--")</f>
        <v>--</v>
      </c>
      <c r="J109" s="5" t="str">
        <f>IFERROR(__xludf.DUMMYFUNCTION("""COMPUTED_VALUE"""),"--")</f>
        <v>--</v>
      </c>
      <c r="K109" s="5" t="str">
        <f>IFERROR(__xludf.DUMMYFUNCTION("""COMPUTED_VALUE"""),"--")</f>
        <v>--</v>
      </c>
      <c r="L109" s="5" t="str">
        <f>IFERROR(__xludf.DUMMYFUNCTION("""COMPUTED_VALUE"""),"--")</f>
        <v>--</v>
      </c>
      <c r="M109" s="5" t="str">
        <f>IFERROR(__xludf.DUMMYFUNCTION("""COMPUTED_VALUE"""),"--")</f>
        <v>--</v>
      </c>
      <c r="N109" s="5" t="str">
        <f>IFERROR(__xludf.DUMMYFUNCTION("""COMPUTED_VALUE"""),"--")</f>
        <v>--</v>
      </c>
      <c r="O109" s="5" t="str">
        <f>IFERROR(__xludf.DUMMYFUNCTION("""COMPUTED_VALUE"""),"--")</f>
        <v>--</v>
      </c>
      <c r="P109" s="5">
        <f>IFERROR(__xludf.DUMMYFUNCTION("""COMPUTED_VALUE"""),139.8)</f>
        <v>139.8</v>
      </c>
    </row>
    <row r="110">
      <c r="A110" s="19" t="str">
        <f>vlookup(B110,'Player Codes'!A:D,4,)</f>
        <v>0108</v>
      </c>
      <c r="B110" s="21" t="s">
        <v>554</v>
      </c>
      <c r="C110" s="5">
        <f>IFERROR(__xludf.DUMMYFUNCTION("""COMPUTED_VALUE"""),106.0)</f>
        <v>106</v>
      </c>
      <c r="D110" s="5" t="str">
        <f>IFERROR(__xludf.DUMMYFUNCTION("""COMPUTED_VALUE"""),"Greg Joseph")</f>
        <v>Greg Joseph</v>
      </c>
      <c r="E110" s="5" t="str">
        <f>IFERROR(__xludf.DUMMYFUNCTION("""COMPUTED_VALUE"""),"K8")</f>
        <v>K8</v>
      </c>
      <c r="F110" s="5" t="str">
        <f>IFERROR(__xludf.DUMMYFUNCTION("""COMPUTED_VALUE"""),"MIN")</f>
        <v>MIN</v>
      </c>
      <c r="G110" s="5">
        <f>IFERROR(__xludf.DUMMYFUNCTION("""COMPUTED_VALUE"""),13.0)</f>
        <v>13</v>
      </c>
      <c r="H110" s="5" t="str">
        <f>IFERROR(__xludf.DUMMYFUNCTION("""COMPUTED_VALUE"""),"--")</f>
        <v>--</v>
      </c>
      <c r="I110" s="5" t="str">
        <f>IFERROR(__xludf.DUMMYFUNCTION("""COMPUTED_VALUE"""),"--")</f>
        <v>--</v>
      </c>
      <c r="J110" s="5" t="str">
        <f>IFERROR(__xludf.DUMMYFUNCTION("""COMPUTED_VALUE"""),"--")</f>
        <v>--</v>
      </c>
      <c r="K110" s="5" t="str">
        <f>IFERROR(__xludf.DUMMYFUNCTION("""COMPUTED_VALUE"""),"--")</f>
        <v>--</v>
      </c>
      <c r="L110" s="5" t="str">
        <f>IFERROR(__xludf.DUMMYFUNCTION("""COMPUTED_VALUE"""),"--")</f>
        <v>--</v>
      </c>
      <c r="M110" s="5" t="str">
        <f>IFERROR(__xludf.DUMMYFUNCTION("""COMPUTED_VALUE"""),"--")</f>
        <v>--</v>
      </c>
      <c r="N110" s="5" t="str">
        <f>IFERROR(__xludf.DUMMYFUNCTION("""COMPUTED_VALUE"""),"--")</f>
        <v>--</v>
      </c>
      <c r="O110" s="5" t="str">
        <f>IFERROR(__xludf.DUMMYFUNCTION("""COMPUTED_VALUE"""),"--")</f>
        <v>--</v>
      </c>
      <c r="P110" s="5">
        <f>IFERROR(__xludf.DUMMYFUNCTION("""COMPUTED_VALUE"""),139.3)</f>
        <v>139.3</v>
      </c>
    </row>
    <row r="111">
      <c r="A111" s="19" t="str">
        <f>vlookup(B111,'Player Codes'!A:D,4,)</f>
        <v>0119</v>
      </c>
      <c r="B111" s="21" t="s">
        <v>561</v>
      </c>
      <c r="C111" s="5">
        <f>IFERROR(__xludf.DUMMYFUNCTION("""COMPUTED_VALUE"""),107.0)</f>
        <v>107</v>
      </c>
      <c r="D111" s="5" t="str">
        <f>IFERROR(__xludf.DUMMYFUNCTION("""COMPUTED_VALUE"""),"Darren Waller")</f>
        <v>Darren Waller</v>
      </c>
      <c r="E111" s="5" t="str">
        <f>IFERROR(__xludf.DUMMYFUNCTION("""COMPUTED_VALUE"""),"TE4")</f>
        <v>TE4</v>
      </c>
      <c r="F111" s="5" t="str">
        <f>IFERROR(__xludf.DUMMYFUNCTION("""COMPUTED_VALUE"""),"NYG")</f>
        <v>NYG</v>
      </c>
      <c r="G111" s="5">
        <f>IFERROR(__xludf.DUMMYFUNCTION("""COMPUTED_VALUE"""),13.0)</f>
        <v>13</v>
      </c>
      <c r="H111" s="5">
        <f>IFERROR(__xludf.DUMMYFUNCTION("""COMPUTED_VALUE"""),0.0)</f>
        <v>0</v>
      </c>
      <c r="I111" s="5">
        <f>IFERROR(__xludf.DUMMYFUNCTION("""COMPUTED_VALUE"""),0.0)</f>
        <v>0</v>
      </c>
      <c r="J111" s="5">
        <f>IFERROR(__xludf.DUMMYFUNCTION("""COMPUTED_VALUE"""),0.0)</f>
        <v>0</v>
      </c>
      <c r="K111" s="5">
        <f>IFERROR(__xludf.DUMMYFUNCTION("""COMPUTED_VALUE"""),0.0)</f>
        <v>0</v>
      </c>
      <c r="L111" s="5">
        <f>IFERROR(__xludf.DUMMYFUNCTION("""COMPUTED_VALUE"""),0.0)</f>
        <v>0</v>
      </c>
      <c r="M111" s="5">
        <f>IFERROR(__xludf.DUMMYFUNCTION("""COMPUTED_VALUE"""),72.0)</f>
        <v>72</v>
      </c>
      <c r="N111" s="5">
        <f>IFERROR(__xludf.DUMMYFUNCTION("""COMPUTED_VALUE"""),782.0)</f>
        <v>782</v>
      </c>
      <c r="O111" s="5">
        <f>IFERROR(__xludf.DUMMYFUNCTION("""COMPUTED_VALUE"""),4.2)</f>
        <v>4.2</v>
      </c>
      <c r="P111" s="5">
        <f>IFERROR(__xludf.DUMMYFUNCTION("""COMPUTED_VALUE"""),139.2)</f>
        <v>139.2</v>
      </c>
    </row>
    <row r="112">
      <c r="A112" s="19" t="str">
        <f>vlookup(B112,'Player Codes'!A:D,4,)</f>
        <v>0080</v>
      </c>
      <c r="B112" s="21" t="s">
        <v>325</v>
      </c>
      <c r="C112" s="5">
        <f>IFERROR(__xludf.DUMMYFUNCTION("""COMPUTED_VALUE"""),108.0)</f>
        <v>108</v>
      </c>
      <c r="D112" s="5" t="str">
        <f>IFERROR(__xludf.DUMMYFUNCTION("""COMPUTED_VALUE"""),"Tyler Bass")</f>
        <v>Tyler Bass</v>
      </c>
      <c r="E112" s="5" t="str">
        <f>IFERROR(__xludf.DUMMYFUNCTION("""COMPUTED_VALUE"""),"K9")</f>
        <v>K9</v>
      </c>
      <c r="F112" s="5" t="str">
        <f>IFERROR(__xludf.DUMMYFUNCTION("""COMPUTED_VALUE"""),"BUF")</f>
        <v>BUF</v>
      </c>
      <c r="G112" s="5">
        <f>IFERROR(__xludf.DUMMYFUNCTION("""COMPUTED_VALUE"""),13.0)</f>
        <v>13</v>
      </c>
      <c r="H112" s="5" t="str">
        <f>IFERROR(__xludf.DUMMYFUNCTION("""COMPUTED_VALUE"""),"--")</f>
        <v>--</v>
      </c>
      <c r="I112" s="5" t="str">
        <f>IFERROR(__xludf.DUMMYFUNCTION("""COMPUTED_VALUE"""),"--")</f>
        <v>--</v>
      </c>
      <c r="J112" s="5" t="str">
        <f>IFERROR(__xludf.DUMMYFUNCTION("""COMPUTED_VALUE"""),"--")</f>
        <v>--</v>
      </c>
      <c r="K112" s="5" t="str">
        <f>IFERROR(__xludf.DUMMYFUNCTION("""COMPUTED_VALUE"""),"--")</f>
        <v>--</v>
      </c>
      <c r="L112" s="5" t="str">
        <f>IFERROR(__xludf.DUMMYFUNCTION("""COMPUTED_VALUE"""),"--")</f>
        <v>--</v>
      </c>
      <c r="M112" s="5" t="str">
        <f>IFERROR(__xludf.DUMMYFUNCTION("""COMPUTED_VALUE"""),"--")</f>
        <v>--</v>
      </c>
      <c r="N112" s="5" t="str">
        <f>IFERROR(__xludf.DUMMYFUNCTION("""COMPUTED_VALUE"""),"--")</f>
        <v>--</v>
      </c>
      <c r="O112" s="5" t="str">
        <f>IFERROR(__xludf.DUMMYFUNCTION("""COMPUTED_VALUE"""),"--")</f>
        <v>--</v>
      </c>
      <c r="P112" s="5">
        <f>IFERROR(__xludf.DUMMYFUNCTION("""COMPUTED_VALUE"""),138.5)</f>
        <v>138.5</v>
      </c>
    </row>
    <row r="113">
      <c r="A113" s="19" t="str">
        <f>vlookup(B113,'Player Codes'!A:D,4,)</f>
        <v>0285</v>
      </c>
      <c r="B113" s="21" t="s">
        <v>574</v>
      </c>
      <c r="C113" s="5">
        <f>IFERROR(__xludf.DUMMYFUNCTION("""COMPUTED_VALUE"""),109.0)</f>
        <v>109</v>
      </c>
      <c r="D113" s="5" t="str">
        <f>IFERROR(__xludf.DUMMYFUNCTION("""COMPUTED_VALUE"""),"Brandon Aubrey")</f>
        <v>Brandon Aubrey</v>
      </c>
      <c r="E113" s="5" t="str">
        <f>IFERROR(__xludf.DUMMYFUNCTION("""COMPUTED_VALUE"""),"K10")</f>
        <v>K10</v>
      </c>
      <c r="F113" s="5" t="str">
        <f>IFERROR(__xludf.DUMMYFUNCTION("""COMPUTED_VALUE"""),"DAL")</f>
        <v>DAL</v>
      </c>
      <c r="G113" s="5">
        <f>IFERROR(__xludf.DUMMYFUNCTION("""COMPUTED_VALUE"""),7.0)</f>
        <v>7</v>
      </c>
      <c r="H113" s="5" t="str">
        <f>IFERROR(__xludf.DUMMYFUNCTION("""COMPUTED_VALUE"""),"--")</f>
        <v>--</v>
      </c>
      <c r="I113" s="5" t="str">
        <f>IFERROR(__xludf.DUMMYFUNCTION("""COMPUTED_VALUE"""),"--")</f>
        <v>--</v>
      </c>
      <c r="J113" s="5" t="str">
        <f>IFERROR(__xludf.DUMMYFUNCTION("""COMPUTED_VALUE"""),"--")</f>
        <v>--</v>
      </c>
      <c r="K113" s="5" t="str">
        <f>IFERROR(__xludf.DUMMYFUNCTION("""COMPUTED_VALUE"""),"--")</f>
        <v>--</v>
      </c>
      <c r="L113" s="5" t="str">
        <f>IFERROR(__xludf.DUMMYFUNCTION("""COMPUTED_VALUE"""),"--")</f>
        <v>--</v>
      </c>
      <c r="M113" s="5" t="str">
        <f>IFERROR(__xludf.DUMMYFUNCTION("""COMPUTED_VALUE"""),"--")</f>
        <v>--</v>
      </c>
      <c r="N113" s="5" t="str">
        <f>IFERROR(__xludf.DUMMYFUNCTION("""COMPUTED_VALUE"""),"--")</f>
        <v>--</v>
      </c>
      <c r="O113" s="5" t="str">
        <f>IFERROR(__xludf.DUMMYFUNCTION("""COMPUTED_VALUE"""),"--")</f>
        <v>--</v>
      </c>
      <c r="P113" s="5">
        <f>IFERROR(__xludf.DUMMYFUNCTION("""COMPUTED_VALUE"""),138.1)</f>
        <v>138.1</v>
      </c>
    </row>
    <row r="114">
      <c r="A114" s="19" t="str">
        <f>vlookup(B114,'Player Codes'!A:D,4,)</f>
        <v>0024</v>
      </c>
      <c r="B114" s="21" t="s">
        <v>577</v>
      </c>
      <c r="C114" s="5">
        <f>IFERROR(__xludf.DUMMYFUNCTION("""COMPUTED_VALUE"""),110.0)</f>
        <v>110</v>
      </c>
      <c r="D114" s="5" t="str">
        <f>IFERROR(__xludf.DUMMYFUNCTION("""COMPUTED_VALUE"""),"George Kittle")</f>
        <v>George Kittle</v>
      </c>
      <c r="E114" s="5" t="str">
        <f>IFERROR(__xludf.DUMMYFUNCTION("""COMPUTED_VALUE"""),"TE5")</f>
        <v>TE5</v>
      </c>
      <c r="F114" s="5" t="str">
        <f>IFERROR(__xludf.DUMMYFUNCTION("""COMPUTED_VALUE"""),"SF")</f>
        <v>SF</v>
      </c>
      <c r="G114" s="5">
        <f>IFERROR(__xludf.DUMMYFUNCTION("""COMPUTED_VALUE"""),9.0)</f>
        <v>9</v>
      </c>
      <c r="H114" s="5">
        <f>IFERROR(__xludf.DUMMYFUNCTION("""COMPUTED_VALUE"""),0.0)</f>
        <v>0</v>
      </c>
      <c r="I114" s="5">
        <f>IFERROR(__xludf.DUMMYFUNCTION("""COMPUTED_VALUE"""),0.0)</f>
        <v>0</v>
      </c>
      <c r="J114" s="5">
        <f>IFERROR(__xludf.DUMMYFUNCTION("""COMPUTED_VALUE"""),0.0)</f>
        <v>0</v>
      </c>
      <c r="K114" s="5">
        <f>IFERROR(__xludf.DUMMYFUNCTION("""COMPUTED_VALUE"""),9.0)</f>
        <v>9</v>
      </c>
      <c r="L114" s="5">
        <f>IFERROR(__xludf.DUMMYFUNCTION("""COMPUTED_VALUE"""),0.2)</f>
        <v>0.2</v>
      </c>
      <c r="M114" s="5">
        <f>IFERROR(__xludf.DUMMYFUNCTION("""COMPUTED_VALUE"""),55.0)</f>
        <v>55</v>
      </c>
      <c r="N114" s="5">
        <f>IFERROR(__xludf.DUMMYFUNCTION("""COMPUTED_VALUE"""),729.0)</f>
        <v>729</v>
      </c>
      <c r="O114" s="5">
        <f>IFERROR(__xludf.DUMMYFUNCTION("""COMPUTED_VALUE"""),5.9)</f>
        <v>5.9</v>
      </c>
      <c r="P114" s="5">
        <f>IFERROR(__xludf.DUMMYFUNCTION("""COMPUTED_VALUE"""),137.8)</f>
        <v>137.8</v>
      </c>
    </row>
    <row r="115">
      <c r="A115" s="19" t="str">
        <f>vlookup(B115,'Player Codes'!A:D,4,)</f>
        <v>0113</v>
      </c>
      <c r="B115" s="21" t="s">
        <v>329</v>
      </c>
      <c r="C115" s="5">
        <f>IFERROR(__xludf.DUMMYFUNCTION("""COMPUTED_VALUE"""),111.0)</f>
        <v>111</v>
      </c>
      <c r="D115" s="5" t="str">
        <f>IFERROR(__xludf.DUMMYFUNCTION("""COMPUTED_VALUE"""),"Khalil Herbert")</f>
        <v>Khalil Herbert</v>
      </c>
      <c r="E115" s="5" t="str">
        <f>IFERROR(__xludf.DUMMYFUNCTION("""COMPUTED_VALUE"""),"RB27")</f>
        <v>RB27</v>
      </c>
      <c r="F115" s="5" t="str">
        <f>IFERROR(__xludf.DUMMYFUNCTION("""COMPUTED_VALUE"""),"CHI")</f>
        <v>CHI</v>
      </c>
      <c r="G115" s="5">
        <f>IFERROR(__xludf.DUMMYFUNCTION("""COMPUTED_VALUE"""),13.0)</f>
        <v>13</v>
      </c>
      <c r="H115" s="5">
        <f>IFERROR(__xludf.DUMMYFUNCTION("""COMPUTED_VALUE"""),0.0)</f>
        <v>0</v>
      </c>
      <c r="I115" s="5">
        <f>IFERROR(__xludf.DUMMYFUNCTION("""COMPUTED_VALUE"""),0.0)</f>
        <v>0</v>
      </c>
      <c r="J115" s="5">
        <f>IFERROR(__xludf.DUMMYFUNCTION("""COMPUTED_VALUE"""),0.0)</f>
        <v>0</v>
      </c>
      <c r="K115" s="5">
        <f>IFERROR(__xludf.DUMMYFUNCTION("""COMPUTED_VALUE"""),825.0)</f>
        <v>825</v>
      </c>
      <c r="L115" s="5">
        <f>IFERROR(__xludf.DUMMYFUNCTION("""COMPUTED_VALUE"""),5.4)</f>
        <v>5.4</v>
      </c>
      <c r="M115" s="5">
        <f>IFERROR(__xludf.DUMMYFUNCTION("""COMPUTED_VALUE"""),17.0)</f>
        <v>17</v>
      </c>
      <c r="N115" s="5">
        <f>IFERROR(__xludf.DUMMYFUNCTION("""COMPUTED_VALUE"""),117.0)</f>
        <v>117</v>
      </c>
      <c r="O115" s="5">
        <f>IFERROR(__xludf.DUMMYFUNCTION("""COMPUTED_VALUE"""),0.4)</f>
        <v>0.4</v>
      </c>
      <c r="P115" s="5">
        <f>IFERROR(__xludf.DUMMYFUNCTION("""COMPUTED_VALUE"""),137.2)</f>
        <v>137.2</v>
      </c>
    </row>
    <row r="116">
      <c r="A116" s="19" t="str">
        <f>vlookup(B116,'Player Codes'!A:D,4,)</f>
        <v>0188</v>
      </c>
      <c r="B116" s="21" t="s">
        <v>225</v>
      </c>
      <c r="C116" s="5">
        <f>IFERROR(__xludf.DUMMYFUNCTION("""COMPUTED_VALUE"""),111.0)</f>
        <v>111</v>
      </c>
      <c r="D116" s="5" t="str">
        <f>IFERROR(__xludf.DUMMYFUNCTION("""COMPUTED_VALUE"""),"Treylon Burks")</f>
        <v>Treylon Burks</v>
      </c>
      <c r="E116" s="5" t="str">
        <f>IFERROR(__xludf.DUMMYFUNCTION("""COMPUTED_VALUE"""),"WR38")</f>
        <v>WR38</v>
      </c>
      <c r="F116" s="5" t="str">
        <f>IFERROR(__xludf.DUMMYFUNCTION("""COMPUTED_VALUE"""),"TEN")</f>
        <v>TEN</v>
      </c>
      <c r="G116" s="5">
        <f>IFERROR(__xludf.DUMMYFUNCTION("""COMPUTED_VALUE"""),7.0)</f>
        <v>7</v>
      </c>
      <c r="H116" s="5">
        <f>IFERROR(__xludf.DUMMYFUNCTION("""COMPUTED_VALUE"""),0.0)</f>
        <v>0</v>
      </c>
      <c r="I116" s="5">
        <f>IFERROR(__xludf.DUMMYFUNCTION("""COMPUTED_VALUE"""),0.0)</f>
        <v>0</v>
      </c>
      <c r="J116" s="5">
        <f>IFERROR(__xludf.DUMMYFUNCTION("""COMPUTED_VALUE"""),0.0)</f>
        <v>0</v>
      </c>
      <c r="K116" s="5">
        <f>IFERROR(__xludf.DUMMYFUNCTION("""COMPUTED_VALUE"""),40.0)</f>
        <v>40</v>
      </c>
      <c r="L116" s="5">
        <f>IFERROR(__xludf.DUMMYFUNCTION("""COMPUTED_VALUE"""),0.2)</f>
        <v>0.2</v>
      </c>
      <c r="M116" s="5">
        <f>IFERROR(__xludf.DUMMYFUNCTION("""COMPUTED_VALUE"""),58.0)</f>
        <v>58</v>
      </c>
      <c r="N116" s="5">
        <f>IFERROR(__xludf.DUMMYFUNCTION("""COMPUTED_VALUE"""),783.0)</f>
        <v>783</v>
      </c>
      <c r="O116" s="5">
        <f>IFERROR(__xludf.DUMMYFUNCTION("""COMPUTED_VALUE"""),4.1)</f>
        <v>4.1</v>
      </c>
      <c r="P116" s="5">
        <f>IFERROR(__xludf.DUMMYFUNCTION("""COMPUTED_VALUE"""),137.2)</f>
        <v>137.2</v>
      </c>
    </row>
    <row r="117">
      <c r="A117" s="19" t="str">
        <f>vlookup(B117,'Player Codes'!A:D,4,)</f>
        <v>0279</v>
      </c>
      <c r="B117" s="21" t="s">
        <v>337</v>
      </c>
      <c r="C117" s="5">
        <f>IFERROR(__xludf.DUMMYFUNCTION("""COMPUTED_VALUE"""),113.0)</f>
        <v>113</v>
      </c>
      <c r="D117" s="5" t="str">
        <f>IFERROR(__xludf.DUMMYFUNCTION("""COMPUTED_VALUE"""),"Riley Patterson")</f>
        <v>Riley Patterson</v>
      </c>
      <c r="E117" s="5" t="str">
        <f>IFERROR(__xludf.DUMMYFUNCTION("""COMPUTED_VALUE"""),"K11")</f>
        <v>K11</v>
      </c>
      <c r="F117" s="5" t="str">
        <f>IFERROR(__xludf.DUMMYFUNCTION("""COMPUTED_VALUE"""),"DET")</f>
        <v>DET</v>
      </c>
      <c r="G117" s="5">
        <f>IFERROR(__xludf.DUMMYFUNCTION("""COMPUTED_VALUE"""),9.0)</f>
        <v>9</v>
      </c>
      <c r="H117" s="5" t="str">
        <f>IFERROR(__xludf.DUMMYFUNCTION("""COMPUTED_VALUE"""),"--")</f>
        <v>--</v>
      </c>
      <c r="I117" s="5" t="str">
        <f>IFERROR(__xludf.DUMMYFUNCTION("""COMPUTED_VALUE"""),"--")</f>
        <v>--</v>
      </c>
      <c r="J117" s="5" t="str">
        <f>IFERROR(__xludf.DUMMYFUNCTION("""COMPUTED_VALUE"""),"--")</f>
        <v>--</v>
      </c>
      <c r="K117" s="5" t="str">
        <f>IFERROR(__xludf.DUMMYFUNCTION("""COMPUTED_VALUE"""),"--")</f>
        <v>--</v>
      </c>
      <c r="L117" s="5" t="str">
        <f>IFERROR(__xludf.DUMMYFUNCTION("""COMPUTED_VALUE"""),"--")</f>
        <v>--</v>
      </c>
      <c r="M117" s="5" t="str">
        <f>IFERROR(__xludf.DUMMYFUNCTION("""COMPUTED_VALUE"""),"--")</f>
        <v>--</v>
      </c>
      <c r="N117" s="5" t="str">
        <f>IFERROR(__xludf.DUMMYFUNCTION("""COMPUTED_VALUE"""),"--")</f>
        <v>--</v>
      </c>
      <c r="O117" s="5" t="str">
        <f>IFERROR(__xludf.DUMMYFUNCTION("""COMPUTED_VALUE"""),"--")</f>
        <v>--</v>
      </c>
      <c r="P117" s="5">
        <f>IFERROR(__xludf.DUMMYFUNCTION("""COMPUTED_VALUE"""),137.0)</f>
        <v>137</v>
      </c>
    </row>
    <row r="118">
      <c r="A118" s="19" t="str">
        <f>vlookup(B118,'Player Codes'!A:D,4,)</f>
        <v>0248</v>
      </c>
      <c r="B118" s="21" t="s">
        <v>582</v>
      </c>
      <c r="C118" s="5">
        <f>IFERROR(__xludf.DUMMYFUNCTION("""COMPUTED_VALUE"""),114.0)</f>
        <v>114</v>
      </c>
      <c r="D118" s="5" t="str">
        <f>IFERROR(__xludf.DUMMYFUNCTION("""COMPUTED_VALUE"""),"Jake Moody")</f>
        <v>Jake Moody</v>
      </c>
      <c r="E118" s="5" t="str">
        <f>IFERROR(__xludf.DUMMYFUNCTION("""COMPUTED_VALUE"""),"K12")</f>
        <v>K12</v>
      </c>
      <c r="F118" s="5" t="str">
        <f>IFERROR(__xludf.DUMMYFUNCTION("""COMPUTED_VALUE"""),"SF")</f>
        <v>SF</v>
      </c>
      <c r="G118" s="5">
        <f>IFERROR(__xludf.DUMMYFUNCTION("""COMPUTED_VALUE"""),9.0)</f>
        <v>9</v>
      </c>
      <c r="H118" s="5" t="str">
        <f>IFERROR(__xludf.DUMMYFUNCTION("""COMPUTED_VALUE"""),"--")</f>
        <v>--</v>
      </c>
      <c r="I118" s="5" t="str">
        <f>IFERROR(__xludf.DUMMYFUNCTION("""COMPUTED_VALUE"""),"--")</f>
        <v>--</v>
      </c>
      <c r="J118" s="5" t="str">
        <f>IFERROR(__xludf.DUMMYFUNCTION("""COMPUTED_VALUE"""),"--")</f>
        <v>--</v>
      </c>
      <c r="K118" s="5" t="str">
        <f>IFERROR(__xludf.DUMMYFUNCTION("""COMPUTED_VALUE"""),"--")</f>
        <v>--</v>
      </c>
      <c r="L118" s="5" t="str">
        <f>IFERROR(__xludf.DUMMYFUNCTION("""COMPUTED_VALUE"""),"--")</f>
        <v>--</v>
      </c>
      <c r="M118" s="5" t="str">
        <f>IFERROR(__xludf.DUMMYFUNCTION("""COMPUTED_VALUE"""),"--")</f>
        <v>--</v>
      </c>
      <c r="N118" s="5" t="str">
        <f>IFERROR(__xludf.DUMMYFUNCTION("""COMPUTED_VALUE"""),"--")</f>
        <v>--</v>
      </c>
      <c r="O118" s="5" t="str">
        <f>IFERROR(__xludf.DUMMYFUNCTION("""COMPUTED_VALUE"""),"--")</f>
        <v>--</v>
      </c>
      <c r="P118" s="5">
        <f>IFERROR(__xludf.DUMMYFUNCTION("""COMPUTED_VALUE"""),136.4)</f>
        <v>136.4</v>
      </c>
    </row>
    <row r="119">
      <c r="A119" s="19" t="str">
        <f>vlookup(B119,'Player Codes'!A:D,4,)</f>
        <v>0138</v>
      </c>
      <c r="B119" s="21" t="s">
        <v>587</v>
      </c>
      <c r="C119" s="5">
        <f>IFERROR(__xludf.DUMMYFUNCTION("""COMPUTED_VALUE"""),115.0)</f>
        <v>115</v>
      </c>
      <c r="D119" s="5" t="str">
        <f>IFERROR(__xludf.DUMMYFUNCTION("""COMPUTED_VALUE"""),"Brandon McManus")</f>
        <v>Brandon McManus</v>
      </c>
      <c r="E119" s="5" t="str">
        <f>IFERROR(__xludf.DUMMYFUNCTION("""COMPUTED_VALUE"""),"K13")</f>
        <v>K13</v>
      </c>
      <c r="F119" s="5" t="str">
        <f>IFERROR(__xludf.DUMMYFUNCTION("""COMPUTED_VALUE"""),"JAC")</f>
        <v>JAC</v>
      </c>
      <c r="G119" s="5">
        <f>IFERROR(__xludf.DUMMYFUNCTION("""COMPUTED_VALUE"""),9.0)</f>
        <v>9</v>
      </c>
      <c r="H119" s="5" t="str">
        <f>IFERROR(__xludf.DUMMYFUNCTION("""COMPUTED_VALUE"""),"--")</f>
        <v>--</v>
      </c>
      <c r="I119" s="5" t="str">
        <f>IFERROR(__xludf.DUMMYFUNCTION("""COMPUTED_VALUE"""),"--")</f>
        <v>--</v>
      </c>
      <c r="J119" s="5" t="str">
        <f>IFERROR(__xludf.DUMMYFUNCTION("""COMPUTED_VALUE"""),"--")</f>
        <v>--</v>
      </c>
      <c r="K119" s="5" t="str">
        <f>IFERROR(__xludf.DUMMYFUNCTION("""COMPUTED_VALUE"""),"--")</f>
        <v>--</v>
      </c>
      <c r="L119" s="5" t="str">
        <f>IFERROR(__xludf.DUMMYFUNCTION("""COMPUTED_VALUE"""),"--")</f>
        <v>--</v>
      </c>
      <c r="M119" s="5" t="str">
        <f>IFERROR(__xludf.DUMMYFUNCTION("""COMPUTED_VALUE"""),"--")</f>
        <v>--</v>
      </c>
      <c r="N119" s="5" t="str">
        <f>IFERROR(__xludf.DUMMYFUNCTION("""COMPUTED_VALUE"""),"--")</f>
        <v>--</v>
      </c>
      <c r="O119" s="5" t="str">
        <f>IFERROR(__xludf.DUMMYFUNCTION("""COMPUTED_VALUE"""),"--")</f>
        <v>--</v>
      </c>
      <c r="P119" s="5">
        <f>IFERROR(__xludf.DUMMYFUNCTION("""COMPUTED_VALUE"""),136.2)</f>
        <v>136.2</v>
      </c>
    </row>
    <row r="120">
      <c r="A120" s="19" t="str">
        <f>vlookup(B120,'Player Codes'!A:D,4,)</f>
        <v>0025</v>
      </c>
      <c r="B120" s="21" t="s">
        <v>597</v>
      </c>
      <c r="C120" s="5">
        <f>IFERROR(__xludf.DUMMYFUNCTION("""COMPUTED_VALUE"""),116.0)</f>
        <v>116</v>
      </c>
      <c r="D120" s="5" t="str">
        <f>IFERROR(__xludf.DUMMYFUNCTION("""COMPUTED_VALUE"""),"Daniel Carlson")</f>
        <v>Daniel Carlson</v>
      </c>
      <c r="E120" s="5" t="str">
        <f>IFERROR(__xludf.DUMMYFUNCTION("""COMPUTED_VALUE"""),"K14")</f>
        <v>K14</v>
      </c>
      <c r="F120" s="5" t="str">
        <f>IFERROR(__xludf.DUMMYFUNCTION("""COMPUTED_VALUE"""),"LV")</f>
        <v>LV</v>
      </c>
      <c r="G120" s="5">
        <f>IFERROR(__xludf.DUMMYFUNCTION("""COMPUTED_VALUE"""),13.0)</f>
        <v>13</v>
      </c>
      <c r="H120" s="5" t="str">
        <f>IFERROR(__xludf.DUMMYFUNCTION("""COMPUTED_VALUE"""),"--")</f>
        <v>--</v>
      </c>
      <c r="I120" s="5" t="str">
        <f>IFERROR(__xludf.DUMMYFUNCTION("""COMPUTED_VALUE"""),"--")</f>
        <v>--</v>
      </c>
      <c r="J120" s="5" t="str">
        <f>IFERROR(__xludf.DUMMYFUNCTION("""COMPUTED_VALUE"""),"--")</f>
        <v>--</v>
      </c>
      <c r="K120" s="5" t="str">
        <f>IFERROR(__xludf.DUMMYFUNCTION("""COMPUTED_VALUE"""),"--")</f>
        <v>--</v>
      </c>
      <c r="L120" s="5" t="str">
        <f>IFERROR(__xludf.DUMMYFUNCTION("""COMPUTED_VALUE"""),"--")</f>
        <v>--</v>
      </c>
      <c r="M120" s="5" t="str">
        <f>IFERROR(__xludf.DUMMYFUNCTION("""COMPUTED_VALUE"""),"--")</f>
        <v>--</v>
      </c>
      <c r="N120" s="5" t="str">
        <f>IFERROR(__xludf.DUMMYFUNCTION("""COMPUTED_VALUE"""),"--")</f>
        <v>--</v>
      </c>
      <c r="O120" s="5" t="str">
        <f>IFERROR(__xludf.DUMMYFUNCTION("""COMPUTED_VALUE"""),"--")</f>
        <v>--</v>
      </c>
      <c r="P120" s="5">
        <f>IFERROR(__xludf.DUMMYFUNCTION("""COMPUTED_VALUE"""),135.7)</f>
        <v>135.7</v>
      </c>
    </row>
    <row r="121">
      <c r="A121" s="19" t="str">
        <f>vlookup(B121,'Player Codes'!A:D,4,)</f>
        <v>0076</v>
      </c>
      <c r="B121" s="21" t="s">
        <v>600</v>
      </c>
      <c r="C121" s="5">
        <f>IFERROR(__xludf.DUMMYFUNCTION("""COMPUTED_VALUE"""),117.0)</f>
        <v>117</v>
      </c>
      <c r="D121" s="5" t="str">
        <f>IFERROR(__xludf.DUMMYFUNCTION("""COMPUTED_VALUE"""),"Chad Ryland")</f>
        <v>Chad Ryland</v>
      </c>
      <c r="E121" s="5" t="str">
        <f>IFERROR(__xludf.DUMMYFUNCTION("""COMPUTED_VALUE"""),"K15")</f>
        <v>K15</v>
      </c>
      <c r="F121" s="5" t="str">
        <f>IFERROR(__xludf.DUMMYFUNCTION("""COMPUTED_VALUE"""),"NE")</f>
        <v>NE</v>
      </c>
      <c r="G121" s="5">
        <f>IFERROR(__xludf.DUMMYFUNCTION("""COMPUTED_VALUE"""),11.0)</f>
        <v>11</v>
      </c>
      <c r="H121" s="5" t="str">
        <f>IFERROR(__xludf.DUMMYFUNCTION("""COMPUTED_VALUE"""),"--")</f>
        <v>--</v>
      </c>
      <c r="I121" s="5" t="str">
        <f>IFERROR(__xludf.DUMMYFUNCTION("""COMPUTED_VALUE"""),"--")</f>
        <v>--</v>
      </c>
      <c r="J121" s="5" t="str">
        <f>IFERROR(__xludf.DUMMYFUNCTION("""COMPUTED_VALUE"""),"--")</f>
        <v>--</v>
      </c>
      <c r="K121" s="5" t="str">
        <f>IFERROR(__xludf.DUMMYFUNCTION("""COMPUTED_VALUE"""),"--")</f>
        <v>--</v>
      </c>
      <c r="L121" s="5" t="str">
        <f>IFERROR(__xludf.DUMMYFUNCTION("""COMPUTED_VALUE"""),"--")</f>
        <v>--</v>
      </c>
      <c r="M121" s="5" t="str">
        <f>IFERROR(__xludf.DUMMYFUNCTION("""COMPUTED_VALUE"""),"--")</f>
        <v>--</v>
      </c>
      <c r="N121" s="5" t="str">
        <f>IFERROR(__xludf.DUMMYFUNCTION("""COMPUTED_VALUE"""),"--")</f>
        <v>--</v>
      </c>
      <c r="O121" s="5" t="str">
        <f>IFERROR(__xludf.DUMMYFUNCTION("""COMPUTED_VALUE"""),"--")</f>
        <v>--</v>
      </c>
      <c r="P121" s="5">
        <f>IFERROR(__xludf.DUMMYFUNCTION("""COMPUTED_VALUE"""),134.5)</f>
        <v>134.5</v>
      </c>
    </row>
    <row r="122">
      <c r="A122" s="19" t="str">
        <f>vlookup(B122,'Player Codes'!A:D,4,)</f>
        <v>0229</v>
      </c>
      <c r="B122" s="21" t="s">
        <v>606</v>
      </c>
      <c r="C122" s="5">
        <f>IFERROR(__xludf.DUMMYFUNCTION("""COMPUTED_VALUE"""),118.0)</f>
        <v>118</v>
      </c>
      <c r="D122" s="5" t="str">
        <f>IFERROR(__xludf.DUMMYFUNCTION("""COMPUTED_VALUE"""),"Elijah Moore")</f>
        <v>Elijah Moore</v>
      </c>
      <c r="E122" s="5" t="str">
        <f>IFERROR(__xludf.DUMMYFUNCTION("""COMPUTED_VALUE"""),"WR39")</f>
        <v>WR39</v>
      </c>
      <c r="F122" s="5" t="str">
        <f>IFERROR(__xludf.DUMMYFUNCTION("""COMPUTED_VALUE"""),"CLE")</f>
        <v>CLE</v>
      </c>
      <c r="G122" s="5">
        <f>IFERROR(__xludf.DUMMYFUNCTION("""COMPUTED_VALUE"""),5.0)</f>
        <v>5</v>
      </c>
      <c r="H122" s="5">
        <f>IFERROR(__xludf.DUMMYFUNCTION("""COMPUTED_VALUE"""),0.0)</f>
        <v>0</v>
      </c>
      <c r="I122" s="5">
        <f>IFERROR(__xludf.DUMMYFUNCTION("""COMPUTED_VALUE"""),0.0)</f>
        <v>0</v>
      </c>
      <c r="J122" s="5">
        <f>IFERROR(__xludf.DUMMYFUNCTION("""COMPUTED_VALUE"""),0.0)</f>
        <v>0</v>
      </c>
      <c r="K122" s="5">
        <f>IFERROR(__xludf.DUMMYFUNCTION("""COMPUTED_VALUE"""),16.0)</f>
        <v>16</v>
      </c>
      <c r="L122" s="5">
        <f>IFERROR(__xludf.DUMMYFUNCTION("""COMPUTED_VALUE"""),0.1)</f>
        <v>0.1</v>
      </c>
      <c r="M122" s="5">
        <f>IFERROR(__xludf.DUMMYFUNCTION("""COMPUTED_VALUE"""),57.0)</f>
        <v>57</v>
      </c>
      <c r="N122" s="5">
        <f>IFERROR(__xludf.DUMMYFUNCTION("""COMPUTED_VALUE"""),764.0)</f>
        <v>764</v>
      </c>
      <c r="O122" s="5">
        <f>IFERROR(__xludf.DUMMYFUNCTION("""COMPUTED_VALUE"""),4.5)</f>
        <v>4.5</v>
      </c>
      <c r="P122" s="5">
        <f>IFERROR(__xludf.DUMMYFUNCTION("""COMPUTED_VALUE"""),134.3)</f>
        <v>134.3</v>
      </c>
    </row>
    <row r="123">
      <c r="A123" s="19" t="str">
        <f>vlookup(B123,'Player Codes'!A:D,4,)</f>
        <v>0106</v>
      </c>
      <c r="B123" s="21" t="s">
        <v>313</v>
      </c>
      <c r="C123" s="5">
        <f>IFERROR(__xludf.DUMMYFUNCTION("""COMPUTED_VALUE"""),119.0)</f>
        <v>119</v>
      </c>
      <c r="D123" s="5" t="str">
        <f>IFERROR(__xludf.DUMMYFUNCTION("""COMPUTED_VALUE"""),"Jake Elliott")</f>
        <v>Jake Elliott</v>
      </c>
      <c r="E123" s="5" t="str">
        <f>IFERROR(__xludf.DUMMYFUNCTION("""COMPUTED_VALUE"""),"K16")</f>
        <v>K16</v>
      </c>
      <c r="F123" s="5" t="str">
        <f>IFERROR(__xludf.DUMMYFUNCTION("""COMPUTED_VALUE"""),"PHI")</f>
        <v>PHI</v>
      </c>
      <c r="G123" s="5">
        <f>IFERROR(__xludf.DUMMYFUNCTION("""COMPUTED_VALUE"""),10.0)</f>
        <v>10</v>
      </c>
      <c r="H123" s="5" t="str">
        <f>IFERROR(__xludf.DUMMYFUNCTION("""COMPUTED_VALUE"""),"--")</f>
        <v>--</v>
      </c>
      <c r="I123" s="5" t="str">
        <f>IFERROR(__xludf.DUMMYFUNCTION("""COMPUTED_VALUE"""),"--")</f>
        <v>--</v>
      </c>
      <c r="J123" s="5" t="str">
        <f>IFERROR(__xludf.DUMMYFUNCTION("""COMPUTED_VALUE"""),"--")</f>
        <v>--</v>
      </c>
      <c r="K123" s="5" t="str">
        <f>IFERROR(__xludf.DUMMYFUNCTION("""COMPUTED_VALUE"""),"--")</f>
        <v>--</v>
      </c>
      <c r="L123" s="5" t="str">
        <f>IFERROR(__xludf.DUMMYFUNCTION("""COMPUTED_VALUE"""),"--")</f>
        <v>--</v>
      </c>
      <c r="M123" s="5" t="str">
        <f>IFERROR(__xludf.DUMMYFUNCTION("""COMPUTED_VALUE"""),"--")</f>
        <v>--</v>
      </c>
      <c r="N123" s="5" t="str">
        <f>IFERROR(__xludf.DUMMYFUNCTION("""COMPUTED_VALUE"""),"--")</f>
        <v>--</v>
      </c>
      <c r="O123" s="5" t="str">
        <f>IFERROR(__xludf.DUMMYFUNCTION("""COMPUTED_VALUE"""),"--")</f>
        <v>--</v>
      </c>
      <c r="P123" s="5">
        <f>IFERROR(__xludf.DUMMYFUNCTION("""COMPUTED_VALUE"""),133.7)</f>
        <v>133.7</v>
      </c>
    </row>
    <row r="124">
      <c r="A124" s="19" t="str">
        <f>vlookup(B124,'Player Codes'!A:D,4,)</f>
        <v>0136</v>
      </c>
      <c r="B124" s="21" t="s">
        <v>609</v>
      </c>
      <c r="C124" s="5">
        <f>IFERROR(__xludf.DUMMYFUNCTION("""COMPUTED_VALUE"""),120.0)</f>
        <v>120</v>
      </c>
      <c r="D124" s="5" t="str">
        <f>IFERROR(__xludf.DUMMYFUNCTION("""COMPUTED_VALUE"""),"Brian Robinson")</f>
        <v>Brian Robinson</v>
      </c>
      <c r="E124" s="5" t="str">
        <f>IFERROR(__xludf.DUMMYFUNCTION("""COMPUTED_VALUE"""),"RB28")</f>
        <v>RB28</v>
      </c>
      <c r="F124" s="5" t="str">
        <f>IFERROR(__xludf.DUMMYFUNCTION("""COMPUTED_VALUE"""),"WAS")</f>
        <v>WAS</v>
      </c>
      <c r="G124" s="5">
        <f>IFERROR(__xludf.DUMMYFUNCTION("""COMPUTED_VALUE"""),14.0)</f>
        <v>14</v>
      </c>
      <c r="H124" s="5">
        <f>IFERROR(__xludf.DUMMYFUNCTION("""COMPUTED_VALUE"""),0.0)</f>
        <v>0</v>
      </c>
      <c r="I124" s="5">
        <f>IFERROR(__xludf.DUMMYFUNCTION("""COMPUTED_VALUE"""),0.0)</f>
        <v>0</v>
      </c>
      <c r="J124" s="5">
        <f>IFERROR(__xludf.DUMMYFUNCTION("""COMPUTED_VALUE"""),0.0)</f>
        <v>0</v>
      </c>
      <c r="K124" s="5">
        <f>IFERROR(__xludf.DUMMYFUNCTION("""COMPUTED_VALUE"""),819.0)</f>
        <v>819</v>
      </c>
      <c r="L124" s="5">
        <f>IFERROR(__xludf.DUMMYFUNCTION("""COMPUTED_VALUE"""),5.8)</f>
        <v>5.8</v>
      </c>
      <c r="M124" s="5">
        <f>IFERROR(__xludf.DUMMYFUNCTION("""COMPUTED_VALUE"""),12.0)</f>
        <v>12</v>
      </c>
      <c r="N124" s="5">
        <f>IFERROR(__xludf.DUMMYFUNCTION("""COMPUTED_VALUE"""),89.0)</f>
        <v>89</v>
      </c>
      <c r="O124" s="5">
        <f>IFERROR(__xludf.DUMMYFUNCTION("""COMPUTED_VALUE"""),0.3)</f>
        <v>0.3</v>
      </c>
      <c r="P124" s="5">
        <f>IFERROR(__xludf.DUMMYFUNCTION("""COMPUTED_VALUE"""),133.6)</f>
        <v>133.6</v>
      </c>
    </row>
    <row r="125">
      <c r="A125" s="19" t="str">
        <f>vlookup(B125,'Player Codes'!A:D,4,)</f>
        <v>0028</v>
      </c>
      <c r="B125" s="21" t="s">
        <v>298</v>
      </c>
      <c r="C125" s="5">
        <f>IFERROR(__xludf.DUMMYFUNCTION("""COMPUTED_VALUE"""),121.0)</f>
        <v>121</v>
      </c>
      <c r="D125" s="5" t="str">
        <f>IFERROR(__xludf.DUMMYFUNCTION("""COMPUTED_VALUE"""),"Younghoe Koo")</f>
        <v>Younghoe Koo</v>
      </c>
      <c r="E125" s="5" t="str">
        <f>IFERROR(__xludf.DUMMYFUNCTION("""COMPUTED_VALUE"""),"K17")</f>
        <v>K17</v>
      </c>
      <c r="F125" s="5" t="str">
        <f>IFERROR(__xludf.DUMMYFUNCTION("""COMPUTED_VALUE"""),"ATL")</f>
        <v>ATL</v>
      </c>
      <c r="G125" s="5">
        <f>IFERROR(__xludf.DUMMYFUNCTION("""COMPUTED_VALUE"""),11.0)</f>
        <v>11</v>
      </c>
      <c r="H125" s="5" t="str">
        <f>IFERROR(__xludf.DUMMYFUNCTION("""COMPUTED_VALUE"""),"--")</f>
        <v>--</v>
      </c>
      <c r="I125" s="5" t="str">
        <f>IFERROR(__xludf.DUMMYFUNCTION("""COMPUTED_VALUE"""),"--")</f>
        <v>--</v>
      </c>
      <c r="J125" s="5" t="str">
        <f>IFERROR(__xludf.DUMMYFUNCTION("""COMPUTED_VALUE"""),"--")</f>
        <v>--</v>
      </c>
      <c r="K125" s="5" t="str">
        <f>IFERROR(__xludf.DUMMYFUNCTION("""COMPUTED_VALUE"""),"--")</f>
        <v>--</v>
      </c>
      <c r="L125" s="5" t="str">
        <f>IFERROR(__xludf.DUMMYFUNCTION("""COMPUTED_VALUE"""),"--")</f>
        <v>--</v>
      </c>
      <c r="M125" s="5" t="str">
        <f>IFERROR(__xludf.DUMMYFUNCTION("""COMPUTED_VALUE"""),"--")</f>
        <v>--</v>
      </c>
      <c r="N125" s="5" t="str">
        <f>IFERROR(__xludf.DUMMYFUNCTION("""COMPUTED_VALUE"""),"--")</f>
        <v>--</v>
      </c>
      <c r="O125" s="5" t="str">
        <f>IFERROR(__xludf.DUMMYFUNCTION("""COMPUTED_VALUE"""),"--")</f>
        <v>--</v>
      </c>
      <c r="P125" s="5">
        <f>IFERROR(__xludf.DUMMYFUNCTION("""COMPUTED_VALUE"""),133.5)</f>
        <v>133.5</v>
      </c>
    </row>
    <row r="126">
      <c r="A126" s="19" t="str">
        <f>vlookup(B126,'Player Codes'!A:D,4,)</f>
        <v>0295</v>
      </c>
      <c r="B126" s="21" t="s">
        <v>612</v>
      </c>
      <c r="C126" s="5">
        <f>IFERROR(__xludf.DUMMYFUNCTION("""COMPUTED_VALUE"""),121.0)</f>
        <v>121</v>
      </c>
      <c r="D126" s="5" t="str">
        <f>IFERROR(__xludf.DUMMYFUNCTION("""COMPUTED_VALUE"""),"Rachaad White")</f>
        <v>Rachaad White</v>
      </c>
      <c r="E126" s="5" t="str">
        <f>IFERROR(__xludf.DUMMYFUNCTION("""COMPUTED_VALUE"""),"RB29")</f>
        <v>RB29</v>
      </c>
      <c r="F126" s="5" t="str">
        <f>IFERROR(__xludf.DUMMYFUNCTION("""COMPUTED_VALUE"""),"TB")</f>
        <v>TB</v>
      </c>
      <c r="G126" s="5">
        <f>IFERROR(__xludf.DUMMYFUNCTION("""COMPUTED_VALUE"""),5.0)</f>
        <v>5</v>
      </c>
      <c r="H126" s="5">
        <f>IFERROR(__xludf.DUMMYFUNCTION("""COMPUTED_VALUE"""),0.0)</f>
        <v>0</v>
      </c>
      <c r="I126" s="5">
        <f>IFERROR(__xludf.DUMMYFUNCTION("""COMPUTED_VALUE"""),0.0)</f>
        <v>0</v>
      </c>
      <c r="J126" s="5">
        <f>IFERROR(__xludf.DUMMYFUNCTION("""COMPUTED_VALUE"""),0.0)</f>
        <v>0</v>
      </c>
      <c r="K126" s="5">
        <f>IFERROR(__xludf.DUMMYFUNCTION("""COMPUTED_VALUE"""),607.0)</f>
        <v>607</v>
      </c>
      <c r="L126" s="5">
        <f>IFERROR(__xludf.DUMMYFUNCTION("""COMPUTED_VALUE"""),4.3)</f>
        <v>4.3</v>
      </c>
      <c r="M126" s="5">
        <f>IFERROR(__xludf.DUMMYFUNCTION("""COMPUTED_VALUE"""),34.0)</f>
        <v>34</v>
      </c>
      <c r="N126" s="5">
        <f>IFERROR(__xludf.DUMMYFUNCTION("""COMPUTED_VALUE"""),251.0)</f>
        <v>251</v>
      </c>
      <c r="O126" s="5">
        <f>IFERROR(__xludf.DUMMYFUNCTION("""COMPUTED_VALUE"""),0.8)</f>
        <v>0.8</v>
      </c>
      <c r="P126" s="5">
        <f>IFERROR(__xludf.DUMMYFUNCTION("""COMPUTED_VALUE"""),133.5)</f>
        <v>133.5</v>
      </c>
    </row>
    <row r="127">
      <c r="A127" s="19" t="str">
        <f>vlookup(B127,'Player Codes'!A:D,4,)</f>
        <v>0240</v>
      </c>
      <c r="B127" s="21" t="s">
        <v>254</v>
      </c>
      <c r="C127" s="5">
        <f>IFERROR(__xludf.DUMMYFUNCTION("""COMPUTED_VALUE"""),123.0)</f>
        <v>123</v>
      </c>
      <c r="D127" s="5" t="str">
        <f>IFERROR(__xludf.DUMMYFUNCTION("""COMPUTED_VALUE"""),"Blake Grupe")</f>
        <v>Blake Grupe</v>
      </c>
      <c r="E127" s="5" t="str">
        <f>IFERROR(__xludf.DUMMYFUNCTION("""COMPUTED_VALUE"""),"K18")</f>
        <v>K18</v>
      </c>
      <c r="F127" s="5" t="str">
        <f>IFERROR(__xludf.DUMMYFUNCTION("""COMPUTED_VALUE"""),"NO")</f>
        <v>NO</v>
      </c>
      <c r="G127" s="5">
        <f>IFERROR(__xludf.DUMMYFUNCTION("""COMPUTED_VALUE"""),11.0)</f>
        <v>11</v>
      </c>
      <c r="H127" s="5" t="str">
        <f>IFERROR(__xludf.DUMMYFUNCTION("""COMPUTED_VALUE"""),"--")</f>
        <v>--</v>
      </c>
      <c r="I127" s="5" t="str">
        <f>IFERROR(__xludf.DUMMYFUNCTION("""COMPUTED_VALUE"""),"--")</f>
        <v>--</v>
      </c>
      <c r="J127" s="5" t="str">
        <f>IFERROR(__xludf.DUMMYFUNCTION("""COMPUTED_VALUE"""),"--")</f>
        <v>--</v>
      </c>
      <c r="K127" s="5" t="str">
        <f>IFERROR(__xludf.DUMMYFUNCTION("""COMPUTED_VALUE"""),"--")</f>
        <v>--</v>
      </c>
      <c r="L127" s="5" t="str">
        <f>IFERROR(__xludf.DUMMYFUNCTION("""COMPUTED_VALUE"""),"--")</f>
        <v>--</v>
      </c>
      <c r="M127" s="5" t="str">
        <f>IFERROR(__xludf.DUMMYFUNCTION("""COMPUTED_VALUE"""),"--")</f>
        <v>--</v>
      </c>
      <c r="N127" s="5" t="str">
        <f>IFERROR(__xludf.DUMMYFUNCTION("""COMPUTED_VALUE"""),"--")</f>
        <v>--</v>
      </c>
      <c r="O127" s="5" t="str">
        <f>IFERROR(__xludf.DUMMYFUNCTION("""COMPUTED_VALUE"""),"--")</f>
        <v>--</v>
      </c>
      <c r="P127" s="5">
        <f>IFERROR(__xludf.DUMMYFUNCTION("""COMPUTED_VALUE"""),132.6)</f>
        <v>132.6</v>
      </c>
    </row>
    <row r="128">
      <c r="A128" s="19" t="str">
        <f>vlookup(B128,'Player Codes'!A:D,4,)</f>
        <v>0294</v>
      </c>
      <c r="B128" s="21" t="s">
        <v>615</v>
      </c>
      <c r="C128" s="5">
        <f>IFERROR(__xludf.DUMMYFUNCTION("""COMPUTED_VALUE"""),124.0)</f>
        <v>124</v>
      </c>
      <c r="D128" s="5" t="str">
        <f>IFERROR(__xludf.DUMMYFUNCTION("""COMPUTED_VALUE"""),"Dustin Hopkins")</f>
        <v>Dustin Hopkins</v>
      </c>
      <c r="E128" s="5" t="str">
        <f>IFERROR(__xludf.DUMMYFUNCTION("""COMPUTED_VALUE"""),"K19")</f>
        <v>K19</v>
      </c>
      <c r="F128" s="5" t="str">
        <f>IFERROR(__xludf.DUMMYFUNCTION("""COMPUTED_VALUE"""),"CLE")</f>
        <v>CLE</v>
      </c>
      <c r="G128" s="5">
        <f>IFERROR(__xludf.DUMMYFUNCTION("""COMPUTED_VALUE"""),5.0)</f>
        <v>5</v>
      </c>
      <c r="H128" s="5" t="str">
        <f>IFERROR(__xludf.DUMMYFUNCTION("""COMPUTED_VALUE"""),"--")</f>
        <v>--</v>
      </c>
      <c r="I128" s="5" t="str">
        <f>IFERROR(__xludf.DUMMYFUNCTION("""COMPUTED_VALUE"""),"--")</f>
        <v>--</v>
      </c>
      <c r="J128" s="5" t="str">
        <f>IFERROR(__xludf.DUMMYFUNCTION("""COMPUTED_VALUE"""),"--")</f>
        <v>--</v>
      </c>
      <c r="K128" s="5" t="str">
        <f>IFERROR(__xludf.DUMMYFUNCTION("""COMPUTED_VALUE"""),"--")</f>
        <v>--</v>
      </c>
      <c r="L128" s="5" t="str">
        <f>IFERROR(__xludf.DUMMYFUNCTION("""COMPUTED_VALUE"""),"--")</f>
        <v>--</v>
      </c>
      <c r="M128" s="5" t="str">
        <f>IFERROR(__xludf.DUMMYFUNCTION("""COMPUTED_VALUE"""),"--")</f>
        <v>--</v>
      </c>
      <c r="N128" s="5" t="str">
        <f>IFERROR(__xludf.DUMMYFUNCTION("""COMPUTED_VALUE"""),"--")</f>
        <v>--</v>
      </c>
      <c r="O128" s="5" t="str">
        <f>IFERROR(__xludf.DUMMYFUNCTION("""COMPUTED_VALUE"""),"--")</f>
        <v>--</v>
      </c>
      <c r="P128" s="5">
        <f>IFERROR(__xludf.DUMMYFUNCTION("""COMPUTED_VALUE"""),132.4)</f>
        <v>132.4</v>
      </c>
    </row>
    <row r="129">
      <c r="A129" s="19" t="str">
        <f>vlookup(B129,'Player Codes'!A:D,4,)</f>
        <v>0010</v>
      </c>
      <c r="B129" s="21" t="s">
        <v>205</v>
      </c>
      <c r="C129" s="5">
        <f>IFERROR(__xludf.DUMMYFUNCTION("""COMPUTED_VALUE"""),124.0)</f>
        <v>124</v>
      </c>
      <c r="D129" s="5" t="str">
        <f>IFERROR(__xludf.DUMMYFUNCTION("""COMPUTED_VALUE"""),"Alvin Kamara")</f>
        <v>Alvin Kamara</v>
      </c>
      <c r="E129" s="5" t="str">
        <f>IFERROR(__xludf.DUMMYFUNCTION("""COMPUTED_VALUE"""),"RB30")</f>
        <v>RB30</v>
      </c>
      <c r="F129" s="5" t="str">
        <f>IFERROR(__xludf.DUMMYFUNCTION("""COMPUTED_VALUE"""),"NO")</f>
        <v>NO</v>
      </c>
      <c r="G129" s="5">
        <f>IFERROR(__xludf.DUMMYFUNCTION("""COMPUTED_VALUE"""),11.0)</f>
        <v>11</v>
      </c>
      <c r="H129" s="5">
        <f>IFERROR(__xludf.DUMMYFUNCTION("""COMPUTED_VALUE"""),0.0)</f>
        <v>0</v>
      </c>
      <c r="I129" s="5">
        <f>IFERROR(__xludf.DUMMYFUNCTION("""COMPUTED_VALUE"""),0.0)</f>
        <v>0</v>
      </c>
      <c r="J129" s="5">
        <f>IFERROR(__xludf.DUMMYFUNCTION("""COMPUTED_VALUE"""),0.0)</f>
        <v>0</v>
      </c>
      <c r="K129" s="5">
        <f>IFERROR(__xludf.DUMMYFUNCTION("""COMPUTED_VALUE"""),475.0)</f>
        <v>475</v>
      </c>
      <c r="L129" s="5">
        <f>IFERROR(__xludf.DUMMYFUNCTION("""COMPUTED_VALUE"""),2.7)</f>
        <v>2.7</v>
      </c>
      <c r="M129" s="5">
        <f>IFERROR(__xludf.DUMMYFUNCTION("""COMPUTED_VALUE"""),44.0)</f>
        <v>44</v>
      </c>
      <c r="N129" s="5">
        <f>IFERROR(__xludf.DUMMYFUNCTION("""COMPUTED_VALUE"""),343.0)</f>
        <v>343</v>
      </c>
      <c r="O129" s="5">
        <f>IFERROR(__xludf.DUMMYFUNCTION("""COMPUTED_VALUE"""),2.1)</f>
        <v>2.1</v>
      </c>
      <c r="P129" s="5">
        <f>IFERROR(__xludf.DUMMYFUNCTION("""COMPUTED_VALUE"""),132.4)</f>
        <v>132.4</v>
      </c>
    </row>
    <row r="130">
      <c r="A130" s="19" t="str">
        <f>vlookup(B130,'Player Codes'!A:D,4,)</f>
        <v>0034</v>
      </c>
      <c r="B130" s="21" t="s">
        <v>617</v>
      </c>
      <c r="C130" s="5">
        <f>IFERROR(__xludf.DUMMYFUNCTION("""COMPUTED_VALUE"""),126.0)</f>
        <v>126</v>
      </c>
      <c r="D130" s="5" t="str">
        <f>IFERROR(__xludf.DUMMYFUNCTION("""COMPUTED_VALUE"""),"Dallas Cowboys")</f>
        <v>Dallas Cowboys</v>
      </c>
      <c r="E130" s="5" t="str">
        <f>IFERROR(__xludf.DUMMYFUNCTION("""COMPUTED_VALUE"""),"DST1")</f>
        <v>DST1</v>
      </c>
      <c r="F130" s="5" t="str">
        <f>IFERROR(__xludf.DUMMYFUNCTION("""COMPUTED_VALUE"""),"DAL")</f>
        <v>DAL</v>
      </c>
      <c r="G130" s="5">
        <f>IFERROR(__xludf.DUMMYFUNCTION("""COMPUTED_VALUE"""),7.0)</f>
        <v>7</v>
      </c>
      <c r="H130" s="5" t="str">
        <f>IFERROR(__xludf.DUMMYFUNCTION("""COMPUTED_VALUE"""),"--")</f>
        <v>--</v>
      </c>
      <c r="I130" s="5" t="str">
        <f>IFERROR(__xludf.DUMMYFUNCTION("""COMPUTED_VALUE"""),"--")</f>
        <v>--</v>
      </c>
      <c r="J130" s="5" t="str">
        <f>IFERROR(__xludf.DUMMYFUNCTION("""COMPUTED_VALUE"""),"--")</f>
        <v>--</v>
      </c>
      <c r="K130" s="5" t="str">
        <f>IFERROR(__xludf.DUMMYFUNCTION("""COMPUTED_VALUE"""),"--")</f>
        <v>--</v>
      </c>
      <c r="L130" s="5" t="str">
        <f>IFERROR(__xludf.DUMMYFUNCTION("""COMPUTED_VALUE"""),"--")</f>
        <v>--</v>
      </c>
      <c r="M130" s="5" t="str">
        <f>IFERROR(__xludf.DUMMYFUNCTION("""COMPUTED_VALUE"""),"--")</f>
        <v>--</v>
      </c>
      <c r="N130" s="5" t="str">
        <f>IFERROR(__xludf.DUMMYFUNCTION("""COMPUTED_VALUE"""),"--")</f>
        <v>--</v>
      </c>
      <c r="O130" s="5" t="str">
        <f>IFERROR(__xludf.DUMMYFUNCTION("""COMPUTED_VALUE"""),"--")</f>
        <v>--</v>
      </c>
      <c r="P130" s="5">
        <f>IFERROR(__xludf.DUMMYFUNCTION("""COMPUTED_VALUE"""),132.3)</f>
        <v>132.3</v>
      </c>
    </row>
    <row r="131">
      <c r="A131" s="19" t="str">
        <f>vlookup(B131,'Player Codes'!A:D,4,)</f>
        <v>0069</v>
      </c>
      <c r="B131" s="23" t="s">
        <v>2314</v>
      </c>
      <c r="C131" s="5">
        <f>IFERROR(__xludf.DUMMYFUNCTION("""COMPUTED_VALUE"""),127.0)</f>
        <v>127</v>
      </c>
      <c r="D131" s="5" t="str">
        <f>IFERROR(__xludf.DUMMYFUNCTION("""COMPUTED_VALUE"""),"Chase McLaughlin")</f>
        <v>Chase McLaughlin</v>
      </c>
      <c r="E131" s="5" t="str">
        <f>IFERROR(__xludf.DUMMYFUNCTION("""COMPUTED_VALUE"""),"K20")</f>
        <v>K20</v>
      </c>
      <c r="F131" s="5" t="str">
        <f>IFERROR(__xludf.DUMMYFUNCTION("""COMPUTED_VALUE"""),"TB")</f>
        <v>TB</v>
      </c>
      <c r="G131" s="5">
        <f>IFERROR(__xludf.DUMMYFUNCTION("""COMPUTED_VALUE"""),5.0)</f>
        <v>5</v>
      </c>
      <c r="H131" s="5" t="str">
        <f>IFERROR(__xludf.DUMMYFUNCTION("""COMPUTED_VALUE"""),"--")</f>
        <v>--</v>
      </c>
      <c r="I131" s="5" t="str">
        <f>IFERROR(__xludf.DUMMYFUNCTION("""COMPUTED_VALUE"""),"--")</f>
        <v>--</v>
      </c>
      <c r="J131" s="5" t="str">
        <f>IFERROR(__xludf.DUMMYFUNCTION("""COMPUTED_VALUE"""),"--")</f>
        <v>--</v>
      </c>
      <c r="K131" s="5" t="str">
        <f>IFERROR(__xludf.DUMMYFUNCTION("""COMPUTED_VALUE"""),"--")</f>
        <v>--</v>
      </c>
      <c r="L131" s="5" t="str">
        <f>IFERROR(__xludf.DUMMYFUNCTION("""COMPUTED_VALUE"""),"--")</f>
        <v>--</v>
      </c>
      <c r="M131" s="5" t="str">
        <f>IFERROR(__xludf.DUMMYFUNCTION("""COMPUTED_VALUE"""),"--")</f>
        <v>--</v>
      </c>
      <c r="N131" s="5" t="str">
        <f>IFERROR(__xludf.DUMMYFUNCTION("""COMPUTED_VALUE"""),"--")</f>
        <v>--</v>
      </c>
      <c r="O131" s="5" t="str">
        <f>IFERROR(__xludf.DUMMYFUNCTION("""COMPUTED_VALUE"""),"--")</f>
        <v>--</v>
      </c>
      <c r="P131" s="5">
        <f>IFERROR(__xludf.DUMMYFUNCTION("""COMPUTED_VALUE"""),131.4)</f>
        <v>131.4</v>
      </c>
    </row>
    <row r="132">
      <c r="A132" s="19" t="str">
        <f>vlookup(B132,'Player Codes'!A:D,4,)</f>
        <v>0027</v>
      </c>
      <c r="B132" s="21" t="s">
        <v>633</v>
      </c>
      <c r="C132" s="5">
        <f>IFERROR(__xludf.DUMMYFUNCTION("""COMPUTED_VALUE"""),128.0)</f>
        <v>128</v>
      </c>
      <c r="D132" s="5" t="str">
        <f>IFERROR(__xludf.DUMMYFUNCTION("""COMPUTED_VALUE"""),"D'Andre Swift")</f>
        <v>D'Andre Swift</v>
      </c>
      <c r="E132" s="5" t="str">
        <f>IFERROR(__xludf.DUMMYFUNCTION("""COMPUTED_VALUE"""),"RB31")</f>
        <v>RB31</v>
      </c>
      <c r="F132" s="5" t="str">
        <f>IFERROR(__xludf.DUMMYFUNCTION("""COMPUTED_VALUE"""),"PHI")</f>
        <v>PHI</v>
      </c>
      <c r="G132" s="5">
        <f>IFERROR(__xludf.DUMMYFUNCTION("""COMPUTED_VALUE"""),10.0)</f>
        <v>10</v>
      </c>
      <c r="H132" s="5">
        <f>IFERROR(__xludf.DUMMYFUNCTION("""COMPUTED_VALUE"""),0.0)</f>
        <v>0</v>
      </c>
      <c r="I132" s="5">
        <f>IFERROR(__xludf.DUMMYFUNCTION("""COMPUTED_VALUE"""),0.0)</f>
        <v>0</v>
      </c>
      <c r="J132" s="5">
        <f>IFERROR(__xludf.DUMMYFUNCTION("""COMPUTED_VALUE"""),0.0)</f>
        <v>0</v>
      </c>
      <c r="K132" s="5">
        <f>IFERROR(__xludf.DUMMYFUNCTION("""COMPUTED_VALUE"""),627.0)</f>
        <v>627</v>
      </c>
      <c r="L132" s="5">
        <f>IFERROR(__xludf.DUMMYFUNCTION("""COMPUTED_VALUE"""),4.4)</f>
        <v>4.4</v>
      </c>
      <c r="M132" s="5">
        <f>IFERROR(__xludf.DUMMYFUNCTION("""COMPUTED_VALUE"""),31.0)</f>
        <v>31</v>
      </c>
      <c r="N132" s="5">
        <f>IFERROR(__xludf.DUMMYFUNCTION("""COMPUTED_VALUE"""),233.0)</f>
        <v>233</v>
      </c>
      <c r="O132" s="5">
        <f>IFERROR(__xludf.DUMMYFUNCTION("""COMPUTED_VALUE"""),0.5)</f>
        <v>0.5</v>
      </c>
      <c r="P132" s="5">
        <f>IFERROR(__xludf.DUMMYFUNCTION("""COMPUTED_VALUE"""),131.0)</f>
        <v>131</v>
      </c>
    </row>
    <row r="133">
      <c r="A133" s="19" t="str">
        <f>vlookup(B133,'Player Codes'!A:D,4,)</f>
        <v>0046</v>
      </c>
      <c r="B133" s="21" t="s">
        <v>635</v>
      </c>
      <c r="C133" s="5">
        <f>IFERROR(__xludf.DUMMYFUNCTION("""COMPUTED_VALUE"""),129.0)</f>
        <v>129</v>
      </c>
      <c r="D133" s="5" t="str">
        <f>IFERROR(__xludf.DUMMYFUNCTION("""COMPUTED_VALUE"""),"Brett Maher")</f>
        <v>Brett Maher</v>
      </c>
      <c r="E133" s="5" t="str">
        <f>IFERROR(__xludf.DUMMYFUNCTION("""COMPUTED_VALUE"""),"K21")</f>
        <v>K21</v>
      </c>
      <c r="F133" s="5" t="str">
        <f>IFERROR(__xludf.DUMMYFUNCTION("""COMPUTED_VALUE"""),"LAR")</f>
        <v>LAR</v>
      </c>
      <c r="G133" s="5">
        <f>IFERROR(__xludf.DUMMYFUNCTION("""COMPUTED_VALUE"""),10.0)</f>
        <v>10</v>
      </c>
      <c r="H133" s="5" t="str">
        <f>IFERROR(__xludf.DUMMYFUNCTION("""COMPUTED_VALUE"""),"--")</f>
        <v>--</v>
      </c>
      <c r="I133" s="5" t="str">
        <f>IFERROR(__xludf.DUMMYFUNCTION("""COMPUTED_VALUE"""),"--")</f>
        <v>--</v>
      </c>
      <c r="J133" s="5" t="str">
        <f>IFERROR(__xludf.DUMMYFUNCTION("""COMPUTED_VALUE"""),"--")</f>
        <v>--</v>
      </c>
      <c r="K133" s="5" t="str">
        <f>IFERROR(__xludf.DUMMYFUNCTION("""COMPUTED_VALUE"""),"--")</f>
        <v>--</v>
      </c>
      <c r="L133" s="5" t="str">
        <f>IFERROR(__xludf.DUMMYFUNCTION("""COMPUTED_VALUE"""),"--")</f>
        <v>--</v>
      </c>
      <c r="M133" s="5" t="str">
        <f>IFERROR(__xludf.DUMMYFUNCTION("""COMPUTED_VALUE"""),"--")</f>
        <v>--</v>
      </c>
      <c r="N133" s="5" t="str">
        <f>IFERROR(__xludf.DUMMYFUNCTION("""COMPUTED_VALUE"""),"--")</f>
        <v>--</v>
      </c>
      <c r="O133" s="5" t="str">
        <f>IFERROR(__xludf.DUMMYFUNCTION("""COMPUTED_VALUE"""),"--")</f>
        <v>--</v>
      </c>
      <c r="P133" s="5">
        <f>IFERROR(__xludf.DUMMYFUNCTION("""COMPUTED_VALUE"""),130.7)</f>
        <v>130.7</v>
      </c>
    </row>
    <row r="134">
      <c r="A134" s="19" t="str">
        <f>vlookup(B134,'Player Codes'!A:D,4,)</f>
        <v>0067</v>
      </c>
      <c r="B134" s="21" t="s">
        <v>272</v>
      </c>
      <c r="C134" s="5">
        <f>IFERROR(__xludf.DUMMYFUNCTION("""COMPUTED_VALUE"""),130.0)</f>
        <v>130</v>
      </c>
      <c r="D134" s="5" t="str">
        <f>IFERROR(__xludf.DUMMYFUNCTION("""COMPUTED_VALUE"""),"San Francisco 49ers")</f>
        <v>San Francisco 49ers</v>
      </c>
      <c r="E134" s="5" t="str">
        <f>IFERROR(__xludf.DUMMYFUNCTION("""COMPUTED_VALUE"""),"DST2")</f>
        <v>DST2</v>
      </c>
      <c r="F134" s="5" t="str">
        <f>IFERROR(__xludf.DUMMYFUNCTION("""COMPUTED_VALUE"""),"SF")</f>
        <v>SF</v>
      </c>
      <c r="G134" s="5">
        <f>IFERROR(__xludf.DUMMYFUNCTION("""COMPUTED_VALUE"""),9.0)</f>
        <v>9</v>
      </c>
      <c r="H134" s="5" t="str">
        <f>IFERROR(__xludf.DUMMYFUNCTION("""COMPUTED_VALUE"""),"--")</f>
        <v>--</v>
      </c>
      <c r="I134" s="5" t="str">
        <f>IFERROR(__xludf.DUMMYFUNCTION("""COMPUTED_VALUE"""),"--")</f>
        <v>--</v>
      </c>
      <c r="J134" s="5" t="str">
        <f>IFERROR(__xludf.DUMMYFUNCTION("""COMPUTED_VALUE"""),"--")</f>
        <v>--</v>
      </c>
      <c r="K134" s="5" t="str">
        <f>IFERROR(__xludf.DUMMYFUNCTION("""COMPUTED_VALUE"""),"--")</f>
        <v>--</v>
      </c>
      <c r="L134" s="5" t="str">
        <f>IFERROR(__xludf.DUMMYFUNCTION("""COMPUTED_VALUE"""),"--")</f>
        <v>--</v>
      </c>
      <c r="M134" s="5" t="str">
        <f>IFERROR(__xludf.DUMMYFUNCTION("""COMPUTED_VALUE"""),"--")</f>
        <v>--</v>
      </c>
      <c r="N134" s="5" t="str">
        <f>IFERROR(__xludf.DUMMYFUNCTION("""COMPUTED_VALUE"""),"--")</f>
        <v>--</v>
      </c>
      <c r="O134" s="5" t="str">
        <f>IFERROR(__xludf.DUMMYFUNCTION("""COMPUTED_VALUE"""),"--")</f>
        <v>--</v>
      </c>
      <c r="P134" s="5">
        <f>IFERROR(__xludf.DUMMYFUNCTION("""COMPUTED_VALUE"""),130.6)</f>
        <v>130.6</v>
      </c>
    </row>
    <row r="135">
      <c r="A135" s="19" t="str">
        <f>vlookup(B135,'Player Codes'!A:D,4,)</f>
        <v>0268</v>
      </c>
      <c r="B135" s="21" t="s">
        <v>637</v>
      </c>
      <c r="C135" s="5">
        <f>IFERROR(__xludf.DUMMYFUNCTION("""COMPUTED_VALUE"""),130.0)</f>
        <v>130</v>
      </c>
      <c r="D135" s="5" t="str">
        <f>IFERROR(__xludf.DUMMYFUNCTION("""COMPUTED_VALUE"""),"AJ Dillon")</f>
        <v>AJ Dillon</v>
      </c>
      <c r="E135" s="5" t="str">
        <f>IFERROR(__xludf.DUMMYFUNCTION("""COMPUTED_VALUE"""),"RB32")</f>
        <v>RB32</v>
      </c>
      <c r="F135" s="5" t="str">
        <f>IFERROR(__xludf.DUMMYFUNCTION("""COMPUTED_VALUE"""),"GB")</f>
        <v>GB</v>
      </c>
      <c r="G135" s="5">
        <f>IFERROR(__xludf.DUMMYFUNCTION("""COMPUTED_VALUE"""),6.0)</f>
        <v>6</v>
      </c>
      <c r="H135" s="5">
        <f>IFERROR(__xludf.DUMMYFUNCTION("""COMPUTED_VALUE"""),0.0)</f>
        <v>0</v>
      </c>
      <c r="I135" s="5">
        <f>IFERROR(__xludf.DUMMYFUNCTION("""COMPUTED_VALUE"""),0.0)</f>
        <v>0</v>
      </c>
      <c r="J135" s="5">
        <f>IFERROR(__xludf.DUMMYFUNCTION("""COMPUTED_VALUE"""),0.0)</f>
        <v>0</v>
      </c>
      <c r="K135" s="5">
        <f>IFERROR(__xludf.DUMMYFUNCTION("""COMPUTED_VALUE"""),706.0)</f>
        <v>706</v>
      </c>
      <c r="L135" s="5">
        <f>IFERROR(__xludf.DUMMYFUNCTION("""COMPUTED_VALUE"""),6.3)</f>
        <v>6.3</v>
      </c>
      <c r="M135" s="5">
        <f>IFERROR(__xludf.DUMMYFUNCTION("""COMPUTED_VALUE"""),15.0)</f>
        <v>15</v>
      </c>
      <c r="N135" s="5">
        <f>IFERROR(__xludf.DUMMYFUNCTION("""COMPUTED_VALUE"""),120.0)</f>
        <v>120</v>
      </c>
      <c r="O135" s="5">
        <f>IFERROR(__xludf.DUMMYFUNCTION("""COMPUTED_VALUE"""),0.4)</f>
        <v>0.4</v>
      </c>
      <c r="P135" s="5">
        <f>IFERROR(__xludf.DUMMYFUNCTION("""COMPUTED_VALUE"""),130.6)</f>
        <v>130.6</v>
      </c>
    </row>
    <row r="136">
      <c r="A136" s="19" t="str">
        <f>vlookup(B136,'Player Codes'!A:D,4,)</f>
        <v>0258</v>
      </c>
      <c r="B136" s="23" t="s">
        <v>2315</v>
      </c>
      <c r="C136" s="5">
        <f>IFERROR(__xludf.DUMMYFUNCTION("""COMPUTED_VALUE"""),130.0)</f>
        <v>130</v>
      </c>
      <c r="D136" s="5" t="str">
        <f>IFERROR(__xludf.DUMMYFUNCTION("""COMPUTED_VALUE"""),"Quentin Johnston")</f>
        <v>Quentin Johnston</v>
      </c>
      <c r="E136" s="5" t="str">
        <f>IFERROR(__xludf.DUMMYFUNCTION("""COMPUTED_VALUE"""),"WR40")</f>
        <v>WR40</v>
      </c>
      <c r="F136" s="5" t="str">
        <f>IFERROR(__xludf.DUMMYFUNCTION("""COMPUTED_VALUE"""),"LAC")</f>
        <v>LAC</v>
      </c>
      <c r="G136" s="5">
        <f>IFERROR(__xludf.DUMMYFUNCTION("""COMPUTED_VALUE"""),5.0)</f>
        <v>5</v>
      </c>
      <c r="H136" s="5">
        <f>IFERROR(__xludf.DUMMYFUNCTION("""COMPUTED_VALUE"""),0.0)</f>
        <v>0</v>
      </c>
      <c r="I136" s="5">
        <f>IFERROR(__xludf.DUMMYFUNCTION("""COMPUTED_VALUE"""),0.0)</f>
        <v>0</v>
      </c>
      <c r="J136" s="5">
        <f>IFERROR(__xludf.DUMMYFUNCTION("""COMPUTED_VALUE"""),0.0)</f>
        <v>0</v>
      </c>
      <c r="K136" s="5">
        <f>IFERROR(__xludf.DUMMYFUNCTION("""COMPUTED_VALUE"""),21.0)</f>
        <v>21</v>
      </c>
      <c r="L136" s="5">
        <f>IFERROR(__xludf.DUMMYFUNCTION("""COMPUTED_VALUE"""),0.1)</f>
        <v>0.1</v>
      </c>
      <c r="M136" s="5">
        <f>IFERROR(__xludf.DUMMYFUNCTION("""COMPUTED_VALUE"""),61.0)</f>
        <v>61</v>
      </c>
      <c r="N136" s="5">
        <f>IFERROR(__xludf.DUMMYFUNCTION("""COMPUTED_VALUE"""),746.0)</f>
        <v>746</v>
      </c>
      <c r="O136" s="5">
        <f>IFERROR(__xludf.DUMMYFUNCTION("""COMPUTED_VALUE"""),3.8)</f>
        <v>3.8</v>
      </c>
      <c r="P136" s="5">
        <f>IFERROR(__xludf.DUMMYFUNCTION("""COMPUTED_VALUE"""),130.6)</f>
        <v>130.6</v>
      </c>
    </row>
    <row r="137">
      <c r="A137" s="19" t="str">
        <f>vlookup(B137,'Player Codes'!A:D,4,)</f>
        <v>0005</v>
      </c>
      <c r="B137" s="23" t="s">
        <v>309</v>
      </c>
      <c r="C137" s="5">
        <f>IFERROR(__xludf.DUMMYFUNCTION("""COMPUTED_VALUE"""),133.0)</f>
        <v>133</v>
      </c>
      <c r="D137" s="5" t="str">
        <f>IFERROR(__xludf.DUMMYFUNCTION("""COMPUTED_VALUE"""),"Eddy Pineiro")</f>
        <v>Eddy Pineiro</v>
      </c>
      <c r="E137" s="5" t="str">
        <f>IFERROR(__xludf.DUMMYFUNCTION("""COMPUTED_VALUE"""),"K22")</f>
        <v>K22</v>
      </c>
      <c r="F137" s="5" t="str">
        <f>IFERROR(__xludf.DUMMYFUNCTION("""COMPUTED_VALUE"""),"CAR")</f>
        <v>CAR</v>
      </c>
      <c r="G137" s="5">
        <f>IFERROR(__xludf.DUMMYFUNCTION("""COMPUTED_VALUE"""),7.0)</f>
        <v>7</v>
      </c>
      <c r="H137" s="5" t="str">
        <f>IFERROR(__xludf.DUMMYFUNCTION("""COMPUTED_VALUE"""),"--")</f>
        <v>--</v>
      </c>
      <c r="I137" s="5" t="str">
        <f>IFERROR(__xludf.DUMMYFUNCTION("""COMPUTED_VALUE"""),"--")</f>
        <v>--</v>
      </c>
      <c r="J137" s="5" t="str">
        <f>IFERROR(__xludf.DUMMYFUNCTION("""COMPUTED_VALUE"""),"--")</f>
        <v>--</v>
      </c>
      <c r="K137" s="5" t="str">
        <f>IFERROR(__xludf.DUMMYFUNCTION("""COMPUTED_VALUE"""),"--")</f>
        <v>--</v>
      </c>
      <c r="L137" s="5" t="str">
        <f>IFERROR(__xludf.DUMMYFUNCTION("""COMPUTED_VALUE"""),"--")</f>
        <v>--</v>
      </c>
      <c r="M137" s="5" t="str">
        <f>IFERROR(__xludf.DUMMYFUNCTION("""COMPUTED_VALUE"""),"--")</f>
        <v>--</v>
      </c>
      <c r="N137" s="5" t="str">
        <f>IFERROR(__xludf.DUMMYFUNCTION("""COMPUTED_VALUE"""),"--")</f>
        <v>--</v>
      </c>
      <c r="O137" s="5" t="str">
        <f>IFERROR(__xludf.DUMMYFUNCTION("""COMPUTED_VALUE"""),"--")</f>
        <v>--</v>
      </c>
      <c r="P137" s="5">
        <f>IFERROR(__xludf.DUMMYFUNCTION("""COMPUTED_VALUE"""),130.5)</f>
        <v>130.5</v>
      </c>
    </row>
    <row r="138">
      <c r="A138" s="19" t="str">
        <f>vlookup(B138,'Player Codes'!A:D,4,)</f>
        <v>0239</v>
      </c>
      <c r="B138" s="21" t="s">
        <v>380</v>
      </c>
      <c r="C138" s="5">
        <f>IFERROR(__xludf.DUMMYFUNCTION("""COMPUTED_VALUE"""),133.0)</f>
        <v>133</v>
      </c>
      <c r="D138" s="5" t="str">
        <f>IFERROR(__xludf.DUMMYFUNCTION("""COMPUTED_VALUE"""),"Jahan Dotson")</f>
        <v>Jahan Dotson</v>
      </c>
      <c r="E138" s="5" t="str">
        <f>IFERROR(__xludf.DUMMYFUNCTION("""COMPUTED_VALUE"""),"WR41")</f>
        <v>WR41</v>
      </c>
      <c r="F138" s="5" t="str">
        <f>IFERROR(__xludf.DUMMYFUNCTION("""COMPUTED_VALUE"""),"WAS")</f>
        <v>WAS</v>
      </c>
      <c r="G138" s="5">
        <f>IFERROR(__xludf.DUMMYFUNCTION("""COMPUTED_VALUE"""),14.0)</f>
        <v>14</v>
      </c>
      <c r="H138" s="5">
        <f>IFERROR(__xludf.DUMMYFUNCTION("""COMPUTED_VALUE"""),0.0)</f>
        <v>0</v>
      </c>
      <c r="I138" s="5">
        <f>IFERROR(__xludf.DUMMYFUNCTION("""COMPUTED_VALUE"""),0.0)</f>
        <v>0</v>
      </c>
      <c r="J138" s="5">
        <f>IFERROR(__xludf.DUMMYFUNCTION("""COMPUTED_VALUE"""),0.0)</f>
        <v>0</v>
      </c>
      <c r="K138" s="5">
        <f>IFERROR(__xludf.DUMMYFUNCTION("""COMPUTED_VALUE"""),8.0)</f>
        <v>8</v>
      </c>
      <c r="L138" s="5">
        <f>IFERROR(__xludf.DUMMYFUNCTION("""COMPUTED_VALUE"""),0.1)</f>
        <v>0.1</v>
      </c>
      <c r="M138" s="5">
        <f>IFERROR(__xludf.DUMMYFUNCTION("""COMPUTED_VALUE"""),62.0)</f>
        <v>62</v>
      </c>
      <c r="N138" s="5">
        <f>IFERROR(__xludf.DUMMYFUNCTION("""COMPUTED_VALUE"""),721.0)</f>
        <v>721</v>
      </c>
      <c r="O138" s="5">
        <f>IFERROR(__xludf.DUMMYFUNCTION("""COMPUTED_VALUE"""),4.3)</f>
        <v>4.3</v>
      </c>
      <c r="P138" s="5">
        <f>IFERROR(__xludf.DUMMYFUNCTION("""COMPUTED_VALUE"""),130.5)</f>
        <v>130.5</v>
      </c>
    </row>
    <row r="139">
      <c r="A139" s="19" t="str">
        <f>vlookup(B139,'Player Codes'!A:D,4,)</f>
        <v>0104</v>
      </c>
      <c r="B139" s="21" t="s">
        <v>657</v>
      </c>
      <c r="C139" s="5">
        <f>IFERROR(__xludf.DUMMYFUNCTION("""COMPUTED_VALUE"""),135.0)</f>
        <v>135</v>
      </c>
      <c r="D139" s="5" t="str">
        <f>IFERROR(__xludf.DUMMYFUNCTION("""COMPUTED_VALUE"""),"Philadelphia Eagles")</f>
        <v>Philadelphia Eagles</v>
      </c>
      <c r="E139" s="5" t="str">
        <f>IFERROR(__xludf.DUMMYFUNCTION("""COMPUTED_VALUE"""),"DST3")</f>
        <v>DST3</v>
      </c>
      <c r="F139" s="5" t="str">
        <f>IFERROR(__xludf.DUMMYFUNCTION("""COMPUTED_VALUE"""),"PHI")</f>
        <v>PHI</v>
      </c>
      <c r="G139" s="5">
        <f>IFERROR(__xludf.DUMMYFUNCTION("""COMPUTED_VALUE"""),10.0)</f>
        <v>10</v>
      </c>
      <c r="H139" s="5" t="str">
        <f>IFERROR(__xludf.DUMMYFUNCTION("""COMPUTED_VALUE"""),"--")</f>
        <v>--</v>
      </c>
      <c r="I139" s="5" t="str">
        <f>IFERROR(__xludf.DUMMYFUNCTION("""COMPUTED_VALUE"""),"--")</f>
        <v>--</v>
      </c>
      <c r="J139" s="5" t="str">
        <f>IFERROR(__xludf.DUMMYFUNCTION("""COMPUTED_VALUE"""),"--")</f>
        <v>--</v>
      </c>
      <c r="K139" s="5" t="str">
        <f>IFERROR(__xludf.DUMMYFUNCTION("""COMPUTED_VALUE"""),"--")</f>
        <v>--</v>
      </c>
      <c r="L139" s="5" t="str">
        <f>IFERROR(__xludf.DUMMYFUNCTION("""COMPUTED_VALUE"""),"--")</f>
        <v>--</v>
      </c>
      <c r="M139" s="5" t="str">
        <f>IFERROR(__xludf.DUMMYFUNCTION("""COMPUTED_VALUE"""),"--")</f>
        <v>--</v>
      </c>
      <c r="N139" s="5" t="str">
        <f>IFERROR(__xludf.DUMMYFUNCTION("""COMPUTED_VALUE"""),"--")</f>
        <v>--</v>
      </c>
      <c r="O139" s="5" t="str">
        <f>IFERROR(__xludf.DUMMYFUNCTION("""COMPUTED_VALUE"""),"--")</f>
        <v>--</v>
      </c>
      <c r="P139" s="5">
        <f>IFERROR(__xludf.DUMMYFUNCTION("""COMPUTED_VALUE"""),130.2)</f>
        <v>130.2</v>
      </c>
    </row>
    <row r="140">
      <c r="A140" s="19" t="str">
        <f>vlookup(B140,'Player Codes'!A:D,4,)</f>
        <v>0134</v>
      </c>
      <c r="B140" s="21" t="s">
        <v>389</v>
      </c>
      <c r="C140" s="5">
        <f>IFERROR(__xludf.DUMMYFUNCTION("""COMPUTED_VALUE"""),136.0)</f>
        <v>136</v>
      </c>
      <c r="D140" s="5" t="str">
        <f>IFERROR(__xludf.DUMMYFUNCTION("""COMPUTED_VALUE"""),"Joey Slye")</f>
        <v>Joey Slye</v>
      </c>
      <c r="E140" s="5" t="str">
        <f>IFERROR(__xludf.DUMMYFUNCTION("""COMPUTED_VALUE"""),"K23")</f>
        <v>K23</v>
      </c>
      <c r="F140" s="5" t="str">
        <f>IFERROR(__xludf.DUMMYFUNCTION("""COMPUTED_VALUE"""),"WAS")</f>
        <v>WAS</v>
      </c>
      <c r="G140" s="5">
        <f>IFERROR(__xludf.DUMMYFUNCTION("""COMPUTED_VALUE"""),14.0)</f>
        <v>14</v>
      </c>
      <c r="H140" s="5" t="str">
        <f>IFERROR(__xludf.DUMMYFUNCTION("""COMPUTED_VALUE"""),"--")</f>
        <v>--</v>
      </c>
      <c r="I140" s="5" t="str">
        <f>IFERROR(__xludf.DUMMYFUNCTION("""COMPUTED_VALUE"""),"--")</f>
        <v>--</v>
      </c>
      <c r="J140" s="5" t="str">
        <f>IFERROR(__xludf.DUMMYFUNCTION("""COMPUTED_VALUE"""),"--")</f>
        <v>--</v>
      </c>
      <c r="K140" s="5" t="str">
        <f>IFERROR(__xludf.DUMMYFUNCTION("""COMPUTED_VALUE"""),"--")</f>
        <v>--</v>
      </c>
      <c r="L140" s="5" t="str">
        <f>IFERROR(__xludf.DUMMYFUNCTION("""COMPUTED_VALUE"""),"--")</f>
        <v>--</v>
      </c>
      <c r="M140" s="5" t="str">
        <f>IFERROR(__xludf.DUMMYFUNCTION("""COMPUTED_VALUE"""),"--")</f>
        <v>--</v>
      </c>
      <c r="N140" s="5" t="str">
        <f>IFERROR(__xludf.DUMMYFUNCTION("""COMPUTED_VALUE"""),"--")</f>
        <v>--</v>
      </c>
      <c r="O140" s="5" t="str">
        <f>IFERROR(__xludf.DUMMYFUNCTION("""COMPUTED_VALUE"""),"--")</f>
        <v>--</v>
      </c>
      <c r="P140" s="5">
        <f>IFERROR(__xludf.DUMMYFUNCTION("""COMPUTED_VALUE"""),129.8)</f>
        <v>129.8</v>
      </c>
    </row>
    <row r="141">
      <c r="A141" s="19" t="str">
        <f>vlookup(B141,'Player Codes'!A:D,4,)</f>
        <v>0236</v>
      </c>
      <c r="B141" s="23" t="s">
        <v>2316</v>
      </c>
      <c r="C141" s="5">
        <f>IFERROR(__xludf.DUMMYFUNCTION("""COMPUTED_VALUE"""),137.0)</f>
        <v>137</v>
      </c>
      <c r="D141" s="5" t="str">
        <f>IFERROR(__xludf.DUMMYFUNCTION("""COMPUTED_VALUE"""),"Antonio Gibson")</f>
        <v>Antonio Gibson</v>
      </c>
      <c r="E141" s="5" t="str">
        <f>IFERROR(__xludf.DUMMYFUNCTION("""COMPUTED_VALUE"""),"RB33")</f>
        <v>RB33</v>
      </c>
      <c r="F141" s="5" t="str">
        <f>IFERROR(__xludf.DUMMYFUNCTION("""COMPUTED_VALUE"""),"WAS")</f>
        <v>WAS</v>
      </c>
      <c r="G141" s="5">
        <f>IFERROR(__xludf.DUMMYFUNCTION("""COMPUTED_VALUE"""),14.0)</f>
        <v>14</v>
      </c>
      <c r="H141" s="5">
        <f>IFERROR(__xludf.DUMMYFUNCTION("""COMPUTED_VALUE"""),0.0)</f>
        <v>0</v>
      </c>
      <c r="I141" s="5">
        <f>IFERROR(__xludf.DUMMYFUNCTION("""COMPUTED_VALUE"""),0.0)</f>
        <v>0</v>
      </c>
      <c r="J141" s="5">
        <f>IFERROR(__xludf.DUMMYFUNCTION("""COMPUTED_VALUE"""),0.0)</f>
        <v>0</v>
      </c>
      <c r="K141" s="5">
        <f>IFERROR(__xludf.DUMMYFUNCTION("""COMPUTED_VALUE"""),441.0)</f>
        <v>441</v>
      </c>
      <c r="L141" s="5">
        <f>IFERROR(__xludf.DUMMYFUNCTION("""COMPUTED_VALUE"""),3.4)</f>
        <v>3.4</v>
      </c>
      <c r="M141" s="5">
        <f>IFERROR(__xludf.DUMMYFUNCTION("""COMPUTED_VALUE"""),44.0)</f>
        <v>44</v>
      </c>
      <c r="N141" s="5">
        <f>IFERROR(__xludf.DUMMYFUNCTION("""COMPUTED_VALUE"""),346.0)</f>
        <v>346</v>
      </c>
      <c r="O141" s="5">
        <f>IFERROR(__xludf.DUMMYFUNCTION("""COMPUTED_VALUE"""),1.4)</f>
        <v>1.4</v>
      </c>
      <c r="P141" s="5">
        <f>IFERROR(__xludf.DUMMYFUNCTION("""COMPUTED_VALUE"""),129.5)</f>
        <v>129.5</v>
      </c>
    </row>
    <row r="142">
      <c r="A142" s="19" t="str">
        <f>vlookup(B142,'Player Codes'!A:D,4,)</f>
        <v>0161</v>
      </c>
      <c r="B142" s="21" t="s">
        <v>665</v>
      </c>
      <c r="C142" s="5">
        <f>IFERROR(__xludf.DUMMYFUNCTION("""COMPUTED_VALUE"""),138.0)</f>
        <v>138</v>
      </c>
      <c r="D142" s="5" t="str">
        <f>IFERROR(__xludf.DUMMYFUNCTION("""COMPUTED_VALUE"""),"Ka'imi Fairbairn")</f>
        <v>Ka'imi Fairbairn</v>
      </c>
      <c r="E142" s="5" t="str">
        <f>IFERROR(__xludf.DUMMYFUNCTION("""COMPUTED_VALUE"""),"K24")</f>
        <v>K24</v>
      </c>
      <c r="F142" s="5" t="str">
        <f>IFERROR(__xludf.DUMMYFUNCTION("""COMPUTED_VALUE"""),"HOU")</f>
        <v>HOU</v>
      </c>
      <c r="G142" s="5">
        <f>IFERROR(__xludf.DUMMYFUNCTION("""COMPUTED_VALUE"""),7.0)</f>
        <v>7</v>
      </c>
      <c r="H142" s="5" t="str">
        <f>IFERROR(__xludf.DUMMYFUNCTION("""COMPUTED_VALUE"""),"--")</f>
        <v>--</v>
      </c>
      <c r="I142" s="5" t="str">
        <f>IFERROR(__xludf.DUMMYFUNCTION("""COMPUTED_VALUE"""),"--")</f>
        <v>--</v>
      </c>
      <c r="J142" s="5" t="str">
        <f>IFERROR(__xludf.DUMMYFUNCTION("""COMPUTED_VALUE"""),"--")</f>
        <v>--</v>
      </c>
      <c r="K142" s="5" t="str">
        <f>IFERROR(__xludf.DUMMYFUNCTION("""COMPUTED_VALUE"""),"--")</f>
        <v>--</v>
      </c>
      <c r="L142" s="5" t="str">
        <f>IFERROR(__xludf.DUMMYFUNCTION("""COMPUTED_VALUE"""),"--")</f>
        <v>--</v>
      </c>
      <c r="M142" s="5" t="str">
        <f>IFERROR(__xludf.DUMMYFUNCTION("""COMPUTED_VALUE"""),"--")</f>
        <v>--</v>
      </c>
      <c r="N142" s="5" t="str">
        <f>IFERROR(__xludf.DUMMYFUNCTION("""COMPUTED_VALUE"""),"--")</f>
        <v>--</v>
      </c>
      <c r="O142" s="5" t="str">
        <f>IFERROR(__xludf.DUMMYFUNCTION("""COMPUTED_VALUE"""),"--")</f>
        <v>--</v>
      </c>
      <c r="P142" s="5">
        <f>IFERROR(__xludf.DUMMYFUNCTION("""COMPUTED_VALUE"""),128.8)</f>
        <v>128.8</v>
      </c>
    </row>
    <row r="143">
      <c r="A143" s="19" t="str">
        <f>vlookup(B143,'Player Codes'!A:D,4,)</f>
        <v>0015</v>
      </c>
      <c r="B143" s="21" t="s">
        <v>295</v>
      </c>
      <c r="C143" s="5">
        <f>IFERROR(__xludf.DUMMYFUNCTION("""COMPUTED_VALUE"""),138.0)</f>
        <v>138</v>
      </c>
      <c r="D143" s="5" t="str">
        <f>IFERROR(__xludf.DUMMYFUNCTION("""COMPUTED_VALUE"""),"Courtland Sutton")</f>
        <v>Courtland Sutton</v>
      </c>
      <c r="E143" s="5" t="str">
        <f>IFERROR(__xludf.DUMMYFUNCTION("""COMPUTED_VALUE"""),"WR42")</f>
        <v>WR42</v>
      </c>
      <c r="F143" s="5" t="str">
        <f>IFERROR(__xludf.DUMMYFUNCTION("""COMPUTED_VALUE"""),"DEN")</f>
        <v>DEN</v>
      </c>
      <c r="G143" s="5">
        <f>IFERROR(__xludf.DUMMYFUNCTION("""COMPUTED_VALUE"""),9.0)</f>
        <v>9</v>
      </c>
      <c r="H143" s="5">
        <f>IFERROR(__xludf.DUMMYFUNCTION("""COMPUTED_VALUE"""),0.0)</f>
        <v>0</v>
      </c>
      <c r="I143" s="5">
        <f>IFERROR(__xludf.DUMMYFUNCTION("""COMPUTED_VALUE"""),0.0)</f>
        <v>0</v>
      </c>
      <c r="J143" s="5">
        <f>IFERROR(__xludf.DUMMYFUNCTION("""COMPUTED_VALUE"""),0.0)</f>
        <v>0</v>
      </c>
      <c r="K143" s="5">
        <f>IFERROR(__xludf.DUMMYFUNCTION("""COMPUTED_VALUE"""),18.0)</f>
        <v>18</v>
      </c>
      <c r="L143" s="5">
        <f>IFERROR(__xludf.DUMMYFUNCTION("""COMPUTED_VALUE"""),0.0)</f>
        <v>0</v>
      </c>
      <c r="M143" s="5">
        <f>IFERROR(__xludf.DUMMYFUNCTION("""COMPUTED_VALUE"""),58.0)</f>
        <v>58</v>
      </c>
      <c r="N143" s="5">
        <f>IFERROR(__xludf.DUMMYFUNCTION("""COMPUTED_VALUE"""),722.0)</f>
        <v>722</v>
      </c>
      <c r="O143" s="5">
        <f>IFERROR(__xludf.DUMMYFUNCTION("""COMPUTED_VALUE"""),4.3)</f>
        <v>4.3</v>
      </c>
      <c r="P143" s="5">
        <f>IFERROR(__xludf.DUMMYFUNCTION("""COMPUTED_VALUE"""),128.8)</f>
        <v>128.8</v>
      </c>
    </row>
    <row r="144">
      <c r="A144" s="19" t="str">
        <f>vlookup(B144,'Player Codes'!A:D,4,)</f>
        <v>0178</v>
      </c>
      <c r="B144" s="21" t="s">
        <v>670</v>
      </c>
      <c r="C144" s="5">
        <f>IFERROR(__xludf.DUMMYFUNCTION("""COMPUTED_VALUE"""),140.0)</f>
        <v>140</v>
      </c>
      <c r="D144" s="5" t="str">
        <f>IFERROR(__xludf.DUMMYFUNCTION("""COMPUTED_VALUE"""),"Chris Boswell")</f>
        <v>Chris Boswell</v>
      </c>
      <c r="E144" s="5" t="str">
        <f>IFERROR(__xludf.DUMMYFUNCTION("""COMPUTED_VALUE"""),"K25")</f>
        <v>K25</v>
      </c>
      <c r="F144" s="5" t="str">
        <f>IFERROR(__xludf.DUMMYFUNCTION("""COMPUTED_VALUE"""),"PIT")</f>
        <v>PIT</v>
      </c>
      <c r="G144" s="5">
        <f>IFERROR(__xludf.DUMMYFUNCTION("""COMPUTED_VALUE"""),6.0)</f>
        <v>6</v>
      </c>
      <c r="H144" s="5" t="str">
        <f>IFERROR(__xludf.DUMMYFUNCTION("""COMPUTED_VALUE"""),"--")</f>
        <v>--</v>
      </c>
      <c r="I144" s="5" t="str">
        <f>IFERROR(__xludf.DUMMYFUNCTION("""COMPUTED_VALUE"""),"--")</f>
        <v>--</v>
      </c>
      <c r="J144" s="5" t="str">
        <f>IFERROR(__xludf.DUMMYFUNCTION("""COMPUTED_VALUE"""),"--")</f>
        <v>--</v>
      </c>
      <c r="K144" s="5" t="str">
        <f>IFERROR(__xludf.DUMMYFUNCTION("""COMPUTED_VALUE"""),"--")</f>
        <v>--</v>
      </c>
      <c r="L144" s="5" t="str">
        <f>IFERROR(__xludf.DUMMYFUNCTION("""COMPUTED_VALUE"""),"--")</f>
        <v>--</v>
      </c>
      <c r="M144" s="5" t="str">
        <f>IFERROR(__xludf.DUMMYFUNCTION("""COMPUTED_VALUE"""),"--")</f>
        <v>--</v>
      </c>
      <c r="N144" s="5" t="str">
        <f>IFERROR(__xludf.DUMMYFUNCTION("""COMPUTED_VALUE"""),"--")</f>
        <v>--</v>
      </c>
      <c r="O144" s="5" t="str">
        <f>IFERROR(__xludf.DUMMYFUNCTION("""COMPUTED_VALUE"""),"--")</f>
        <v>--</v>
      </c>
      <c r="P144" s="5">
        <f>IFERROR(__xludf.DUMMYFUNCTION("""COMPUTED_VALUE"""),128.4)</f>
        <v>128.4</v>
      </c>
    </row>
    <row r="145">
      <c r="A145" s="19" t="str">
        <f>vlookup(B145,'Player Codes'!A:D,4,)</f>
        <v>0065</v>
      </c>
      <c r="B145" s="21" t="s">
        <v>355</v>
      </c>
      <c r="C145" s="5">
        <f>IFERROR(__xludf.DUMMYFUNCTION("""COMPUTED_VALUE"""),141.0)</f>
        <v>141</v>
      </c>
      <c r="D145" s="5" t="str">
        <f>IFERROR(__xludf.DUMMYFUNCTION("""COMPUTED_VALUE"""),"Kyle Pitts")</f>
        <v>Kyle Pitts</v>
      </c>
      <c r="E145" s="5" t="str">
        <f>IFERROR(__xludf.DUMMYFUNCTION("""COMPUTED_VALUE"""),"TE6")</f>
        <v>TE6</v>
      </c>
      <c r="F145" s="5" t="str">
        <f>IFERROR(__xludf.DUMMYFUNCTION("""COMPUTED_VALUE"""),"ATL")</f>
        <v>ATL</v>
      </c>
      <c r="G145" s="5">
        <f>IFERROR(__xludf.DUMMYFUNCTION("""COMPUTED_VALUE"""),11.0)</f>
        <v>11</v>
      </c>
      <c r="H145" s="5">
        <f>IFERROR(__xludf.DUMMYFUNCTION("""COMPUTED_VALUE"""),0.0)</f>
        <v>0</v>
      </c>
      <c r="I145" s="5">
        <f>IFERROR(__xludf.DUMMYFUNCTION("""COMPUTED_VALUE"""),0.0)</f>
        <v>0</v>
      </c>
      <c r="J145" s="5">
        <f>IFERROR(__xludf.DUMMYFUNCTION("""COMPUTED_VALUE"""),0.0)</f>
        <v>0</v>
      </c>
      <c r="K145" s="5">
        <f>IFERROR(__xludf.DUMMYFUNCTION("""COMPUTED_VALUE"""),0.0)</f>
        <v>0</v>
      </c>
      <c r="L145" s="5">
        <f>IFERROR(__xludf.DUMMYFUNCTION("""COMPUTED_VALUE"""),0.0)</f>
        <v>0</v>
      </c>
      <c r="M145" s="5">
        <f>IFERROR(__xludf.DUMMYFUNCTION("""COMPUTED_VALUE"""),59.0)</f>
        <v>59</v>
      </c>
      <c r="N145" s="5">
        <f>IFERROR(__xludf.DUMMYFUNCTION("""COMPUTED_VALUE"""),713.0)</f>
        <v>713</v>
      </c>
      <c r="O145" s="5">
        <f>IFERROR(__xludf.DUMMYFUNCTION("""COMPUTED_VALUE"""),4.5)</f>
        <v>4.5</v>
      </c>
      <c r="P145" s="5">
        <f>IFERROR(__xludf.DUMMYFUNCTION("""COMPUTED_VALUE"""),127.8)</f>
        <v>127.8</v>
      </c>
    </row>
    <row r="146">
      <c r="A146" s="19" t="str">
        <f>vlookup(B146,'Player Codes'!A:D,4,)</f>
        <v>0050</v>
      </c>
      <c r="B146" s="21" t="s">
        <v>676</v>
      </c>
      <c r="C146" s="5">
        <f>IFERROR(__xludf.DUMMYFUNCTION("""COMPUTED_VALUE"""),142.0)</f>
        <v>142</v>
      </c>
      <c r="D146" s="5" t="str">
        <f>IFERROR(__xludf.DUMMYFUNCTION("""COMPUTED_VALUE"""),"Baltimore Ravens")</f>
        <v>Baltimore Ravens</v>
      </c>
      <c r="E146" s="5" t="str">
        <f>IFERROR(__xludf.DUMMYFUNCTION("""COMPUTED_VALUE"""),"DST4")</f>
        <v>DST4</v>
      </c>
      <c r="F146" s="5" t="str">
        <f>IFERROR(__xludf.DUMMYFUNCTION("""COMPUTED_VALUE"""),"BAL")</f>
        <v>BAL</v>
      </c>
      <c r="G146" s="5">
        <f>IFERROR(__xludf.DUMMYFUNCTION("""COMPUTED_VALUE"""),13.0)</f>
        <v>13</v>
      </c>
      <c r="H146" s="5" t="str">
        <f>IFERROR(__xludf.DUMMYFUNCTION("""COMPUTED_VALUE"""),"--")</f>
        <v>--</v>
      </c>
      <c r="I146" s="5" t="str">
        <f>IFERROR(__xludf.DUMMYFUNCTION("""COMPUTED_VALUE"""),"--")</f>
        <v>--</v>
      </c>
      <c r="J146" s="5" t="str">
        <f>IFERROR(__xludf.DUMMYFUNCTION("""COMPUTED_VALUE"""),"--")</f>
        <v>--</v>
      </c>
      <c r="K146" s="5" t="str">
        <f>IFERROR(__xludf.DUMMYFUNCTION("""COMPUTED_VALUE"""),"--")</f>
        <v>--</v>
      </c>
      <c r="L146" s="5" t="str">
        <f>IFERROR(__xludf.DUMMYFUNCTION("""COMPUTED_VALUE"""),"--")</f>
        <v>--</v>
      </c>
      <c r="M146" s="5" t="str">
        <f>IFERROR(__xludf.DUMMYFUNCTION("""COMPUTED_VALUE"""),"--")</f>
        <v>--</v>
      </c>
      <c r="N146" s="5" t="str">
        <f>IFERROR(__xludf.DUMMYFUNCTION("""COMPUTED_VALUE"""),"--")</f>
        <v>--</v>
      </c>
      <c r="O146" s="5" t="str">
        <f>IFERROR(__xludf.DUMMYFUNCTION("""COMPUTED_VALUE"""),"--")</f>
        <v>--</v>
      </c>
      <c r="P146" s="5">
        <f>IFERROR(__xludf.DUMMYFUNCTION("""COMPUTED_VALUE"""),126.8)</f>
        <v>126.8</v>
      </c>
    </row>
    <row r="147">
      <c r="A147" s="19" t="str">
        <f>vlookup(B147,'Player Codes'!A:D,4,)</f>
        <v>0191</v>
      </c>
      <c r="B147" s="21" t="s">
        <v>433</v>
      </c>
      <c r="C147" s="5">
        <f>IFERROR(__xludf.DUMMYFUNCTION("""COMPUTED_VALUE"""),143.0)</f>
        <v>143</v>
      </c>
      <c r="D147" s="5" t="str">
        <f>IFERROR(__xludf.DUMMYFUNCTION("""COMPUTED_VALUE"""),"Allen Lazard")</f>
        <v>Allen Lazard</v>
      </c>
      <c r="E147" s="5" t="str">
        <f>IFERROR(__xludf.DUMMYFUNCTION("""COMPUTED_VALUE"""),"WR43")</f>
        <v>WR43</v>
      </c>
      <c r="F147" s="5" t="str">
        <f>IFERROR(__xludf.DUMMYFUNCTION("""COMPUTED_VALUE"""),"NYJ")</f>
        <v>NYJ</v>
      </c>
      <c r="G147" s="5">
        <f>IFERROR(__xludf.DUMMYFUNCTION("""COMPUTED_VALUE"""),7.0)</f>
        <v>7</v>
      </c>
      <c r="H147" s="5">
        <f>IFERROR(__xludf.DUMMYFUNCTION("""COMPUTED_VALUE"""),0.0)</f>
        <v>0</v>
      </c>
      <c r="I147" s="5">
        <f>IFERROR(__xludf.DUMMYFUNCTION("""COMPUTED_VALUE"""),0.0)</f>
        <v>0</v>
      </c>
      <c r="J147" s="5">
        <f>IFERROR(__xludf.DUMMYFUNCTION("""COMPUTED_VALUE"""),0.0)</f>
        <v>0</v>
      </c>
      <c r="K147" s="5">
        <f>IFERROR(__xludf.DUMMYFUNCTION("""COMPUTED_VALUE"""),6.0)</f>
        <v>6</v>
      </c>
      <c r="L147" s="5">
        <f>IFERROR(__xludf.DUMMYFUNCTION("""COMPUTED_VALUE"""),0.0)</f>
        <v>0</v>
      </c>
      <c r="M147" s="5">
        <f>IFERROR(__xludf.DUMMYFUNCTION("""COMPUTED_VALUE"""),54.0)</f>
        <v>54</v>
      </c>
      <c r="N147" s="5">
        <f>IFERROR(__xludf.DUMMYFUNCTION("""COMPUTED_VALUE"""),718.0)</f>
        <v>718</v>
      </c>
      <c r="O147" s="5">
        <f>IFERROR(__xludf.DUMMYFUNCTION("""COMPUTED_VALUE"""),4.5)</f>
        <v>4.5</v>
      </c>
      <c r="P147" s="5">
        <f>IFERROR(__xludf.DUMMYFUNCTION("""COMPUTED_VALUE"""),126.3)</f>
        <v>126.3</v>
      </c>
    </row>
    <row r="148">
      <c r="A148" s="19" t="str">
        <f>vlookup(B148,'Player Codes'!A:D,4,)</f>
        <v>0020</v>
      </c>
      <c r="B148" s="23" t="s">
        <v>2317</v>
      </c>
      <c r="C148" s="5">
        <f>IFERROR(__xludf.DUMMYFUNCTION("""COMPUTED_VALUE"""),143.0)</f>
        <v>143</v>
      </c>
      <c r="D148" s="5" t="str">
        <f>IFERROR(__xludf.DUMMYFUNCTION("""COMPUTED_VALUE"""),"Jaxon Smith-Njigba")</f>
        <v>Jaxon Smith-Njigba</v>
      </c>
      <c r="E148" s="5" t="str">
        <f>IFERROR(__xludf.DUMMYFUNCTION("""COMPUTED_VALUE"""),"WR43")</f>
        <v>WR43</v>
      </c>
      <c r="F148" s="5" t="str">
        <f>IFERROR(__xludf.DUMMYFUNCTION("""COMPUTED_VALUE"""),"SEA")</f>
        <v>SEA</v>
      </c>
      <c r="G148" s="5">
        <f>IFERROR(__xludf.DUMMYFUNCTION("""COMPUTED_VALUE"""),5.0)</f>
        <v>5</v>
      </c>
      <c r="H148" s="5">
        <f>IFERROR(__xludf.DUMMYFUNCTION("""COMPUTED_VALUE"""),0.0)</f>
        <v>0</v>
      </c>
      <c r="I148" s="5">
        <f>IFERROR(__xludf.DUMMYFUNCTION("""COMPUTED_VALUE"""),0.0)</f>
        <v>0</v>
      </c>
      <c r="J148" s="5">
        <f>IFERROR(__xludf.DUMMYFUNCTION("""COMPUTED_VALUE"""),0.0)</f>
        <v>0</v>
      </c>
      <c r="K148" s="5">
        <f>IFERROR(__xludf.DUMMYFUNCTION("""COMPUTED_VALUE"""),29.0)</f>
        <v>29</v>
      </c>
      <c r="L148" s="5">
        <f>IFERROR(__xludf.DUMMYFUNCTION("""COMPUTED_VALUE"""),0.3)</f>
        <v>0.3</v>
      </c>
      <c r="M148" s="5">
        <f>IFERROR(__xludf.DUMMYFUNCTION("""COMPUTED_VALUE"""),52.0)</f>
        <v>52</v>
      </c>
      <c r="N148" s="5">
        <f>IFERROR(__xludf.DUMMYFUNCTION("""COMPUTED_VALUE"""),681.0)</f>
        <v>681</v>
      </c>
      <c r="O148" s="5">
        <f>IFERROR(__xludf.DUMMYFUNCTION("""COMPUTED_VALUE"""),4.6)</f>
        <v>4.6</v>
      </c>
      <c r="P148" s="5">
        <f>IFERROR(__xludf.DUMMYFUNCTION("""COMPUTED_VALUE"""),126.3)</f>
        <v>126.3</v>
      </c>
    </row>
    <row r="149">
      <c r="A149" s="19" t="str">
        <f>vlookup(B149,'Player Codes'!A:D,4,)</f>
        <v>0008</v>
      </c>
      <c r="B149" s="21" t="s">
        <v>361</v>
      </c>
      <c r="C149" s="5">
        <f>IFERROR(__xludf.DUMMYFUNCTION("""COMPUTED_VALUE"""),145.0)</f>
        <v>145</v>
      </c>
      <c r="D149" s="5" t="str">
        <f>IFERROR(__xludf.DUMMYFUNCTION("""COMPUTED_VALUE"""),"Anders Carlson")</f>
        <v>Anders Carlson</v>
      </c>
      <c r="E149" s="5" t="str">
        <f>IFERROR(__xludf.DUMMYFUNCTION("""COMPUTED_VALUE"""),"K26")</f>
        <v>K26</v>
      </c>
      <c r="F149" s="5" t="str">
        <f>IFERROR(__xludf.DUMMYFUNCTION("""COMPUTED_VALUE"""),"GB")</f>
        <v>GB</v>
      </c>
      <c r="G149" s="5">
        <f>IFERROR(__xludf.DUMMYFUNCTION("""COMPUTED_VALUE"""),6.0)</f>
        <v>6</v>
      </c>
      <c r="H149" s="5" t="str">
        <f>IFERROR(__xludf.DUMMYFUNCTION("""COMPUTED_VALUE"""),"--")</f>
        <v>--</v>
      </c>
      <c r="I149" s="5" t="str">
        <f>IFERROR(__xludf.DUMMYFUNCTION("""COMPUTED_VALUE"""),"--")</f>
        <v>--</v>
      </c>
      <c r="J149" s="5" t="str">
        <f>IFERROR(__xludf.DUMMYFUNCTION("""COMPUTED_VALUE"""),"--")</f>
        <v>--</v>
      </c>
      <c r="K149" s="5" t="str">
        <f>IFERROR(__xludf.DUMMYFUNCTION("""COMPUTED_VALUE"""),"--")</f>
        <v>--</v>
      </c>
      <c r="L149" s="5" t="str">
        <f>IFERROR(__xludf.DUMMYFUNCTION("""COMPUTED_VALUE"""),"--")</f>
        <v>--</v>
      </c>
      <c r="M149" s="5" t="str">
        <f>IFERROR(__xludf.DUMMYFUNCTION("""COMPUTED_VALUE"""),"--")</f>
        <v>--</v>
      </c>
      <c r="N149" s="5" t="str">
        <f>IFERROR(__xludf.DUMMYFUNCTION("""COMPUTED_VALUE"""),"--")</f>
        <v>--</v>
      </c>
      <c r="O149" s="5" t="str">
        <f>IFERROR(__xludf.DUMMYFUNCTION("""COMPUTED_VALUE"""),"--")</f>
        <v>--</v>
      </c>
      <c r="P149" s="5">
        <f>IFERROR(__xludf.DUMMYFUNCTION("""COMPUTED_VALUE"""),126.2)</f>
        <v>126.2</v>
      </c>
    </row>
    <row r="150">
      <c r="A150" s="19" t="str">
        <f>vlookup(B150,'Player Codes'!A:D,4,)</f>
        <v>0150</v>
      </c>
      <c r="B150" s="21" t="s">
        <v>403</v>
      </c>
      <c r="C150" s="5">
        <f>IFERROR(__xludf.DUMMYFUNCTION("""COMPUTED_VALUE"""),146.0)</f>
        <v>146</v>
      </c>
      <c r="D150" s="5" t="str">
        <f>IFERROR(__xludf.DUMMYFUNCTION("""COMPUTED_VALUE"""),"Graham Gano")</f>
        <v>Graham Gano</v>
      </c>
      <c r="E150" s="5" t="str">
        <f>IFERROR(__xludf.DUMMYFUNCTION("""COMPUTED_VALUE"""),"K27")</f>
        <v>K27</v>
      </c>
      <c r="F150" s="5" t="str">
        <f>IFERROR(__xludf.DUMMYFUNCTION("""COMPUTED_VALUE"""),"NYG")</f>
        <v>NYG</v>
      </c>
      <c r="G150" s="5">
        <f>IFERROR(__xludf.DUMMYFUNCTION("""COMPUTED_VALUE"""),13.0)</f>
        <v>13</v>
      </c>
      <c r="H150" s="5" t="str">
        <f>IFERROR(__xludf.DUMMYFUNCTION("""COMPUTED_VALUE"""),"--")</f>
        <v>--</v>
      </c>
      <c r="I150" s="5" t="str">
        <f>IFERROR(__xludf.DUMMYFUNCTION("""COMPUTED_VALUE"""),"--")</f>
        <v>--</v>
      </c>
      <c r="J150" s="5" t="str">
        <f>IFERROR(__xludf.DUMMYFUNCTION("""COMPUTED_VALUE"""),"--")</f>
        <v>--</v>
      </c>
      <c r="K150" s="5" t="str">
        <f>IFERROR(__xludf.DUMMYFUNCTION("""COMPUTED_VALUE"""),"--")</f>
        <v>--</v>
      </c>
      <c r="L150" s="5" t="str">
        <f>IFERROR(__xludf.DUMMYFUNCTION("""COMPUTED_VALUE"""),"--")</f>
        <v>--</v>
      </c>
      <c r="M150" s="5" t="str">
        <f>IFERROR(__xludf.DUMMYFUNCTION("""COMPUTED_VALUE"""),"--")</f>
        <v>--</v>
      </c>
      <c r="N150" s="5" t="str">
        <f>IFERROR(__xludf.DUMMYFUNCTION("""COMPUTED_VALUE"""),"--")</f>
        <v>--</v>
      </c>
      <c r="O150" s="5" t="str">
        <f>IFERROR(__xludf.DUMMYFUNCTION("""COMPUTED_VALUE"""),"--")</f>
        <v>--</v>
      </c>
      <c r="P150" s="5">
        <f>IFERROR(__xludf.DUMMYFUNCTION("""COMPUTED_VALUE"""),126.0)</f>
        <v>126</v>
      </c>
    </row>
    <row r="151">
      <c r="A151" s="19" t="str">
        <f>vlookup(B151,'Player Codes'!A:D,4,)</f>
        <v>0013</v>
      </c>
      <c r="B151" s="21" t="s">
        <v>686</v>
      </c>
      <c r="C151" s="5">
        <f>IFERROR(__xludf.DUMMYFUNCTION("""COMPUTED_VALUE"""),146.0)</f>
        <v>146</v>
      </c>
      <c r="D151" s="5" t="str">
        <f>IFERROR(__xludf.DUMMYFUNCTION("""COMPUTED_VALUE"""),"Matt Gay")</f>
        <v>Matt Gay</v>
      </c>
      <c r="E151" s="5" t="str">
        <f>IFERROR(__xludf.DUMMYFUNCTION("""COMPUTED_VALUE"""),"K27")</f>
        <v>K27</v>
      </c>
      <c r="F151" s="5" t="str">
        <f>IFERROR(__xludf.DUMMYFUNCTION("""COMPUTED_VALUE"""),"IND")</f>
        <v>IND</v>
      </c>
      <c r="G151" s="5">
        <f>IFERROR(__xludf.DUMMYFUNCTION("""COMPUTED_VALUE"""),11.0)</f>
        <v>11</v>
      </c>
      <c r="H151" s="5" t="str">
        <f>IFERROR(__xludf.DUMMYFUNCTION("""COMPUTED_VALUE"""),"--")</f>
        <v>--</v>
      </c>
      <c r="I151" s="5" t="str">
        <f>IFERROR(__xludf.DUMMYFUNCTION("""COMPUTED_VALUE"""),"--")</f>
        <v>--</v>
      </c>
      <c r="J151" s="5" t="str">
        <f>IFERROR(__xludf.DUMMYFUNCTION("""COMPUTED_VALUE"""),"--")</f>
        <v>--</v>
      </c>
      <c r="K151" s="5" t="str">
        <f>IFERROR(__xludf.DUMMYFUNCTION("""COMPUTED_VALUE"""),"--")</f>
        <v>--</v>
      </c>
      <c r="L151" s="5" t="str">
        <f>IFERROR(__xludf.DUMMYFUNCTION("""COMPUTED_VALUE"""),"--")</f>
        <v>--</v>
      </c>
      <c r="M151" s="5" t="str">
        <f>IFERROR(__xludf.DUMMYFUNCTION("""COMPUTED_VALUE"""),"--")</f>
        <v>--</v>
      </c>
      <c r="N151" s="5" t="str">
        <f>IFERROR(__xludf.DUMMYFUNCTION("""COMPUTED_VALUE"""),"--")</f>
        <v>--</v>
      </c>
      <c r="O151" s="5" t="str">
        <f>IFERROR(__xludf.DUMMYFUNCTION("""COMPUTED_VALUE"""),"--")</f>
        <v>--</v>
      </c>
      <c r="P151" s="5">
        <f>IFERROR(__xludf.DUMMYFUNCTION("""COMPUTED_VALUE"""),126.0)</f>
        <v>126</v>
      </c>
    </row>
    <row r="152">
      <c r="A152" s="19" t="str">
        <f>vlookup(B152,'Player Codes'!A:D,4,)</f>
        <v>0116</v>
      </c>
      <c r="B152" s="21" t="s">
        <v>688</v>
      </c>
      <c r="C152" s="5">
        <f>IFERROR(__xludf.DUMMYFUNCTION("""COMPUTED_VALUE"""),148.0)</f>
        <v>148</v>
      </c>
      <c r="D152" s="5" t="str">
        <f>IFERROR(__xludf.DUMMYFUNCTION("""COMPUTED_VALUE"""),"Cairo Santos")</f>
        <v>Cairo Santos</v>
      </c>
      <c r="E152" s="5" t="str">
        <f>IFERROR(__xludf.DUMMYFUNCTION("""COMPUTED_VALUE"""),"K29")</f>
        <v>K29</v>
      </c>
      <c r="F152" s="5" t="str">
        <f>IFERROR(__xludf.DUMMYFUNCTION("""COMPUTED_VALUE"""),"CHI")</f>
        <v>CHI</v>
      </c>
      <c r="G152" s="5">
        <f>IFERROR(__xludf.DUMMYFUNCTION("""COMPUTED_VALUE"""),13.0)</f>
        <v>13</v>
      </c>
      <c r="H152" s="5" t="str">
        <f>IFERROR(__xludf.DUMMYFUNCTION("""COMPUTED_VALUE"""),"--")</f>
        <v>--</v>
      </c>
      <c r="I152" s="5" t="str">
        <f>IFERROR(__xludf.DUMMYFUNCTION("""COMPUTED_VALUE"""),"--")</f>
        <v>--</v>
      </c>
      <c r="J152" s="5" t="str">
        <f>IFERROR(__xludf.DUMMYFUNCTION("""COMPUTED_VALUE"""),"--")</f>
        <v>--</v>
      </c>
      <c r="K152" s="5" t="str">
        <f>IFERROR(__xludf.DUMMYFUNCTION("""COMPUTED_VALUE"""),"--")</f>
        <v>--</v>
      </c>
      <c r="L152" s="5" t="str">
        <f>IFERROR(__xludf.DUMMYFUNCTION("""COMPUTED_VALUE"""),"--")</f>
        <v>--</v>
      </c>
      <c r="M152" s="5" t="str">
        <f>IFERROR(__xludf.DUMMYFUNCTION("""COMPUTED_VALUE"""),"--")</f>
        <v>--</v>
      </c>
      <c r="N152" s="5" t="str">
        <f>IFERROR(__xludf.DUMMYFUNCTION("""COMPUTED_VALUE"""),"--")</f>
        <v>--</v>
      </c>
      <c r="O152" s="5" t="str">
        <f>IFERROR(__xludf.DUMMYFUNCTION("""COMPUTED_VALUE"""),"--")</f>
        <v>--</v>
      </c>
      <c r="P152" s="5">
        <f>IFERROR(__xludf.DUMMYFUNCTION("""COMPUTED_VALUE"""),125.1)</f>
        <v>125.1</v>
      </c>
    </row>
    <row r="153">
      <c r="A153" s="19" t="str">
        <f>vlookup(B153,'Player Codes'!A:D,4,)</f>
        <v>0208</v>
      </c>
      <c r="B153" s="21" t="s">
        <v>690</v>
      </c>
      <c r="C153" s="5">
        <f>IFERROR(__xludf.DUMMYFUNCTION("""COMPUTED_VALUE"""),149.0)</f>
        <v>149</v>
      </c>
      <c r="D153" s="5" t="str">
        <f>IFERROR(__xludf.DUMMYFUNCTION("""COMPUTED_VALUE"""),"Brandin Cooks")</f>
        <v>Brandin Cooks</v>
      </c>
      <c r="E153" s="5" t="str">
        <f>IFERROR(__xludf.DUMMYFUNCTION("""COMPUTED_VALUE"""),"WR45")</f>
        <v>WR45</v>
      </c>
      <c r="F153" s="5" t="str">
        <f>IFERROR(__xludf.DUMMYFUNCTION("""COMPUTED_VALUE"""),"DAL")</f>
        <v>DAL</v>
      </c>
      <c r="G153" s="5">
        <f>IFERROR(__xludf.DUMMYFUNCTION("""COMPUTED_VALUE"""),7.0)</f>
        <v>7</v>
      </c>
      <c r="H153" s="5">
        <f>IFERROR(__xludf.DUMMYFUNCTION("""COMPUTED_VALUE"""),0.0)</f>
        <v>0</v>
      </c>
      <c r="I153" s="5">
        <f>IFERROR(__xludf.DUMMYFUNCTION("""COMPUTED_VALUE"""),0.0)</f>
        <v>0</v>
      </c>
      <c r="J153" s="5">
        <f>IFERROR(__xludf.DUMMYFUNCTION("""COMPUTED_VALUE"""),0.0)</f>
        <v>0</v>
      </c>
      <c r="K153" s="5">
        <f>IFERROR(__xludf.DUMMYFUNCTION("""COMPUTED_VALUE"""),10.0)</f>
        <v>10</v>
      </c>
      <c r="L153" s="5">
        <f>IFERROR(__xludf.DUMMYFUNCTION("""COMPUTED_VALUE"""),0.2)</f>
        <v>0.2</v>
      </c>
      <c r="M153" s="5">
        <f>IFERROR(__xludf.DUMMYFUNCTION("""COMPUTED_VALUE"""),56.0)</f>
        <v>56</v>
      </c>
      <c r="N153" s="5">
        <f>IFERROR(__xludf.DUMMYFUNCTION("""COMPUTED_VALUE"""),668.0)</f>
        <v>668</v>
      </c>
      <c r="O153" s="5">
        <f>IFERROR(__xludf.DUMMYFUNCTION("""COMPUTED_VALUE"""),4.6)</f>
        <v>4.6</v>
      </c>
      <c r="P153" s="5">
        <f>IFERROR(__xludf.DUMMYFUNCTION("""COMPUTED_VALUE"""),124.5)</f>
        <v>124.5</v>
      </c>
    </row>
    <row r="154">
      <c r="A154" s="19" t="str">
        <f>vlookup(B154,'Player Codes'!A:D,4,)</f>
        <v>0035</v>
      </c>
      <c r="B154" s="21" t="s">
        <v>699</v>
      </c>
      <c r="C154" s="5">
        <f>IFERROR(__xludf.DUMMYFUNCTION("""COMPUTED_VALUE"""),150.0)</f>
        <v>150</v>
      </c>
      <c r="D154" s="5" t="str">
        <f>IFERROR(__xludf.DUMMYFUNCTION("""COMPUTED_VALUE"""),"Dalvin Cook")</f>
        <v>Dalvin Cook</v>
      </c>
      <c r="E154" s="5" t="str">
        <f>IFERROR(__xludf.DUMMYFUNCTION("""COMPUTED_VALUE"""),"RB34")</f>
        <v>RB34</v>
      </c>
      <c r="F154" s="5" t="str">
        <f>IFERROR(__xludf.DUMMYFUNCTION("""COMPUTED_VALUE"""),"NYJ")</f>
        <v>NYJ</v>
      </c>
      <c r="G154" s="5">
        <f>IFERROR(__xludf.DUMMYFUNCTION("""COMPUTED_VALUE"""),7.0)</f>
        <v>7</v>
      </c>
      <c r="H154" s="5">
        <f>IFERROR(__xludf.DUMMYFUNCTION("""COMPUTED_VALUE"""),0.0)</f>
        <v>0</v>
      </c>
      <c r="I154" s="5">
        <f>IFERROR(__xludf.DUMMYFUNCTION("""COMPUTED_VALUE"""),0.0)</f>
        <v>0</v>
      </c>
      <c r="J154" s="5">
        <f>IFERROR(__xludf.DUMMYFUNCTION("""COMPUTED_VALUE"""),0.0)</f>
        <v>0</v>
      </c>
      <c r="K154" s="5">
        <f>IFERROR(__xludf.DUMMYFUNCTION("""COMPUTED_VALUE"""),603.0)</f>
        <v>603</v>
      </c>
      <c r="L154" s="5">
        <f>IFERROR(__xludf.DUMMYFUNCTION("""COMPUTED_VALUE"""),3.6)</f>
        <v>3.6</v>
      </c>
      <c r="M154" s="5">
        <f>IFERROR(__xludf.DUMMYFUNCTION("""COMPUTED_VALUE"""),30.0)</f>
        <v>30</v>
      </c>
      <c r="N154" s="5">
        <f>IFERROR(__xludf.DUMMYFUNCTION("""COMPUTED_VALUE"""),216.0)</f>
        <v>216</v>
      </c>
      <c r="O154" s="5">
        <f>IFERROR(__xludf.DUMMYFUNCTION("""COMPUTED_VALUE"""),0.9)</f>
        <v>0.9</v>
      </c>
      <c r="P154" s="5">
        <f>IFERROR(__xludf.DUMMYFUNCTION("""COMPUTED_VALUE"""),123.6)</f>
        <v>123.6</v>
      </c>
    </row>
    <row r="155">
      <c r="A155" s="19" t="str">
        <f>vlookup(B155,'Player Codes'!A:D,4,)</f>
        <v>0022</v>
      </c>
      <c r="B155" s="21" t="s">
        <v>376</v>
      </c>
      <c r="C155" s="5">
        <f>IFERROR(__xludf.DUMMYFUNCTION("""COMPUTED_VALUE"""),151.0)</f>
        <v>151</v>
      </c>
      <c r="D155" s="5" t="str">
        <f>IFERROR(__xludf.DUMMYFUNCTION("""COMPUTED_VALUE"""),"New England Patriots")</f>
        <v>New England Patriots</v>
      </c>
      <c r="E155" s="5" t="str">
        <f>IFERROR(__xludf.DUMMYFUNCTION("""COMPUTED_VALUE"""),"DST5")</f>
        <v>DST5</v>
      </c>
      <c r="F155" s="5" t="str">
        <f>IFERROR(__xludf.DUMMYFUNCTION("""COMPUTED_VALUE"""),"NE")</f>
        <v>NE</v>
      </c>
      <c r="G155" s="5">
        <f>IFERROR(__xludf.DUMMYFUNCTION("""COMPUTED_VALUE"""),11.0)</f>
        <v>11</v>
      </c>
      <c r="H155" s="5" t="str">
        <f>IFERROR(__xludf.DUMMYFUNCTION("""COMPUTED_VALUE"""),"--")</f>
        <v>--</v>
      </c>
      <c r="I155" s="5" t="str">
        <f>IFERROR(__xludf.DUMMYFUNCTION("""COMPUTED_VALUE"""),"--")</f>
        <v>--</v>
      </c>
      <c r="J155" s="5" t="str">
        <f>IFERROR(__xludf.DUMMYFUNCTION("""COMPUTED_VALUE"""),"--")</f>
        <v>--</v>
      </c>
      <c r="K155" s="5" t="str">
        <f>IFERROR(__xludf.DUMMYFUNCTION("""COMPUTED_VALUE"""),"--")</f>
        <v>--</v>
      </c>
      <c r="L155" s="5" t="str">
        <f>IFERROR(__xludf.DUMMYFUNCTION("""COMPUTED_VALUE"""),"--")</f>
        <v>--</v>
      </c>
      <c r="M155" s="5" t="str">
        <f>IFERROR(__xludf.DUMMYFUNCTION("""COMPUTED_VALUE"""),"--")</f>
        <v>--</v>
      </c>
      <c r="N155" s="5" t="str">
        <f>IFERROR(__xludf.DUMMYFUNCTION("""COMPUTED_VALUE"""),"--")</f>
        <v>--</v>
      </c>
      <c r="O155" s="5" t="str">
        <f>IFERROR(__xludf.DUMMYFUNCTION("""COMPUTED_VALUE"""),"--")</f>
        <v>--</v>
      </c>
      <c r="P155" s="5">
        <f>IFERROR(__xludf.DUMMYFUNCTION("""COMPUTED_VALUE"""),123.2)</f>
        <v>123.2</v>
      </c>
    </row>
    <row r="156">
      <c r="A156" s="19" t="str">
        <f>vlookup(B156,'Player Codes'!A:D,4,)</f>
        <v>0073</v>
      </c>
      <c r="B156" s="21" t="s">
        <v>283</v>
      </c>
      <c r="C156" s="5">
        <f>IFERROR(__xludf.DUMMYFUNCTION("""COMPUTED_VALUE"""),151.0)</f>
        <v>151</v>
      </c>
      <c r="D156" s="5" t="str">
        <f>IFERROR(__xludf.DUMMYFUNCTION("""COMPUTED_VALUE"""),"Kadarius Toney")</f>
        <v>Kadarius Toney</v>
      </c>
      <c r="E156" s="5" t="str">
        <f>IFERROR(__xludf.DUMMYFUNCTION("""COMPUTED_VALUE"""),"WR46")</f>
        <v>WR46</v>
      </c>
      <c r="F156" s="5" t="str">
        <f>IFERROR(__xludf.DUMMYFUNCTION("""COMPUTED_VALUE"""),"KC")</f>
        <v>KC</v>
      </c>
      <c r="G156" s="5">
        <f>IFERROR(__xludf.DUMMYFUNCTION("""COMPUTED_VALUE"""),10.0)</f>
        <v>10</v>
      </c>
      <c r="H156" s="5">
        <f>IFERROR(__xludf.DUMMYFUNCTION("""COMPUTED_VALUE"""),0.0)</f>
        <v>0</v>
      </c>
      <c r="I156" s="5">
        <f>IFERROR(__xludf.DUMMYFUNCTION("""COMPUTED_VALUE"""),0.0)</f>
        <v>0</v>
      </c>
      <c r="J156" s="5">
        <f>IFERROR(__xludf.DUMMYFUNCTION("""COMPUTED_VALUE"""),0.0)</f>
        <v>0</v>
      </c>
      <c r="K156" s="5">
        <f>IFERROR(__xludf.DUMMYFUNCTION("""COMPUTED_VALUE"""),46.0)</f>
        <v>46</v>
      </c>
      <c r="L156" s="5">
        <f>IFERROR(__xludf.DUMMYFUNCTION("""COMPUTED_VALUE"""),0.4)</f>
        <v>0.4</v>
      </c>
      <c r="M156" s="5">
        <f>IFERROR(__xludf.DUMMYFUNCTION("""COMPUTED_VALUE"""),54.0)</f>
        <v>54</v>
      </c>
      <c r="N156" s="5">
        <f>IFERROR(__xludf.DUMMYFUNCTION("""COMPUTED_VALUE"""),641.0)</f>
        <v>641</v>
      </c>
      <c r="O156" s="5">
        <f>IFERROR(__xludf.DUMMYFUNCTION("""COMPUTED_VALUE"""),4.2)</f>
        <v>4.2</v>
      </c>
      <c r="P156" s="5">
        <f>IFERROR(__xludf.DUMMYFUNCTION("""COMPUTED_VALUE"""),123.2)</f>
        <v>123.2</v>
      </c>
    </row>
    <row r="157">
      <c r="A157" s="19" t="str">
        <f>vlookup(B157,'Player Codes'!A:D,4,)</f>
        <v>0224</v>
      </c>
      <c r="B157" s="23" t="s">
        <v>2318</v>
      </c>
      <c r="C157" s="5">
        <f>IFERROR(__xludf.DUMMYFUNCTION("""COMPUTED_VALUE"""),153.0)</f>
        <v>153</v>
      </c>
      <c r="D157" s="5" t="str">
        <f>IFERROR(__xludf.DUMMYFUNCTION("""COMPUTED_VALUE"""),"Rashod Bateman")</f>
        <v>Rashod Bateman</v>
      </c>
      <c r="E157" s="5" t="str">
        <f>IFERROR(__xludf.DUMMYFUNCTION("""COMPUTED_VALUE"""),"WR47")</f>
        <v>WR47</v>
      </c>
      <c r="F157" s="5" t="str">
        <f>IFERROR(__xludf.DUMMYFUNCTION("""COMPUTED_VALUE"""),"BAL")</f>
        <v>BAL</v>
      </c>
      <c r="G157" s="5">
        <f>IFERROR(__xludf.DUMMYFUNCTION("""COMPUTED_VALUE"""),13.0)</f>
        <v>13</v>
      </c>
      <c r="H157" s="5">
        <f>IFERROR(__xludf.DUMMYFUNCTION("""COMPUTED_VALUE"""),0.0)</f>
        <v>0</v>
      </c>
      <c r="I157" s="5">
        <f>IFERROR(__xludf.DUMMYFUNCTION("""COMPUTED_VALUE"""),0.0)</f>
        <v>0</v>
      </c>
      <c r="J157" s="5">
        <f>IFERROR(__xludf.DUMMYFUNCTION("""COMPUTED_VALUE"""),0.0)</f>
        <v>0</v>
      </c>
      <c r="K157" s="5">
        <f>IFERROR(__xludf.DUMMYFUNCTION("""COMPUTED_VALUE"""),11.0)</f>
        <v>11</v>
      </c>
      <c r="L157" s="5">
        <f>IFERROR(__xludf.DUMMYFUNCTION("""COMPUTED_VALUE"""),0.1)</f>
        <v>0.1</v>
      </c>
      <c r="M157" s="5">
        <f>IFERROR(__xludf.DUMMYFUNCTION("""COMPUTED_VALUE"""),52.0)</f>
        <v>52</v>
      </c>
      <c r="N157" s="5">
        <f>IFERROR(__xludf.DUMMYFUNCTION("""COMPUTED_VALUE"""),673.0)</f>
        <v>673</v>
      </c>
      <c r="O157" s="5">
        <f>IFERROR(__xludf.DUMMYFUNCTION("""COMPUTED_VALUE"""),4.6)</f>
        <v>4.6</v>
      </c>
      <c r="P157" s="5">
        <f>IFERROR(__xludf.DUMMYFUNCTION("""COMPUTED_VALUE"""),122.4)</f>
        <v>122.4</v>
      </c>
    </row>
    <row r="158">
      <c r="A158" s="19" t="str">
        <f>vlookup(B158,'Player Codes'!A:D,4,)</f>
        <v>0179</v>
      </c>
      <c r="B158" s="21" t="s">
        <v>386</v>
      </c>
      <c r="C158" s="5">
        <f>IFERROR(__xludf.DUMMYFUNCTION("""COMPUTED_VALUE"""),154.0)</f>
        <v>154</v>
      </c>
      <c r="D158" s="5" t="str">
        <f>IFERROR(__xludf.DUMMYFUNCTION("""COMPUTED_VALUE"""),"Dallas Goedert")</f>
        <v>Dallas Goedert</v>
      </c>
      <c r="E158" s="5" t="str">
        <f>IFERROR(__xludf.DUMMYFUNCTION("""COMPUTED_VALUE"""),"TE7")</f>
        <v>TE7</v>
      </c>
      <c r="F158" s="5" t="str">
        <f>IFERROR(__xludf.DUMMYFUNCTION("""COMPUTED_VALUE"""),"PHI")</f>
        <v>PHI</v>
      </c>
      <c r="G158" s="5">
        <f>IFERROR(__xludf.DUMMYFUNCTION("""COMPUTED_VALUE"""),10.0)</f>
        <v>10</v>
      </c>
      <c r="H158" s="5">
        <f>IFERROR(__xludf.DUMMYFUNCTION("""COMPUTED_VALUE"""),0.0)</f>
        <v>0</v>
      </c>
      <c r="I158" s="5">
        <f>IFERROR(__xludf.DUMMYFUNCTION("""COMPUTED_VALUE"""),0.0)</f>
        <v>0</v>
      </c>
      <c r="J158" s="5">
        <f>IFERROR(__xludf.DUMMYFUNCTION("""COMPUTED_VALUE"""),0.0)</f>
        <v>0</v>
      </c>
      <c r="K158" s="5">
        <f>IFERROR(__xludf.DUMMYFUNCTION("""COMPUTED_VALUE"""),0.0)</f>
        <v>0</v>
      </c>
      <c r="L158" s="5">
        <f>IFERROR(__xludf.DUMMYFUNCTION("""COMPUTED_VALUE"""),0.0)</f>
        <v>0</v>
      </c>
      <c r="M158" s="5">
        <f>IFERROR(__xludf.DUMMYFUNCTION("""COMPUTED_VALUE"""),56.0)</f>
        <v>56</v>
      </c>
      <c r="N158" s="5">
        <f>IFERROR(__xludf.DUMMYFUNCTION("""COMPUTED_VALUE"""),687.0)</f>
        <v>687</v>
      </c>
      <c r="O158" s="5">
        <f>IFERROR(__xludf.DUMMYFUNCTION("""COMPUTED_VALUE"""),4.3)</f>
        <v>4.3</v>
      </c>
      <c r="P158" s="5">
        <f>IFERROR(__xludf.DUMMYFUNCTION("""COMPUTED_VALUE"""),122.3)</f>
        <v>122.3</v>
      </c>
    </row>
    <row r="159">
      <c r="A159" s="19" t="str">
        <f>vlookup(B159,'Player Codes'!A:D,4,)</f>
        <v>0245</v>
      </c>
      <c r="B159" s="21" t="s">
        <v>419</v>
      </c>
      <c r="C159" s="5">
        <f>IFERROR(__xludf.DUMMYFUNCTION("""COMPUTED_VALUE"""),155.0)</f>
        <v>155</v>
      </c>
      <c r="D159" s="5" t="str">
        <f>IFERROR(__xludf.DUMMYFUNCTION("""COMPUTED_VALUE"""),"Jonathan Taylor")</f>
        <v>Jonathan Taylor</v>
      </c>
      <c r="E159" s="5" t="str">
        <f>IFERROR(__xludf.DUMMYFUNCTION("""COMPUTED_VALUE"""),"RB35")</f>
        <v>RB35</v>
      </c>
      <c r="F159" s="5" t="str">
        <f>IFERROR(__xludf.DUMMYFUNCTION("""COMPUTED_VALUE"""),"IND")</f>
        <v>IND</v>
      </c>
      <c r="G159" s="5">
        <f>IFERROR(__xludf.DUMMYFUNCTION("""COMPUTED_VALUE"""),11.0)</f>
        <v>11</v>
      </c>
      <c r="H159" s="5">
        <f>IFERROR(__xludf.DUMMYFUNCTION("""COMPUTED_VALUE"""),0.0)</f>
        <v>0</v>
      </c>
      <c r="I159" s="5">
        <f>IFERROR(__xludf.DUMMYFUNCTION("""COMPUTED_VALUE"""),0.0)</f>
        <v>0</v>
      </c>
      <c r="J159" s="5">
        <f>IFERROR(__xludf.DUMMYFUNCTION("""COMPUTED_VALUE"""),0.0)</f>
        <v>0</v>
      </c>
      <c r="K159" s="5">
        <f>IFERROR(__xludf.DUMMYFUNCTION("""COMPUTED_VALUE"""),652.0)</f>
        <v>652</v>
      </c>
      <c r="L159" s="5">
        <f>IFERROR(__xludf.DUMMYFUNCTION("""COMPUTED_VALUE"""),4.1)</f>
        <v>4.1</v>
      </c>
      <c r="M159" s="5">
        <f>IFERROR(__xludf.DUMMYFUNCTION("""COMPUTED_VALUE"""),24.0)</f>
        <v>24</v>
      </c>
      <c r="N159" s="5">
        <f>IFERROR(__xludf.DUMMYFUNCTION("""COMPUTED_VALUE"""),162.0)</f>
        <v>162</v>
      </c>
      <c r="O159" s="5">
        <f>IFERROR(__xludf.DUMMYFUNCTION("""COMPUTED_VALUE"""),0.7)</f>
        <v>0.7</v>
      </c>
      <c r="P159" s="5">
        <f>IFERROR(__xludf.DUMMYFUNCTION("""COMPUTED_VALUE"""),122.1)</f>
        <v>122.1</v>
      </c>
    </row>
    <row r="160">
      <c r="A160" s="19" t="str">
        <f>vlookup(B160,'Player Codes'!A:D,4,)</f>
        <v>0070</v>
      </c>
      <c r="B160" s="21" t="s">
        <v>411</v>
      </c>
      <c r="C160" s="5">
        <f>IFERROR(__xludf.DUMMYFUNCTION("""COMPUTED_VALUE"""),156.0)</f>
        <v>156</v>
      </c>
      <c r="D160" s="5" t="str">
        <f>IFERROR(__xludf.DUMMYFUNCTION("""COMPUTED_VALUE"""),"Buffalo Bills")</f>
        <v>Buffalo Bills</v>
      </c>
      <c r="E160" s="5" t="str">
        <f>IFERROR(__xludf.DUMMYFUNCTION("""COMPUTED_VALUE"""),"DST6")</f>
        <v>DST6</v>
      </c>
      <c r="F160" s="5" t="str">
        <f>IFERROR(__xludf.DUMMYFUNCTION("""COMPUTED_VALUE"""),"BUF")</f>
        <v>BUF</v>
      </c>
      <c r="G160" s="5">
        <f>IFERROR(__xludf.DUMMYFUNCTION("""COMPUTED_VALUE"""),13.0)</f>
        <v>13</v>
      </c>
      <c r="H160" s="5" t="str">
        <f>IFERROR(__xludf.DUMMYFUNCTION("""COMPUTED_VALUE"""),"--")</f>
        <v>--</v>
      </c>
      <c r="I160" s="5" t="str">
        <f>IFERROR(__xludf.DUMMYFUNCTION("""COMPUTED_VALUE"""),"--")</f>
        <v>--</v>
      </c>
      <c r="J160" s="5" t="str">
        <f>IFERROR(__xludf.DUMMYFUNCTION("""COMPUTED_VALUE"""),"--")</f>
        <v>--</v>
      </c>
      <c r="K160" s="5" t="str">
        <f>IFERROR(__xludf.DUMMYFUNCTION("""COMPUTED_VALUE"""),"--")</f>
        <v>--</v>
      </c>
      <c r="L160" s="5" t="str">
        <f>IFERROR(__xludf.DUMMYFUNCTION("""COMPUTED_VALUE"""),"--")</f>
        <v>--</v>
      </c>
      <c r="M160" s="5" t="str">
        <f>IFERROR(__xludf.DUMMYFUNCTION("""COMPUTED_VALUE"""),"--")</f>
        <v>--</v>
      </c>
      <c r="N160" s="5" t="str">
        <f>IFERROR(__xludf.DUMMYFUNCTION("""COMPUTED_VALUE"""),"--")</f>
        <v>--</v>
      </c>
      <c r="O160" s="5" t="str">
        <f>IFERROR(__xludf.DUMMYFUNCTION("""COMPUTED_VALUE"""),"--")</f>
        <v>--</v>
      </c>
      <c r="P160" s="5">
        <f>IFERROR(__xludf.DUMMYFUNCTION("""COMPUTED_VALUE"""),121.1)</f>
        <v>121.1</v>
      </c>
    </row>
    <row r="161">
      <c r="A161" s="19" t="str">
        <f>vlookup(B161,'Player Codes'!A:D,4,)</f>
        <v>0031</v>
      </c>
      <c r="B161" s="23" t="s">
        <v>2319</v>
      </c>
      <c r="C161" s="5">
        <f>IFERROR(__xludf.DUMMYFUNCTION("""COMPUTED_VALUE"""),157.0)</f>
        <v>157</v>
      </c>
      <c r="D161" s="5" t="str">
        <f>IFERROR(__xludf.DUMMYFUNCTION("""COMPUTED_VALUE"""),"Nick Folk")</f>
        <v>Nick Folk</v>
      </c>
      <c r="E161" s="5" t="str">
        <f>IFERROR(__xludf.DUMMYFUNCTION("""COMPUTED_VALUE"""),"K30")</f>
        <v>K30</v>
      </c>
      <c r="F161" s="5" t="str">
        <f>IFERROR(__xludf.DUMMYFUNCTION("""COMPUTED_VALUE"""),"TEN")</f>
        <v>TEN</v>
      </c>
      <c r="G161" s="5">
        <f>IFERROR(__xludf.DUMMYFUNCTION("""COMPUTED_VALUE"""),7.0)</f>
        <v>7</v>
      </c>
      <c r="H161" s="5" t="str">
        <f>IFERROR(__xludf.DUMMYFUNCTION("""COMPUTED_VALUE"""),"--")</f>
        <v>--</v>
      </c>
      <c r="I161" s="5" t="str">
        <f>IFERROR(__xludf.DUMMYFUNCTION("""COMPUTED_VALUE"""),"--")</f>
        <v>--</v>
      </c>
      <c r="J161" s="5" t="str">
        <f>IFERROR(__xludf.DUMMYFUNCTION("""COMPUTED_VALUE"""),"--")</f>
        <v>--</v>
      </c>
      <c r="K161" s="5" t="str">
        <f>IFERROR(__xludf.DUMMYFUNCTION("""COMPUTED_VALUE"""),"--")</f>
        <v>--</v>
      </c>
      <c r="L161" s="5" t="str">
        <f>IFERROR(__xludf.DUMMYFUNCTION("""COMPUTED_VALUE"""),"--")</f>
        <v>--</v>
      </c>
      <c r="M161" s="5" t="str">
        <f>IFERROR(__xludf.DUMMYFUNCTION("""COMPUTED_VALUE"""),"--")</f>
        <v>--</v>
      </c>
      <c r="N161" s="5" t="str">
        <f>IFERROR(__xludf.DUMMYFUNCTION("""COMPUTED_VALUE"""),"--")</f>
        <v>--</v>
      </c>
      <c r="O161" s="5" t="str">
        <f>IFERROR(__xludf.DUMMYFUNCTION("""COMPUTED_VALUE"""),"--")</f>
        <v>--</v>
      </c>
      <c r="P161" s="5">
        <f>IFERROR(__xludf.DUMMYFUNCTION("""COMPUTED_VALUE"""),120.8)</f>
        <v>120.8</v>
      </c>
    </row>
    <row r="162">
      <c r="A162" s="19" t="str">
        <f>vlookup(B162,'Player Codes'!A:D,4,)</f>
        <v>0036</v>
      </c>
      <c r="B162" s="21" t="s">
        <v>748</v>
      </c>
      <c r="C162" s="5">
        <f>IFERROR(__xludf.DUMMYFUNCTION("""COMPUTED_VALUE"""),158.0)</f>
        <v>158</v>
      </c>
      <c r="D162" s="5" t="str">
        <f>IFERROR(__xludf.DUMMYFUNCTION("""COMPUTED_VALUE"""),"Pat Freiermuth")</f>
        <v>Pat Freiermuth</v>
      </c>
      <c r="E162" s="5" t="str">
        <f>IFERROR(__xludf.DUMMYFUNCTION("""COMPUTED_VALUE"""),"TE8")</f>
        <v>TE8</v>
      </c>
      <c r="F162" s="5" t="str">
        <f>IFERROR(__xludf.DUMMYFUNCTION("""COMPUTED_VALUE"""),"PIT")</f>
        <v>PIT</v>
      </c>
      <c r="G162" s="5">
        <f>IFERROR(__xludf.DUMMYFUNCTION("""COMPUTED_VALUE"""),6.0)</f>
        <v>6</v>
      </c>
      <c r="H162" s="5">
        <f>IFERROR(__xludf.DUMMYFUNCTION("""COMPUTED_VALUE"""),0.0)</f>
        <v>0</v>
      </c>
      <c r="I162" s="5">
        <f>IFERROR(__xludf.DUMMYFUNCTION("""COMPUTED_VALUE"""),0.0)</f>
        <v>0</v>
      </c>
      <c r="J162" s="5">
        <f>IFERROR(__xludf.DUMMYFUNCTION("""COMPUTED_VALUE"""),0.0)</f>
        <v>0</v>
      </c>
      <c r="K162" s="5">
        <f>IFERROR(__xludf.DUMMYFUNCTION("""COMPUTED_VALUE"""),0.0)</f>
        <v>0</v>
      </c>
      <c r="L162" s="5">
        <f>IFERROR(__xludf.DUMMYFUNCTION("""COMPUTED_VALUE"""),0.0)</f>
        <v>0</v>
      </c>
      <c r="M162" s="5">
        <f>IFERROR(__xludf.DUMMYFUNCTION("""COMPUTED_VALUE"""),61.0)</f>
        <v>61</v>
      </c>
      <c r="N162" s="5">
        <f>IFERROR(__xludf.DUMMYFUNCTION("""COMPUTED_VALUE"""),655.0)</f>
        <v>655</v>
      </c>
      <c r="O162" s="5">
        <f>IFERROR(__xludf.DUMMYFUNCTION("""COMPUTED_VALUE"""),4.1)</f>
        <v>4.1</v>
      </c>
      <c r="P162" s="5">
        <f>IFERROR(__xludf.DUMMYFUNCTION("""COMPUTED_VALUE"""),120.4)</f>
        <v>120.4</v>
      </c>
    </row>
    <row r="163">
      <c r="A163" s="19" t="str">
        <f>vlookup(B163,'Player Codes'!A:D,4,)</f>
        <v>0234</v>
      </c>
      <c r="B163" s="21" t="s">
        <v>475</v>
      </c>
      <c r="C163" s="5">
        <f>IFERROR(__xludf.DUMMYFUNCTION("""COMPUTED_VALUE"""),159.0)</f>
        <v>159</v>
      </c>
      <c r="D163" s="5" t="str">
        <f>IFERROR(__xludf.DUMMYFUNCTION("""COMPUTED_VALUE"""),"Matt Prater")</f>
        <v>Matt Prater</v>
      </c>
      <c r="E163" s="5" t="str">
        <f>IFERROR(__xludf.DUMMYFUNCTION("""COMPUTED_VALUE"""),"K31")</f>
        <v>K31</v>
      </c>
      <c r="F163" s="5" t="str">
        <f>IFERROR(__xludf.DUMMYFUNCTION("""COMPUTED_VALUE"""),"ARI")</f>
        <v>ARI</v>
      </c>
      <c r="G163" s="5">
        <f>IFERROR(__xludf.DUMMYFUNCTION("""COMPUTED_VALUE"""),14.0)</f>
        <v>14</v>
      </c>
      <c r="H163" s="5" t="str">
        <f>IFERROR(__xludf.DUMMYFUNCTION("""COMPUTED_VALUE"""),"--")</f>
        <v>--</v>
      </c>
      <c r="I163" s="5" t="str">
        <f>IFERROR(__xludf.DUMMYFUNCTION("""COMPUTED_VALUE"""),"--")</f>
        <v>--</v>
      </c>
      <c r="J163" s="5" t="str">
        <f>IFERROR(__xludf.DUMMYFUNCTION("""COMPUTED_VALUE"""),"--")</f>
        <v>--</v>
      </c>
      <c r="K163" s="5" t="str">
        <f>IFERROR(__xludf.DUMMYFUNCTION("""COMPUTED_VALUE"""),"--")</f>
        <v>--</v>
      </c>
      <c r="L163" s="5" t="str">
        <f>IFERROR(__xludf.DUMMYFUNCTION("""COMPUTED_VALUE"""),"--")</f>
        <v>--</v>
      </c>
      <c r="M163" s="5" t="str">
        <f>IFERROR(__xludf.DUMMYFUNCTION("""COMPUTED_VALUE"""),"--")</f>
        <v>--</v>
      </c>
      <c r="N163" s="5" t="str">
        <f>IFERROR(__xludf.DUMMYFUNCTION("""COMPUTED_VALUE"""),"--")</f>
        <v>--</v>
      </c>
      <c r="O163" s="5" t="str">
        <f>IFERROR(__xludf.DUMMYFUNCTION("""COMPUTED_VALUE"""),"--")</f>
        <v>--</v>
      </c>
      <c r="P163" s="5">
        <f>IFERROR(__xludf.DUMMYFUNCTION("""COMPUTED_VALUE"""),119.1)</f>
        <v>119.1</v>
      </c>
    </row>
    <row r="164">
      <c r="A164" s="19" t="str">
        <f>vlookup(B164,'Player Codes'!A:D,4,)</f>
        <v>0209</v>
      </c>
      <c r="B164" s="21" t="s">
        <v>760</v>
      </c>
      <c r="C164" s="5">
        <f>IFERROR(__xludf.DUMMYFUNCTION("""COMPUTED_VALUE"""),160.0)</f>
        <v>160</v>
      </c>
      <c r="D164" s="5" t="str">
        <f>IFERROR(__xludf.DUMMYFUNCTION("""COMPUTED_VALUE"""),"Carolina Panthers")</f>
        <v>Carolina Panthers</v>
      </c>
      <c r="E164" s="5" t="str">
        <f>IFERROR(__xludf.DUMMYFUNCTION("""COMPUTED_VALUE"""),"DST7")</f>
        <v>DST7</v>
      </c>
      <c r="F164" s="5" t="str">
        <f>IFERROR(__xludf.DUMMYFUNCTION("""COMPUTED_VALUE"""),"CAR")</f>
        <v>CAR</v>
      </c>
      <c r="G164" s="5">
        <f>IFERROR(__xludf.DUMMYFUNCTION("""COMPUTED_VALUE"""),7.0)</f>
        <v>7</v>
      </c>
      <c r="H164" s="5" t="str">
        <f>IFERROR(__xludf.DUMMYFUNCTION("""COMPUTED_VALUE"""),"--")</f>
        <v>--</v>
      </c>
      <c r="I164" s="5" t="str">
        <f>IFERROR(__xludf.DUMMYFUNCTION("""COMPUTED_VALUE"""),"--")</f>
        <v>--</v>
      </c>
      <c r="J164" s="5" t="str">
        <f>IFERROR(__xludf.DUMMYFUNCTION("""COMPUTED_VALUE"""),"--")</f>
        <v>--</v>
      </c>
      <c r="K164" s="5" t="str">
        <f>IFERROR(__xludf.DUMMYFUNCTION("""COMPUTED_VALUE"""),"--")</f>
        <v>--</v>
      </c>
      <c r="L164" s="5" t="str">
        <f>IFERROR(__xludf.DUMMYFUNCTION("""COMPUTED_VALUE"""),"--")</f>
        <v>--</v>
      </c>
      <c r="M164" s="5" t="str">
        <f>IFERROR(__xludf.DUMMYFUNCTION("""COMPUTED_VALUE"""),"--")</f>
        <v>--</v>
      </c>
      <c r="N164" s="5" t="str">
        <f>IFERROR(__xludf.DUMMYFUNCTION("""COMPUTED_VALUE"""),"--")</f>
        <v>--</v>
      </c>
      <c r="O164" s="5" t="str">
        <f>IFERROR(__xludf.DUMMYFUNCTION("""COMPUTED_VALUE"""),"--")</f>
        <v>--</v>
      </c>
      <c r="P164" s="5">
        <f>IFERROR(__xludf.DUMMYFUNCTION("""COMPUTED_VALUE"""),118.9)</f>
        <v>118.9</v>
      </c>
    </row>
    <row r="165">
      <c r="A165" s="19" t="str">
        <f>vlookup(B165,'Player Codes'!A:D,4,)</f>
        <v>0040</v>
      </c>
      <c r="B165" s="23" t="s">
        <v>2320</v>
      </c>
      <c r="C165" s="5">
        <f>IFERROR(__xludf.DUMMYFUNCTION("""COMPUTED_VALUE"""),161.0)</f>
        <v>161</v>
      </c>
      <c r="D165" s="5" t="str">
        <f>IFERROR(__xludf.DUMMYFUNCTION("""COMPUTED_VALUE"""),"JuJu Smith-Schuster")</f>
        <v>JuJu Smith-Schuster</v>
      </c>
      <c r="E165" s="5" t="str">
        <f>IFERROR(__xludf.DUMMYFUNCTION("""COMPUTED_VALUE"""),"WR48")</f>
        <v>WR48</v>
      </c>
      <c r="F165" s="5" t="str">
        <f>IFERROR(__xludf.DUMMYFUNCTION("""COMPUTED_VALUE"""),"NE")</f>
        <v>NE</v>
      </c>
      <c r="G165" s="5">
        <f>IFERROR(__xludf.DUMMYFUNCTION("""COMPUTED_VALUE"""),11.0)</f>
        <v>11</v>
      </c>
      <c r="H165" s="5">
        <f>IFERROR(__xludf.DUMMYFUNCTION("""COMPUTED_VALUE"""),0.0)</f>
        <v>0</v>
      </c>
      <c r="I165" s="5">
        <f>IFERROR(__xludf.DUMMYFUNCTION("""COMPUTED_VALUE"""),0.0)</f>
        <v>0</v>
      </c>
      <c r="J165" s="5">
        <f>IFERROR(__xludf.DUMMYFUNCTION("""COMPUTED_VALUE"""),0.0)</f>
        <v>0</v>
      </c>
      <c r="K165" s="5">
        <f>IFERROR(__xludf.DUMMYFUNCTION("""COMPUTED_VALUE"""),0.0)</f>
        <v>0</v>
      </c>
      <c r="L165" s="5">
        <f>IFERROR(__xludf.DUMMYFUNCTION("""COMPUTED_VALUE"""),0.0)</f>
        <v>0</v>
      </c>
      <c r="M165" s="5">
        <f>IFERROR(__xludf.DUMMYFUNCTION("""COMPUTED_VALUE"""),60.0)</f>
        <v>60</v>
      </c>
      <c r="N165" s="5">
        <f>IFERROR(__xludf.DUMMYFUNCTION("""COMPUTED_VALUE"""),650.0)</f>
        <v>650</v>
      </c>
      <c r="O165" s="5">
        <f>IFERROR(__xludf.DUMMYFUNCTION("""COMPUTED_VALUE"""),4.0)</f>
        <v>4</v>
      </c>
      <c r="P165" s="5">
        <f>IFERROR(__xludf.DUMMYFUNCTION("""COMPUTED_VALUE"""),118.8)</f>
        <v>118.8</v>
      </c>
    </row>
    <row r="166">
      <c r="A166" s="19" t="str">
        <f>vlookup(B166,'Player Codes'!A:D,4,)</f>
        <v>0171</v>
      </c>
      <c r="B166" s="21" t="s">
        <v>358</v>
      </c>
      <c r="C166" s="5">
        <f>IFERROR(__xludf.DUMMYFUNCTION("""COMPUTED_VALUE"""),161.0)</f>
        <v>161</v>
      </c>
      <c r="D166" s="5" t="str">
        <f>IFERROR(__xludf.DUMMYFUNCTION("""COMPUTED_VALUE"""),"Zach Charbonnet")</f>
        <v>Zach Charbonnet</v>
      </c>
      <c r="E166" s="5" t="str">
        <f>IFERROR(__xludf.DUMMYFUNCTION("""COMPUTED_VALUE"""),"RB36")</f>
        <v>RB36</v>
      </c>
      <c r="F166" s="5" t="str">
        <f>IFERROR(__xludf.DUMMYFUNCTION("""COMPUTED_VALUE"""),"SEA")</f>
        <v>SEA</v>
      </c>
      <c r="G166" s="5">
        <f>IFERROR(__xludf.DUMMYFUNCTION("""COMPUTED_VALUE"""),5.0)</f>
        <v>5</v>
      </c>
      <c r="H166" s="5">
        <f>IFERROR(__xludf.DUMMYFUNCTION("""COMPUTED_VALUE"""),0.0)</f>
        <v>0</v>
      </c>
      <c r="I166" s="5">
        <f>IFERROR(__xludf.DUMMYFUNCTION("""COMPUTED_VALUE"""),0.0)</f>
        <v>0</v>
      </c>
      <c r="J166" s="5">
        <f>IFERROR(__xludf.DUMMYFUNCTION("""COMPUTED_VALUE"""),0.0)</f>
        <v>0</v>
      </c>
      <c r="K166" s="5">
        <f>IFERROR(__xludf.DUMMYFUNCTION("""COMPUTED_VALUE"""),569.0)</f>
        <v>569</v>
      </c>
      <c r="L166" s="5">
        <f>IFERROR(__xludf.DUMMYFUNCTION("""COMPUTED_VALUE"""),3.7)</f>
        <v>3.7</v>
      </c>
      <c r="M166" s="5">
        <f>IFERROR(__xludf.DUMMYFUNCTION("""COMPUTED_VALUE"""),29.0)</f>
        <v>29</v>
      </c>
      <c r="N166" s="5">
        <f>IFERROR(__xludf.DUMMYFUNCTION("""COMPUTED_VALUE"""),223.0)</f>
        <v>223</v>
      </c>
      <c r="O166" s="5">
        <f>IFERROR(__xludf.DUMMYFUNCTION("""COMPUTED_VALUE"""),0.5)</f>
        <v>0.5</v>
      </c>
      <c r="P166" s="5">
        <f>IFERROR(__xludf.DUMMYFUNCTION("""COMPUTED_VALUE"""),118.8)</f>
        <v>118.8</v>
      </c>
    </row>
    <row r="167">
      <c r="A167" s="19" t="str">
        <f>vlookup(B167,'Player Codes'!A:D,4,)</f>
        <v>0296</v>
      </c>
      <c r="B167" s="21" t="s">
        <v>368</v>
      </c>
      <c r="C167" s="5">
        <f>IFERROR(__xludf.DUMMYFUNCTION("""COMPUTED_VALUE"""),163.0)</f>
        <v>163</v>
      </c>
      <c r="D167" s="5" t="str">
        <f>IFERROR(__xludf.DUMMYFUNCTION("""COMPUTED_VALUE"""),"Samaje Perine")</f>
        <v>Samaje Perine</v>
      </c>
      <c r="E167" s="5" t="str">
        <f>IFERROR(__xludf.DUMMYFUNCTION("""COMPUTED_VALUE"""),"RB37")</f>
        <v>RB37</v>
      </c>
      <c r="F167" s="5" t="str">
        <f>IFERROR(__xludf.DUMMYFUNCTION("""COMPUTED_VALUE"""),"DEN")</f>
        <v>DEN</v>
      </c>
      <c r="G167" s="5">
        <f>IFERROR(__xludf.DUMMYFUNCTION("""COMPUTED_VALUE"""),9.0)</f>
        <v>9</v>
      </c>
      <c r="H167" s="5">
        <f>IFERROR(__xludf.DUMMYFUNCTION("""COMPUTED_VALUE"""),0.0)</f>
        <v>0</v>
      </c>
      <c r="I167" s="5">
        <f>IFERROR(__xludf.DUMMYFUNCTION("""COMPUTED_VALUE"""),0.0)</f>
        <v>0</v>
      </c>
      <c r="J167" s="5">
        <f>IFERROR(__xludf.DUMMYFUNCTION("""COMPUTED_VALUE"""),0.0)</f>
        <v>0</v>
      </c>
      <c r="K167" s="5">
        <f>IFERROR(__xludf.DUMMYFUNCTION("""COMPUTED_VALUE"""),546.0)</f>
        <v>546</v>
      </c>
      <c r="L167" s="5">
        <f>IFERROR(__xludf.DUMMYFUNCTION("""COMPUTED_VALUE"""),3.4)</f>
        <v>3.4</v>
      </c>
      <c r="M167" s="5">
        <f>IFERROR(__xludf.DUMMYFUNCTION("""COMPUTED_VALUE"""),30.0)</f>
        <v>30</v>
      </c>
      <c r="N167" s="5">
        <f>IFERROR(__xludf.DUMMYFUNCTION("""COMPUTED_VALUE"""),213.0)</f>
        <v>213</v>
      </c>
      <c r="O167" s="5">
        <f>IFERROR(__xludf.DUMMYFUNCTION("""COMPUTED_VALUE"""),1.2)</f>
        <v>1.2</v>
      </c>
      <c r="P167" s="5">
        <f>IFERROR(__xludf.DUMMYFUNCTION("""COMPUTED_VALUE"""),118.4)</f>
        <v>118.4</v>
      </c>
    </row>
    <row r="168">
      <c r="A168" s="19" t="str">
        <f>vlookup(B168,'Player Codes'!A:D,4,)</f>
        <v>0257</v>
      </c>
      <c r="B168" s="21" t="s">
        <v>341</v>
      </c>
      <c r="C168" s="5">
        <f>IFERROR(__xludf.DUMMYFUNCTION("""COMPUTED_VALUE"""),164.0)</f>
        <v>164</v>
      </c>
      <c r="D168" s="5" t="str">
        <f>IFERROR(__xludf.DUMMYFUNCTION("""COMPUTED_VALUE"""),"Van Jefferson")</f>
        <v>Van Jefferson</v>
      </c>
      <c r="E168" s="5" t="str">
        <f>IFERROR(__xludf.DUMMYFUNCTION("""COMPUTED_VALUE"""),"WR49")</f>
        <v>WR49</v>
      </c>
      <c r="F168" s="5" t="str">
        <f>IFERROR(__xludf.DUMMYFUNCTION("""COMPUTED_VALUE"""),"LAR")</f>
        <v>LAR</v>
      </c>
      <c r="G168" s="5">
        <f>IFERROR(__xludf.DUMMYFUNCTION("""COMPUTED_VALUE"""),10.0)</f>
        <v>10</v>
      </c>
      <c r="H168" s="5">
        <f>IFERROR(__xludf.DUMMYFUNCTION("""COMPUTED_VALUE"""),0.0)</f>
        <v>0</v>
      </c>
      <c r="I168" s="5">
        <f>IFERROR(__xludf.DUMMYFUNCTION("""COMPUTED_VALUE"""),0.0)</f>
        <v>0</v>
      </c>
      <c r="J168" s="5">
        <f>IFERROR(__xludf.DUMMYFUNCTION("""COMPUTED_VALUE"""),0.0)</f>
        <v>0</v>
      </c>
      <c r="K168" s="5">
        <f>IFERROR(__xludf.DUMMYFUNCTION("""COMPUTED_VALUE"""),7.0)</f>
        <v>7</v>
      </c>
      <c r="L168" s="5">
        <f>IFERROR(__xludf.DUMMYFUNCTION("""COMPUTED_VALUE"""),0.0)</f>
        <v>0</v>
      </c>
      <c r="M168" s="5">
        <f>IFERROR(__xludf.DUMMYFUNCTION("""COMPUTED_VALUE"""),52.0)</f>
        <v>52</v>
      </c>
      <c r="N168" s="5">
        <f>IFERROR(__xludf.DUMMYFUNCTION("""COMPUTED_VALUE"""),662.0)</f>
        <v>662</v>
      </c>
      <c r="O168" s="5">
        <f>IFERROR(__xludf.DUMMYFUNCTION("""COMPUTED_VALUE"""),4.2)</f>
        <v>4.2</v>
      </c>
      <c r="P168" s="5">
        <f>IFERROR(__xludf.DUMMYFUNCTION("""COMPUTED_VALUE"""),118.1)</f>
        <v>118.1</v>
      </c>
    </row>
    <row r="169">
      <c r="A169" s="19" t="str">
        <f>vlookup(B169,'Player Codes'!A:D,4,)</f>
        <v>0180</v>
      </c>
      <c r="B169" s="23" t="s">
        <v>2321</v>
      </c>
      <c r="C169" s="5">
        <f>IFERROR(__xludf.DUMMYFUNCTION("""COMPUTED_VALUE"""),165.0)</f>
        <v>165</v>
      </c>
      <c r="D169" s="5" t="str">
        <f>IFERROR(__xludf.DUMMYFUNCTION("""COMPUTED_VALUE"""),"Kansas City Chiefs")</f>
        <v>Kansas City Chiefs</v>
      </c>
      <c r="E169" s="5" t="str">
        <f>IFERROR(__xludf.DUMMYFUNCTION("""COMPUTED_VALUE"""),"DST8")</f>
        <v>DST8</v>
      </c>
      <c r="F169" s="5" t="str">
        <f>IFERROR(__xludf.DUMMYFUNCTION("""COMPUTED_VALUE"""),"KC")</f>
        <v>KC</v>
      </c>
      <c r="G169" s="5">
        <f>IFERROR(__xludf.DUMMYFUNCTION("""COMPUTED_VALUE"""),10.0)</f>
        <v>10</v>
      </c>
      <c r="H169" s="5" t="str">
        <f>IFERROR(__xludf.DUMMYFUNCTION("""COMPUTED_VALUE"""),"--")</f>
        <v>--</v>
      </c>
      <c r="I169" s="5" t="str">
        <f>IFERROR(__xludf.DUMMYFUNCTION("""COMPUTED_VALUE"""),"--")</f>
        <v>--</v>
      </c>
      <c r="J169" s="5" t="str">
        <f>IFERROR(__xludf.DUMMYFUNCTION("""COMPUTED_VALUE"""),"--")</f>
        <v>--</v>
      </c>
      <c r="K169" s="5" t="str">
        <f>IFERROR(__xludf.DUMMYFUNCTION("""COMPUTED_VALUE"""),"--")</f>
        <v>--</v>
      </c>
      <c r="L169" s="5" t="str">
        <f>IFERROR(__xludf.DUMMYFUNCTION("""COMPUTED_VALUE"""),"--")</f>
        <v>--</v>
      </c>
      <c r="M169" s="5" t="str">
        <f>IFERROR(__xludf.DUMMYFUNCTION("""COMPUTED_VALUE"""),"--")</f>
        <v>--</v>
      </c>
      <c r="N169" s="5" t="str">
        <f>IFERROR(__xludf.DUMMYFUNCTION("""COMPUTED_VALUE"""),"--")</f>
        <v>--</v>
      </c>
      <c r="O169" s="5" t="str">
        <f>IFERROR(__xludf.DUMMYFUNCTION("""COMPUTED_VALUE"""),"--")</f>
        <v>--</v>
      </c>
      <c r="P169" s="5">
        <f>IFERROR(__xludf.DUMMYFUNCTION("""COMPUTED_VALUE"""),117.8)</f>
        <v>117.8</v>
      </c>
    </row>
    <row r="170">
      <c r="A170" s="19" t="str">
        <f>vlookup(B170,'Player Codes'!A:D,4,)</f>
        <v>0059</v>
      </c>
      <c r="B170" s="23" t="s">
        <v>2322</v>
      </c>
      <c r="C170" s="5">
        <f>IFERROR(__xludf.DUMMYFUNCTION("""COMPUTED_VALUE"""),166.0)</f>
        <v>166</v>
      </c>
      <c r="D170" s="5" t="str">
        <f>IFERROR(__xludf.DUMMYFUNCTION("""COMPUTED_VALUE"""),"Cleveland Browns")</f>
        <v>Cleveland Browns</v>
      </c>
      <c r="E170" s="5" t="str">
        <f>IFERROR(__xludf.DUMMYFUNCTION("""COMPUTED_VALUE"""),"DST9")</f>
        <v>DST9</v>
      </c>
      <c r="F170" s="5" t="str">
        <f>IFERROR(__xludf.DUMMYFUNCTION("""COMPUTED_VALUE"""),"CLE")</f>
        <v>CLE</v>
      </c>
      <c r="G170" s="5">
        <f>IFERROR(__xludf.DUMMYFUNCTION("""COMPUTED_VALUE"""),5.0)</f>
        <v>5</v>
      </c>
      <c r="H170" s="5" t="str">
        <f>IFERROR(__xludf.DUMMYFUNCTION("""COMPUTED_VALUE"""),"--")</f>
        <v>--</v>
      </c>
      <c r="I170" s="5" t="str">
        <f>IFERROR(__xludf.DUMMYFUNCTION("""COMPUTED_VALUE"""),"--")</f>
        <v>--</v>
      </c>
      <c r="J170" s="5" t="str">
        <f>IFERROR(__xludf.DUMMYFUNCTION("""COMPUTED_VALUE"""),"--")</f>
        <v>--</v>
      </c>
      <c r="K170" s="5" t="str">
        <f>IFERROR(__xludf.DUMMYFUNCTION("""COMPUTED_VALUE"""),"--")</f>
        <v>--</v>
      </c>
      <c r="L170" s="5" t="str">
        <f>IFERROR(__xludf.DUMMYFUNCTION("""COMPUTED_VALUE"""),"--")</f>
        <v>--</v>
      </c>
      <c r="M170" s="5" t="str">
        <f>IFERROR(__xludf.DUMMYFUNCTION("""COMPUTED_VALUE"""),"--")</f>
        <v>--</v>
      </c>
      <c r="N170" s="5" t="str">
        <f>IFERROR(__xludf.DUMMYFUNCTION("""COMPUTED_VALUE"""),"--")</f>
        <v>--</v>
      </c>
      <c r="O170" s="5" t="str">
        <f>IFERROR(__xludf.DUMMYFUNCTION("""COMPUTED_VALUE"""),"--")</f>
        <v>--</v>
      </c>
      <c r="P170" s="5">
        <f>IFERROR(__xludf.DUMMYFUNCTION("""COMPUTED_VALUE"""),117.3)</f>
        <v>117.3</v>
      </c>
    </row>
    <row r="171">
      <c r="A171" s="19" t="str">
        <f>vlookup(B171,'Player Codes'!A:D,4,)</f>
        <v>0216</v>
      </c>
      <c r="B171" s="21" t="s">
        <v>372</v>
      </c>
      <c r="C171" s="5">
        <f>IFERROR(__xludf.DUMMYFUNCTION("""COMPUTED_VALUE"""),167.0)</f>
        <v>167</v>
      </c>
      <c r="D171" s="5" t="str">
        <f>IFERROR(__xludf.DUMMYFUNCTION("""COMPUTED_VALUE"""),"Michael Thomas")</f>
        <v>Michael Thomas</v>
      </c>
      <c r="E171" s="5" t="str">
        <f>IFERROR(__xludf.DUMMYFUNCTION("""COMPUTED_VALUE"""),"WR50")</f>
        <v>WR50</v>
      </c>
      <c r="F171" s="5" t="str">
        <f>IFERROR(__xludf.DUMMYFUNCTION("""COMPUTED_VALUE"""),"NO")</f>
        <v>NO</v>
      </c>
      <c r="G171" s="5">
        <f>IFERROR(__xludf.DUMMYFUNCTION("""COMPUTED_VALUE"""),11.0)</f>
        <v>11</v>
      </c>
      <c r="H171" s="5">
        <f>IFERROR(__xludf.DUMMYFUNCTION("""COMPUTED_VALUE"""),0.0)</f>
        <v>0</v>
      </c>
      <c r="I171" s="5">
        <f>IFERROR(__xludf.DUMMYFUNCTION("""COMPUTED_VALUE"""),0.0)</f>
        <v>0</v>
      </c>
      <c r="J171" s="5">
        <f>IFERROR(__xludf.DUMMYFUNCTION("""COMPUTED_VALUE"""),0.0)</f>
        <v>0</v>
      </c>
      <c r="K171" s="5">
        <f>IFERROR(__xludf.DUMMYFUNCTION("""COMPUTED_VALUE"""),0.0)</f>
        <v>0</v>
      </c>
      <c r="L171" s="5">
        <f>IFERROR(__xludf.DUMMYFUNCTION("""COMPUTED_VALUE"""),0.0)</f>
        <v>0</v>
      </c>
      <c r="M171" s="5">
        <f>IFERROR(__xludf.DUMMYFUNCTION("""COMPUTED_VALUE"""),53.0)</f>
        <v>53</v>
      </c>
      <c r="N171" s="5">
        <f>IFERROR(__xludf.DUMMYFUNCTION("""COMPUTED_VALUE"""),652.0)</f>
        <v>652</v>
      </c>
      <c r="O171" s="5">
        <f>IFERROR(__xludf.DUMMYFUNCTION("""COMPUTED_VALUE"""),4.3)</f>
        <v>4.3</v>
      </c>
      <c r="P171" s="5">
        <f>IFERROR(__xludf.DUMMYFUNCTION("""COMPUTED_VALUE"""),117.2)</f>
        <v>117.2</v>
      </c>
    </row>
    <row r="172">
      <c r="A172" s="19" t="str">
        <f>vlookup(B172,'Player Codes'!A:D,4,)</f>
        <v>0250</v>
      </c>
      <c r="B172" s="21" t="s">
        <v>497</v>
      </c>
      <c r="C172" s="5">
        <f>IFERROR(__xludf.DUMMYFUNCTION("""COMPUTED_VALUE"""),168.0)</f>
        <v>168</v>
      </c>
      <c r="D172" s="5" t="str">
        <f>IFERROR(__xludf.DUMMYFUNCTION("""COMPUTED_VALUE"""),"Romeo Doubs")</f>
        <v>Romeo Doubs</v>
      </c>
      <c r="E172" s="5" t="str">
        <f>IFERROR(__xludf.DUMMYFUNCTION("""COMPUTED_VALUE"""),"WR51")</f>
        <v>WR51</v>
      </c>
      <c r="F172" s="5" t="str">
        <f>IFERROR(__xludf.DUMMYFUNCTION("""COMPUTED_VALUE"""),"GB")</f>
        <v>GB</v>
      </c>
      <c r="G172" s="5">
        <f>IFERROR(__xludf.DUMMYFUNCTION("""COMPUTED_VALUE"""),6.0)</f>
        <v>6</v>
      </c>
      <c r="H172" s="5">
        <f>IFERROR(__xludf.DUMMYFUNCTION("""COMPUTED_VALUE"""),0.0)</f>
        <v>0</v>
      </c>
      <c r="I172" s="5">
        <f>IFERROR(__xludf.DUMMYFUNCTION("""COMPUTED_VALUE"""),0.0)</f>
        <v>0</v>
      </c>
      <c r="J172" s="5">
        <f>IFERROR(__xludf.DUMMYFUNCTION("""COMPUTED_VALUE"""),0.0)</f>
        <v>0</v>
      </c>
      <c r="K172" s="5">
        <f>IFERROR(__xludf.DUMMYFUNCTION("""COMPUTED_VALUE"""),13.0)</f>
        <v>13</v>
      </c>
      <c r="L172" s="5">
        <f>IFERROR(__xludf.DUMMYFUNCTION("""COMPUTED_VALUE"""),0.1)</f>
        <v>0.1</v>
      </c>
      <c r="M172" s="5">
        <f>IFERROR(__xludf.DUMMYFUNCTION("""COMPUTED_VALUE"""),54.0)</f>
        <v>54</v>
      </c>
      <c r="N172" s="5">
        <f>IFERROR(__xludf.DUMMYFUNCTION("""COMPUTED_VALUE"""),645.0)</f>
        <v>645</v>
      </c>
      <c r="O172" s="5">
        <f>IFERROR(__xludf.DUMMYFUNCTION("""COMPUTED_VALUE"""),3.9)</f>
        <v>3.9</v>
      </c>
      <c r="P172" s="5">
        <f>IFERROR(__xludf.DUMMYFUNCTION("""COMPUTED_VALUE"""),116.7)</f>
        <v>116.7</v>
      </c>
    </row>
    <row r="173">
      <c r="A173" s="19" t="str">
        <f>vlookup(B173,'Player Codes'!A:D,4,)</f>
        <v>0226</v>
      </c>
      <c r="B173" s="23" t="s">
        <v>2323</v>
      </c>
      <c r="C173" s="5">
        <f>IFERROR(__xludf.DUMMYFUNCTION("""COMPUTED_VALUE"""),169.0)</f>
        <v>169</v>
      </c>
      <c r="D173" s="5" t="str">
        <f>IFERROR(__xludf.DUMMYFUNCTION("""COMPUTED_VALUE"""),"New York Giants")</f>
        <v>New York Giants</v>
      </c>
      <c r="E173" s="5" t="str">
        <f>IFERROR(__xludf.DUMMYFUNCTION("""COMPUTED_VALUE"""),"DST10")</f>
        <v>DST10</v>
      </c>
      <c r="F173" s="5" t="str">
        <f>IFERROR(__xludf.DUMMYFUNCTION("""COMPUTED_VALUE"""),"NYG")</f>
        <v>NYG</v>
      </c>
      <c r="G173" s="5">
        <f>IFERROR(__xludf.DUMMYFUNCTION("""COMPUTED_VALUE"""),13.0)</f>
        <v>13</v>
      </c>
      <c r="H173" s="5" t="str">
        <f>IFERROR(__xludf.DUMMYFUNCTION("""COMPUTED_VALUE"""),"--")</f>
        <v>--</v>
      </c>
      <c r="I173" s="5" t="str">
        <f>IFERROR(__xludf.DUMMYFUNCTION("""COMPUTED_VALUE"""),"--")</f>
        <v>--</v>
      </c>
      <c r="J173" s="5" t="str">
        <f>IFERROR(__xludf.DUMMYFUNCTION("""COMPUTED_VALUE"""),"--")</f>
        <v>--</v>
      </c>
      <c r="K173" s="5" t="str">
        <f>IFERROR(__xludf.DUMMYFUNCTION("""COMPUTED_VALUE"""),"--")</f>
        <v>--</v>
      </c>
      <c r="L173" s="5" t="str">
        <f>IFERROR(__xludf.DUMMYFUNCTION("""COMPUTED_VALUE"""),"--")</f>
        <v>--</v>
      </c>
      <c r="M173" s="5" t="str">
        <f>IFERROR(__xludf.DUMMYFUNCTION("""COMPUTED_VALUE"""),"--")</f>
        <v>--</v>
      </c>
      <c r="N173" s="5" t="str">
        <f>IFERROR(__xludf.DUMMYFUNCTION("""COMPUTED_VALUE"""),"--")</f>
        <v>--</v>
      </c>
      <c r="O173" s="5" t="str">
        <f>IFERROR(__xludf.DUMMYFUNCTION("""COMPUTED_VALUE"""),"--")</f>
        <v>--</v>
      </c>
      <c r="P173" s="5">
        <f>IFERROR(__xludf.DUMMYFUNCTION("""COMPUTED_VALUE"""),116.4)</f>
        <v>116.4</v>
      </c>
    </row>
    <row r="174">
      <c r="A174" s="19" t="str">
        <f>vlookup(B174,'Player Codes'!A:D,4,)</f>
        <v>0133</v>
      </c>
      <c r="B174" s="23" t="s">
        <v>2324</v>
      </c>
      <c r="C174" s="5">
        <f>IFERROR(__xludf.DUMMYFUNCTION("""COMPUTED_VALUE"""),169.0)</f>
        <v>169</v>
      </c>
      <c r="D174" s="5" t="str">
        <f>IFERROR(__xludf.DUMMYFUNCTION("""COMPUTED_VALUE"""),"Jacksonville Jaguars")</f>
        <v>Jacksonville Jaguars</v>
      </c>
      <c r="E174" s="5" t="str">
        <f>IFERROR(__xludf.DUMMYFUNCTION("""COMPUTED_VALUE"""),"DST10")</f>
        <v>DST10</v>
      </c>
      <c r="F174" s="5" t="str">
        <f>IFERROR(__xludf.DUMMYFUNCTION("""COMPUTED_VALUE"""),"JAC")</f>
        <v>JAC</v>
      </c>
      <c r="G174" s="5">
        <f>IFERROR(__xludf.DUMMYFUNCTION("""COMPUTED_VALUE"""),9.0)</f>
        <v>9</v>
      </c>
      <c r="H174" s="5" t="str">
        <f>IFERROR(__xludf.DUMMYFUNCTION("""COMPUTED_VALUE"""),"--")</f>
        <v>--</v>
      </c>
      <c r="I174" s="5" t="str">
        <f>IFERROR(__xludf.DUMMYFUNCTION("""COMPUTED_VALUE"""),"--")</f>
        <v>--</v>
      </c>
      <c r="J174" s="5" t="str">
        <f>IFERROR(__xludf.DUMMYFUNCTION("""COMPUTED_VALUE"""),"--")</f>
        <v>--</v>
      </c>
      <c r="K174" s="5" t="str">
        <f>IFERROR(__xludf.DUMMYFUNCTION("""COMPUTED_VALUE"""),"--")</f>
        <v>--</v>
      </c>
      <c r="L174" s="5" t="str">
        <f>IFERROR(__xludf.DUMMYFUNCTION("""COMPUTED_VALUE"""),"--")</f>
        <v>--</v>
      </c>
      <c r="M174" s="5" t="str">
        <f>IFERROR(__xludf.DUMMYFUNCTION("""COMPUTED_VALUE"""),"--")</f>
        <v>--</v>
      </c>
      <c r="N174" s="5" t="str">
        <f>IFERROR(__xludf.DUMMYFUNCTION("""COMPUTED_VALUE"""),"--")</f>
        <v>--</v>
      </c>
      <c r="O174" s="5" t="str">
        <f>IFERROR(__xludf.DUMMYFUNCTION("""COMPUTED_VALUE"""),"--")</f>
        <v>--</v>
      </c>
      <c r="P174" s="5">
        <f>IFERROR(__xludf.DUMMYFUNCTION("""COMPUTED_VALUE"""),116.4)</f>
        <v>116.4</v>
      </c>
    </row>
    <row r="175">
      <c r="A175" s="19" t="str">
        <f>vlookup(B175,'Player Codes'!A:D,4,)</f>
        <v>0058</v>
      </c>
      <c r="B175" s="23" t="s">
        <v>2325</v>
      </c>
      <c r="C175" s="5">
        <f>IFERROR(__xludf.DUMMYFUNCTION("""COMPUTED_VALUE"""),171.0)</f>
        <v>171</v>
      </c>
      <c r="D175" s="5" t="str">
        <f>IFERROR(__xludf.DUMMYFUNCTION("""COMPUTED_VALUE"""),"Cincinnati Bengals")</f>
        <v>Cincinnati Bengals</v>
      </c>
      <c r="E175" s="5" t="str">
        <f>IFERROR(__xludf.DUMMYFUNCTION("""COMPUTED_VALUE"""),"DST12")</f>
        <v>DST12</v>
      </c>
      <c r="F175" s="5" t="str">
        <f>IFERROR(__xludf.DUMMYFUNCTION("""COMPUTED_VALUE"""),"CIN")</f>
        <v>CIN</v>
      </c>
      <c r="G175" s="5">
        <f>IFERROR(__xludf.DUMMYFUNCTION("""COMPUTED_VALUE"""),7.0)</f>
        <v>7</v>
      </c>
      <c r="H175" s="5" t="str">
        <f>IFERROR(__xludf.DUMMYFUNCTION("""COMPUTED_VALUE"""),"--")</f>
        <v>--</v>
      </c>
      <c r="I175" s="5" t="str">
        <f>IFERROR(__xludf.DUMMYFUNCTION("""COMPUTED_VALUE"""),"--")</f>
        <v>--</v>
      </c>
      <c r="J175" s="5" t="str">
        <f>IFERROR(__xludf.DUMMYFUNCTION("""COMPUTED_VALUE"""),"--")</f>
        <v>--</v>
      </c>
      <c r="K175" s="5" t="str">
        <f>IFERROR(__xludf.DUMMYFUNCTION("""COMPUTED_VALUE"""),"--")</f>
        <v>--</v>
      </c>
      <c r="L175" s="5" t="str">
        <f>IFERROR(__xludf.DUMMYFUNCTION("""COMPUTED_VALUE"""),"--")</f>
        <v>--</v>
      </c>
      <c r="M175" s="5" t="str">
        <f>IFERROR(__xludf.DUMMYFUNCTION("""COMPUTED_VALUE"""),"--")</f>
        <v>--</v>
      </c>
      <c r="N175" s="5" t="str">
        <f>IFERROR(__xludf.DUMMYFUNCTION("""COMPUTED_VALUE"""),"--")</f>
        <v>--</v>
      </c>
      <c r="O175" s="5" t="str">
        <f>IFERROR(__xludf.DUMMYFUNCTION("""COMPUTED_VALUE"""),"--")</f>
        <v>--</v>
      </c>
      <c r="P175" s="5">
        <f>IFERROR(__xludf.DUMMYFUNCTION("""COMPUTED_VALUE"""),116.0)</f>
        <v>116</v>
      </c>
    </row>
    <row r="176">
      <c r="A176" s="19" t="str">
        <f>vlookup(B176,'Player Codes'!A:D,4,)</f>
        <v>0139</v>
      </c>
      <c r="B176" s="21" t="s">
        <v>415</v>
      </c>
      <c r="C176" s="5">
        <f>IFERROR(__xludf.DUMMYFUNCTION("""COMPUTED_VALUE"""),171.0)</f>
        <v>171</v>
      </c>
      <c r="D176" s="5" t="str">
        <f>IFERROR(__xludf.DUMMYFUNCTION("""COMPUTED_VALUE"""),"Jakobi Meyers")</f>
        <v>Jakobi Meyers</v>
      </c>
      <c r="E176" s="5" t="str">
        <f>IFERROR(__xludf.DUMMYFUNCTION("""COMPUTED_VALUE"""),"WR52")</f>
        <v>WR52</v>
      </c>
      <c r="F176" s="5" t="str">
        <f>IFERROR(__xludf.DUMMYFUNCTION("""COMPUTED_VALUE"""),"LV")</f>
        <v>LV</v>
      </c>
      <c r="G176" s="5">
        <f>IFERROR(__xludf.DUMMYFUNCTION("""COMPUTED_VALUE"""),13.0)</f>
        <v>13</v>
      </c>
      <c r="H176" s="5">
        <f>IFERROR(__xludf.DUMMYFUNCTION("""COMPUTED_VALUE"""),0.0)</f>
        <v>0</v>
      </c>
      <c r="I176" s="5">
        <f>IFERROR(__xludf.DUMMYFUNCTION("""COMPUTED_VALUE"""),0.0)</f>
        <v>0</v>
      </c>
      <c r="J176" s="5">
        <f>IFERROR(__xludf.DUMMYFUNCTION("""COMPUTED_VALUE"""),0.0)</f>
        <v>0</v>
      </c>
      <c r="K176" s="5">
        <f>IFERROR(__xludf.DUMMYFUNCTION("""COMPUTED_VALUE"""),20.0)</f>
        <v>20</v>
      </c>
      <c r="L176" s="5">
        <f>IFERROR(__xludf.DUMMYFUNCTION("""COMPUTED_VALUE"""),0.1)</f>
        <v>0.1</v>
      </c>
      <c r="M176" s="5">
        <f>IFERROR(__xludf.DUMMYFUNCTION("""COMPUTED_VALUE"""),58.0)</f>
        <v>58</v>
      </c>
      <c r="N176" s="5">
        <f>IFERROR(__xludf.DUMMYFUNCTION("""COMPUTED_VALUE"""),671.0)</f>
        <v>671</v>
      </c>
      <c r="O176" s="5">
        <f>IFERROR(__xludf.DUMMYFUNCTION("""COMPUTED_VALUE"""),2.9)</f>
        <v>2.9</v>
      </c>
      <c r="P176" s="5">
        <f>IFERROR(__xludf.DUMMYFUNCTION("""COMPUTED_VALUE"""),116.0)</f>
        <v>116</v>
      </c>
    </row>
    <row r="177">
      <c r="A177" s="19" t="str">
        <f>vlookup(B177,'Player Codes'!A:D,4,)</f>
        <v>0227</v>
      </c>
      <c r="B177" s="23" t="s">
        <v>2326</v>
      </c>
      <c r="C177" s="5">
        <f>IFERROR(__xludf.DUMMYFUNCTION("""COMPUTED_VALUE"""),173.0)</f>
        <v>173</v>
      </c>
      <c r="D177" s="5" t="str">
        <f>IFERROR(__xludf.DUMMYFUNCTION("""COMPUTED_VALUE"""),"New York Jets")</f>
        <v>New York Jets</v>
      </c>
      <c r="E177" s="5" t="str">
        <f>IFERROR(__xludf.DUMMYFUNCTION("""COMPUTED_VALUE"""),"DST13")</f>
        <v>DST13</v>
      </c>
      <c r="F177" s="5" t="str">
        <f>IFERROR(__xludf.DUMMYFUNCTION("""COMPUTED_VALUE"""),"NYJ")</f>
        <v>NYJ</v>
      </c>
      <c r="G177" s="5">
        <f>IFERROR(__xludf.DUMMYFUNCTION("""COMPUTED_VALUE"""),7.0)</f>
        <v>7</v>
      </c>
      <c r="H177" s="5" t="str">
        <f>IFERROR(__xludf.DUMMYFUNCTION("""COMPUTED_VALUE"""),"--")</f>
        <v>--</v>
      </c>
      <c r="I177" s="5" t="str">
        <f>IFERROR(__xludf.DUMMYFUNCTION("""COMPUTED_VALUE"""),"--")</f>
        <v>--</v>
      </c>
      <c r="J177" s="5" t="str">
        <f>IFERROR(__xludf.DUMMYFUNCTION("""COMPUTED_VALUE"""),"--")</f>
        <v>--</v>
      </c>
      <c r="K177" s="5" t="str">
        <f>IFERROR(__xludf.DUMMYFUNCTION("""COMPUTED_VALUE"""),"--")</f>
        <v>--</v>
      </c>
      <c r="L177" s="5" t="str">
        <f>IFERROR(__xludf.DUMMYFUNCTION("""COMPUTED_VALUE"""),"--")</f>
        <v>--</v>
      </c>
      <c r="M177" s="5" t="str">
        <f>IFERROR(__xludf.DUMMYFUNCTION("""COMPUTED_VALUE"""),"--")</f>
        <v>--</v>
      </c>
      <c r="N177" s="5" t="str">
        <f>IFERROR(__xludf.DUMMYFUNCTION("""COMPUTED_VALUE"""),"--")</f>
        <v>--</v>
      </c>
      <c r="O177" s="5" t="str">
        <f>IFERROR(__xludf.DUMMYFUNCTION("""COMPUTED_VALUE"""),"--")</f>
        <v>--</v>
      </c>
      <c r="P177" s="5">
        <f>IFERROR(__xludf.DUMMYFUNCTION("""COMPUTED_VALUE"""),115.4)</f>
        <v>115.4</v>
      </c>
    </row>
    <row r="178">
      <c r="A178" s="19" t="str">
        <f>vlookup(B178,'Player Codes'!A:D,4,)</f>
        <v>0225</v>
      </c>
      <c r="B178" s="23" t="s">
        <v>2327</v>
      </c>
      <c r="C178" s="5">
        <f>IFERROR(__xludf.DUMMYFUNCTION("""COMPUTED_VALUE"""),174.0)</f>
        <v>174</v>
      </c>
      <c r="D178" s="5" t="str">
        <f>IFERROR(__xludf.DUMMYFUNCTION("""COMPUTED_VALUE"""),"New Orleans Saints")</f>
        <v>New Orleans Saints</v>
      </c>
      <c r="E178" s="5" t="str">
        <f>IFERROR(__xludf.DUMMYFUNCTION("""COMPUTED_VALUE"""),"DST14")</f>
        <v>DST14</v>
      </c>
      <c r="F178" s="5" t="str">
        <f>IFERROR(__xludf.DUMMYFUNCTION("""COMPUTED_VALUE"""),"NO")</f>
        <v>NO</v>
      </c>
      <c r="G178" s="5">
        <f>IFERROR(__xludf.DUMMYFUNCTION("""COMPUTED_VALUE"""),11.0)</f>
        <v>11</v>
      </c>
      <c r="H178" s="5" t="str">
        <f>IFERROR(__xludf.DUMMYFUNCTION("""COMPUTED_VALUE"""),"--")</f>
        <v>--</v>
      </c>
      <c r="I178" s="5" t="str">
        <f>IFERROR(__xludf.DUMMYFUNCTION("""COMPUTED_VALUE"""),"--")</f>
        <v>--</v>
      </c>
      <c r="J178" s="5" t="str">
        <f>IFERROR(__xludf.DUMMYFUNCTION("""COMPUTED_VALUE"""),"--")</f>
        <v>--</v>
      </c>
      <c r="K178" s="5" t="str">
        <f>IFERROR(__xludf.DUMMYFUNCTION("""COMPUTED_VALUE"""),"--")</f>
        <v>--</v>
      </c>
      <c r="L178" s="5" t="str">
        <f>IFERROR(__xludf.DUMMYFUNCTION("""COMPUTED_VALUE"""),"--")</f>
        <v>--</v>
      </c>
      <c r="M178" s="5" t="str">
        <f>IFERROR(__xludf.DUMMYFUNCTION("""COMPUTED_VALUE"""),"--")</f>
        <v>--</v>
      </c>
      <c r="N178" s="5" t="str">
        <f>IFERROR(__xludf.DUMMYFUNCTION("""COMPUTED_VALUE"""),"--")</f>
        <v>--</v>
      </c>
      <c r="O178" s="5" t="str">
        <f>IFERROR(__xludf.DUMMYFUNCTION("""COMPUTED_VALUE"""),"--")</f>
        <v>--</v>
      </c>
      <c r="P178" s="5">
        <f>IFERROR(__xludf.DUMMYFUNCTION("""COMPUTED_VALUE"""),115.2)</f>
        <v>115.2</v>
      </c>
    </row>
    <row r="179">
      <c r="A179" s="19" t="str">
        <f>vlookup(B179,'Player Codes'!A:D,4,)</f>
        <v>0237</v>
      </c>
      <c r="B179" s="23" t="s">
        <v>2328</v>
      </c>
      <c r="C179" s="5">
        <f>IFERROR(__xludf.DUMMYFUNCTION("""COMPUTED_VALUE"""),175.0)</f>
        <v>175</v>
      </c>
      <c r="D179" s="5" t="str">
        <f>IFERROR(__xludf.DUMMYFUNCTION("""COMPUTED_VALUE"""),"Pittsburgh Steelers")</f>
        <v>Pittsburgh Steelers</v>
      </c>
      <c r="E179" s="5" t="str">
        <f>IFERROR(__xludf.DUMMYFUNCTION("""COMPUTED_VALUE"""),"DST15")</f>
        <v>DST15</v>
      </c>
      <c r="F179" s="5" t="str">
        <f>IFERROR(__xludf.DUMMYFUNCTION("""COMPUTED_VALUE"""),"PIT")</f>
        <v>PIT</v>
      </c>
      <c r="G179" s="5">
        <f>IFERROR(__xludf.DUMMYFUNCTION("""COMPUTED_VALUE"""),6.0)</f>
        <v>6</v>
      </c>
      <c r="H179" s="5" t="str">
        <f>IFERROR(__xludf.DUMMYFUNCTION("""COMPUTED_VALUE"""),"--")</f>
        <v>--</v>
      </c>
      <c r="I179" s="5" t="str">
        <f>IFERROR(__xludf.DUMMYFUNCTION("""COMPUTED_VALUE"""),"--")</f>
        <v>--</v>
      </c>
      <c r="J179" s="5" t="str">
        <f>IFERROR(__xludf.DUMMYFUNCTION("""COMPUTED_VALUE"""),"--")</f>
        <v>--</v>
      </c>
      <c r="K179" s="5" t="str">
        <f>IFERROR(__xludf.DUMMYFUNCTION("""COMPUTED_VALUE"""),"--")</f>
        <v>--</v>
      </c>
      <c r="L179" s="5" t="str">
        <f>IFERROR(__xludf.DUMMYFUNCTION("""COMPUTED_VALUE"""),"--")</f>
        <v>--</v>
      </c>
      <c r="M179" s="5" t="str">
        <f>IFERROR(__xludf.DUMMYFUNCTION("""COMPUTED_VALUE"""),"--")</f>
        <v>--</v>
      </c>
      <c r="N179" s="5" t="str">
        <f>IFERROR(__xludf.DUMMYFUNCTION("""COMPUTED_VALUE"""),"--")</f>
        <v>--</v>
      </c>
      <c r="O179" s="5" t="str">
        <f>IFERROR(__xludf.DUMMYFUNCTION("""COMPUTED_VALUE"""),"--")</f>
        <v>--</v>
      </c>
      <c r="P179" s="5">
        <f>IFERROR(__xludf.DUMMYFUNCTION("""COMPUTED_VALUE"""),114.3)</f>
        <v>114.3</v>
      </c>
    </row>
    <row r="180">
      <c r="A180" s="19" t="str">
        <f>vlookup(B180,'Player Codes'!A:D,4,)</f>
        <v>0107</v>
      </c>
      <c r="B180" s="21" t="s">
        <v>507</v>
      </c>
      <c r="C180" s="5">
        <f>IFERROR(__xludf.DUMMYFUNCTION("""COMPUTED_VALUE"""),176.0)</f>
        <v>176</v>
      </c>
      <c r="D180" s="5" t="str">
        <f>IFERROR(__xludf.DUMMYFUNCTION("""COMPUTED_VALUE"""),"Evan Engram")</f>
        <v>Evan Engram</v>
      </c>
      <c r="E180" s="5" t="str">
        <f>IFERROR(__xludf.DUMMYFUNCTION("""COMPUTED_VALUE"""),"TE9")</f>
        <v>TE9</v>
      </c>
      <c r="F180" s="5" t="str">
        <f>IFERROR(__xludf.DUMMYFUNCTION("""COMPUTED_VALUE"""),"JAC")</f>
        <v>JAC</v>
      </c>
      <c r="G180" s="5">
        <f>IFERROR(__xludf.DUMMYFUNCTION("""COMPUTED_VALUE"""),9.0)</f>
        <v>9</v>
      </c>
      <c r="H180" s="5">
        <f>IFERROR(__xludf.DUMMYFUNCTION("""COMPUTED_VALUE"""),0.0)</f>
        <v>0</v>
      </c>
      <c r="I180" s="5">
        <f>IFERROR(__xludf.DUMMYFUNCTION("""COMPUTED_VALUE"""),0.0)</f>
        <v>0</v>
      </c>
      <c r="J180" s="5">
        <f>IFERROR(__xludf.DUMMYFUNCTION("""COMPUTED_VALUE"""),0.0)</f>
        <v>0</v>
      </c>
      <c r="K180" s="5">
        <f>IFERROR(__xludf.DUMMYFUNCTION("""COMPUTED_VALUE"""),0.0)</f>
        <v>0</v>
      </c>
      <c r="L180" s="5">
        <f>IFERROR(__xludf.DUMMYFUNCTION("""COMPUTED_VALUE"""),0.0)</f>
        <v>0</v>
      </c>
      <c r="M180" s="5">
        <f>IFERROR(__xludf.DUMMYFUNCTION("""COMPUTED_VALUE"""),59.0)</f>
        <v>59</v>
      </c>
      <c r="N180" s="5">
        <f>IFERROR(__xludf.DUMMYFUNCTION("""COMPUTED_VALUE"""),659.0)</f>
        <v>659</v>
      </c>
      <c r="O180" s="5">
        <f>IFERROR(__xludf.DUMMYFUNCTION("""COMPUTED_VALUE"""),3.1)</f>
        <v>3.1</v>
      </c>
      <c r="P180" s="5">
        <f>IFERROR(__xludf.DUMMYFUNCTION("""COMPUTED_VALUE"""),113.9)</f>
        <v>113.9</v>
      </c>
    </row>
    <row r="181">
      <c r="A181" s="19" t="str">
        <f>vlookup(B181,'Player Codes'!A:D,4,)</f>
        <v>0230</v>
      </c>
      <c r="B181" s="21" t="s">
        <v>436</v>
      </c>
      <c r="C181" s="5">
        <f>IFERROR(__xludf.DUMMYFUNCTION("""COMPUTED_VALUE"""),176.0)</f>
        <v>176</v>
      </c>
      <c r="D181" s="5" t="str">
        <f>IFERROR(__xludf.DUMMYFUNCTION("""COMPUTED_VALUE"""),"Nico Collins")</f>
        <v>Nico Collins</v>
      </c>
      <c r="E181" s="5" t="str">
        <f>IFERROR(__xludf.DUMMYFUNCTION("""COMPUTED_VALUE"""),"WR53")</f>
        <v>WR53</v>
      </c>
      <c r="F181" s="5" t="str">
        <f>IFERROR(__xludf.DUMMYFUNCTION("""COMPUTED_VALUE"""),"HOU")</f>
        <v>HOU</v>
      </c>
      <c r="G181" s="5">
        <f>IFERROR(__xludf.DUMMYFUNCTION("""COMPUTED_VALUE"""),7.0)</f>
        <v>7</v>
      </c>
      <c r="H181" s="5">
        <f>IFERROR(__xludf.DUMMYFUNCTION("""COMPUTED_VALUE"""),0.0)</f>
        <v>0</v>
      </c>
      <c r="I181" s="5">
        <f>IFERROR(__xludf.DUMMYFUNCTION("""COMPUTED_VALUE"""),0.0)</f>
        <v>0</v>
      </c>
      <c r="J181" s="5">
        <f>IFERROR(__xludf.DUMMYFUNCTION("""COMPUTED_VALUE"""),0.0)</f>
        <v>0</v>
      </c>
      <c r="K181" s="5">
        <f>IFERROR(__xludf.DUMMYFUNCTION("""COMPUTED_VALUE"""),8.0)</f>
        <v>8</v>
      </c>
      <c r="L181" s="5">
        <f>IFERROR(__xludf.DUMMYFUNCTION("""COMPUTED_VALUE"""),0.0)</f>
        <v>0</v>
      </c>
      <c r="M181" s="5">
        <f>IFERROR(__xludf.DUMMYFUNCTION("""COMPUTED_VALUE"""),49.0)</f>
        <v>49</v>
      </c>
      <c r="N181" s="5">
        <f>IFERROR(__xludf.DUMMYFUNCTION("""COMPUTED_VALUE"""),670.0)</f>
        <v>670</v>
      </c>
      <c r="O181" s="5">
        <f>IFERROR(__xludf.DUMMYFUNCTION("""COMPUTED_VALUE"""),3.6)</f>
        <v>3.6</v>
      </c>
      <c r="P181" s="5">
        <f>IFERROR(__xludf.DUMMYFUNCTION("""COMPUTED_VALUE"""),113.9)</f>
        <v>113.9</v>
      </c>
    </row>
    <row r="182">
      <c r="A182" s="19" t="str">
        <f>vlookup(B182,'Player Codes'!A:D,4,)</f>
        <v>0262</v>
      </c>
      <c r="B182" s="21" t="s">
        <v>443</v>
      </c>
      <c r="C182" s="5">
        <f>IFERROR(__xludf.DUMMYFUNCTION("""COMPUTED_VALUE"""),178.0)</f>
        <v>178</v>
      </c>
      <c r="D182" s="5" t="str">
        <f>IFERROR(__xludf.DUMMYFUNCTION("""COMPUTED_VALUE"""),"Skyy Moore")</f>
        <v>Skyy Moore</v>
      </c>
      <c r="E182" s="5" t="str">
        <f>IFERROR(__xludf.DUMMYFUNCTION("""COMPUTED_VALUE"""),"WR54")</f>
        <v>WR54</v>
      </c>
      <c r="F182" s="5" t="str">
        <f>IFERROR(__xludf.DUMMYFUNCTION("""COMPUTED_VALUE"""),"KC")</f>
        <v>KC</v>
      </c>
      <c r="G182" s="5">
        <f>IFERROR(__xludf.DUMMYFUNCTION("""COMPUTED_VALUE"""),10.0)</f>
        <v>10</v>
      </c>
      <c r="H182" s="5">
        <f>IFERROR(__xludf.DUMMYFUNCTION("""COMPUTED_VALUE"""),0.0)</f>
        <v>0</v>
      </c>
      <c r="I182" s="5">
        <f>IFERROR(__xludf.DUMMYFUNCTION("""COMPUTED_VALUE"""),0.0)</f>
        <v>0</v>
      </c>
      <c r="J182" s="5">
        <f>IFERROR(__xludf.DUMMYFUNCTION("""COMPUTED_VALUE"""),0.0)</f>
        <v>0</v>
      </c>
      <c r="K182" s="5">
        <f>IFERROR(__xludf.DUMMYFUNCTION("""COMPUTED_VALUE"""),17.0)</f>
        <v>17</v>
      </c>
      <c r="L182" s="5">
        <f>IFERROR(__xludf.DUMMYFUNCTION("""COMPUTED_VALUE"""),0.3)</f>
        <v>0.3</v>
      </c>
      <c r="M182" s="5">
        <f>IFERROR(__xludf.DUMMYFUNCTION("""COMPUTED_VALUE"""),51.0)</f>
        <v>51</v>
      </c>
      <c r="N182" s="5">
        <f>IFERROR(__xludf.DUMMYFUNCTION("""COMPUTED_VALUE"""),605.0)</f>
        <v>605</v>
      </c>
      <c r="O182" s="5">
        <f>IFERROR(__xludf.DUMMYFUNCTION("""COMPUTED_VALUE"""),3.8)</f>
        <v>3.8</v>
      </c>
      <c r="P182" s="5">
        <f>IFERROR(__xludf.DUMMYFUNCTION("""COMPUTED_VALUE"""),112.5)</f>
        <v>112.5</v>
      </c>
    </row>
    <row r="183">
      <c r="A183" s="19" t="str">
        <f>vlookup(B183,'Player Codes'!A:D,4,)</f>
        <v>0266</v>
      </c>
      <c r="B183" s="21" t="s">
        <v>451</v>
      </c>
      <c r="C183" s="5">
        <f>IFERROR(__xludf.DUMMYFUNCTION("""COMPUTED_VALUE"""),179.0)</f>
        <v>179</v>
      </c>
      <c r="D183" s="5" t="str">
        <f>IFERROR(__xludf.DUMMYFUNCTION("""COMPUTED_VALUE"""),"Tank Bigsby")</f>
        <v>Tank Bigsby</v>
      </c>
      <c r="E183" s="5" t="str">
        <f>IFERROR(__xludf.DUMMYFUNCTION("""COMPUTED_VALUE"""),"RB38")</f>
        <v>RB38</v>
      </c>
      <c r="F183" s="5" t="str">
        <f>IFERROR(__xludf.DUMMYFUNCTION("""COMPUTED_VALUE"""),"JAC")</f>
        <v>JAC</v>
      </c>
      <c r="G183" s="5">
        <f>IFERROR(__xludf.DUMMYFUNCTION("""COMPUTED_VALUE"""),9.0)</f>
        <v>9</v>
      </c>
      <c r="H183" s="5">
        <f>IFERROR(__xludf.DUMMYFUNCTION("""COMPUTED_VALUE"""),0.0)</f>
        <v>0</v>
      </c>
      <c r="I183" s="5">
        <f>IFERROR(__xludf.DUMMYFUNCTION("""COMPUTED_VALUE"""),0.0)</f>
        <v>0</v>
      </c>
      <c r="J183" s="5">
        <f>IFERROR(__xludf.DUMMYFUNCTION("""COMPUTED_VALUE"""),0.0)</f>
        <v>0</v>
      </c>
      <c r="K183" s="5">
        <f>IFERROR(__xludf.DUMMYFUNCTION("""COMPUTED_VALUE"""),454.0)</f>
        <v>454</v>
      </c>
      <c r="L183" s="5">
        <f>IFERROR(__xludf.DUMMYFUNCTION("""COMPUTED_VALUE"""),3.2)</f>
        <v>3.2</v>
      </c>
      <c r="M183" s="5">
        <f>IFERROR(__xludf.DUMMYFUNCTION("""COMPUTED_VALUE"""),29.0)</f>
        <v>29</v>
      </c>
      <c r="N183" s="5">
        <f>IFERROR(__xludf.DUMMYFUNCTION("""COMPUTED_VALUE"""),245.0)</f>
        <v>245</v>
      </c>
      <c r="O183" s="5">
        <f>IFERROR(__xludf.DUMMYFUNCTION("""COMPUTED_VALUE"""),1.4)</f>
        <v>1.4</v>
      </c>
      <c r="P183" s="5">
        <f>IFERROR(__xludf.DUMMYFUNCTION("""COMPUTED_VALUE"""),112.2)</f>
        <v>112.2</v>
      </c>
    </row>
    <row r="184">
      <c r="A184" s="19" t="str">
        <f>vlookup(B184,'Player Codes'!A:D,4,)</f>
        <v>0299</v>
      </c>
      <c r="B184" s="21" t="s">
        <v>526</v>
      </c>
      <c r="C184" s="5">
        <f>IFERROR(__xludf.DUMMYFUNCTION("""COMPUTED_VALUE"""),180.0)</f>
        <v>180</v>
      </c>
      <c r="D184" s="5" t="str">
        <f>IFERROR(__xludf.DUMMYFUNCTION("""COMPUTED_VALUE"""),"Zay Flowers")</f>
        <v>Zay Flowers</v>
      </c>
      <c r="E184" s="5" t="str">
        <f>IFERROR(__xludf.DUMMYFUNCTION("""COMPUTED_VALUE"""),"WR55")</f>
        <v>WR55</v>
      </c>
      <c r="F184" s="5" t="str">
        <f>IFERROR(__xludf.DUMMYFUNCTION("""COMPUTED_VALUE"""),"BAL")</f>
        <v>BAL</v>
      </c>
      <c r="G184" s="5">
        <f>IFERROR(__xludf.DUMMYFUNCTION("""COMPUTED_VALUE"""),13.0)</f>
        <v>13</v>
      </c>
      <c r="H184" s="5">
        <f>IFERROR(__xludf.DUMMYFUNCTION("""COMPUTED_VALUE"""),0.0)</f>
        <v>0</v>
      </c>
      <c r="I184" s="5">
        <f>IFERROR(__xludf.DUMMYFUNCTION("""COMPUTED_VALUE"""),0.0)</f>
        <v>0</v>
      </c>
      <c r="J184" s="5">
        <f>IFERROR(__xludf.DUMMYFUNCTION("""COMPUTED_VALUE"""),0.0)</f>
        <v>0</v>
      </c>
      <c r="K184" s="5">
        <f>IFERROR(__xludf.DUMMYFUNCTION("""COMPUTED_VALUE"""),18.0)</f>
        <v>18</v>
      </c>
      <c r="L184" s="5">
        <f>IFERROR(__xludf.DUMMYFUNCTION("""COMPUTED_VALUE"""),0.1)</f>
        <v>0.1</v>
      </c>
      <c r="M184" s="5">
        <f>IFERROR(__xludf.DUMMYFUNCTION("""COMPUTED_VALUE"""),52.0)</f>
        <v>52</v>
      </c>
      <c r="N184" s="5">
        <f>IFERROR(__xludf.DUMMYFUNCTION("""COMPUTED_VALUE"""),602.0)</f>
        <v>602</v>
      </c>
      <c r="O184" s="5">
        <f>IFERROR(__xludf.DUMMYFUNCTION("""COMPUTED_VALUE"""),3.7)</f>
        <v>3.7</v>
      </c>
      <c r="P184" s="5">
        <f>IFERROR(__xludf.DUMMYFUNCTION("""COMPUTED_VALUE"""),110.8)</f>
        <v>110.8</v>
      </c>
    </row>
    <row r="185">
      <c r="A185" s="19" t="str">
        <f>vlookup(B185,'Player Codes'!A:D,4,)</f>
        <v>0261</v>
      </c>
      <c r="B185" s="23" t="s">
        <v>2329</v>
      </c>
      <c r="C185" s="5">
        <f>IFERROR(__xludf.DUMMYFUNCTION("""COMPUTED_VALUE"""),181.0)</f>
        <v>181</v>
      </c>
      <c r="D185" s="5" t="str">
        <f>IFERROR(__xludf.DUMMYFUNCTION("""COMPUTED_VALUE"""),"Seattle Seahawks")</f>
        <v>Seattle Seahawks</v>
      </c>
      <c r="E185" s="5" t="str">
        <f>IFERROR(__xludf.DUMMYFUNCTION("""COMPUTED_VALUE"""),"DST16")</f>
        <v>DST16</v>
      </c>
      <c r="F185" s="5" t="str">
        <f>IFERROR(__xludf.DUMMYFUNCTION("""COMPUTED_VALUE"""),"SEA")</f>
        <v>SEA</v>
      </c>
      <c r="G185" s="5">
        <f>IFERROR(__xludf.DUMMYFUNCTION("""COMPUTED_VALUE"""),5.0)</f>
        <v>5</v>
      </c>
      <c r="H185" s="5" t="str">
        <f>IFERROR(__xludf.DUMMYFUNCTION("""COMPUTED_VALUE"""),"--")</f>
        <v>--</v>
      </c>
      <c r="I185" s="5" t="str">
        <f>IFERROR(__xludf.DUMMYFUNCTION("""COMPUTED_VALUE"""),"--")</f>
        <v>--</v>
      </c>
      <c r="J185" s="5" t="str">
        <f>IFERROR(__xludf.DUMMYFUNCTION("""COMPUTED_VALUE"""),"--")</f>
        <v>--</v>
      </c>
      <c r="K185" s="5" t="str">
        <f>IFERROR(__xludf.DUMMYFUNCTION("""COMPUTED_VALUE"""),"--")</f>
        <v>--</v>
      </c>
      <c r="L185" s="5" t="str">
        <f>IFERROR(__xludf.DUMMYFUNCTION("""COMPUTED_VALUE"""),"--")</f>
        <v>--</v>
      </c>
      <c r="M185" s="5" t="str">
        <f>IFERROR(__xludf.DUMMYFUNCTION("""COMPUTED_VALUE"""),"--")</f>
        <v>--</v>
      </c>
      <c r="N185" s="5" t="str">
        <f>IFERROR(__xludf.DUMMYFUNCTION("""COMPUTED_VALUE"""),"--")</f>
        <v>--</v>
      </c>
      <c r="O185" s="5" t="str">
        <f>IFERROR(__xludf.DUMMYFUNCTION("""COMPUTED_VALUE"""),"--")</f>
        <v>--</v>
      </c>
      <c r="P185" s="5">
        <f>IFERROR(__xludf.DUMMYFUNCTION("""COMPUTED_VALUE"""),110.7)</f>
        <v>110.7</v>
      </c>
    </row>
    <row r="186">
      <c r="A186" s="19" t="str">
        <f>vlookup(B186,'Player Codes'!A:D,4,)</f>
        <v>0048</v>
      </c>
      <c r="B186" s="21" t="s">
        <v>646</v>
      </c>
      <c r="C186" s="5">
        <f>IFERROR(__xludf.DUMMYFUNCTION("""COMPUTED_VALUE"""),182.0)</f>
        <v>182</v>
      </c>
      <c r="D186" s="5" t="str">
        <f>IFERROR(__xludf.DUMMYFUNCTION("""COMPUTED_VALUE"""),"Chigoziem Okonkwo")</f>
        <v>Chigoziem Okonkwo</v>
      </c>
      <c r="E186" s="5" t="str">
        <f>IFERROR(__xludf.DUMMYFUNCTION("""COMPUTED_VALUE"""),"TE10")</f>
        <v>TE10</v>
      </c>
      <c r="F186" s="5" t="str">
        <f>IFERROR(__xludf.DUMMYFUNCTION("""COMPUTED_VALUE"""),"TEN")</f>
        <v>TEN</v>
      </c>
      <c r="G186" s="5">
        <f>IFERROR(__xludf.DUMMYFUNCTION("""COMPUTED_VALUE"""),7.0)</f>
        <v>7</v>
      </c>
      <c r="H186" s="5">
        <f>IFERROR(__xludf.DUMMYFUNCTION("""COMPUTED_VALUE"""),0.0)</f>
        <v>0</v>
      </c>
      <c r="I186" s="5">
        <f>IFERROR(__xludf.DUMMYFUNCTION("""COMPUTED_VALUE"""),0.0)</f>
        <v>0</v>
      </c>
      <c r="J186" s="5">
        <f>IFERROR(__xludf.DUMMYFUNCTION("""COMPUTED_VALUE"""),0.0)</f>
        <v>0</v>
      </c>
      <c r="K186" s="5">
        <f>IFERROR(__xludf.DUMMYFUNCTION("""COMPUTED_VALUE"""),11.0)</f>
        <v>11</v>
      </c>
      <c r="L186" s="5">
        <f>IFERROR(__xludf.DUMMYFUNCTION("""COMPUTED_VALUE"""),0.1)</f>
        <v>0.1</v>
      </c>
      <c r="M186" s="5">
        <f>IFERROR(__xludf.DUMMYFUNCTION("""COMPUTED_VALUE"""),51.0)</f>
        <v>51</v>
      </c>
      <c r="N186" s="5">
        <f>IFERROR(__xludf.DUMMYFUNCTION("""COMPUTED_VALUE"""),612.0)</f>
        <v>612</v>
      </c>
      <c r="O186" s="5">
        <f>IFERROR(__xludf.DUMMYFUNCTION("""COMPUTED_VALUE"""),3.7)</f>
        <v>3.7</v>
      </c>
      <c r="P186" s="5">
        <f>IFERROR(__xludf.DUMMYFUNCTION("""COMPUTED_VALUE"""),110.4)</f>
        <v>110.4</v>
      </c>
    </row>
    <row r="187">
      <c r="A187" s="19" t="str">
        <f>vlookup(B187,'Player Codes'!A:D,4,)</f>
        <v>0163</v>
      </c>
      <c r="B187" s="21" t="s">
        <v>539</v>
      </c>
      <c r="C187" s="5">
        <f>IFERROR(__xludf.DUMMYFUNCTION("""COMPUTED_VALUE"""),183.0)</f>
        <v>183</v>
      </c>
      <c r="D187" s="5" t="str">
        <f>IFERROR(__xludf.DUMMYFUNCTION("""COMPUTED_VALUE"""),"Jonathan Mingo")</f>
        <v>Jonathan Mingo</v>
      </c>
      <c r="E187" s="5" t="str">
        <f>IFERROR(__xludf.DUMMYFUNCTION("""COMPUTED_VALUE"""),"WR56")</f>
        <v>WR56</v>
      </c>
      <c r="F187" s="5" t="str">
        <f>IFERROR(__xludf.DUMMYFUNCTION("""COMPUTED_VALUE"""),"CAR")</f>
        <v>CAR</v>
      </c>
      <c r="G187" s="5">
        <f>IFERROR(__xludf.DUMMYFUNCTION("""COMPUTED_VALUE"""),7.0)</f>
        <v>7</v>
      </c>
      <c r="H187" s="5">
        <f>IFERROR(__xludf.DUMMYFUNCTION("""COMPUTED_VALUE"""),0.0)</f>
        <v>0</v>
      </c>
      <c r="I187" s="5">
        <f>IFERROR(__xludf.DUMMYFUNCTION("""COMPUTED_VALUE"""),0.0)</f>
        <v>0</v>
      </c>
      <c r="J187" s="5">
        <f>IFERROR(__xludf.DUMMYFUNCTION("""COMPUTED_VALUE"""),0.0)</f>
        <v>0</v>
      </c>
      <c r="K187" s="5">
        <f>IFERROR(__xludf.DUMMYFUNCTION("""COMPUTED_VALUE"""),20.0)</f>
        <v>20</v>
      </c>
      <c r="L187" s="5">
        <f>IFERROR(__xludf.DUMMYFUNCTION("""COMPUTED_VALUE"""),0.1)</f>
        <v>0.1</v>
      </c>
      <c r="M187" s="5">
        <f>IFERROR(__xludf.DUMMYFUNCTION("""COMPUTED_VALUE"""),49.0)</f>
        <v>49</v>
      </c>
      <c r="N187" s="5">
        <f>IFERROR(__xludf.DUMMYFUNCTION("""COMPUTED_VALUE"""),626.0)</f>
        <v>626</v>
      </c>
      <c r="O187" s="5">
        <f>IFERROR(__xludf.DUMMYFUNCTION("""COMPUTED_VALUE"""),3.4)</f>
        <v>3.4</v>
      </c>
      <c r="P187" s="5">
        <f>IFERROR(__xludf.DUMMYFUNCTION("""COMPUTED_VALUE"""),110.2)</f>
        <v>110.2</v>
      </c>
    </row>
    <row r="188">
      <c r="A188" s="19" t="str">
        <f>vlookup(B188,'Player Codes'!A:D,4,)</f>
        <v>0300</v>
      </c>
      <c r="B188" s="21" t="s">
        <v>454</v>
      </c>
      <c r="C188" s="5">
        <f>IFERROR(__xludf.DUMMYFUNCTION("""COMPUTED_VALUE"""),184.0)</f>
        <v>184</v>
      </c>
      <c r="D188" s="5" t="str">
        <f>IFERROR(__xludf.DUMMYFUNCTION("""COMPUTED_VALUE"""),"Raheem Mostert")</f>
        <v>Raheem Mostert</v>
      </c>
      <c r="E188" s="5" t="str">
        <f>IFERROR(__xludf.DUMMYFUNCTION("""COMPUTED_VALUE"""),"RB39")</f>
        <v>RB39</v>
      </c>
      <c r="F188" s="5" t="str">
        <f>IFERROR(__xludf.DUMMYFUNCTION("""COMPUTED_VALUE"""),"MIA")</f>
        <v>MIA</v>
      </c>
      <c r="G188" s="5">
        <f>IFERROR(__xludf.DUMMYFUNCTION("""COMPUTED_VALUE"""),10.0)</f>
        <v>10</v>
      </c>
      <c r="H188" s="5">
        <f>IFERROR(__xludf.DUMMYFUNCTION("""COMPUTED_VALUE"""),0.0)</f>
        <v>0</v>
      </c>
      <c r="I188" s="5">
        <f>IFERROR(__xludf.DUMMYFUNCTION("""COMPUTED_VALUE"""),0.0)</f>
        <v>0</v>
      </c>
      <c r="J188" s="5">
        <f>IFERROR(__xludf.DUMMYFUNCTION("""COMPUTED_VALUE"""),0.0)</f>
        <v>0</v>
      </c>
      <c r="K188" s="5">
        <f>IFERROR(__xludf.DUMMYFUNCTION("""COMPUTED_VALUE"""),524.0)</f>
        <v>524</v>
      </c>
      <c r="L188" s="5">
        <f>IFERROR(__xludf.DUMMYFUNCTION("""COMPUTED_VALUE"""),4.3)</f>
        <v>4.3</v>
      </c>
      <c r="M188" s="5">
        <f>IFERROR(__xludf.DUMMYFUNCTION("""COMPUTED_VALUE"""),21.0)</f>
        <v>21</v>
      </c>
      <c r="N188" s="5">
        <f>IFERROR(__xludf.DUMMYFUNCTION("""COMPUTED_VALUE"""),159.0)</f>
        <v>159</v>
      </c>
      <c r="O188" s="5">
        <f>IFERROR(__xludf.DUMMYFUNCTION("""COMPUTED_VALUE"""),0.9)</f>
        <v>0.9</v>
      </c>
      <c r="P188" s="5">
        <f>IFERROR(__xludf.DUMMYFUNCTION("""COMPUTED_VALUE"""),109.8)</f>
        <v>109.8</v>
      </c>
    </row>
    <row r="189">
      <c r="A189" s="19" t="str">
        <f>vlookup(B189,'Player Codes'!A:D,4,)</f>
        <v>0127</v>
      </c>
      <c r="B189" s="23" t="s">
        <v>2330</v>
      </c>
      <c r="C189" s="5">
        <f>IFERROR(__xludf.DUMMYFUNCTION("""COMPUTED_VALUE"""),185.0)</f>
        <v>185</v>
      </c>
      <c r="D189" s="5" t="str">
        <f>IFERROR(__xludf.DUMMYFUNCTION("""COMPUTED_VALUE"""),"Zay Jones")</f>
        <v>Zay Jones</v>
      </c>
      <c r="E189" s="5" t="str">
        <f>IFERROR(__xludf.DUMMYFUNCTION("""COMPUTED_VALUE"""),"WR57")</f>
        <v>WR57</v>
      </c>
      <c r="F189" s="5" t="str">
        <f>IFERROR(__xludf.DUMMYFUNCTION("""COMPUTED_VALUE"""),"JAC")</f>
        <v>JAC</v>
      </c>
      <c r="G189" s="5">
        <f>IFERROR(__xludf.DUMMYFUNCTION("""COMPUTED_VALUE"""),9.0)</f>
        <v>9</v>
      </c>
      <c r="H189" s="5">
        <f>IFERROR(__xludf.DUMMYFUNCTION("""COMPUTED_VALUE"""),0.0)</f>
        <v>0</v>
      </c>
      <c r="I189" s="5">
        <f>IFERROR(__xludf.DUMMYFUNCTION("""COMPUTED_VALUE"""),0.0)</f>
        <v>0</v>
      </c>
      <c r="J189" s="5">
        <f>IFERROR(__xludf.DUMMYFUNCTION("""COMPUTED_VALUE"""),0.0)</f>
        <v>0</v>
      </c>
      <c r="K189" s="5">
        <f>IFERROR(__xludf.DUMMYFUNCTION("""COMPUTED_VALUE"""),20.0)</f>
        <v>20</v>
      </c>
      <c r="L189" s="5">
        <f>IFERROR(__xludf.DUMMYFUNCTION("""COMPUTED_VALUE"""),0.1)</f>
        <v>0.1</v>
      </c>
      <c r="M189" s="5">
        <f>IFERROR(__xludf.DUMMYFUNCTION("""COMPUTED_VALUE"""),48.0)</f>
        <v>48</v>
      </c>
      <c r="N189" s="5">
        <f>IFERROR(__xludf.DUMMYFUNCTION("""COMPUTED_VALUE"""),586.0)</f>
        <v>586</v>
      </c>
      <c r="O189" s="5">
        <f>IFERROR(__xludf.DUMMYFUNCTION("""COMPUTED_VALUE"""),3.9)</f>
        <v>3.9</v>
      </c>
      <c r="P189" s="5">
        <f>IFERROR(__xludf.DUMMYFUNCTION("""COMPUTED_VALUE"""),108.8)</f>
        <v>108.8</v>
      </c>
    </row>
    <row r="190">
      <c r="A190" s="19" t="str">
        <f>vlookup(B190,'Player Codes'!A:D,4,)</f>
        <v>0092</v>
      </c>
      <c r="B190" s="23" t="s">
        <v>2331</v>
      </c>
      <c r="C190" s="5">
        <f>IFERROR(__xludf.DUMMYFUNCTION("""COMPUTED_VALUE"""),186.0)</f>
        <v>186</v>
      </c>
      <c r="D190" s="5" t="str">
        <f>IFERROR(__xludf.DUMMYFUNCTION("""COMPUTED_VALUE"""),"Devon Achane")</f>
        <v>Devon Achane</v>
      </c>
      <c r="E190" s="5" t="str">
        <f>IFERROR(__xludf.DUMMYFUNCTION("""COMPUTED_VALUE"""),"RB40")</f>
        <v>RB40</v>
      </c>
      <c r="F190" s="5" t="str">
        <f>IFERROR(__xludf.DUMMYFUNCTION("""COMPUTED_VALUE"""),"MIA")</f>
        <v>MIA</v>
      </c>
      <c r="G190" s="5">
        <f>IFERROR(__xludf.DUMMYFUNCTION("""COMPUTED_VALUE"""),10.0)</f>
        <v>10</v>
      </c>
      <c r="H190" s="5">
        <f>IFERROR(__xludf.DUMMYFUNCTION("""COMPUTED_VALUE"""),0.0)</f>
        <v>0</v>
      </c>
      <c r="I190" s="5">
        <f>IFERROR(__xludf.DUMMYFUNCTION("""COMPUTED_VALUE"""),0.0)</f>
        <v>0</v>
      </c>
      <c r="J190" s="5">
        <f>IFERROR(__xludf.DUMMYFUNCTION("""COMPUTED_VALUE"""),0.0)</f>
        <v>0</v>
      </c>
      <c r="K190" s="5">
        <f>IFERROR(__xludf.DUMMYFUNCTION("""COMPUTED_VALUE"""),430.0)</f>
        <v>430</v>
      </c>
      <c r="L190" s="5">
        <f>IFERROR(__xludf.DUMMYFUNCTION("""COMPUTED_VALUE"""),2.8)</f>
        <v>2.8</v>
      </c>
      <c r="M190" s="5">
        <f>IFERROR(__xludf.DUMMYFUNCTION("""COMPUTED_VALUE"""),33.0)</f>
        <v>33</v>
      </c>
      <c r="N190" s="5">
        <f>IFERROR(__xludf.DUMMYFUNCTION("""COMPUTED_VALUE"""),247.0)</f>
        <v>247</v>
      </c>
      <c r="O190" s="5">
        <f>IFERROR(__xludf.DUMMYFUNCTION("""COMPUTED_VALUE"""),1.2)</f>
        <v>1.2</v>
      </c>
      <c r="P190" s="5">
        <f>IFERROR(__xludf.DUMMYFUNCTION("""COMPUTED_VALUE"""),108.4)</f>
        <v>108.4</v>
      </c>
    </row>
    <row r="191">
      <c r="A191" s="19" t="str">
        <f>vlookup(B191,'Player Codes'!A:D,4,)</f>
        <v>0197</v>
      </c>
      <c r="B191" s="23" t="s">
        <v>2332</v>
      </c>
      <c r="C191" s="5">
        <f>IFERROR(__xludf.DUMMYFUNCTION("""COMPUTED_VALUE"""),187.0)</f>
        <v>187</v>
      </c>
      <c r="D191" s="5" t="str">
        <f>IFERROR(__xludf.DUMMYFUNCTION("""COMPUTED_VALUE"""),"Indianapolis Colts")</f>
        <v>Indianapolis Colts</v>
      </c>
      <c r="E191" s="5" t="str">
        <f>IFERROR(__xludf.DUMMYFUNCTION("""COMPUTED_VALUE"""),"DST17")</f>
        <v>DST17</v>
      </c>
      <c r="F191" s="5" t="str">
        <f>IFERROR(__xludf.DUMMYFUNCTION("""COMPUTED_VALUE"""),"IND")</f>
        <v>IND</v>
      </c>
      <c r="G191" s="5">
        <f>IFERROR(__xludf.DUMMYFUNCTION("""COMPUTED_VALUE"""),11.0)</f>
        <v>11</v>
      </c>
      <c r="H191" s="5" t="str">
        <f>IFERROR(__xludf.DUMMYFUNCTION("""COMPUTED_VALUE"""),"--")</f>
        <v>--</v>
      </c>
      <c r="I191" s="5" t="str">
        <f>IFERROR(__xludf.DUMMYFUNCTION("""COMPUTED_VALUE"""),"--")</f>
        <v>--</v>
      </c>
      <c r="J191" s="5" t="str">
        <f>IFERROR(__xludf.DUMMYFUNCTION("""COMPUTED_VALUE"""),"--")</f>
        <v>--</v>
      </c>
      <c r="K191" s="5" t="str">
        <f>IFERROR(__xludf.DUMMYFUNCTION("""COMPUTED_VALUE"""),"--")</f>
        <v>--</v>
      </c>
      <c r="L191" s="5" t="str">
        <f>IFERROR(__xludf.DUMMYFUNCTION("""COMPUTED_VALUE"""),"--")</f>
        <v>--</v>
      </c>
      <c r="M191" s="5" t="str">
        <f>IFERROR(__xludf.DUMMYFUNCTION("""COMPUTED_VALUE"""),"--")</f>
        <v>--</v>
      </c>
      <c r="N191" s="5" t="str">
        <f>IFERROR(__xludf.DUMMYFUNCTION("""COMPUTED_VALUE"""),"--")</f>
        <v>--</v>
      </c>
      <c r="O191" s="5" t="str">
        <f>IFERROR(__xludf.DUMMYFUNCTION("""COMPUTED_VALUE"""),"--")</f>
        <v>--</v>
      </c>
      <c r="P191" s="5">
        <f>IFERROR(__xludf.DUMMYFUNCTION("""COMPUTED_VALUE"""),107.6)</f>
        <v>107.6</v>
      </c>
    </row>
    <row r="192">
      <c r="A192" s="19" t="str">
        <f>vlookup(B192,'Player Codes'!A:D,4,)</f>
        <v>0265</v>
      </c>
      <c r="B192" s="23" t="s">
        <v>2333</v>
      </c>
      <c r="C192" s="5">
        <f>IFERROR(__xludf.DUMMYFUNCTION("""COMPUTED_VALUE"""),188.0)</f>
        <v>188</v>
      </c>
      <c r="D192" s="5" t="str">
        <f>IFERROR(__xludf.DUMMYFUNCTION("""COMPUTED_VALUE"""),"Detroit Lions")</f>
        <v>Detroit Lions</v>
      </c>
      <c r="E192" s="5" t="str">
        <f>IFERROR(__xludf.DUMMYFUNCTION("""COMPUTED_VALUE"""),"DST18")</f>
        <v>DST18</v>
      </c>
      <c r="F192" s="5" t="str">
        <f>IFERROR(__xludf.DUMMYFUNCTION("""COMPUTED_VALUE"""),"DET")</f>
        <v>DET</v>
      </c>
      <c r="G192" s="5">
        <f>IFERROR(__xludf.DUMMYFUNCTION("""COMPUTED_VALUE"""),9.0)</f>
        <v>9</v>
      </c>
      <c r="H192" s="5" t="str">
        <f>IFERROR(__xludf.DUMMYFUNCTION("""COMPUTED_VALUE"""),"--")</f>
        <v>--</v>
      </c>
      <c r="I192" s="5" t="str">
        <f>IFERROR(__xludf.DUMMYFUNCTION("""COMPUTED_VALUE"""),"--")</f>
        <v>--</v>
      </c>
      <c r="J192" s="5" t="str">
        <f>IFERROR(__xludf.DUMMYFUNCTION("""COMPUTED_VALUE"""),"--")</f>
        <v>--</v>
      </c>
      <c r="K192" s="5" t="str">
        <f>IFERROR(__xludf.DUMMYFUNCTION("""COMPUTED_VALUE"""),"--")</f>
        <v>--</v>
      </c>
      <c r="L192" s="5" t="str">
        <f>IFERROR(__xludf.DUMMYFUNCTION("""COMPUTED_VALUE"""),"--")</f>
        <v>--</v>
      </c>
      <c r="M192" s="5" t="str">
        <f>IFERROR(__xludf.DUMMYFUNCTION("""COMPUTED_VALUE"""),"--")</f>
        <v>--</v>
      </c>
      <c r="N192" s="5" t="str">
        <f>IFERROR(__xludf.DUMMYFUNCTION("""COMPUTED_VALUE"""),"--")</f>
        <v>--</v>
      </c>
      <c r="O192" s="5" t="str">
        <f>IFERROR(__xludf.DUMMYFUNCTION("""COMPUTED_VALUE"""),"--")</f>
        <v>--</v>
      </c>
      <c r="P192" s="5">
        <f>IFERROR(__xludf.DUMMYFUNCTION("""COMPUTED_VALUE"""),107.3)</f>
        <v>107.3</v>
      </c>
    </row>
    <row r="193">
      <c r="A193" s="19" t="str">
        <f>vlookup(B193,'Player Codes'!A:D,4,)</f>
        <v>0153</v>
      </c>
      <c r="B193" s="21" t="s">
        <v>422</v>
      </c>
      <c r="C193" s="5">
        <f>IFERROR(__xludf.DUMMYFUNCTION("""COMPUTED_VALUE"""),189.0)</f>
        <v>189</v>
      </c>
      <c r="D193" s="5" t="str">
        <f>IFERROR(__xludf.DUMMYFUNCTION("""COMPUTED_VALUE"""),"Los Angeles Chargers")</f>
        <v>Los Angeles Chargers</v>
      </c>
      <c r="E193" s="5" t="str">
        <f>IFERROR(__xludf.DUMMYFUNCTION("""COMPUTED_VALUE"""),"DST19")</f>
        <v>DST19</v>
      </c>
      <c r="F193" s="5" t="str">
        <f>IFERROR(__xludf.DUMMYFUNCTION("""COMPUTED_VALUE"""),"LAC")</f>
        <v>LAC</v>
      </c>
      <c r="G193" s="5">
        <f>IFERROR(__xludf.DUMMYFUNCTION("""COMPUTED_VALUE"""),5.0)</f>
        <v>5</v>
      </c>
      <c r="H193" s="5" t="str">
        <f>IFERROR(__xludf.DUMMYFUNCTION("""COMPUTED_VALUE"""),"--")</f>
        <v>--</v>
      </c>
      <c r="I193" s="5" t="str">
        <f>IFERROR(__xludf.DUMMYFUNCTION("""COMPUTED_VALUE"""),"--")</f>
        <v>--</v>
      </c>
      <c r="J193" s="5" t="str">
        <f>IFERROR(__xludf.DUMMYFUNCTION("""COMPUTED_VALUE"""),"--")</f>
        <v>--</v>
      </c>
      <c r="K193" s="5" t="str">
        <f>IFERROR(__xludf.DUMMYFUNCTION("""COMPUTED_VALUE"""),"--")</f>
        <v>--</v>
      </c>
      <c r="L193" s="5" t="str">
        <f>IFERROR(__xludf.DUMMYFUNCTION("""COMPUTED_VALUE"""),"--")</f>
        <v>--</v>
      </c>
      <c r="M193" s="5" t="str">
        <f>IFERROR(__xludf.DUMMYFUNCTION("""COMPUTED_VALUE"""),"--")</f>
        <v>--</v>
      </c>
      <c r="N193" s="5" t="str">
        <f>IFERROR(__xludf.DUMMYFUNCTION("""COMPUTED_VALUE"""),"--")</f>
        <v>--</v>
      </c>
      <c r="O193" s="5" t="str">
        <f>IFERROR(__xludf.DUMMYFUNCTION("""COMPUTED_VALUE"""),"--")</f>
        <v>--</v>
      </c>
      <c r="P193" s="5">
        <f>IFERROR(__xludf.DUMMYFUNCTION("""COMPUTED_VALUE"""),107.1)</f>
        <v>107.1</v>
      </c>
    </row>
    <row r="194">
      <c r="A194" s="19" t="str">
        <f>vlookup(B194,'Player Codes'!A:D,4,)</f>
        <v>0213</v>
      </c>
      <c r="B194" s="21" t="s">
        <v>472</v>
      </c>
      <c r="C194" s="5">
        <f>IFERROR(__xludf.DUMMYFUNCTION("""COMPUTED_VALUE"""),190.0)</f>
        <v>190</v>
      </c>
      <c r="D194" s="5" t="str">
        <f>IFERROR(__xludf.DUMMYFUNCTION("""COMPUTED_VALUE"""),"Tampa Bay Buccaneers")</f>
        <v>Tampa Bay Buccaneers</v>
      </c>
      <c r="E194" s="5" t="str">
        <f>IFERROR(__xludf.DUMMYFUNCTION("""COMPUTED_VALUE"""),"DST20")</f>
        <v>DST20</v>
      </c>
      <c r="F194" s="5" t="str">
        <f>IFERROR(__xludf.DUMMYFUNCTION("""COMPUTED_VALUE"""),"TB")</f>
        <v>TB</v>
      </c>
      <c r="G194" s="5">
        <f>IFERROR(__xludf.DUMMYFUNCTION("""COMPUTED_VALUE"""),5.0)</f>
        <v>5</v>
      </c>
      <c r="H194" s="5" t="str">
        <f>IFERROR(__xludf.DUMMYFUNCTION("""COMPUTED_VALUE"""),"--")</f>
        <v>--</v>
      </c>
      <c r="I194" s="5" t="str">
        <f>IFERROR(__xludf.DUMMYFUNCTION("""COMPUTED_VALUE"""),"--")</f>
        <v>--</v>
      </c>
      <c r="J194" s="5" t="str">
        <f>IFERROR(__xludf.DUMMYFUNCTION("""COMPUTED_VALUE"""),"--")</f>
        <v>--</v>
      </c>
      <c r="K194" s="5" t="str">
        <f>IFERROR(__xludf.DUMMYFUNCTION("""COMPUTED_VALUE"""),"--")</f>
        <v>--</v>
      </c>
      <c r="L194" s="5" t="str">
        <f>IFERROR(__xludf.DUMMYFUNCTION("""COMPUTED_VALUE"""),"--")</f>
        <v>--</v>
      </c>
      <c r="M194" s="5" t="str">
        <f>IFERROR(__xludf.DUMMYFUNCTION("""COMPUTED_VALUE"""),"--")</f>
        <v>--</v>
      </c>
      <c r="N194" s="5" t="str">
        <f>IFERROR(__xludf.DUMMYFUNCTION("""COMPUTED_VALUE"""),"--")</f>
        <v>--</v>
      </c>
      <c r="O194" s="5" t="str">
        <f>IFERROR(__xludf.DUMMYFUNCTION("""COMPUTED_VALUE"""),"--")</f>
        <v>--</v>
      </c>
      <c r="P194" s="5">
        <f>IFERROR(__xludf.DUMMYFUNCTION("""COMPUTED_VALUE"""),106.6)</f>
        <v>106.6</v>
      </c>
    </row>
    <row r="195">
      <c r="A195" s="19" t="str">
        <f>vlookup(B195,'Player Codes'!A:D,4,)</f>
        <v>0099</v>
      </c>
      <c r="B195" s="21" t="s">
        <v>504</v>
      </c>
      <c r="C195" s="5">
        <f>IFERROR(__xludf.DUMMYFUNCTION("""COMPUTED_VALUE"""),191.0)</f>
        <v>191</v>
      </c>
      <c r="D195" s="5" t="str">
        <f>IFERROR(__xludf.DUMMYFUNCTION("""COMPUTED_VALUE"""),"Jaylen Warren")</f>
        <v>Jaylen Warren</v>
      </c>
      <c r="E195" s="5" t="str">
        <f>IFERROR(__xludf.DUMMYFUNCTION("""COMPUTED_VALUE"""),"RB41")</f>
        <v>RB41</v>
      </c>
      <c r="F195" s="5" t="str">
        <f>IFERROR(__xludf.DUMMYFUNCTION("""COMPUTED_VALUE"""),"PIT")</f>
        <v>PIT</v>
      </c>
      <c r="G195" s="5">
        <f>IFERROR(__xludf.DUMMYFUNCTION("""COMPUTED_VALUE"""),6.0)</f>
        <v>6</v>
      </c>
      <c r="H195" s="5">
        <f>IFERROR(__xludf.DUMMYFUNCTION("""COMPUTED_VALUE"""),0.0)</f>
        <v>0</v>
      </c>
      <c r="I195" s="5">
        <f>IFERROR(__xludf.DUMMYFUNCTION("""COMPUTED_VALUE"""),0.0)</f>
        <v>0</v>
      </c>
      <c r="J195" s="5">
        <f>IFERROR(__xludf.DUMMYFUNCTION("""COMPUTED_VALUE"""),0.0)</f>
        <v>0</v>
      </c>
      <c r="K195" s="5">
        <f>IFERROR(__xludf.DUMMYFUNCTION("""COMPUTED_VALUE"""),433.0)</f>
        <v>433</v>
      </c>
      <c r="L195" s="5">
        <f>IFERROR(__xludf.DUMMYFUNCTION("""COMPUTED_VALUE"""),2.6)</f>
        <v>2.6</v>
      </c>
      <c r="M195" s="5">
        <f>IFERROR(__xludf.DUMMYFUNCTION("""COMPUTED_VALUE"""),32.0)</f>
        <v>32</v>
      </c>
      <c r="N195" s="5">
        <f>IFERROR(__xludf.DUMMYFUNCTION("""COMPUTED_VALUE"""),244.0)</f>
        <v>244</v>
      </c>
      <c r="O195" s="5">
        <f>IFERROR(__xludf.DUMMYFUNCTION("""COMPUTED_VALUE"""),1.2)</f>
        <v>1.2</v>
      </c>
      <c r="P195" s="5">
        <f>IFERROR(__xludf.DUMMYFUNCTION("""COMPUTED_VALUE"""),106.3)</f>
        <v>106.3</v>
      </c>
    </row>
    <row r="196">
      <c r="A196" s="19" t="str">
        <f>vlookup(B196,'Player Codes'!A:D,4,)</f>
        <v>0222</v>
      </c>
      <c r="B196" s="23" t="s">
        <v>2334</v>
      </c>
      <c r="C196" s="5">
        <f>IFERROR(__xludf.DUMMYFUNCTION("""COMPUTED_VALUE"""),192.0)</f>
        <v>192</v>
      </c>
      <c r="D196" s="5" t="str">
        <f>IFERROR(__xludf.DUMMYFUNCTION("""COMPUTED_VALUE"""),"DJ Chark Jr.")</f>
        <v>DJ Chark Jr.</v>
      </c>
      <c r="E196" s="5" t="str">
        <f>IFERROR(__xludf.DUMMYFUNCTION("""COMPUTED_VALUE"""),"WR58")</f>
        <v>WR58</v>
      </c>
      <c r="F196" s="5" t="str">
        <f>IFERROR(__xludf.DUMMYFUNCTION("""COMPUTED_VALUE"""),"CAR")</f>
        <v>CAR</v>
      </c>
      <c r="G196" s="5">
        <f>IFERROR(__xludf.DUMMYFUNCTION("""COMPUTED_VALUE"""),7.0)</f>
        <v>7</v>
      </c>
      <c r="H196" s="5">
        <f>IFERROR(__xludf.DUMMYFUNCTION("""COMPUTED_VALUE"""),0.0)</f>
        <v>0</v>
      </c>
      <c r="I196" s="5">
        <f>IFERROR(__xludf.DUMMYFUNCTION("""COMPUTED_VALUE"""),0.0)</f>
        <v>0</v>
      </c>
      <c r="J196" s="5">
        <f>IFERROR(__xludf.DUMMYFUNCTION("""COMPUTED_VALUE"""),0.0)</f>
        <v>0</v>
      </c>
      <c r="K196" s="5">
        <f>IFERROR(__xludf.DUMMYFUNCTION("""COMPUTED_VALUE"""),6.0)</f>
        <v>6</v>
      </c>
      <c r="L196" s="5">
        <f>IFERROR(__xludf.DUMMYFUNCTION("""COMPUTED_VALUE"""),0.1)</f>
        <v>0.1</v>
      </c>
      <c r="M196" s="5">
        <f>IFERROR(__xludf.DUMMYFUNCTION("""COMPUTED_VALUE"""),46.0)</f>
        <v>46</v>
      </c>
      <c r="N196" s="5">
        <f>IFERROR(__xludf.DUMMYFUNCTION("""COMPUTED_VALUE"""),600.0)</f>
        <v>600</v>
      </c>
      <c r="O196" s="5">
        <f>IFERROR(__xludf.DUMMYFUNCTION("""COMPUTED_VALUE"""),3.6)</f>
        <v>3.6</v>
      </c>
      <c r="P196" s="5">
        <f>IFERROR(__xludf.DUMMYFUNCTION("""COMPUTED_VALUE"""),105.8)</f>
        <v>105.8</v>
      </c>
    </row>
    <row r="197">
      <c r="A197" s="19" t="str">
        <f>vlookup(B197,'Player Codes'!A:D,4,)</f>
        <v>0117</v>
      </c>
      <c r="B197" s="23" t="s">
        <v>2335</v>
      </c>
      <c r="C197" s="5">
        <f>IFERROR(__xludf.DUMMYFUNCTION("""COMPUTED_VALUE"""),193.0)</f>
        <v>193</v>
      </c>
      <c r="D197" s="5" t="str">
        <f>IFERROR(__xludf.DUMMYFUNCTION("""COMPUTED_VALUE"""),"Minnesota Vikings")</f>
        <v>Minnesota Vikings</v>
      </c>
      <c r="E197" s="5" t="str">
        <f>IFERROR(__xludf.DUMMYFUNCTION("""COMPUTED_VALUE"""),"DST21")</f>
        <v>DST21</v>
      </c>
      <c r="F197" s="5" t="str">
        <f>IFERROR(__xludf.DUMMYFUNCTION("""COMPUTED_VALUE"""),"MIN")</f>
        <v>MIN</v>
      </c>
      <c r="G197" s="5">
        <f>IFERROR(__xludf.DUMMYFUNCTION("""COMPUTED_VALUE"""),13.0)</f>
        <v>13</v>
      </c>
      <c r="H197" s="5" t="str">
        <f>IFERROR(__xludf.DUMMYFUNCTION("""COMPUTED_VALUE"""),"--")</f>
        <v>--</v>
      </c>
      <c r="I197" s="5" t="str">
        <f>IFERROR(__xludf.DUMMYFUNCTION("""COMPUTED_VALUE"""),"--")</f>
        <v>--</v>
      </c>
      <c r="J197" s="5" t="str">
        <f>IFERROR(__xludf.DUMMYFUNCTION("""COMPUTED_VALUE"""),"--")</f>
        <v>--</v>
      </c>
      <c r="K197" s="5" t="str">
        <f>IFERROR(__xludf.DUMMYFUNCTION("""COMPUTED_VALUE"""),"--")</f>
        <v>--</v>
      </c>
      <c r="L197" s="5" t="str">
        <f>IFERROR(__xludf.DUMMYFUNCTION("""COMPUTED_VALUE"""),"--")</f>
        <v>--</v>
      </c>
      <c r="M197" s="5" t="str">
        <f>IFERROR(__xludf.DUMMYFUNCTION("""COMPUTED_VALUE"""),"--")</f>
        <v>--</v>
      </c>
      <c r="N197" s="5" t="str">
        <f>IFERROR(__xludf.DUMMYFUNCTION("""COMPUTED_VALUE"""),"--")</f>
        <v>--</v>
      </c>
      <c r="O197" s="5" t="str">
        <f>IFERROR(__xludf.DUMMYFUNCTION("""COMPUTED_VALUE"""),"--")</f>
        <v>--</v>
      </c>
      <c r="P197" s="5">
        <f>IFERROR(__xludf.DUMMYFUNCTION("""COMPUTED_VALUE"""),105.7)</f>
        <v>105.7</v>
      </c>
    </row>
    <row r="198">
      <c r="A198" s="19" t="str">
        <f>vlookup(B198,'Player Codes'!A:D,4,)</f>
        <v>0232</v>
      </c>
      <c r="B198" s="21" t="s">
        <v>430</v>
      </c>
      <c r="C198" s="5">
        <f>IFERROR(__xludf.DUMMYFUNCTION("""COMPUTED_VALUE"""),193.0)</f>
        <v>193</v>
      </c>
      <c r="D198" s="5" t="str">
        <f>IFERROR(__xludf.DUMMYFUNCTION("""COMPUTED_VALUE"""),"Michael Gallup")</f>
        <v>Michael Gallup</v>
      </c>
      <c r="E198" s="5" t="str">
        <f>IFERROR(__xludf.DUMMYFUNCTION("""COMPUTED_VALUE"""),"WR59")</f>
        <v>WR59</v>
      </c>
      <c r="F198" s="5" t="str">
        <f>IFERROR(__xludf.DUMMYFUNCTION("""COMPUTED_VALUE"""),"DAL")</f>
        <v>DAL</v>
      </c>
      <c r="G198" s="5">
        <f>IFERROR(__xludf.DUMMYFUNCTION("""COMPUTED_VALUE"""),7.0)</f>
        <v>7</v>
      </c>
      <c r="H198" s="5">
        <f>IFERROR(__xludf.DUMMYFUNCTION("""COMPUTED_VALUE"""),0.0)</f>
        <v>0</v>
      </c>
      <c r="I198" s="5">
        <f>IFERROR(__xludf.DUMMYFUNCTION("""COMPUTED_VALUE"""),0.0)</f>
        <v>0</v>
      </c>
      <c r="J198" s="5">
        <f>IFERROR(__xludf.DUMMYFUNCTION("""COMPUTED_VALUE"""),0.0)</f>
        <v>0</v>
      </c>
      <c r="K198" s="5">
        <f>IFERROR(__xludf.DUMMYFUNCTION("""COMPUTED_VALUE"""),14.0)</f>
        <v>14</v>
      </c>
      <c r="L198" s="5">
        <f>IFERROR(__xludf.DUMMYFUNCTION("""COMPUTED_VALUE"""),0.2)</f>
        <v>0.2</v>
      </c>
      <c r="M198" s="5">
        <f>IFERROR(__xludf.DUMMYFUNCTION("""COMPUTED_VALUE"""),47.0)</f>
        <v>47</v>
      </c>
      <c r="N198" s="5">
        <f>IFERROR(__xludf.DUMMYFUNCTION("""COMPUTED_VALUE"""),579.0)</f>
        <v>579</v>
      </c>
      <c r="O198" s="5">
        <f>IFERROR(__xludf.DUMMYFUNCTION("""COMPUTED_VALUE"""),3.6)</f>
        <v>3.6</v>
      </c>
      <c r="P198" s="5">
        <f>IFERROR(__xludf.DUMMYFUNCTION("""COMPUTED_VALUE"""),105.7)</f>
        <v>105.7</v>
      </c>
    </row>
    <row r="199">
      <c r="A199" s="19" t="str">
        <f>vlookup(B199,'Player Codes'!A:D,4,)</f>
        <v>0252</v>
      </c>
      <c r="B199" s="21" t="s">
        <v>447</v>
      </c>
      <c r="C199" s="5">
        <f>IFERROR(__xludf.DUMMYFUNCTION("""COMPUTED_VALUE"""),195.0)</f>
        <v>195</v>
      </c>
      <c r="D199" s="5" t="str">
        <f>IFERROR(__xludf.DUMMYFUNCTION("""COMPUTED_VALUE"""),"Tyler Higbee")</f>
        <v>Tyler Higbee</v>
      </c>
      <c r="E199" s="5" t="str">
        <f>IFERROR(__xludf.DUMMYFUNCTION("""COMPUTED_VALUE"""),"TE11")</f>
        <v>TE11</v>
      </c>
      <c r="F199" s="5" t="str">
        <f>IFERROR(__xludf.DUMMYFUNCTION("""COMPUTED_VALUE"""),"LAR")</f>
        <v>LAR</v>
      </c>
      <c r="G199" s="5">
        <f>IFERROR(__xludf.DUMMYFUNCTION("""COMPUTED_VALUE"""),10.0)</f>
        <v>10</v>
      </c>
      <c r="H199" s="5">
        <f>IFERROR(__xludf.DUMMYFUNCTION("""COMPUTED_VALUE"""),0.0)</f>
        <v>0</v>
      </c>
      <c r="I199" s="5">
        <f>IFERROR(__xludf.DUMMYFUNCTION("""COMPUTED_VALUE"""),0.0)</f>
        <v>0</v>
      </c>
      <c r="J199" s="5">
        <f>IFERROR(__xludf.DUMMYFUNCTION("""COMPUTED_VALUE"""),0.0)</f>
        <v>0</v>
      </c>
      <c r="K199" s="5">
        <f>IFERROR(__xludf.DUMMYFUNCTION("""COMPUTED_VALUE"""),0.0)</f>
        <v>0</v>
      </c>
      <c r="L199" s="5">
        <f>IFERROR(__xludf.DUMMYFUNCTION("""COMPUTED_VALUE"""),0.0)</f>
        <v>0</v>
      </c>
      <c r="M199" s="5">
        <f>IFERROR(__xludf.DUMMYFUNCTION("""COMPUTED_VALUE"""),57.0)</f>
        <v>57</v>
      </c>
      <c r="N199" s="5">
        <f>IFERROR(__xludf.DUMMYFUNCTION("""COMPUTED_VALUE"""),580.0)</f>
        <v>580</v>
      </c>
      <c r="O199" s="5">
        <f>IFERROR(__xludf.DUMMYFUNCTION("""COMPUTED_VALUE"""),3.2)</f>
        <v>3.2</v>
      </c>
      <c r="P199" s="5">
        <f>IFERROR(__xludf.DUMMYFUNCTION("""COMPUTED_VALUE"""),105.6)</f>
        <v>105.6</v>
      </c>
    </row>
    <row r="200">
      <c r="A200" s="19" t="str">
        <f>vlookup(B200,'Player Codes'!A:D,4,)</f>
        <v>0083</v>
      </c>
      <c r="B200" s="21" t="s">
        <v>580</v>
      </c>
      <c r="C200" s="5">
        <f>IFERROR(__xludf.DUMMYFUNCTION("""COMPUTED_VALUE"""),196.0)</f>
        <v>196</v>
      </c>
      <c r="D200" s="5" t="str">
        <f>IFERROR(__xludf.DUMMYFUNCTION("""COMPUTED_VALUE"""),"Green Bay Packers")</f>
        <v>Green Bay Packers</v>
      </c>
      <c r="E200" s="5" t="str">
        <f>IFERROR(__xludf.DUMMYFUNCTION("""COMPUTED_VALUE"""),"DST22")</f>
        <v>DST22</v>
      </c>
      <c r="F200" s="5" t="str">
        <f>IFERROR(__xludf.DUMMYFUNCTION("""COMPUTED_VALUE"""),"GB")</f>
        <v>GB</v>
      </c>
      <c r="G200" s="5">
        <f>IFERROR(__xludf.DUMMYFUNCTION("""COMPUTED_VALUE"""),6.0)</f>
        <v>6</v>
      </c>
      <c r="H200" s="5" t="str">
        <f>IFERROR(__xludf.DUMMYFUNCTION("""COMPUTED_VALUE"""),"--")</f>
        <v>--</v>
      </c>
      <c r="I200" s="5" t="str">
        <f>IFERROR(__xludf.DUMMYFUNCTION("""COMPUTED_VALUE"""),"--")</f>
        <v>--</v>
      </c>
      <c r="J200" s="5" t="str">
        <f>IFERROR(__xludf.DUMMYFUNCTION("""COMPUTED_VALUE"""),"--")</f>
        <v>--</v>
      </c>
      <c r="K200" s="5" t="str">
        <f>IFERROR(__xludf.DUMMYFUNCTION("""COMPUTED_VALUE"""),"--")</f>
        <v>--</v>
      </c>
      <c r="L200" s="5" t="str">
        <f>IFERROR(__xludf.DUMMYFUNCTION("""COMPUTED_VALUE"""),"--")</f>
        <v>--</v>
      </c>
      <c r="M200" s="5" t="str">
        <f>IFERROR(__xludf.DUMMYFUNCTION("""COMPUTED_VALUE"""),"--")</f>
        <v>--</v>
      </c>
      <c r="N200" s="5" t="str">
        <f>IFERROR(__xludf.DUMMYFUNCTION("""COMPUTED_VALUE"""),"--")</f>
        <v>--</v>
      </c>
      <c r="O200" s="5" t="str">
        <f>IFERROR(__xludf.DUMMYFUNCTION("""COMPUTED_VALUE"""),"--")</f>
        <v>--</v>
      </c>
      <c r="P200" s="5">
        <f>IFERROR(__xludf.DUMMYFUNCTION("""COMPUTED_VALUE"""),105.3)</f>
        <v>105.3</v>
      </c>
    </row>
    <row r="201">
      <c r="A201" s="19" t="str">
        <f>vlookup(B201,'Player Codes'!A:D,4,)</f>
        <v>0087</v>
      </c>
      <c r="B201" s="23" t="s">
        <v>2336</v>
      </c>
      <c r="C201" s="5">
        <f>IFERROR(__xludf.DUMMYFUNCTION("""COMPUTED_VALUE"""),197.0)</f>
        <v>197</v>
      </c>
      <c r="D201" s="5" t="str">
        <f>IFERROR(__xludf.DUMMYFUNCTION("""COMPUTED_VALUE"""),"Kyren Williams")</f>
        <v>Kyren Williams</v>
      </c>
      <c r="E201" s="5" t="str">
        <f>IFERROR(__xludf.DUMMYFUNCTION("""COMPUTED_VALUE"""),"RB42")</f>
        <v>RB42</v>
      </c>
      <c r="F201" s="5" t="str">
        <f>IFERROR(__xludf.DUMMYFUNCTION("""COMPUTED_VALUE"""),"LAR")</f>
        <v>LAR</v>
      </c>
      <c r="G201" s="5">
        <f>IFERROR(__xludf.DUMMYFUNCTION("""COMPUTED_VALUE"""),10.0)</f>
        <v>10</v>
      </c>
      <c r="H201" s="5">
        <f>IFERROR(__xludf.DUMMYFUNCTION("""COMPUTED_VALUE"""),0.0)</f>
        <v>0</v>
      </c>
      <c r="I201" s="5">
        <f>IFERROR(__xludf.DUMMYFUNCTION("""COMPUTED_VALUE"""),0.0)</f>
        <v>0</v>
      </c>
      <c r="J201" s="5">
        <f>IFERROR(__xludf.DUMMYFUNCTION("""COMPUTED_VALUE"""),0.0)</f>
        <v>0</v>
      </c>
      <c r="K201" s="5">
        <f>IFERROR(__xludf.DUMMYFUNCTION("""COMPUTED_VALUE"""),453.0)</f>
        <v>453</v>
      </c>
      <c r="L201" s="5">
        <f>IFERROR(__xludf.DUMMYFUNCTION("""COMPUTED_VALUE"""),2.9)</f>
        <v>2.9</v>
      </c>
      <c r="M201" s="5">
        <f>IFERROR(__xludf.DUMMYFUNCTION("""COMPUTED_VALUE"""),29.0)</f>
        <v>29</v>
      </c>
      <c r="N201" s="5">
        <f>IFERROR(__xludf.DUMMYFUNCTION("""COMPUTED_VALUE"""),219.0)</f>
        <v>219</v>
      </c>
      <c r="O201" s="5">
        <f>IFERROR(__xludf.DUMMYFUNCTION("""COMPUTED_VALUE"""),1.0)</f>
        <v>1</v>
      </c>
      <c r="P201" s="5">
        <f>IFERROR(__xludf.DUMMYFUNCTION("""COMPUTED_VALUE"""),104.9)</f>
        <v>104.9</v>
      </c>
    </row>
    <row r="202">
      <c r="A202" s="19" t="str">
        <f>vlookup(B202,'Player Codes'!A:D,4,)</f>
        <v>0286</v>
      </c>
      <c r="B202" s="21" t="s">
        <v>486</v>
      </c>
      <c r="C202" s="5">
        <f>IFERROR(__xludf.DUMMYFUNCTION("""COMPUTED_VALUE"""),198.0)</f>
        <v>198</v>
      </c>
      <c r="D202" s="5" t="str">
        <f>IFERROR(__xludf.DUMMYFUNCTION("""COMPUTED_VALUE"""),"Odell Beckham Jr.")</f>
        <v>Odell Beckham Jr.</v>
      </c>
      <c r="E202" s="5" t="str">
        <f>IFERROR(__xludf.DUMMYFUNCTION("""COMPUTED_VALUE"""),"WR60")</f>
        <v>WR60</v>
      </c>
      <c r="F202" s="5" t="str">
        <f>IFERROR(__xludf.DUMMYFUNCTION("""COMPUTED_VALUE"""),"BAL")</f>
        <v>BAL</v>
      </c>
      <c r="G202" s="5">
        <f>IFERROR(__xludf.DUMMYFUNCTION("""COMPUTED_VALUE"""),13.0)</f>
        <v>13</v>
      </c>
      <c r="H202" s="5">
        <f>IFERROR(__xludf.DUMMYFUNCTION("""COMPUTED_VALUE"""),0.0)</f>
        <v>0</v>
      </c>
      <c r="I202" s="5">
        <f>IFERROR(__xludf.DUMMYFUNCTION("""COMPUTED_VALUE"""),0.0)</f>
        <v>0</v>
      </c>
      <c r="J202" s="5">
        <f>IFERROR(__xludf.DUMMYFUNCTION("""COMPUTED_VALUE"""),0.0)</f>
        <v>0</v>
      </c>
      <c r="K202" s="5">
        <f>IFERROR(__xludf.DUMMYFUNCTION("""COMPUTED_VALUE"""),0.0)</f>
        <v>0</v>
      </c>
      <c r="L202" s="5">
        <f>IFERROR(__xludf.DUMMYFUNCTION("""COMPUTED_VALUE"""),0.0)</f>
        <v>0</v>
      </c>
      <c r="M202" s="5">
        <f>IFERROR(__xludf.DUMMYFUNCTION("""COMPUTED_VALUE"""),50.0)</f>
        <v>50</v>
      </c>
      <c r="N202" s="5">
        <f>IFERROR(__xludf.DUMMYFUNCTION("""COMPUTED_VALUE"""),564.0)</f>
        <v>564</v>
      </c>
      <c r="O202" s="5">
        <f>IFERROR(__xludf.DUMMYFUNCTION("""COMPUTED_VALUE"""),3.9)</f>
        <v>3.9</v>
      </c>
      <c r="P202" s="5">
        <f>IFERROR(__xludf.DUMMYFUNCTION("""COMPUTED_VALUE"""),104.7)</f>
        <v>104.7</v>
      </c>
    </row>
    <row r="203">
      <c r="A203" s="19" t="str">
        <f>vlookup(B203,'Player Codes'!A:D,4,)</f>
        <v>0293</v>
      </c>
      <c r="B203" s="23" t="s">
        <v>2337</v>
      </c>
      <c r="C203" s="5">
        <f>IFERROR(__xludf.DUMMYFUNCTION("""COMPUTED_VALUE"""),199.0)</f>
        <v>199</v>
      </c>
      <c r="D203" s="5" t="str">
        <f>IFERROR(__xludf.DUMMYFUNCTION("""COMPUTED_VALUE"""),"Roschon Johnson")</f>
        <v>Roschon Johnson</v>
      </c>
      <c r="E203" s="5" t="str">
        <f>IFERROR(__xludf.DUMMYFUNCTION("""COMPUTED_VALUE"""),"RB43")</f>
        <v>RB43</v>
      </c>
      <c r="F203" s="5" t="str">
        <f>IFERROR(__xludf.DUMMYFUNCTION("""COMPUTED_VALUE"""),"CHI")</f>
        <v>CHI</v>
      </c>
      <c r="G203" s="5">
        <f>IFERROR(__xludf.DUMMYFUNCTION("""COMPUTED_VALUE"""),13.0)</f>
        <v>13</v>
      </c>
      <c r="H203" s="5">
        <f>IFERROR(__xludf.DUMMYFUNCTION("""COMPUTED_VALUE"""),0.0)</f>
        <v>0</v>
      </c>
      <c r="I203" s="5">
        <f>IFERROR(__xludf.DUMMYFUNCTION("""COMPUTED_VALUE"""),0.0)</f>
        <v>0</v>
      </c>
      <c r="J203" s="5">
        <f>IFERROR(__xludf.DUMMYFUNCTION("""COMPUTED_VALUE"""),0.0)</f>
        <v>0</v>
      </c>
      <c r="K203" s="5">
        <f>IFERROR(__xludf.DUMMYFUNCTION("""COMPUTED_VALUE"""),526.0)</f>
        <v>526</v>
      </c>
      <c r="L203" s="5">
        <f>IFERROR(__xludf.DUMMYFUNCTION("""COMPUTED_VALUE"""),3.0)</f>
        <v>3</v>
      </c>
      <c r="M203" s="5">
        <f>IFERROR(__xludf.DUMMYFUNCTION("""COMPUTED_VALUE"""),23.0)</f>
        <v>23</v>
      </c>
      <c r="N203" s="5">
        <f>IFERROR(__xludf.DUMMYFUNCTION("""COMPUTED_VALUE"""),174.0)</f>
        <v>174</v>
      </c>
      <c r="O203" s="5">
        <f>IFERROR(__xludf.DUMMYFUNCTION("""COMPUTED_VALUE"""),0.9)</f>
        <v>0.9</v>
      </c>
      <c r="P203" s="5">
        <f>IFERROR(__xludf.DUMMYFUNCTION("""COMPUTED_VALUE"""),104.6)</f>
        <v>104.6</v>
      </c>
    </row>
    <row r="204">
      <c r="A204" s="19" t="str">
        <f>vlookup(B204,'Player Codes'!A:D,4,)</f>
        <v>0194</v>
      </c>
      <c r="B204" s="21" t="s">
        <v>458</v>
      </c>
      <c r="C204" s="5">
        <f>IFERROR(__xludf.DUMMYFUNCTION("""COMPUTED_VALUE"""),200.0)</f>
        <v>200</v>
      </c>
      <c r="D204" s="5" t="str">
        <f>IFERROR(__xludf.DUMMYFUNCTION("""COMPUTED_VALUE"""),"Jerick McKinnon")</f>
        <v>Jerick McKinnon</v>
      </c>
      <c r="E204" s="5" t="str">
        <f>IFERROR(__xludf.DUMMYFUNCTION("""COMPUTED_VALUE"""),"RB44")</f>
        <v>RB44</v>
      </c>
      <c r="F204" s="5" t="str">
        <f>IFERROR(__xludf.DUMMYFUNCTION("""COMPUTED_VALUE"""),"KC")</f>
        <v>KC</v>
      </c>
      <c r="G204" s="5">
        <f>IFERROR(__xludf.DUMMYFUNCTION("""COMPUTED_VALUE"""),10.0)</f>
        <v>10</v>
      </c>
      <c r="H204" s="5">
        <f>IFERROR(__xludf.DUMMYFUNCTION("""COMPUTED_VALUE"""),0.0)</f>
        <v>0</v>
      </c>
      <c r="I204" s="5">
        <f>IFERROR(__xludf.DUMMYFUNCTION("""COMPUTED_VALUE"""),0.0)</f>
        <v>0</v>
      </c>
      <c r="J204" s="5">
        <f>IFERROR(__xludf.DUMMYFUNCTION("""COMPUTED_VALUE"""),0.0)</f>
        <v>0</v>
      </c>
      <c r="K204" s="5">
        <f>IFERROR(__xludf.DUMMYFUNCTION("""COMPUTED_VALUE"""),311.0)</f>
        <v>311</v>
      </c>
      <c r="L204" s="5">
        <f>IFERROR(__xludf.DUMMYFUNCTION("""COMPUTED_VALUE"""),2.3)</f>
        <v>2.3</v>
      </c>
      <c r="M204" s="5">
        <f>IFERROR(__xludf.DUMMYFUNCTION("""COMPUTED_VALUE"""),33.0)</f>
        <v>33</v>
      </c>
      <c r="N204" s="5">
        <f>IFERROR(__xludf.DUMMYFUNCTION("""COMPUTED_VALUE"""),262.0)</f>
        <v>262</v>
      </c>
      <c r="O204" s="5">
        <f>IFERROR(__xludf.DUMMYFUNCTION("""COMPUTED_VALUE"""),2.7)</f>
        <v>2.7</v>
      </c>
      <c r="P204" s="5">
        <f>IFERROR(__xludf.DUMMYFUNCTION("""COMPUTED_VALUE"""),103.7)</f>
        <v>103.7</v>
      </c>
    </row>
    <row r="205">
      <c r="A205" s="19" t="str">
        <f>vlookup(B205,'Player Codes'!A:D,4,)</f>
        <v>0292</v>
      </c>
      <c r="B205" s="21" t="s">
        <v>490</v>
      </c>
      <c r="C205" s="5">
        <f>IFERROR(__xludf.DUMMYFUNCTION("""COMPUTED_VALUE"""),201.0)</f>
        <v>201</v>
      </c>
      <c r="D205" s="5" t="str">
        <f>IFERROR(__xludf.DUMMYFUNCTION("""COMPUTED_VALUE"""),"David Njoku")</f>
        <v>David Njoku</v>
      </c>
      <c r="E205" s="5" t="str">
        <f>IFERROR(__xludf.DUMMYFUNCTION("""COMPUTED_VALUE"""),"TE12")</f>
        <v>TE12</v>
      </c>
      <c r="F205" s="5" t="str">
        <f>IFERROR(__xludf.DUMMYFUNCTION("""COMPUTED_VALUE"""),"CLE")</f>
        <v>CLE</v>
      </c>
      <c r="G205" s="5">
        <f>IFERROR(__xludf.DUMMYFUNCTION("""COMPUTED_VALUE"""),5.0)</f>
        <v>5</v>
      </c>
      <c r="H205" s="5">
        <f>IFERROR(__xludf.DUMMYFUNCTION("""COMPUTED_VALUE"""),0.0)</f>
        <v>0</v>
      </c>
      <c r="I205" s="5">
        <f>IFERROR(__xludf.DUMMYFUNCTION("""COMPUTED_VALUE"""),0.0)</f>
        <v>0</v>
      </c>
      <c r="J205" s="5">
        <f>IFERROR(__xludf.DUMMYFUNCTION("""COMPUTED_VALUE"""),0.0)</f>
        <v>0</v>
      </c>
      <c r="K205" s="5">
        <f>IFERROR(__xludf.DUMMYFUNCTION("""COMPUTED_VALUE"""),0.0)</f>
        <v>0</v>
      </c>
      <c r="L205" s="5">
        <f>IFERROR(__xludf.DUMMYFUNCTION("""COMPUTED_VALUE"""),0.0)</f>
        <v>0</v>
      </c>
      <c r="M205" s="5">
        <f>IFERROR(__xludf.DUMMYFUNCTION("""COMPUTED_VALUE"""),53.0)</f>
        <v>53</v>
      </c>
      <c r="N205" s="5">
        <f>IFERROR(__xludf.DUMMYFUNCTION("""COMPUTED_VALUE"""),514.0)</f>
        <v>514</v>
      </c>
      <c r="O205" s="5">
        <f>IFERROR(__xludf.DUMMYFUNCTION("""COMPUTED_VALUE"""),4.3)</f>
        <v>4.3</v>
      </c>
      <c r="P205" s="5">
        <f>IFERROR(__xludf.DUMMYFUNCTION("""COMPUTED_VALUE"""),103.5)</f>
        <v>103.5</v>
      </c>
    </row>
    <row r="206">
      <c r="A206" s="19" t="str">
        <f>vlookup(B206,'Player Codes'!A:D,4,)</f>
        <v>0284</v>
      </c>
      <c r="B206" s="21" t="s">
        <v>461</v>
      </c>
      <c r="C206" s="5">
        <f>IFERROR(__xludf.DUMMYFUNCTION("""COMPUTED_VALUE"""),202.0)</f>
        <v>202</v>
      </c>
      <c r="D206" s="5" t="str">
        <f>IFERROR(__xludf.DUMMYFUNCTION("""COMPUTED_VALUE"""),"Denver Broncos")</f>
        <v>Denver Broncos</v>
      </c>
      <c r="E206" s="5" t="str">
        <f>IFERROR(__xludf.DUMMYFUNCTION("""COMPUTED_VALUE"""),"DST23")</f>
        <v>DST23</v>
      </c>
      <c r="F206" s="5" t="str">
        <f>IFERROR(__xludf.DUMMYFUNCTION("""COMPUTED_VALUE"""),"DEN")</f>
        <v>DEN</v>
      </c>
      <c r="G206" s="5">
        <f>IFERROR(__xludf.DUMMYFUNCTION("""COMPUTED_VALUE"""),9.0)</f>
        <v>9</v>
      </c>
      <c r="H206" s="5" t="str">
        <f>IFERROR(__xludf.DUMMYFUNCTION("""COMPUTED_VALUE"""),"--")</f>
        <v>--</v>
      </c>
      <c r="I206" s="5" t="str">
        <f>IFERROR(__xludf.DUMMYFUNCTION("""COMPUTED_VALUE"""),"--")</f>
        <v>--</v>
      </c>
      <c r="J206" s="5" t="str">
        <f>IFERROR(__xludf.DUMMYFUNCTION("""COMPUTED_VALUE"""),"--")</f>
        <v>--</v>
      </c>
      <c r="K206" s="5" t="str">
        <f>IFERROR(__xludf.DUMMYFUNCTION("""COMPUTED_VALUE"""),"--")</f>
        <v>--</v>
      </c>
      <c r="L206" s="5" t="str">
        <f>IFERROR(__xludf.DUMMYFUNCTION("""COMPUTED_VALUE"""),"--")</f>
        <v>--</v>
      </c>
      <c r="M206" s="5" t="str">
        <f>IFERROR(__xludf.DUMMYFUNCTION("""COMPUTED_VALUE"""),"--")</f>
        <v>--</v>
      </c>
      <c r="N206" s="5" t="str">
        <f>IFERROR(__xludf.DUMMYFUNCTION("""COMPUTED_VALUE"""),"--")</f>
        <v>--</v>
      </c>
      <c r="O206" s="5" t="str">
        <f>IFERROR(__xludf.DUMMYFUNCTION("""COMPUTED_VALUE"""),"--")</f>
        <v>--</v>
      </c>
      <c r="P206" s="5">
        <f>IFERROR(__xludf.DUMMYFUNCTION("""COMPUTED_VALUE"""),103.4)</f>
        <v>103.4</v>
      </c>
    </row>
    <row r="207">
      <c r="A207" s="19" t="str">
        <f>vlookup(B207,'Player Codes'!A:D,4,)</f>
        <v>0072</v>
      </c>
      <c r="B207" s="21" t="s">
        <v>603</v>
      </c>
      <c r="C207" s="5">
        <f>IFERROR(__xludf.DUMMYFUNCTION("""COMPUTED_VALUE"""),203.0)</f>
        <v>203</v>
      </c>
      <c r="D207" s="5" t="str">
        <f>IFERROR(__xludf.DUMMYFUNCTION("""COMPUTED_VALUE"""),"Tyler Boyd")</f>
        <v>Tyler Boyd</v>
      </c>
      <c r="E207" s="5" t="str">
        <f>IFERROR(__xludf.DUMMYFUNCTION("""COMPUTED_VALUE"""),"WR61")</f>
        <v>WR61</v>
      </c>
      <c r="F207" s="5" t="str">
        <f>IFERROR(__xludf.DUMMYFUNCTION("""COMPUTED_VALUE"""),"CIN")</f>
        <v>CIN</v>
      </c>
      <c r="G207" s="5">
        <f>IFERROR(__xludf.DUMMYFUNCTION("""COMPUTED_VALUE"""),7.0)</f>
        <v>7</v>
      </c>
      <c r="H207" s="5">
        <f>IFERROR(__xludf.DUMMYFUNCTION("""COMPUTED_VALUE"""),0.0)</f>
        <v>0</v>
      </c>
      <c r="I207" s="5">
        <f>IFERROR(__xludf.DUMMYFUNCTION("""COMPUTED_VALUE"""),0.0)</f>
        <v>0</v>
      </c>
      <c r="J207" s="5">
        <f>IFERROR(__xludf.DUMMYFUNCTION("""COMPUTED_VALUE"""),0.0)</f>
        <v>0</v>
      </c>
      <c r="K207" s="5">
        <f>IFERROR(__xludf.DUMMYFUNCTION("""COMPUTED_VALUE"""),5.0)</f>
        <v>5</v>
      </c>
      <c r="L207" s="5">
        <f>IFERROR(__xludf.DUMMYFUNCTION("""COMPUTED_VALUE"""),0.0)</f>
        <v>0</v>
      </c>
      <c r="M207" s="5">
        <f>IFERROR(__xludf.DUMMYFUNCTION("""COMPUTED_VALUE"""),47.0)</f>
        <v>47</v>
      </c>
      <c r="N207" s="5">
        <f>IFERROR(__xludf.DUMMYFUNCTION("""COMPUTED_VALUE"""),522.0)</f>
        <v>522</v>
      </c>
      <c r="O207" s="5">
        <f>IFERROR(__xludf.DUMMYFUNCTION("""COMPUTED_VALUE"""),4.5)</f>
        <v>4.5</v>
      </c>
      <c r="P207" s="5">
        <f>IFERROR(__xludf.DUMMYFUNCTION("""COMPUTED_VALUE"""),103.0)</f>
        <v>103</v>
      </c>
    </row>
    <row r="208">
      <c r="A208" s="19" t="str">
        <f>vlookup(B208,'Player Codes'!A:D,4,)</f>
        <v>0105</v>
      </c>
      <c r="B208" s="21" t="s">
        <v>407</v>
      </c>
      <c r="C208" s="5">
        <f>IFERROR(__xludf.DUMMYFUNCTION("""COMPUTED_VALUE"""),204.0)</f>
        <v>204</v>
      </c>
      <c r="D208" s="5" t="str">
        <f>IFERROR(__xludf.DUMMYFUNCTION("""COMPUTED_VALUE"""),"Washington Commanders")</f>
        <v>Washington Commanders</v>
      </c>
      <c r="E208" s="5" t="str">
        <f>IFERROR(__xludf.DUMMYFUNCTION("""COMPUTED_VALUE"""),"DST24")</f>
        <v>DST24</v>
      </c>
      <c r="F208" s="5" t="str">
        <f>IFERROR(__xludf.DUMMYFUNCTION("""COMPUTED_VALUE"""),"WAS")</f>
        <v>WAS</v>
      </c>
      <c r="G208" s="5">
        <f>IFERROR(__xludf.DUMMYFUNCTION("""COMPUTED_VALUE"""),14.0)</f>
        <v>14</v>
      </c>
      <c r="H208" s="5" t="str">
        <f>IFERROR(__xludf.DUMMYFUNCTION("""COMPUTED_VALUE"""),"--")</f>
        <v>--</v>
      </c>
      <c r="I208" s="5" t="str">
        <f>IFERROR(__xludf.DUMMYFUNCTION("""COMPUTED_VALUE"""),"--")</f>
        <v>--</v>
      </c>
      <c r="J208" s="5" t="str">
        <f>IFERROR(__xludf.DUMMYFUNCTION("""COMPUTED_VALUE"""),"--")</f>
        <v>--</v>
      </c>
      <c r="K208" s="5" t="str">
        <f>IFERROR(__xludf.DUMMYFUNCTION("""COMPUTED_VALUE"""),"--")</f>
        <v>--</v>
      </c>
      <c r="L208" s="5" t="str">
        <f>IFERROR(__xludf.DUMMYFUNCTION("""COMPUTED_VALUE"""),"--")</f>
        <v>--</v>
      </c>
      <c r="M208" s="5" t="str">
        <f>IFERROR(__xludf.DUMMYFUNCTION("""COMPUTED_VALUE"""),"--")</f>
        <v>--</v>
      </c>
      <c r="N208" s="5" t="str">
        <f>IFERROR(__xludf.DUMMYFUNCTION("""COMPUTED_VALUE"""),"--")</f>
        <v>--</v>
      </c>
      <c r="O208" s="5" t="str">
        <f>IFERROR(__xludf.DUMMYFUNCTION("""COMPUTED_VALUE"""),"--")</f>
        <v>--</v>
      </c>
      <c r="P208" s="5">
        <f>IFERROR(__xludf.DUMMYFUNCTION("""COMPUTED_VALUE"""),102.7)</f>
        <v>102.7</v>
      </c>
    </row>
    <row r="209">
      <c r="A209" s="19" t="str">
        <f>vlookup(B209,'Player Codes'!A:D,4,)</f>
        <v>0145</v>
      </c>
      <c r="B209" s="21" t="s">
        <v>545</v>
      </c>
      <c r="C209" s="5">
        <f>IFERROR(__xludf.DUMMYFUNCTION("""COMPUTED_VALUE"""),205.0)</f>
        <v>205</v>
      </c>
      <c r="D209" s="5" t="str">
        <f>IFERROR(__xludf.DUMMYFUNCTION("""COMPUTED_VALUE"""),"Tyler Allgeier")</f>
        <v>Tyler Allgeier</v>
      </c>
      <c r="E209" s="5" t="str">
        <f>IFERROR(__xludf.DUMMYFUNCTION("""COMPUTED_VALUE"""),"RB45")</f>
        <v>RB45</v>
      </c>
      <c r="F209" s="5" t="str">
        <f>IFERROR(__xludf.DUMMYFUNCTION("""COMPUTED_VALUE"""),"ATL")</f>
        <v>ATL</v>
      </c>
      <c r="G209" s="5">
        <f>IFERROR(__xludf.DUMMYFUNCTION("""COMPUTED_VALUE"""),11.0)</f>
        <v>11</v>
      </c>
      <c r="H209" s="5">
        <f>IFERROR(__xludf.DUMMYFUNCTION("""COMPUTED_VALUE"""),0.0)</f>
        <v>0</v>
      </c>
      <c r="I209" s="5">
        <f>IFERROR(__xludf.DUMMYFUNCTION("""COMPUTED_VALUE"""),0.0)</f>
        <v>0</v>
      </c>
      <c r="J209" s="5">
        <f>IFERROR(__xludf.DUMMYFUNCTION("""COMPUTED_VALUE"""),0.0)</f>
        <v>0</v>
      </c>
      <c r="K209" s="5">
        <f>IFERROR(__xludf.DUMMYFUNCTION("""COMPUTED_VALUE"""),625.0)</f>
        <v>625</v>
      </c>
      <c r="L209" s="5">
        <f>IFERROR(__xludf.DUMMYFUNCTION("""COMPUTED_VALUE"""),4.4)</f>
        <v>4.4</v>
      </c>
      <c r="M209" s="5">
        <f>IFERROR(__xludf.DUMMYFUNCTION("""COMPUTED_VALUE"""),9.0)</f>
        <v>9</v>
      </c>
      <c r="N209" s="5">
        <f>IFERROR(__xludf.DUMMYFUNCTION("""COMPUTED_VALUE"""),65.0)</f>
        <v>65</v>
      </c>
      <c r="O209" s="5">
        <f>IFERROR(__xludf.DUMMYFUNCTION("""COMPUTED_VALUE"""),0.3)</f>
        <v>0.3</v>
      </c>
      <c r="P209" s="5">
        <f>IFERROR(__xludf.DUMMYFUNCTION("""COMPUTED_VALUE"""),101.6)</f>
        <v>101.6</v>
      </c>
    </row>
    <row r="210">
      <c r="A210" s="19" t="str">
        <f>vlookup(B210,'Player Codes'!A:D,4,)</f>
        <v>0271</v>
      </c>
      <c r="B210" s="23" t="s">
        <v>2338</v>
      </c>
      <c r="C210" s="5">
        <f>IFERROR(__xludf.DUMMYFUNCTION("""COMPUTED_VALUE"""),206.0)</f>
        <v>206</v>
      </c>
      <c r="D210" s="5" t="str">
        <f>IFERROR(__xludf.DUMMYFUNCTION("""COMPUTED_VALUE"""),"Dalton Schultz")</f>
        <v>Dalton Schultz</v>
      </c>
      <c r="E210" s="5" t="str">
        <f>IFERROR(__xludf.DUMMYFUNCTION("""COMPUTED_VALUE"""),"TE13")</f>
        <v>TE13</v>
      </c>
      <c r="F210" s="5" t="str">
        <f>IFERROR(__xludf.DUMMYFUNCTION("""COMPUTED_VALUE"""),"HOU")</f>
        <v>HOU</v>
      </c>
      <c r="G210" s="5">
        <f>IFERROR(__xludf.DUMMYFUNCTION("""COMPUTED_VALUE"""),7.0)</f>
        <v>7</v>
      </c>
      <c r="H210" s="5">
        <f>IFERROR(__xludf.DUMMYFUNCTION("""COMPUTED_VALUE"""),0.0)</f>
        <v>0</v>
      </c>
      <c r="I210" s="5">
        <f>IFERROR(__xludf.DUMMYFUNCTION("""COMPUTED_VALUE"""),0.0)</f>
        <v>0</v>
      </c>
      <c r="J210" s="5">
        <f>IFERROR(__xludf.DUMMYFUNCTION("""COMPUTED_VALUE"""),0.0)</f>
        <v>0</v>
      </c>
      <c r="K210" s="5">
        <f>IFERROR(__xludf.DUMMYFUNCTION("""COMPUTED_VALUE"""),0.0)</f>
        <v>0</v>
      </c>
      <c r="L210" s="5">
        <f>IFERROR(__xludf.DUMMYFUNCTION("""COMPUTED_VALUE"""),0.0)</f>
        <v>0</v>
      </c>
      <c r="M210" s="5">
        <f>IFERROR(__xludf.DUMMYFUNCTION("""COMPUTED_VALUE"""),50.0)</f>
        <v>50</v>
      </c>
      <c r="N210" s="5">
        <f>IFERROR(__xludf.DUMMYFUNCTION("""COMPUTED_VALUE"""),564.0)</f>
        <v>564</v>
      </c>
      <c r="O210" s="5">
        <f>IFERROR(__xludf.DUMMYFUNCTION("""COMPUTED_VALUE"""),3.3)</f>
        <v>3.3</v>
      </c>
      <c r="P210" s="5">
        <f>IFERROR(__xludf.DUMMYFUNCTION("""COMPUTED_VALUE"""),101.2)</f>
        <v>101.2</v>
      </c>
    </row>
    <row r="211">
      <c r="A211" s="19" t="str">
        <f>vlookup(B211,'Player Codes'!A:D,4,)</f>
        <v>0004</v>
      </c>
      <c r="B211" s="21" t="s">
        <v>465</v>
      </c>
      <c r="C211" s="5">
        <f>IFERROR(__xludf.DUMMYFUNCTION("""COMPUTED_VALUE"""),206.0)</f>
        <v>206</v>
      </c>
      <c r="D211" s="5" t="str">
        <f>IFERROR(__xludf.DUMMYFUNCTION("""COMPUTED_VALUE"""),"Elijah Mitchell")</f>
        <v>Elijah Mitchell</v>
      </c>
      <c r="E211" s="5" t="str">
        <f>IFERROR(__xludf.DUMMYFUNCTION("""COMPUTED_VALUE"""),"RB46")</f>
        <v>RB46</v>
      </c>
      <c r="F211" s="5" t="str">
        <f>IFERROR(__xludf.DUMMYFUNCTION("""COMPUTED_VALUE"""),"SF")</f>
        <v>SF</v>
      </c>
      <c r="G211" s="5">
        <f>IFERROR(__xludf.DUMMYFUNCTION("""COMPUTED_VALUE"""),9.0)</f>
        <v>9</v>
      </c>
      <c r="H211" s="5">
        <f>IFERROR(__xludf.DUMMYFUNCTION("""COMPUTED_VALUE"""),0.0)</f>
        <v>0</v>
      </c>
      <c r="I211" s="5">
        <f>IFERROR(__xludf.DUMMYFUNCTION("""COMPUTED_VALUE"""),0.0)</f>
        <v>0</v>
      </c>
      <c r="J211" s="5">
        <f>IFERROR(__xludf.DUMMYFUNCTION("""COMPUTED_VALUE"""),0.0)</f>
        <v>0</v>
      </c>
      <c r="K211" s="5">
        <f>IFERROR(__xludf.DUMMYFUNCTION("""COMPUTED_VALUE"""),580.0)</f>
        <v>580</v>
      </c>
      <c r="L211" s="5">
        <f>IFERROR(__xludf.DUMMYFUNCTION("""COMPUTED_VALUE"""),4.3)</f>
        <v>4.3</v>
      </c>
      <c r="M211" s="5">
        <f>IFERROR(__xludf.DUMMYFUNCTION("""COMPUTED_VALUE"""),13.0)</f>
        <v>13</v>
      </c>
      <c r="N211" s="5">
        <f>IFERROR(__xludf.DUMMYFUNCTION("""COMPUTED_VALUE"""),93.0)</f>
        <v>93</v>
      </c>
      <c r="O211" s="5">
        <f>IFERROR(__xludf.DUMMYFUNCTION("""COMPUTED_VALUE"""),0.3)</f>
        <v>0.3</v>
      </c>
      <c r="P211" s="5">
        <f>IFERROR(__xludf.DUMMYFUNCTION("""COMPUTED_VALUE"""),101.2)</f>
        <v>101.2</v>
      </c>
    </row>
    <row r="212">
      <c r="A212" s="19" t="str">
        <f>vlookup(B212,'Player Codes'!A:D,4,)</f>
        <v>0155</v>
      </c>
      <c r="B212" s="21" t="s">
        <v>426</v>
      </c>
      <c r="C212" s="5">
        <f>IFERROR(__xludf.DUMMYFUNCTION("""COMPUTED_VALUE"""),208.0)</f>
        <v>208</v>
      </c>
      <c r="D212" s="5" t="str">
        <f>IFERROR(__xludf.DUMMYFUNCTION("""COMPUTED_VALUE"""),"Ezekiel Elliott")</f>
        <v>Ezekiel Elliott</v>
      </c>
      <c r="E212" s="5" t="str">
        <f>IFERROR(__xludf.DUMMYFUNCTION("""COMPUTED_VALUE"""),"RB47")</f>
        <v>RB47</v>
      </c>
      <c r="F212" s="5" t="str">
        <f>IFERROR(__xludf.DUMMYFUNCTION("""COMPUTED_VALUE"""),"NE")</f>
        <v>NE</v>
      </c>
      <c r="G212" s="5">
        <f>IFERROR(__xludf.DUMMYFUNCTION("""COMPUTED_VALUE"""),11.0)</f>
        <v>11</v>
      </c>
      <c r="H212" s="5">
        <f>IFERROR(__xludf.DUMMYFUNCTION("""COMPUTED_VALUE"""),0.0)</f>
        <v>0</v>
      </c>
      <c r="I212" s="5">
        <f>IFERROR(__xludf.DUMMYFUNCTION("""COMPUTED_VALUE"""),0.0)</f>
        <v>0</v>
      </c>
      <c r="J212" s="5">
        <f>IFERROR(__xludf.DUMMYFUNCTION("""COMPUTED_VALUE"""),0.0)</f>
        <v>0</v>
      </c>
      <c r="K212" s="5">
        <f>IFERROR(__xludf.DUMMYFUNCTION("""COMPUTED_VALUE"""),466.0)</f>
        <v>466</v>
      </c>
      <c r="L212" s="5">
        <f>IFERROR(__xludf.DUMMYFUNCTION("""COMPUTED_VALUE"""),4.7)</f>
        <v>4.7</v>
      </c>
      <c r="M212" s="5">
        <f>IFERROR(__xludf.DUMMYFUNCTION("""COMPUTED_VALUE"""),21.0)</f>
        <v>21</v>
      </c>
      <c r="N212" s="5">
        <f>IFERROR(__xludf.DUMMYFUNCTION("""COMPUTED_VALUE"""),139.0)</f>
        <v>139</v>
      </c>
      <c r="O212" s="5">
        <f>IFERROR(__xludf.DUMMYFUNCTION("""COMPUTED_VALUE"""),0.3)</f>
        <v>0.3</v>
      </c>
      <c r="P212" s="5">
        <f>IFERROR(__xludf.DUMMYFUNCTION("""COMPUTED_VALUE"""),100.8)</f>
        <v>100.8</v>
      </c>
    </row>
    <row r="213">
      <c r="A213" s="19" t="str">
        <f>vlookup(B213,'Player Codes'!A:D,4,)</f>
        <v>0185</v>
      </c>
      <c r="B213" s="21" t="s">
        <v>510</v>
      </c>
      <c r="C213" s="5">
        <f>IFERROR(__xludf.DUMMYFUNCTION("""COMPUTED_VALUE"""),209.0)</f>
        <v>209</v>
      </c>
      <c r="D213" s="5" t="str">
        <f>IFERROR(__xludf.DUMMYFUNCTION("""COMPUTED_VALUE"""),"Jameson Williams")</f>
        <v>Jameson Williams</v>
      </c>
      <c r="E213" s="5" t="str">
        <f>IFERROR(__xludf.DUMMYFUNCTION("""COMPUTED_VALUE"""),"WR62")</f>
        <v>WR62</v>
      </c>
      <c r="F213" s="5" t="str">
        <f>IFERROR(__xludf.DUMMYFUNCTION("""COMPUTED_VALUE"""),"DET")</f>
        <v>DET</v>
      </c>
      <c r="G213" s="5">
        <f>IFERROR(__xludf.DUMMYFUNCTION("""COMPUTED_VALUE"""),9.0)</f>
        <v>9</v>
      </c>
      <c r="H213" s="5">
        <f>IFERROR(__xludf.DUMMYFUNCTION("""COMPUTED_VALUE"""),0.0)</f>
        <v>0</v>
      </c>
      <c r="I213" s="5">
        <f>IFERROR(__xludf.DUMMYFUNCTION("""COMPUTED_VALUE"""),0.0)</f>
        <v>0</v>
      </c>
      <c r="J213" s="5">
        <f>IFERROR(__xludf.DUMMYFUNCTION("""COMPUTED_VALUE"""),0.0)</f>
        <v>0</v>
      </c>
      <c r="K213" s="5">
        <f>IFERROR(__xludf.DUMMYFUNCTION("""COMPUTED_VALUE"""),15.0)</f>
        <v>15</v>
      </c>
      <c r="L213" s="5">
        <f>IFERROR(__xludf.DUMMYFUNCTION("""COMPUTED_VALUE"""),0.1)</f>
        <v>0.1</v>
      </c>
      <c r="M213" s="5">
        <f>IFERROR(__xludf.DUMMYFUNCTION("""COMPUTED_VALUE"""),38.0)</f>
        <v>38</v>
      </c>
      <c r="N213" s="5">
        <f>IFERROR(__xludf.DUMMYFUNCTION("""COMPUTED_VALUE"""),576.0)</f>
        <v>576</v>
      </c>
      <c r="O213" s="5">
        <f>IFERROR(__xludf.DUMMYFUNCTION("""COMPUTED_VALUE"""),3.7)</f>
        <v>3.7</v>
      </c>
      <c r="P213" s="5">
        <f>IFERROR(__xludf.DUMMYFUNCTION("""COMPUTED_VALUE"""),100.6)</f>
        <v>100.6</v>
      </c>
    </row>
    <row r="214">
      <c r="A214" s="19" t="str">
        <f>vlookup(B214,'Player Codes'!A:D,4,)</f>
        <v>0212</v>
      </c>
      <c r="B214" s="23" t="s">
        <v>2339</v>
      </c>
      <c r="C214" s="5">
        <f>IFERROR(__xludf.DUMMYFUNCTION("""COMPUTED_VALUE"""),210.0)</f>
        <v>210</v>
      </c>
      <c r="D214" s="5" t="str">
        <f>IFERROR(__xludf.DUMMYFUNCTION("""COMPUTED_VALUE"""),"Tennessee Titans")</f>
        <v>Tennessee Titans</v>
      </c>
      <c r="E214" s="5" t="str">
        <f>IFERROR(__xludf.DUMMYFUNCTION("""COMPUTED_VALUE"""),"DST25")</f>
        <v>DST25</v>
      </c>
      <c r="F214" s="5" t="str">
        <f>IFERROR(__xludf.DUMMYFUNCTION("""COMPUTED_VALUE"""),"TEN")</f>
        <v>TEN</v>
      </c>
      <c r="G214" s="5">
        <f>IFERROR(__xludf.DUMMYFUNCTION("""COMPUTED_VALUE"""),7.0)</f>
        <v>7</v>
      </c>
      <c r="H214" s="5" t="str">
        <f>IFERROR(__xludf.DUMMYFUNCTION("""COMPUTED_VALUE"""),"--")</f>
        <v>--</v>
      </c>
      <c r="I214" s="5" t="str">
        <f>IFERROR(__xludf.DUMMYFUNCTION("""COMPUTED_VALUE"""),"--")</f>
        <v>--</v>
      </c>
      <c r="J214" s="5" t="str">
        <f>IFERROR(__xludf.DUMMYFUNCTION("""COMPUTED_VALUE"""),"--")</f>
        <v>--</v>
      </c>
      <c r="K214" s="5" t="str">
        <f>IFERROR(__xludf.DUMMYFUNCTION("""COMPUTED_VALUE"""),"--")</f>
        <v>--</v>
      </c>
      <c r="L214" s="5" t="str">
        <f>IFERROR(__xludf.DUMMYFUNCTION("""COMPUTED_VALUE"""),"--")</f>
        <v>--</v>
      </c>
      <c r="M214" s="5" t="str">
        <f>IFERROR(__xludf.DUMMYFUNCTION("""COMPUTED_VALUE"""),"--")</f>
        <v>--</v>
      </c>
      <c r="N214" s="5" t="str">
        <f>IFERROR(__xludf.DUMMYFUNCTION("""COMPUTED_VALUE"""),"--")</f>
        <v>--</v>
      </c>
      <c r="O214" s="5" t="str">
        <f>IFERROR(__xludf.DUMMYFUNCTION("""COMPUTED_VALUE"""),"--")</f>
        <v>--</v>
      </c>
      <c r="P214" s="5">
        <f>IFERROR(__xludf.DUMMYFUNCTION("""COMPUTED_VALUE"""),100.2)</f>
        <v>100.2</v>
      </c>
    </row>
    <row r="215">
      <c r="A215" s="19" t="str">
        <f>vlookup(B215,'Player Codes'!A:D,4,)</f>
        <v>0071</v>
      </c>
      <c r="B215" s="21" t="s">
        <v>768</v>
      </c>
      <c r="C215" s="5">
        <f>IFERROR(__xludf.DUMMYFUNCTION("""COMPUTED_VALUE"""),210.0)</f>
        <v>210</v>
      </c>
      <c r="D215" s="5" t="str">
        <f>IFERROR(__xludf.DUMMYFUNCTION("""COMPUTED_VALUE"""),"Adam Thielen")</f>
        <v>Adam Thielen</v>
      </c>
      <c r="E215" s="5" t="str">
        <f>IFERROR(__xludf.DUMMYFUNCTION("""COMPUTED_VALUE"""),"WR63")</f>
        <v>WR63</v>
      </c>
      <c r="F215" s="5" t="str">
        <f>IFERROR(__xludf.DUMMYFUNCTION("""COMPUTED_VALUE"""),"CAR")</f>
        <v>CAR</v>
      </c>
      <c r="G215" s="5">
        <f>IFERROR(__xludf.DUMMYFUNCTION("""COMPUTED_VALUE"""),7.0)</f>
        <v>7</v>
      </c>
      <c r="H215" s="5">
        <f>IFERROR(__xludf.DUMMYFUNCTION("""COMPUTED_VALUE"""),0.0)</f>
        <v>0</v>
      </c>
      <c r="I215" s="5">
        <f>IFERROR(__xludf.DUMMYFUNCTION("""COMPUTED_VALUE"""),0.0)</f>
        <v>0</v>
      </c>
      <c r="J215" s="5">
        <f>IFERROR(__xludf.DUMMYFUNCTION("""COMPUTED_VALUE"""),0.0)</f>
        <v>0</v>
      </c>
      <c r="K215" s="5">
        <f>IFERROR(__xludf.DUMMYFUNCTION("""COMPUTED_VALUE"""),0.0)</f>
        <v>0</v>
      </c>
      <c r="L215" s="5">
        <f>IFERROR(__xludf.DUMMYFUNCTION("""COMPUTED_VALUE"""),0.0)</f>
        <v>0</v>
      </c>
      <c r="M215" s="5">
        <f>IFERROR(__xludf.DUMMYFUNCTION("""COMPUTED_VALUE"""),45.0)</f>
        <v>45</v>
      </c>
      <c r="N215" s="5">
        <f>IFERROR(__xludf.DUMMYFUNCTION("""COMPUTED_VALUE"""),562.0)</f>
        <v>562</v>
      </c>
      <c r="O215" s="5">
        <f>IFERROR(__xludf.DUMMYFUNCTION("""COMPUTED_VALUE"""),3.6)</f>
        <v>3.6</v>
      </c>
      <c r="P215" s="5">
        <f>IFERROR(__xludf.DUMMYFUNCTION("""COMPUTED_VALUE"""),100.2)</f>
        <v>100.2</v>
      </c>
    </row>
    <row r="216">
      <c r="A216" s="19" t="str">
        <f>vlookup(B216,'Player Codes'!A:D,4,)</f>
        <v>0017</v>
      </c>
      <c r="B216" s="23" t="s">
        <v>2340</v>
      </c>
      <c r="C216" s="5">
        <f>IFERROR(__xludf.DUMMYFUNCTION("""COMPUTED_VALUE"""),212.0)</f>
        <v>212</v>
      </c>
      <c r="D216" s="5" t="str">
        <f>IFERROR(__xludf.DUMMYFUNCTION("""COMPUTED_VALUE"""),"Kenneth Gainwell")</f>
        <v>Kenneth Gainwell</v>
      </c>
      <c r="E216" s="5" t="str">
        <f>IFERROR(__xludf.DUMMYFUNCTION("""COMPUTED_VALUE"""),"RB48")</f>
        <v>RB48</v>
      </c>
      <c r="F216" s="5" t="str">
        <f>IFERROR(__xludf.DUMMYFUNCTION("""COMPUTED_VALUE"""),"PHI")</f>
        <v>PHI</v>
      </c>
      <c r="G216" s="5">
        <f>IFERROR(__xludf.DUMMYFUNCTION("""COMPUTED_VALUE"""),10.0)</f>
        <v>10</v>
      </c>
      <c r="H216" s="5">
        <f>IFERROR(__xludf.DUMMYFUNCTION("""COMPUTED_VALUE"""),0.0)</f>
        <v>0</v>
      </c>
      <c r="I216" s="5">
        <f>IFERROR(__xludf.DUMMYFUNCTION("""COMPUTED_VALUE"""),0.0)</f>
        <v>0</v>
      </c>
      <c r="J216" s="5">
        <f>IFERROR(__xludf.DUMMYFUNCTION("""COMPUTED_VALUE"""),0.0)</f>
        <v>0</v>
      </c>
      <c r="K216" s="5">
        <f>IFERROR(__xludf.DUMMYFUNCTION("""COMPUTED_VALUE"""),488.0)</f>
        <v>488</v>
      </c>
      <c r="L216" s="5">
        <f>IFERROR(__xludf.DUMMYFUNCTION("""COMPUTED_VALUE"""),4.3)</f>
        <v>4.3</v>
      </c>
      <c r="M216" s="5">
        <f>IFERROR(__xludf.DUMMYFUNCTION("""COMPUTED_VALUE"""),19.0)</f>
        <v>19</v>
      </c>
      <c r="N216" s="5">
        <f>IFERROR(__xludf.DUMMYFUNCTION("""COMPUTED_VALUE"""),136.0)</f>
        <v>136</v>
      </c>
      <c r="O216" s="5">
        <f>IFERROR(__xludf.DUMMYFUNCTION("""COMPUTED_VALUE"""),0.4)</f>
        <v>0.4</v>
      </c>
      <c r="P216" s="5">
        <f>IFERROR(__xludf.DUMMYFUNCTION("""COMPUTED_VALUE"""),100.0)</f>
        <v>100</v>
      </c>
    </row>
    <row r="217">
      <c r="A217" s="19" t="str">
        <f>vlookup(B217,'Player Codes'!A:D,4,)</f>
        <v>0109</v>
      </c>
      <c r="B217" s="21" t="s">
        <v>396</v>
      </c>
      <c r="C217" s="5">
        <f>IFERROR(__xludf.DUMMYFUNCTION("""COMPUTED_VALUE"""),213.0)</f>
        <v>213</v>
      </c>
      <c r="D217" s="5" t="str">
        <f>IFERROR(__xludf.DUMMYFUNCTION("""COMPUTED_VALUE"""),"Miami Dolphins")</f>
        <v>Miami Dolphins</v>
      </c>
      <c r="E217" s="5" t="str">
        <f>IFERROR(__xludf.DUMMYFUNCTION("""COMPUTED_VALUE"""),"DST26")</f>
        <v>DST26</v>
      </c>
      <c r="F217" s="5" t="str">
        <f>IFERROR(__xludf.DUMMYFUNCTION("""COMPUTED_VALUE"""),"MIA")</f>
        <v>MIA</v>
      </c>
      <c r="G217" s="5">
        <f>IFERROR(__xludf.DUMMYFUNCTION("""COMPUTED_VALUE"""),10.0)</f>
        <v>10</v>
      </c>
      <c r="H217" s="5" t="str">
        <f>IFERROR(__xludf.DUMMYFUNCTION("""COMPUTED_VALUE"""),"--")</f>
        <v>--</v>
      </c>
      <c r="I217" s="5" t="str">
        <f>IFERROR(__xludf.DUMMYFUNCTION("""COMPUTED_VALUE"""),"--")</f>
        <v>--</v>
      </c>
      <c r="J217" s="5" t="str">
        <f>IFERROR(__xludf.DUMMYFUNCTION("""COMPUTED_VALUE"""),"--")</f>
        <v>--</v>
      </c>
      <c r="K217" s="5" t="str">
        <f>IFERROR(__xludf.DUMMYFUNCTION("""COMPUTED_VALUE"""),"--")</f>
        <v>--</v>
      </c>
      <c r="L217" s="5" t="str">
        <f>IFERROR(__xludf.DUMMYFUNCTION("""COMPUTED_VALUE"""),"--")</f>
        <v>--</v>
      </c>
      <c r="M217" s="5" t="str">
        <f>IFERROR(__xludf.DUMMYFUNCTION("""COMPUTED_VALUE"""),"--")</f>
        <v>--</v>
      </c>
      <c r="N217" s="5" t="str">
        <f>IFERROR(__xludf.DUMMYFUNCTION("""COMPUTED_VALUE"""),"--")</f>
        <v>--</v>
      </c>
      <c r="O217" s="5" t="str">
        <f>IFERROR(__xludf.DUMMYFUNCTION("""COMPUTED_VALUE"""),"--")</f>
        <v>--</v>
      </c>
      <c r="P217" s="5">
        <f>IFERROR(__xludf.DUMMYFUNCTION("""COMPUTED_VALUE"""),99.8)</f>
        <v>99.8</v>
      </c>
    </row>
    <row r="218">
      <c r="A218" s="19" t="str">
        <f>vlookup(B218,'Player Codes'!A:D,4,)</f>
        <v>0242</v>
      </c>
      <c r="B218" s="21" t="s">
        <v>400</v>
      </c>
      <c r="C218" s="5">
        <f>IFERROR(__xludf.DUMMYFUNCTION("""COMPUTED_VALUE"""),214.0)</f>
        <v>214</v>
      </c>
      <c r="D218" s="5" t="str">
        <f>IFERROR(__xludf.DUMMYFUNCTION("""COMPUTED_VALUE"""),"Dalton Kincaid")</f>
        <v>Dalton Kincaid</v>
      </c>
      <c r="E218" s="5" t="str">
        <f>IFERROR(__xludf.DUMMYFUNCTION("""COMPUTED_VALUE"""),"TE14")</f>
        <v>TE14</v>
      </c>
      <c r="F218" s="5" t="str">
        <f>IFERROR(__xludf.DUMMYFUNCTION("""COMPUTED_VALUE"""),"BUF")</f>
        <v>BUF</v>
      </c>
      <c r="G218" s="5">
        <f>IFERROR(__xludf.DUMMYFUNCTION("""COMPUTED_VALUE"""),13.0)</f>
        <v>13</v>
      </c>
      <c r="H218" s="5">
        <f>IFERROR(__xludf.DUMMYFUNCTION("""COMPUTED_VALUE"""),0.0)</f>
        <v>0</v>
      </c>
      <c r="I218" s="5">
        <f>IFERROR(__xludf.DUMMYFUNCTION("""COMPUTED_VALUE"""),0.0)</f>
        <v>0</v>
      </c>
      <c r="J218" s="5">
        <f>IFERROR(__xludf.DUMMYFUNCTION("""COMPUTED_VALUE"""),0.0)</f>
        <v>0</v>
      </c>
      <c r="K218" s="5">
        <f>IFERROR(__xludf.DUMMYFUNCTION("""COMPUTED_VALUE"""),0.0)</f>
        <v>0</v>
      </c>
      <c r="L218" s="5">
        <f>IFERROR(__xludf.DUMMYFUNCTION("""COMPUTED_VALUE"""),0.0)</f>
        <v>0</v>
      </c>
      <c r="M218" s="5">
        <f>IFERROR(__xludf.DUMMYFUNCTION("""COMPUTED_VALUE"""),45.0)</f>
        <v>45</v>
      </c>
      <c r="N218" s="5">
        <f>IFERROR(__xludf.DUMMYFUNCTION("""COMPUTED_VALUE"""),516.0)</f>
        <v>516</v>
      </c>
      <c r="O218" s="5">
        <f>IFERROR(__xludf.DUMMYFUNCTION("""COMPUTED_VALUE"""),4.3)</f>
        <v>4.3</v>
      </c>
      <c r="P218" s="5">
        <f>IFERROR(__xludf.DUMMYFUNCTION("""COMPUTED_VALUE"""),99.7)</f>
        <v>99.7</v>
      </c>
    </row>
    <row r="219">
      <c r="A219" s="19" t="str">
        <f>vlookup(B219,'Player Codes'!A:D,4,)</f>
        <v>0066</v>
      </c>
      <c r="B219" s="21" t="s">
        <v>482</v>
      </c>
      <c r="C219" s="5">
        <f>IFERROR(__xludf.DUMMYFUNCTION("""COMPUTED_VALUE"""),215.0)</f>
        <v>215</v>
      </c>
      <c r="D219" s="5" t="str">
        <f>IFERROR(__xludf.DUMMYFUNCTION("""COMPUTED_VALUE"""),"Atlanta Falcons")</f>
        <v>Atlanta Falcons</v>
      </c>
      <c r="E219" s="5" t="str">
        <f>IFERROR(__xludf.DUMMYFUNCTION("""COMPUTED_VALUE"""),"DST27")</f>
        <v>DST27</v>
      </c>
      <c r="F219" s="5" t="str">
        <f>IFERROR(__xludf.DUMMYFUNCTION("""COMPUTED_VALUE"""),"ATL")</f>
        <v>ATL</v>
      </c>
      <c r="G219" s="5">
        <f>IFERROR(__xludf.DUMMYFUNCTION("""COMPUTED_VALUE"""),11.0)</f>
        <v>11</v>
      </c>
      <c r="H219" s="5" t="str">
        <f>IFERROR(__xludf.DUMMYFUNCTION("""COMPUTED_VALUE"""),"--")</f>
        <v>--</v>
      </c>
      <c r="I219" s="5" t="str">
        <f>IFERROR(__xludf.DUMMYFUNCTION("""COMPUTED_VALUE"""),"--")</f>
        <v>--</v>
      </c>
      <c r="J219" s="5" t="str">
        <f>IFERROR(__xludf.DUMMYFUNCTION("""COMPUTED_VALUE"""),"--")</f>
        <v>--</v>
      </c>
      <c r="K219" s="5" t="str">
        <f>IFERROR(__xludf.DUMMYFUNCTION("""COMPUTED_VALUE"""),"--")</f>
        <v>--</v>
      </c>
      <c r="L219" s="5" t="str">
        <f>IFERROR(__xludf.DUMMYFUNCTION("""COMPUTED_VALUE"""),"--")</f>
        <v>--</v>
      </c>
      <c r="M219" s="5" t="str">
        <f>IFERROR(__xludf.DUMMYFUNCTION("""COMPUTED_VALUE"""),"--")</f>
        <v>--</v>
      </c>
      <c r="N219" s="5" t="str">
        <f>IFERROR(__xludf.DUMMYFUNCTION("""COMPUTED_VALUE"""),"--")</f>
        <v>--</v>
      </c>
      <c r="O219" s="5" t="str">
        <f>IFERROR(__xludf.DUMMYFUNCTION("""COMPUTED_VALUE"""),"--")</f>
        <v>--</v>
      </c>
      <c r="P219" s="5">
        <f>IFERROR(__xludf.DUMMYFUNCTION("""COMPUTED_VALUE"""),99.3)</f>
        <v>99.3</v>
      </c>
    </row>
    <row r="220">
      <c r="A220" s="19" t="str">
        <f>vlookup(B220,'Player Codes'!A:D,4,)</f>
        <v>0244</v>
      </c>
      <c r="B220" s="21" t="s">
        <v>652</v>
      </c>
      <c r="C220" s="5">
        <f>IFERROR(__xludf.DUMMYFUNCTION("""COMPUTED_VALUE"""),216.0)</f>
        <v>216</v>
      </c>
      <c r="D220" s="5" t="str">
        <f>IFERROR(__xludf.DUMMYFUNCTION("""COMPUTED_VALUE"""),"Rashaad Penny")</f>
        <v>Rashaad Penny</v>
      </c>
      <c r="E220" s="5" t="str">
        <f>IFERROR(__xludf.DUMMYFUNCTION("""COMPUTED_VALUE"""),"RB49")</f>
        <v>RB49</v>
      </c>
      <c r="F220" s="5" t="str">
        <f>IFERROR(__xludf.DUMMYFUNCTION("""COMPUTED_VALUE"""),"PHI")</f>
        <v>PHI</v>
      </c>
      <c r="G220" s="5">
        <f>IFERROR(__xludf.DUMMYFUNCTION("""COMPUTED_VALUE"""),10.0)</f>
        <v>10</v>
      </c>
      <c r="H220" s="5">
        <f>IFERROR(__xludf.DUMMYFUNCTION("""COMPUTED_VALUE"""),0.0)</f>
        <v>0</v>
      </c>
      <c r="I220" s="5">
        <f>IFERROR(__xludf.DUMMYFUNCTION("""COMPUTED_VALUE"""),0.0)</f>
        <v>0</v>
      </c>
      <c r="J220" s="5">
        <f>IFERROR(__xludf.DUMMYFUNCTION("""COMPUTED_VALUE"""),0.0)</f>
        <v>0</v>
      </c>
      <c r="K220" s="5">
        <f>IFERROR(__xludf.DUMMYFUNCTION("""COMPUTED_VALUE"""),501.0)</f>
        <v>501</v>
      </c>
      <c r="L220" s="5">
        <f>IFERROR(__xludf.DUMMYFUNCTION("""COMPUTED_VALUE"""),6.1)</f>
        <v>6.1</v>
      </c>
      <c r="M220" s="5">
        <f>IFERROR(__xludf.DUMMYFUNCTION("""COMPUTED_VALUE"""),9.0)</f>
        <v>9</v>
      </c>
      <c r="N220" s="5">
        <f>IFERROR(__xludf.DUMMYFUNCTION("""COMPUTED_VALUE"""),64.0)</f>
        <v>64</v>
      </c>
      <c r="O220" s="5">
        <f>IFERROR(__xludf.DUMMYFUNCTION("""COMPUTED_VALUE"""),0.2)</f>
        <v>0.2</v>
      </c>
      <c r="P220" s="5">
        <f>IFERROR(__xludf.DUMMYFUNCTION("""COMPUTED_VALUE"""),98.9)</f>
        <v>98.9</v>
      </c>
    </row>
    <row r="221">
      <c r="A221" s="19" t="str">
        <f>vlookup(B221,'Player Codes'!A:D,4,)</f>
        <v>0177</v>
      </c>
      <c r="B221" s="21" t="s">
        <v>536</v>
      </c>
      <c r="C221" s="5">
        <f>IFERROR(__xludf.DUMMYFUNCTION("""COMPUTED_VALUE"""),217.0)</f>
        <v>217</v>
      </c>
      <c r="D221" s="5" t="str">
        <f>IFERROR(__xludf.DUMMYFUNCTION("""COMPUTED_VALUE"""),"Curtis Samuel")</f>
        <v>Curtis Samuel</v>
      </c>
      <c r="E221" s="5" t="str">
        <f>IFERROR(__xludf.DUMMYFUNCTION("""COMPUTED_VALUE"""),"WR64")</f>
        <v>WR64</v>
      </c>
      <c r="F221" s="5" t="str">
        <f>IFERROR(__xludf.DUMMYFUNCTION("""COMPUTED_VALUE"""),"WAS")</f>
        <v>WAS</v>
      </c>
      <c r="G221" s="5">
        <f>IFERROR(__xludf.DUMMYFUNCTION("""COMPUTED_VALUE"""),14.0)</f>
        <v>14</v>
      </c>
      <c r="H221" s="5">
        <f>IFERROR(__xludf.DUMMYFUNCTION("""COMPUTED_VALUE"""),0.0)</f>
        <v>0</v>
      </c>
      <c r="I221" s="5">
        <f>IFERROR(__xludf.DUMMYFUNCTION("""COMPUTED_VALUE"""),0.0)</f>
        <v>0</v>
      </c>
      <c r="J221" s="5">
        <f>IFERROR(__xludf.DUMMYFUNCTION("""COMPUTED_VALUE"""),0.0)</f>
        <v>0</v>
      </c>
      <c r="K221" s="5">
        <f>IFERROR(__xludf.DUMMYFUNCTION("""COMPUTED_VALUE"""),138.0)</f>
        <v>138</v>
      </c>
      <c r="L221" s="5">
        <f>IFERROR(__xludf.DUMMYFUNCTION("""COMPUTED_VALUE"""),0.7)</f>
        <v>0.7</v>
      </c>
      <c r="M221" s="5">
        <f>IFERROR(__xludf.DUMMYFUNCTION("""COMPUTED_VALUE"""),36.0)</f>
        <v>36</v>
      </c>
      <c r="N221" s="5">
        <f>IFERROR(__xludf.DUMMYFUNCTION("""COMPUTED_VALUE"""),424.0)</f>
        <v>424</v>
      </c>
      <c r="O221" s="5">
        <f>IFERROR(__xludf.DUMMYFUNCTION("""COMPUTED_VALUE"""),3.4)</f>
        <v>3.4</v>
      </c>
      <c r="P221" s="5">
        <f>IFERROR(__xludf.DUMMYFUNCTION("""COMPUTED_VALUE"""),98.6)</f>
        <v>98.6</v>
      </c>
    </row>
    <row r="222">
      <c r="A222" s="19" t="str">
        <f>vlookup(B222,'Player Codes'!A:D,4,)</f>
        <v>0288</v>
      </c>
      <c r="B222" s="21" t="s">
        <v>590</v>
      </c>
      <c r="C222" s="5">
        <f>IFERROR(__xludf.DUMMYFUNCTION("""COMPUTED_VALUE"""),218.0)</f>
        <v>218</v>
      </c>
      <c r="D222" s="5" t="str">
        <f>IFERROR(__xludf.DUMMYFUNCTION("""COMPUTED_VALUE"""),"Rashid Shaheed")</f>
        <v>Rashid Shaheed</v>
      </c>
      <c r="E222" s="5" t="str">
        <f>IFERROR(__xludf.DUMMYFUNCTION("""COMPUTED_VALUE"""),"WR65")</f>
        <v>WR65</v>
      </c>
      <c r="F222" s="5" t="str">
        <f>IFERROR(__xludf.DUMMYFUNCTION("""COMPUTED_VALUE"""),"NO")</f>
        <v>NO</v>
      </c>
      <c r="G222" s="5">
        <f>IFERROR(__xludf.DUMMYFUNCTION("""COMPUTED_VALUE"""),11.0)</f>
        <v>11</v>
      </c>
      <c r="H222" s="5">
        <f>IFERROR(__xludf.DUMMYFUNCTION("""COMPUTED_VALUE"""),0.0)</f>
        <v>0</v>
      </c>
      <c r="I222" s="5">
        <f>IFERROR(__xludf.DUMMYFUNCTION("""COMPUTED_VALUE"""),0.0)</f>
        <v>0</v>
      </c>
      <c r="J222" s="5">
        <f>IFERROR(__xludf.DUMMYFUNCTION("""COMPUTED_VALUE"""),0.0)</f>
        <v>0</v>
      </c>
      <c r="K222" s="5">
        <f>IFERROR(__xludf.DUMMYFUNCTION("""COMPUTED_VALUE"""),39.0)</f>
        <v>39</v>
      </c>
      <c r="L222" s="5">
        <f>IFERROR(__xludf.DUMMYFUNCTION("""COMPUTED_VALUE"""),0.3)</f>
        <v>0.3</v>
      </c>
      <c r="M222" s="5">
        <f>IFERROR(__xludf.DUMMYFUNCTION("""COMPUTED_VALUE"""),41.0)</f>
        <v>41</v>
      </c>
      <c r="N222" s="5">
        <f>IFERROR(__xludf.DUMMYFUNCTION("""COMPUTED_VALUE"""),550.0)</f>
        <v>550</v>
      </c>
      <c r="O222" s="5">
        <f>IFERROR(__xludf.DUMMYFUNCTION("""COMPUTED_VALUE"""),2.9)</f>
        <v>2.9</v>
      </c>
      <c r="P222" s="5">
        <f>IFERROR(__xludf.DUMMYFUNCTION("""COMPUTED_VALUE"""),98.5)</f>
        <v>98.5</v>
      </c>
    </row>
    <row r="223">
      <c r="A223" s="19" t="str">
        <f>vlookup(B223,'Player Codes'!A:D,4,)</f>
        <v>0243</v>
      </c>
      <c r="B223" s="21" t="s">
        <v>660</v>
      </c>
      <c r="C223" s="5">
        <f>IFERROR(__xludf.DUMMYFUNCTION("""COMPUTED_VALUE"""),219.0)</f>
        <v>219</v>
      </c>
      <c r="D223" s="5" t="str">
        <f>IFERROR(__xludf.DUMMYFUNCTION("""COMPUTED_VALUE"""),"K.J. Osborn")</f>
        <v>K.J. Osborn</v>
      </c>
      <c r="E223" s="5" t="str">
        <f>IFERROR(__xludf.DUMMYFUNCTION("""COMPUTED_VALUE"""),"WR66")</f>
        <v>WR66</v>
      </c>
      <c r="F223" s="5" t="str">
        <f>IFERROR(__xludf.DUMMYFUNCTION("""COMPUTED_VALUE"""),"MIN")</f>
        <v>MIN</v>
      </c>
      <c r="G223" s="5">
        <f>IFERROR(__xludf.DUMMYFUNCTION("""COMPUTED_VALUE"""),13.0)</f>
        <v>13</v>
      </c>
      <c r="H223" s="5">
        <f>IFERROR(__xludf.DUMMYFUNCTION("""COMPUTED_VALUE"""),0.0)</f>
        <v>0</v>
      </c>
      <c r="I223" s="5">
        <f>IFERROR(__xludf.DUMMYFUNCTION("""COMPUTED_VALUE"""),0.0)</f>
        <v>0</v>
      </c>
      <c r="J223" s="5">
        <f>IFERROR(__xludf.DUMMYFUNCTION("""COMPUTED_VALUE"""),0.0)</f>
        <v>0</v>
      </c>
      <c r="K223" s="5">
        <f>IFERROR(__xludf.DUMMYFUNCTION("""COMPUTED_VALUE"""),5.0)</f>
        <v>5</v>
      </c>
      <c r="L223" s="5">
        <f>IFERROR(__xludf.DUMMYFUNCTION("""COMPUTED_VALUE"""),0.0)</f>
        <v>0</v>
      </c>
      <c r="M223" s="5">
        <f>IFERROR(__xludf.DUMMYFUNCTION("""COMPUTED_VALUE"""),49.0)</f>
        <v>49</v>
      </c>
      <c r="N223" s="5">
        <f>IFERROR(__xludf.DUMMYFUNCTION("""COMPUTED_VALUE"""),517.0)</f>
        <v>517</v>
      </c>
      <c r="O223" s="5">
        <f>IFERROR(__xludf.DUMMYFUNCTION("""COMPUTED_VALUE"""),3.6)</f>
        <v>3.6</v>
      </c>
      <c r="P223" s="5">
        <f>IFERROR(__xludf.DUMMYFUNCTION("""COMPUTED_VALUE"""),98.2)</f>
        <v>98.2</v>
      </c>
    </row>
    <row r="224">
      <c r="A224" s="19" t="str">
        <f>vlookup(B224,'Player Codes'!A:D,4,)</f>
        <v>0093</v>
      </c>
      <c r="B224" s="21" t="s">
        <v>494</v>
      </c>
      <c r="C224" s="5">
        <f>IFERROR(__xludf.DUMMYFUNCTION("""COMPUTED_VALUE"""),220.0)</f>
        <v>220</v>
      </c>
      <c r="D224" s="5" t="str">
        <f>IFERROR(__xludf.DUMMYFUNCTION("""COMPUTED_VALUE"""),"Rashee Rice")</f>
        <v>Rashee Rice</v>
      </c>
      <c r="E224" s="5" t="str">
        <f>IFERROR(__xludf.DUMMYFUNCTION("""COMPUTED_VALUE"""),"WR67")</f>
        <v>WR67</v>
      </c>
      <c r="F224" s="5" t="str">
        <f>IFERROR(__xludf.DUMMYFUNCTION("""COMPUTED_VALUE"""),"KC")</f>
        <v>KC</v>
      </c>
      <c r="G224" s="5">
        <f>IFERROR(__xludf.DUMMYFUNCTION("""COMPUTED_VALUE"""),10.0)</f>
        <v>10</v>
      </c>
      <c r="H224" s="5">
        <f>IFERROR(__xludf.DUMMYFUNCTION("""COMPUTED_VALUE"""),0.0)</f>
        <v>0</v>
      </c>
      <c r="I224" s="5">
        <f>IFERROR(__xludf.DUMMYFUNCTION("""COMPUTED_VALUE"""),0.0)</f>
        <v>0</v>
      </c>
      <c r="J224" s="5">
        <f>IFERROR(__xludf.DUMMYFUNCTION("""COMPUTED_VALUE"""),0.0)</f>
        <v>0</v>
      </c>
      <c r="K224" s="5">
        <f>IFERROR(__xludf.DUMMYFUNCTION("""COMPUTED_VALUE"""),17.0)</f>
        <v>17</v>
      </c>
      <c r="L224" s="5">
        <f>IFERROR(__xludf.DUMMYFUNCTION("""COMPUTED_VALUE"""),0.2)</f>
        <v>0.2</v>
      </c>
      <c r="M224" s="5">
        <f>IFERROR(__xludf.DUMMYFUNCTION("""COMPUTED_VALUE"""),39.0)</f>
        <v>39</v>
      </c>
      <c r="N224" s="5">
        <f>IFERROR(__xludf.DUMMYFUNCTION("""COMPUTED_VALUE"""),520.0)</f>
        <v>520</v>
      </c>
      <c r="O224" s="5">
        <f>IFERROR(__xludf.DUMMYFUNCTION("""COMPUTED_VALUE"""),3.9)</f>
        <v>3.9</v>
      </c>
      <c r="P224" s="5">
        <f>IFERROR(__xludf.DUMMYFUNCTION("""COMPUTED_VALUE"""),97.7)</f>
        <v>97.7</v>
      </c>
    </row>
    <row r="225">
      <c r="A225" s="19" t="str">
        <f>vlookup(B225,'Player Codes'!A:D,4,)</f>
        <v>0095</v>
      </c>
      <c r="B225" s="21" t="s">
        <v>500</v>
      </c>
      <c r="C225" s="5">
        <f>IFERROR(__xludf.DUMMYFUNCTION("""COMPUTED_VALUE"""),221.0)</f>
        <v>221</v>
      </c>
      <c r="D225" s="5" t="str">
        <f>IFERROR(__xludf.DUMMYFUNCTION("""COMPUTED_VALUE"""),"DeVante Parker")</f>
        <v>DeVante Parker</v>
      </c>
      <c r="E225" s="5" t="str">
        <f>IFERROR(__xludf.DUMMYFUNCTION("""COMPUTED_VALUE"""),"WR68")</f>
        <v>WR68</v>
      </c>
      <c r="F225" s="5" t="str">
        <f>IFERROR(__xludf.DUMMYFUNCTION("""COMPUTED_VALUE"""),"NE")</f>
        <v>NE</v>
      </c>
      <c r="G225" s="5">
        <f>IFERROR(__xludf.DUMMYFUNCTION("""COMPUTED_VALUE"""),11.0)</f>
        <v>11</v>
      </c>
      <c r="H225" s="5">
        <f>IFERROR(__xludf.DUMMYFUNCTION("""COMPUTED_VALUE"""),0.0)</f>
        <v>0</v>
      </c>
      <c r="I225" s="5">
        <f>IFERROR(__xludf.DUMMYFUNCTION("""COMPUTED_VALUE"""),0.0)</f>
        <v>0</v>
      </c>
      <c r="J225" s="5">
        <f>IFERROR(__xludf.DUMMYFUNCTION("""COMPUTED_VALUE"""),0.0)</f>
        <v>0</v>
      </c>
      <c r="K225" s="5">
        <f>IFERROR(__xludf.DUMMYFUNCTION("""COMPUTED_VALUE"""),0.0)</f>
        <v>0</v>
      </c>
      <c r="L225" s="5">
        <f>IFERROR(__xludf.DUMMYFUNCTION("""COMPUTED_VALUE"""),0.0)</f>
        <v>0</v>
      </c>
      <c r="M225" s="5">
        <f>IFERROR(__xludf.DUMMYFUNCTION("""COMPUTED_VALUE"""),42.0)</f>
        <v>42</v>
      </c>
      <c r="N225" s="5">
        <f>IFERROR(__xludf.DUMMYFUNCTION("""COMPUTED_VALUE"""),564.0)</f>
        <v>564</v>
      </c>
      <c r="O225" s="5">
        <f>IFERROR(__xludf.DUMMYFUNCTION("""COMPUTED_VALUE"""),3.3)</f>
        <v>3.3</v>
      </c>
      <c r="P225" s="5">
        <f>IFERROR(__xludf.DUMMYFUNCTION("""COMPUTED_VALUE"""),97.3)</f>
        <v>97.3</v>
      </c>
    </row>
    <row r="226">
      <c r="A226" s="19" t="str">
        <f>vlookup(B226,'Player Codes'!A:D,4,)</f>
        <v>0061</v>
      </c>
      <c r="B226" s="21" t="s">
        <v>821</v>
      </c>
      <c r="C226" s="5">
        <f>IFERROR(__xludf.DUMMYFUNCTION("""COMPUTED_VALUE"""),222.0)</f>
        <v>222</v>
      </c>
      <c r="D226" s="5" t="str">
        <f>IFERROR(__xludf.DUMMYFUNCTION("""COMPUTED_VALUE"""),"Cole Kmet")</f>
        <v>Cole Kmet</v>
      </c>
      <c r="E226" s="5" t="str">
        <f>IFERROR(__xludf.DUMMYFUNCTION("""COMPUTED_VALUE"""),"TE15")</f>
        <v>TE15</v>
      </c>
      <c r="F226" s="5" t="str">
        <f>IFERROR(__xludf.DUMMYFUNCTION("""COMPUTED_VALUE"""),"CHI")</f>
        <v>CHI</v>
      </c>
      <c r="G226" s="5">
        <f>IFERROR(__xludf.DUMMYFUNCTION("""COMPUTED_VALUE"""),13.0)</f>
        <v>13</v>
      </c>
      <c r="H226" s="5">
        <f>IFERROR(__xludf.DUMMYFUNCTION("""COMPUTED_VALUE"""),0.0)</f>
        <v>0</v>
      </c>
      <c r="I226" s="5">
        <f>IFERROR(__xludf.DUMMYFUNCTION("""COMPUTED_VALUE"""),0.0)</f>
        <v>0</v>
      </c>
      <c r="J226" s="5">
        <f>IFERROR(__xludf.DUMMYFUNCTION("""COMPUTED_VALUE"""),0.0)</f>
        <v>0</v>
      </c>
      <c r="K226" s="5">
        <f>IFERROR(__xludf.DUMMYFUNCTION("""COMPUTED_VALUE"""),6.0)</f>
        <v>6</v>
      </c>
      <c r="L226" s="5">
        <f>IFERROR(__xludf.DUMMYFUNCTION("""COMPUTED_VALUE"""),0.0)</f>
        <v>0</v>
      </c>
      <c r="M226" s="5">
        <f>IFERROR(__xludf.DUMMYFUNCTION("""COMPUTED_VALUE"""),46.0)</f>
        <v>46</v>
      </c>
      <c r="N226" s="5">
        <f>IFERROR(__xludf.DUMMYFUNCTION("""COMPUTED_VALUE"""),505.0)</f>
        <v>505</v>
      </c>
      <c r="O226" s="5">
        <f>IFERROR(__xludf.DUMMYFUNCTION("""COMPUTED_VALUE"""),3.9)</f>
        <v>3.9</v>
      </c>
      <c r="P226" s="5">
        <f>IFERROR(__xludf.DUMMYFUNCTION("""COMPUTED_VALUE"""),97.2)</f>
        <v>97.2</v>
      </c>
    </row>
    <row r="227">
      <c r="A227" s="19" t="str">
        <f>vlookup(B227,'Player Codes'!A:D,4,)</f>
        <v>0256</v>
      </c>
      <c r="B227" s="21" t="s">
        <v>732</v>
      </c>
      <c r="C227" s="5">
        <f>IFERROR(__xludf.DUMMYFUNCTION("""COMPUTED_VALUE"""),223.0)</f>
        <v>223</v>
      </c>
      <c r="D227" s="5" t="str">
        <f>IFERROR(__xludf.DUMMYFUNCTION("""COMPUTED_VALUE"""),"Sam LaPorta")</f>
        <v>Sam LaPorta</v>
      </c>
      <c r="E227" s="5" t="str">
        <f>IFERROR(__xludf.DUMMYFUNCTION("""COMPUTED_VALUE"""),"TE16")</f>
        <v>TE16</v>
      </c>
      <c r="F227" s="5" t="str">
        <f>IFERROR(__xludf.DUMMYFUNCTION("""COMPUTED_VALUE"""),"DET")</f>
        <v>DET</v>
      </c>
      <c r="G227" s="5">
        <f>IFERROR(__xludf.DUMMYFUNCTION("""COMPUTED_VALUE"""),9.0)</f>
        <v>9</v>
      </c>
      <c r="H227" s="5">
        <f>IFERROR(__xludf.DUMMYFUNCTION("""COMPUTED_VALUE"""),0.0)</f>
        <v>0</v>
      </c>
      <c r="I227" s="5">
        <f>IFERROR(__xludf.DUMMYFUNCTION("""COMPUTED_VALUE"""),0.0)</f>
        <v>0</v>
      </c>
      <c r="J227" s="5">
        <f>IFERROR(__xludf.DUMMYFUNCTION("""COMPUTED_VALUE"""),0.0)</f>
        <v>0</v>
      </c>
      <c r="K227" s="5">
        <f>IFERROR(__xludf.DUMMYFUNCTION("""COMPUTED_VALUE"""),6.0)</f>
        <v>6</v>
      </c>
      <c r="L227" s="5">
        <f>IFERROR(__xludf.DUMMYFUNCTION("""COMPUTED_VALUE"""),0.1)</f>
        <v>0.1</v>
      </c>
      <c r="M227" s="5">
        <f>IFERROR(__xludf.DUMMYFUNCTION("""COMPUTED_VALUE"""),46.0)</f>
        <v>46</v>
      </c>
      <c r="N227" s="5">
        <f>IFERROR(__xludf.DUMMYFUNCTION("""COMPUTED_VALUE"""),522.0)</f>
        <v>522</v>
      </c>
      <c r="O227" s="5">
        <f>IFERROR(__xludf.DUMMYFUNCTION("""COMPUTED_VALUE"""),3.4)</f>
        <v>3.4</v>
      </c>
      <c r="P227" s="5">
        <f>IFERROR(__xludf.DUMMYFUNCTION("""COMPUTED_VALUE"""),96.8)</f>
        <v>96.8</v>
      </c>
    </row>
    <row r="228">
      <c r="A228" s="19" t="str">
        <f>vlookup(B228,'Player Codes'!A:D,4,)</f>
        <v>0251</v>
      </c>
      <c r="B228" s="21" t="s">
        <v>551</v>
      </c>
      <c r="C228" s="5">
        <f>IFERROR(__xludf.DUMMYFUNCTION("""COMPUTED_VALUE"""),224.0)</f>
        <v>224</v>
      </c>
      <c r="D228" s="5" t="str">
        <f>IFERROR(__xludf.DUMMYFUNCTION("""COMPUTED_VALUE"""),"Rondale Moore")</f>
        <v>Rondale Moore</v>
      </c>
      <c r="E228" s="5" t="str">
        <f>IFERROR(__xludf.DUMMYFUNCTION("""COMPUTED_VALUE"""),"WR69")</f>
        <v>WR69</v>
      </c>
      <c r="F228" s="5" t="str">
        <f>IFERROR(__xludf.DUMMYFUNCTION("""COMPUTED_VALUE"""),"ARI")</f>
        <v>ARI</v>
      </c>
      <c r="G228" s="5">
        <f>IFERROR(__xludf.DUMMYFUNCTION("""COMPUTED_VALUE"""),14.0)</f>
        <v>14</v>
      </c>
      <c r="H228" s="5">
        <f>IFERROR(__xludf.DUMMYFUNCTION("""COMPUTED_VALUE"""),0.0)</f>
        <v>0</v>
      </c>
      <c r="I228" s="5">
        <f>IFERROR(__xludf.DUMMYFUNCTION("""COMPUTED_VALUE"""),0.0)</f>
        <v>0</v>
      </c>
      <c r="J228" s="5">
        <f>IFERROR(__xludf.DUMMYFUNCTION("""COMPUTED_VALUE"""),0.0)</f>
        <v>0</v>
      </c>
      <c r="K228" s="5">
        <f>IFERROR(__xludf.DUMMYFUNCTION("""COMPUTED_VALUE"""),21.0)</f>
        <v>21</v>
      </c>
      <c r="L228" s="5">
        <f>IFERROR(__xludf.DUMMYFUNCTION("""COMPUTED_VALUE"""),0.1)</f>
        <v>0.1</v>
      </c>
      <c r="M228" s="5">
        <f>IFERROR(__xludf.DUMMYFUNCTION("""COMPUTED_VALUE"""),53.0)</f>
        <v>53</v>
      </c>
      <c r="N228" s="5">
        <f>IFERROR(__xludf.DUMMYFUNCTION("""COMPUTED_VALUE"""),539.0)</f>
        <v>539</v>
      </c>
      <c r="O228" s="5">
        <f>IFERROR(__xludf.DUMMYFUNCTION("""COMPUTED_VALUE"""),2.2)</f>
        <v>2.2</v>
      </c>
      <c r="P228" s="5">
        <f>IFERROR(__xludf.DUMMYFUNCTION("""COMPUTED_VALUE"""),96.5)</f>
        <v>96.5</v>
      </c>
    </row>
    <row r="229">
      <c r="A229" s="19" t="str">
        <f>vlookup(B229,'Player Codes'!A:D,4,)</f>
        <v>0241</v>
      </c>
      <c r="B229" s="21" t="s">
        <v>393</v>
      </c>
      <c r="C229" s="5">
        <f>IFERROR(__xludf.DUMMYFUNCTION("""COMPUTED_VALUE"""),225.0)</f>
        <v>225</v>
      </c>
      <c r="D229" s="5" t="str">
        <f>IFERROR(__xludf.DUMMYFUNCTION("""COMPUTED_VALUE"""),"Devin Singletary")</f>
        <v>Devin Singletary</v>
      </c>
      <c r="E229" s="5" t="str">
        <f>IFERROR(__xludf.DUMMYFUNCTION("""COMPUTED_VALUE"""),"RB50")</f>
        <v>RB50</v>
      </c>
      <c r="F229" s="5" t="str">
        <f>IFERROR(__xludf.DUMMYFUNCTION("""COMPUTED_VALUE"""),"HOU")</f>
        <v>HOU</v>
      </c>
      <c r="G229" s="5">
        <f>IFERROR(__xludf.DUMMYFUNCTION("""COMPUTED_VALUE"""),7.0)</f>
        <v>7</v>
      </c>
      <c r="H229" s="5">
        <f>IFERROR(__xludf.DUMMYFUNCTION("""COMPUTED_VALUE"""),0.0)</f>
        <v>0</v>
      </c>
      <c r="I229" s="5">
        <f>IFERROR(__xludf.DUMMYFUNCTION("""COMPUTED_VALUE"""),0.0)</f>
        <v>0</v>
      </c>
      <c r="J229" s="5">
        <f>IFERROR(__xludf.DUMMYFUNCTION("""COMPUTED_VALUE"""),0.0)</f>
        <v>0</v>
      </c>
      <c r="K229" s="5">
        <f>IFERROR(__xludf.DUMMYFUNCTION("""COMPUTED_VALUE"""),467.0)</f>
        <v>467</v>
      </c>
      <c r="L229" s="5">
        <f>IFERROR(__xludf.DUMMYFUNCTION("""COMPUTED_VALUE"""),2.7)</f>
        <v>2.7</v>
      </c>
      <c r="M229" s="5">
        <f>IFERROR(__xludf.DUMMYFUNCTION("""COMPUTED_VALUE"""),24.0)</f>
        <v>24</v>
      </c>
      <c r="N229" s="5">
        <f>IFERROR(__xludf.DUMMYFUNCTION("""COMPUTED_VALUE"""),164.0)</f>
        <v>164</v>
      </c>
      <c r="O229" s="5">
        <f>IFERROR(__xludf.DUMMYFUNCTION("""COMPUTED_VALUE"""),0.8)</f>
        <v>0.8</v>
      </c>
      <c r="P229" s="5">
        <f>IFERROR(__xludf.DUMMYFUNCTION("""COMPUTED_VALUE"""),95.8)</f>
        <v>95.8</v>
      </c>
    </row>
    <row r="230">
      <c r="A230" s="19" t="str">
        <f>vlookup(B230,'Player Codes'!A:D,4,)</f>
        <v>0094</v>
      </c>
      <c r="B230" s="21" t="s">
        <v>513</v>
      </c>
      <c r="C230" s="5">
        <f>IFERROR(__xludf.DUMMYFUNCTION("""COMPUTED_VALUE"""),226.0)</f>
        <v>226</v>
      </c>
      <c r="D230" s="5" t="str">
        <f>IFERROR(__xludf.DUMMYFUNCTION("""COMPUTED_VALUE"""),"Darnell Mooney")</f>
        <v>Darnell Mooney</v>
      </c>
      <c r="E230" s="5" t="str">
        <f>IFERROR(__xludf.DUMMYFUNCTION("""COMPUTED_VALUE"""),"WR70")</f>
        <v>WR70</v>
      </c>
      <c r="F230" s="5" t="str">
        <f>IFERROR(__xludf.DUMMYFUNCTION("""COMPUTED_VALUE"""),"CHI")</f>
        <v>CHI</v>
      </c>
      <c r="G230" s="5">
        <f>IFERROR(__xludf.DUMMYFUNCTION("""COMPUTED_VALUE"""),13.0)</f>
        <v>13</v>
      </c>
      <c r="H230" s="5">
        <f>IFERROR(__xludf.DUMMYFUNCTION("""COMPUTED_VALUE"""),0.0)</f>
        <v>0</v>
      </c>
      <c r="I230" s="5">
        <f>IFERROR(__xludf.DUMMYFUNCTION("""COMPUTED_VALUE"""),0.0)</f>
        <v>0</v>
      </c>
      <c r="J230" s="5">
        <f>IFERROR(__xludf.DUMMYFUNCTION("""COMPUTED_VALUE"""),0.0)</f>
        <v>0</v>
      </c>
      <c r="K230" s="5">
        <f>IFERROR(__xludf.DUMMYFUNCTION("""COMPUTED_VALUE"""),11.0)</f>
        <v>11</v>
      </c>
      <c r="L230" s="5">
        <f>IFERROR(__xludf.DUMMYFUNCTION("""COMPUTED_VALUE"""),0.1)</f>
        <v>0.1</v>
      </c>
      <c r="M230" s="5">
        <f>IFERROR(__xludf.DUMMYFUNCTION("""COMPUTED_VALUE"""),42.0)</f>
        <v>42</v>
      </c>
      <c r="N230" s="5">
        <f>IFERROR(__xludf.DUMMYFUNCTION("""COMPUTED_VALUE"""),521.0)</f>
        <v>521</v>
      </c>
      <c r="O230" s="5">
        <f>IFERROR(__xludf.DUMMYFUNCTION("""COMPUTED_VALUE"""),3.5)</f>
        <v>3.5</v>
      </c>
      <c r="P230" s="5">
        <f>IFERROR(__xludf.DUMMYFUNCTION("""COMPUTED_VALUE"""),95.7)</f>
        <v>95.7</v>
      </c>
    </row>
    <row r="231">
      <c r="A231" s="19" t="str">
        <f>vlookup(B231,'Player Codes'!A:D,4,)</f>
        <v>0079</v>
      </c>
      <c r="B231" s="21" t="s">
        <v>571</v>
      </c>
      <c r="C231" s="5">
        <f>IFERROR(__xludf.DUMMYFUNCTION("""COMPUTED_VALUE"""),227.0)</f>
        <v>227</v>
      </c>
      <c r="D231" s="5" t="str">
        <f>IFERROR(__xludf.DUMMYFUNCTION("""COMPUTED_VALUE"""),"Houston Texans")</f>
        <v>Houston Texans</v>
      </c>
      <c r="E231" s="5" t="str">
        <f>IFERROR(__xludf.DUMMYFUNCTION("""COMPUTED_VALUE"""),"DST28")</f>
        <v>DST28</v>
      </c>
      <c r="F231" s="5" t="str">
        <f>IFERROR(__xludf.DUMMYFUNCTION("""COMPUTED_VALUE"""),"HOU")</f>
        <v>HOU</v>
      </c>
      <c r="G231" s="5">
        <f>IFERROR(__xludf.DUMMYFUNCTION("""COMPUTED_VALUE"""),7.0)</f>
        <v>7</v>
      </c>
      <c r="H231" s="5" t="str">
        <f>IFERROR(__xludf.DUMMYFUNCTION("""COMPUTED_VALUE"""),"--")</f>
        <v>--</v>
      </c>
      <c r="I231" s="5" t="str">
        <f>IFERROR(__xludf.DUMMYFUNCTION("""COMPUTED_VALUE"""),"--")</f>
        <v>--</v>
      </c>
      <c r="J231" s="5" t="str">
        <f>IFERROR(__xludf.DUMMYFUNCTION("""COMPUTED_VALUE"""),"--")</f>
        <v>--</v>
      </c>
      <c r="K231" s="5" t="str">
        <f>IFERROR(__xludf.DUMMYFUNCTION("""COMPUTED_VALUE"""),"--")</f>
        <v>--</v>
      </c>
      <c r="L231" s="5" t="str">
        <f>IFERROR(__xludf.DUMMYFUNCTION("""COMPUTED_VALUE"""),"--")</f>
        <v>--</v>
      </c>
      <c r="M231" s="5" t="str">
        <f>IFERROR(__xludf.DUMMYFUNCTION("""COMPUTED_VALUE"""),"--")</f>
        <v>--</v>
      </c>
      <c r="N231" s="5" t="str">
        <f>IFERROR(__xludf.DUMMYFUNCTION("""COMPUTED_VALUE"""),"--")</f>
        <v>--</v>
      </c>
      <c r="O231" s="5" t="str">
        <f>IFERROR(__xludf.DUMMYFUNCTION("""COMPUTED_VALUE"""),"--")</f>
        <v>--</v>
      </c>
      <c r="P231" s="5">
        <f>IFERROR(__xludf.DUMMYFUNCTION("""COMPUTED_VALUE"""),94.8)</f>
        <v>94.8</v>
      </c>
    </row>
    <row r="232">
      <c r="A232" s="19" t="str">
        <f>vlookup(B232,'Player Codes'!A:D,4,)</f>
        <v>0154</v>
      </c>
      <c r="B232" s="21" t="s">
        <v>440</v>
      </c>
      <c r="C232" s="5">
        <f>IFERROR(__xludf.DUMMYFUNCTION("""COMPUTED_VALUE"""),228.0)</f>
        <v>228</v>
      </c>
      <c r="D232" s="5" t="str">
        <f>IFERROR(__xludf.DUMMYFUNCTION("""COMPUTED_VALUE"""),"Los Angeles Rams")</f>
        <v>Los Angeles Rams</v>
      </c>
      <c r="E232" s="5" t="str">
        <f>IFERROR(__xludf.DUMMYFUNCTION("""COMPUTED_VALUE"""),"DST29")</f>
        <v>DST29</v>
      </c>
      <c r="F232" s="5" t="str">
        <f>IFERROR(__xludf.DUMMYFUNCTION("""COMPUTED_VALUE"""),"LAR")</f>
        <v>LAR</v>
      </c>
      <c r="G232" s="5">
        <f>IFERROR(__xludf.DUMMYFUNCTION("""COMPUTED_VALUE"""),10.0)</f>
        <v>10</v>
      </c>
      <c r="H232" s="5" t="str">
        <f>IFERROR(__xludf.DUMMYFUNCTION("""COMPUTED_VALUE"""),"--")</f>
        <v>--</v>
      </c>
      <c r="I232" s="5" t="str">
        <f>IFERROR(__xludf.DUMMYFUNCTION("""COMPUTED_VALUE"""),"--")</f>
        <v>--</v>
      </c>
      <c r="J232" s="5" t="str">
        <f>IFERROR(__xludf.DUMMYFUNCTION("""COMPUTED_VALUE"""),"--")</f>
        <v>--</v>
      </c>
      <c r="K232" s="5" t="str">
        <f>IFERROR(__xludf.DUMMYFUNCTION("""COMPUTED_VALUE"""),"--")</f>
        <v>--</v>
      </c>
      <c r="L232" s="5" t="str">
        <f>IFERROR(__xludf.DUMMYFUNCTION("""COMPUTED_VALUE"""),"--")</f>
        <v>--</v>
      </c>
      <c r="M232" s="5" t="str">
        <f>IFERROR(__xludf.DUMMYFUNCTION("""COMPUTED_VALUE"""),"--")</f>
        <v>--</v>
      </c>
      <c r="N232" s="5" t="str">
        <f>IFERROR(__xludf.DUMMYFUNCTION("""COMPUTED_VALUE"""),"--")</f>
        <v>--</v>
      </c>
      <c r="O232" s="5" t="str">
        <f>IFERROR(__xludf.DUMMYFUNCTION("""COMPUTED_VALUE"""),"--")</f>
        <v>--</v>
      </c>
      <c r="P232" s="5">
        <f>IFERROR(__xludf.DUMMYFUNCTION("""COMPUTED_VALUE"""),93.6)</f>
        <v>93.6</v>
      </c>
    </row>
    <row r="233">
      <c r="A233" s="19" t="str">
        <f>vlookup(B233,'Player Codes'!A:D,4,)</f>
        <v>0124</v>
      </c>
      <c r="B233" s="23" t="s">
        <v>2341</v>
      </c>
      <c r="C233" s="5">
        <f>IFERROR(__xludf.DUMMYFUNCTION("""COMPUTED_VALUE"""),228.0)</f>
        <v>228</v>
      </c>
      <c r="D233" s="5" t="str">
        <f>IFERROR(__xludf.DUMMYFUNCTION("""COMPUTED_VALUE"""),"Tyjae Spears")</f>
        <v>Tyjae Spears</v>
      </c>
      <c r="E233" s="5" t="str">
        <f>IFERROR(__xludf.DUMMYFUNCTION("""COMPUTED_VALUE"""),"RB51")</f>
        <v>RB51</v>
      </c>
      <c r="F233" s="5" t="str">
        <f>IFERROR(__xludf.DUMMYFUNCTION("""COMPUTED_VALUE"""),"TEN")</f>
        <v>TEN</v>
      </c>
      <c r="G233" s="5">
        <f>IFERROR(__xludf.DUMMYFUNCTION("""COMPUTED_VALUE"""),7.0)</f>
        <v>7</v>
      </c>
      <c r="H233" s="5">
        <f>IFERROR(__xludf.DUMMYFUNCTION("""COMPUTED_VALUE"""),0.0)</f>
        <v>0</v>
      </c>
      <c r="I233" s="5">
        <f>IFERROR(__xludf.DUMMYFUNCTION("""COMPUTED_VALUE"""),0.0)</f>
        <v>0</v>
      </c>
      <c r="J233" s="5">
        <f>IFERROR(__xludf.DUMMYFUNCTION("""COMPUTED_VALUE"""),0.0)</f>
        <v>0</v>
      </c>
      <c r="K233" s="5">
        <f>IFERROR(__xludf.DUMMYFUNCTION("""COMPUTED_VALUE"""),428.0)</f>
        <v>428</v>
      </c>
      <c r="L233" s="5">
        <f>IFERROR(__xludf.DUMMYFUNCTION("""COMPUTED_VALUE"""),2.6)</f>
        <v>2.6</v>
      </c>
      <c r="M233" s="5">
        <f>IFERROR(__xludf.DUMMYFUNCTION("""COMPUTED_VALUE"""),23.0)</f>
        <v>23</v>
      </c>
      <c r="N233" s="5">
        <f>IFERROR(__xludf.DUMMYFUNCTION("""COMPUTED_VALUE"""),179.0)</f>
        <v>179</v>
      </c>
      <c r="O233" s="5">
        <f>IFERROR(__xludf.DUMMYFUNCTION("""COMPUTED_VALUE"""),1.0)</f>
        <v>1</v>
      </c>
      <c r="P233" s="5">
        <f>IFERROR(__xludf.DUMMYFUNCTION("""COMPUTED_VALUE"""),93.6)</f>
        <v>93.6</v>
      </c>
    </row>
    <row r="234">
      <c r="A234" s="19" t="str">
        <f>vlookup(B234,'Player Codes'!A:D,4,)</f>
        <v>0198</v>
      </c>
      <c r="B234" s="23" t="s">
        <v>2342</v>
      </c>
      <c r="C234" s="5">
        <f>IFERROR(__xludf.DUMMYFUNCTION("""COMPUTED_VALUE"""),230.0)</f>
        <v>230</v>
      </c>
      <c r="D234" s="5" t="str">
        <f>IFERROR(__xludf.DUMMYFUNCTION("""COMPUTED_VALUE"""),"Kendre Miller")</f>
        <v>Kendre Miller</v>
      </c>
      <c r="E234" s="5" t="str">
        <f>IFERROR(__xludf.DUMMYFUNCTION("""COMPUTED_VALUE"""),"RB52")</f>
        <v>RB52</v>
      </c>
      <c r="F234" s="5" t="str">
        <f>IFERROR(__xludf.DUMMYFUNCTION("""COMPUTED_VALUE"""),"NO")</f>
        <v>NO</v>
      </c>
      <c r="G234" s="5">
        <f>IFERROR(__xludf.DUMMYFUNCTION("""COMPUTED_VALUE"""),11.0)</f>
        <v>11</v>
      </c>
      <c r="H234" s="5">
        <f>IFERROR(__xludf.DUMMYFUNCTION("""COMPUTED_VALUE"""),0.0)</f>
        <v>0</v>
      </c>
      <c r="I234" s="5">
        <f>IFERROR(__xludf.DUMMYFUNCTION("""COMPUTED_VALUE"""),0.0)</f>
        <v>0</v>
      </c>
      <c r="J234" s="5">
        <f>IFERROR(__xludf.DUMMYFUNCTION("""COMPUTED_VALUE"""),0.0)</f>
        <v>0</v>
      </c>
      <c r="K234" s="5">
        <f>IFERROR(__xludf.DUMMYFUNCTION("""COMPUTED_VALUE"""),486.0)</f>
        <v>486</v>
      </c>
      <c r="L234" s="5">
        <f>IFERROR(__xludf.DUMMYFUNCTION("""COMPUTED_VALUE"""),2.7)</f>
        <v>2.7</v>
      </c>
      <c r="M234" s="5">
        <f>IFERROR(__xludf.DUMMYFUNCTION("""COMPUTED_VALUE"""),20.0)</f>
        <v>20</v>
      </c>
      <c r="N234" s="5">
        <f>IFERROR(__xludf.DUMMYFUNCTION("""COMPUTED_VALUE"""),152.0)</f>
        <v>152</v>
      </c>
      <c r="O234" s="5">
        <f>IFERROR(__xludf.DUMMYFUNCTION("""COMPUTED_VALUE"""),0.5)</f>
        <v>0.5</v>
      </c>
      <c r="P234" s="5">
        <f>IFERROR(__xludf.DUMMYFUNCTION("""COMPUTED_VALUE"""),92.9)</f>
        <v>92.9</v>
      </c>
    </row>
    <row r="235">
      <c r="A235" s="19" t="str">
        <f>vlookup(B235,'Player Codes'!A:D,4,)</f>
        <v>0283</v>
      </c>
      <c r="B235" s="21" t="s">
        <v>585</v>
      </c>
      <c r="C235" s="5">
        <f>IFERROR(__xludf.DUMMYFUNCTION("""COMPUTED_VALUE"""),231.0)</f>
        <v>231</v>
      </c>
      <c r="D235" s="5" t="str">
        <f>IFERROR(__xludf.DUMMYFUNCTION("""COMPUTED_VALUE"""),"Irv Smith Jr.")</f>
        <v>Irv Smith Jr.</v>
      </c>
      <c r="E235" s="5" t="str">
        <f>IFERROR(__xludf.DUMMYFUNCTION("""COMPUTED_VALUE"""),"TE17")</f>
        <v>TE17</v>
      </c>
      <c r="F235" s="5" t="str">
        <f>IFERROR(__xludf.DUMMYFUNCTION("""COMPUTED_VALUE"""),"CIN")</f>
        <v>CIN</v>
      </c>
      <c r="G235" s="5">
        <f>IFERROR(__xludf.DUMMYFUNCTION("""COMPUTED_VALUE"""),7.0)</f>
        <v>7</v>
      </c>
      <c r="H235" s="5">
        <f>IFERROR(__xludf.DUMMYFUNCTION("""COMPUTED_VALUE"""),0.0)</f>
        <v>0</v>
      </c>
      <c r="I235" s="5">
        <f>IFERROR(__xludf.DUMMYFUNCTION("""COMPUTED_VALUE"""),0.0)</f>
        <v>0</v>
      </c>
      <c r="J235" s="5">
        <f>IFERROR(__xludf.DUMMYFUNCTION("""COMPUTED_VALUE"""),0.0)</f>
        <v>0</v>
      </c>
      <c r="K235" s="5">
        <f>IFERROR(__xludf.DUMMYFUNCTION("""COMPUTED_VALUE"""),0.0)</f>
        <v>0</v>
      </c>
      <c r="L235" s="5">
        <f>IFERROR(__xludf.DUMMYFUNCTION("""COMPUTED_VALUE"""),0.0)</f>
        <v>0</v>
      </c>
      <c r="M235" s="5">
        <f>IFERROR(__xludf.DUMMYFUNCTION("""COMPUTED_VALUE"""),51.0)</f>
        <v>51</v>
      </c>
      <c r="N235" s="5">
        <f>IFERROR(__xludf.DUMMYFUNCTION("""COMPUTED_VALUE"""),469.0)</f>
        <v>469</v>
      </c>
      <c r="O235" s="5">
        <f>IFERROR(__xludf.DUMMYFUNCTION("""COMPUTED_VALUE"""),3.4)</f>
        <v>3.4</v>
      </c>
      <c r="P235" s="5">
        <f>IFERROR(__xludf.DUMMYFUNCTION("""COMPUTED_VALUE"""),92.8)</f>
        <v>92.8</v>
      </c>
    </row>
    <row r="236">
      <c r="A236" s="19" t="str">
        <f>vlookup(B236,'Player Codes'!A:D,4,)</f>
        <v>0183</v>
      </c>
      <c r="B236" s="21" t="s">
        <v>530</v>
      </c>
      <c r="C236" s="5">
        <f>IFERROR(__xludf.DUMMYFUNCTION("""COMPUTED_VALUE"""),232.0)</f>
        <v>232</v>
      </c>
      <c r="D236" s="5" t="str">
        <f>IFERROR(__xludf.DUMMYFUNCTION("""COMPUTED_VALUE"""),"Ty Chandler")</f>
        <v>Ty Chandler</v>
      </c>
      <c r="E236" s="5" t="str">
        <f>IFERROR(__xludf.DUMMYFUNCTION("""COMPUTED_VALUE"""),"RB53")</f>
        <v>RB53</v>
      </c>
      <c r="F236" s="5" t="str">
        <f>IFERROR(__xludf.DUMMYFUNCTION("""COMPUTED_VALUE"""),"MIN")</f>
        <v>MIN</v>
      </c>
      <c r="G236" s="5">
        <f>IFERROR(__xludf.DUMMYFUNCTION("""COMPUTED_VALUE"""),13.0)</f>
        <v>13</v>
      </c>
      <c r="H236" s="5">
        <f>IFERROR(__xludf.DUMMYFUNCTION("""COMPUTED_VALUE"""),0.0)</f>
        <v>0</v>
      </c>
      <c r="I236" s="5">
        <f>IFERROR(__xludf.DUMMYFUNCTION("""COMPUTED_VALUE"""),0.0)</f>
        <v>0</v>
      </c>
      <c r="J236" s="5">
        <f>IFERROR(__xludf.DUMMYFUNCTION("""COMPUTED_VALUE"""),0.0)</f>
        <v>0</v>
      </c>
      <c r="K236" s="5">
        <f>IFERROR(__xludf.DUMMYFUNCTION("""COMPUTED_VALUE"""),413.0)</f>
        <v>413</v>
      </c>
      <c r="L236" s="5">
        <f>IFERROR(__xludf.DUMMYFUNCTION("""COMPUTED_VALUE"""),2.9)</f>
        <v>2.9</v>
      </c>
      <c r="M236" s="5">
        <f>IFERROR(__xludf.DUMMYFUNCTION("""COMPUTED_VALUE"""),25.0)</f>
        <v>25</v>
      </c>
      <c r="N236" s="5">
        <f>IFERROR(__xludf.DUMMYFUNCTION("""COMPUTED_VALUE"""),166.0)</f>
        <v>166</v>
      </c>
      <c r="O236" s="5">
        <f>IFERROR(__xludf.DUMMYFUNCTION("""COMPUTED_VALUE"""),0.8)</f>
        <v>0.8</v>
      </c>
      <c r="P236" s="5">
        <f>IFERROR(__xludf.DUMMYFUNCTION("""COMPUTED_VALUE"""),92.5)</f>
        <v>92.5</v>
      </c>
    </row>
    <row r="237">
      <c r="A237" s="19" t="str">
        <f>vlookup(B237,'Player Codes'!A:D,4,)</f>
        <v>0128</v>
      </c>
      <c r="B237" s="21" t="s">
        <v>783</v>
      </c>
      <c r="C237" s="5">
        <f>IFERROR(__xludf.DUMMYFUNCTION("""COMPUTED_VALUE"""),233.0)</f>
        <v>233</v>
      </c>
      <c r="D237" s="5" t="str">
        <f>IFERROR(__xludf.DUMMYFUNCTION("""COMPUTED_VALUE"""),"Donovan Peoples-Jones")</f>
        <v>Donovan Peoples-Jones</v>
      </c>
      <c r="E237" s="5" t="str">
        <f>IFERROR(__xludf.DUMMYFUNCTION("""COMPUTED_VALUE"""),"WR71")</f>
        <v>WR71</v>
      </c>
      <c r="F237" s="5" t="str">
        <f>IFERROR(__xludf.DUMMYFUNCTION("""COMPUTED_VALUE"""),"CLE")</f>
        <v>CLE</v>
      </c>
      <c r="G237" s="5">
        <f>IFERROR(__xludf.DUMMYFUNCTION("""COMPUTED_VALUE"""),5.0)</f>
        <v>5</v>
      </c>
      <c r="H237" s="5">
        <f>IFERROR(__xludf.DUMMYFUNCTION("""COMPUTED_VALUE"""),0.0)</f>
        <v>0</v>
      </c>
      <c r="I237" s="5">
        <f>IFERROR(__xludf.DUMMYFUNCTION("""COMPUTED_VALUE"""),0.0)</f>
        <v>0</v>
      </c>
      <c r="J237" s="5">
        <f>IFERROR(__xludf.DUMMYFUNCTION("""COMPUTED_VALUE"""),0.0)</f>
        <v>0</v>
      </c>
      <c r="K237" s="5">
        <f>IFERROR(__xludf.DUMMYFUNCTION("""COMPUTED_VALUE"""),7.0)</f>
        <v>7</v>
      </c>
      <c r="L237" s="5">
        <f>IFERROR(__xludf.DUMMYFUNCTION("""COMPUTED_VALUE"""),0.1)</f>
        <v>0.1</v>
      </c>
      <c r="M237" s="5">
        <f>IFERROR(__xludf.DUMMYFUNCTION("""COMPUTED_VALUE"""),39.0)</f>
        <v>39</v>
      </c>
      <c r="N237" s="5">
        <f>IFERROR(__xludf.DUMMYFUNCTION("""COMPUTED_VALUE"""),534.0)</f>
        <v>534</v>
      </c>
      <c r="O237" s="5">
        <f>IFERROR(__xludf.DUMMYFUNCTION("""COMPUTED_VALUE"""),3.0)</f>
        <v>3</v>
      </c>
      <c r="P237" s="5">
        <f>IFERROR(__xludf.DUMMYFUNCTION("""COMPUTED_VALUE"""),92.2)</f>
        <v>92.2</v>
      </c>
    </row>
    <row r="238">
      <c r="A238" s="19" t="str">
        <f>vlookup(B238,'Player Codes'!A:D,4,)</f>
        <v>0102</v>
      </c>
      <c r="B238" s="21" t="s">
        <v>649</v>
      </c>
      <c r="C238" s="5">
        <f>IFERROR(__xludf.DUMMYFUNCTION("""COMPUTED_VALUE"""),234.0)</f>
        <v>234</v>
      </c>
      <c r="D238" s="5" t="str">
        <f>IFERROR(__xludf.DUMMYFUNCTION("""COMPUTED_VALUE"""),"Khalil Shakir")</f>
        <v>Khalil Shakir</v>
      </c>
      <c r="E238" s="5" t="str">
        <f>IFERROR(__xludf.DUMMYFUNCTION("""COMPUTED_VALUE"""),"WR72")</f>
        <v>WR72</v>
      </c>
      <c r="F238" s="5" t="str">
        <f>IFERROR(__xludf.DUMMYFUNCTION("""COMPUTED_VALUE"""),"BUF")</f>
        <v>BUF</v>
      </c>
      <c r="G238" s="5">
        <f>IFERROR(__xludf.DUMMYFUNCTION("""COMPUTED_VALUE"""),13.0)</f>
        <v>13</v>
      </c>
      <c r="H238" s="5">
        <f>IFERROR(__xludf.DUMMYFUNCTION("""COMPUTED_VALUE"""),0.0)</f>
        <v>0</v>
      </c>
      <c r="I238" s="5">
        <f>IFERROR(__xludf.DUMMYFUNCTION("""COMPUTED_VALUE"""),0.0)</f>
        <v>0</v>
      </c>
      <c r="J238" s="5">
        <f>IFERROR(__xludf.DUMMYFUNCTION("""COMPUTED_VALUE"""),0.0)</f>
        <v>0</v>
      </c>
      <c r="K238" s="5">
        <f>IFERROR(__xludf.DUMMYFUNCTION("""COMPUTED_VALUE"""),0.0)</f>
        <v>0</v>
      </c>
      <c r="L238" s="5">
        <f>IFERROR(__xludf.DUMMYFUNCTION("""COMPUTED_VALUE"""),0.0)</f>
        <v>0</v>
      </c>
      <c r="M238" s="5">
        <f>IFERROR(__xludf.DUMMYFUNCTION("""COMPUTED_VALUE"""),39.0)</f>
        <v>39</v>
      </c>
      <c r="N238" s="5">
        <f>IFERROR(__xludf.DUMMYFUNCTION("""COMPUTED_VALUE"""),511.0)</f>
        <v>511</v>
      </c>
      <c r="O238" s="5">
        <f>IFERROR(__xludf.DUMMYFUNCTION("""COMPUTED_VALUE"""),3.6)</f>
        <v>3.6</v>
      </c>
      <c r="P238" s="5">
        <f>IFERROR(__xludf.DUMMYFUNCTION("""COMPUTED_VALUE"""),92.0)</f>
        <v>92</v>
      </c>
    </row>
    <row r="239">
      <c r="A239" s="19" t="str">
        <f>vlookup(B239,'Player Codes'!A:D,4,)</f>
        <v>0189</v>
      </c>
      <c r="B239" s="21" t="s">
        <v>655</v>
      </c>
      <c r="C239" s="5">
        <f>IFERROR(__xludf.DUMMYFUNCTION("""COMPUTED_VALUE"""),235.0)</f>
        <v>235</v>
      </c>
      <c r="D239" s="5" t="str">
        <f>IFERROR(__xludf.DUMMYFUNCTION("""COMPUTED_VALUE"""),"Greg Dulcich")</f>
        <v>Greg Dulcich</v>
      </c>
      <c r="E239" s="5" t="str">
        <f>IFERROR(__xludf.DUMMYFUNCTION("""COMPUTED_VALUE"""),"TE18")</f>
        <v>TE18</v>
      </c>
      <c r="F239" s="5" t="str">
        <f>IFERROR(__xludf.DUMMYFUNCTION("""COMPUTED_VALUE"""),"DEN")</f>
        <v>DEN</v>
      </c>
      <c r="G239" s="5">
        <f>IFERROR(__xludf.DUMMYFUNCTION("""COMPUTED_VALUE"""),9.0)</f>
        <v>9</v>
      </c>
      <c r="H239" s="5">
        <f>IFERROR(__xludf.DUMMYFUNCTION("""COMPUTED_VALUE"""),0.0)</f>
        <v>0</v>
      </c>
      <c r="I239" s="5">
        <f>IFERROR(__xludf.DUMMYFUNCTION("""COMPUTED_VALUE"""),0.0)</f>
        <v>0</v>
      </c>
      <c r="J239" s="5">
        <f>IFERROR(__xludf.DUMMYFUNCTION("""COMPUTED_VALUE"""),0.0)</f>
        <v>0</v>
      </c>
      <c r="K239" s="5">
        <f>IFERROR(__xludf.DUMMYFUNCTION("""COMPUTED_VALUE"""),0.0)</f>
        <v>0</v>
      </c>
      <c r="L239" s="5">
        <f>IFERROR(__xludf.DUMMYFUNCTION("""COMPUTED_VALUE"""),0.0)</f>
        <v>0</v>
      </c>
      <c r="M239" s="5">
        <f>IFERROR(__xludf.DUMMYFUNCTION("""COMPUTED_VALUE"""),45.0)</f>
        <v>45</v>
      </c>
      <c r="N239" s="5">
        <f>IFERROR(__xludf.DUMMYFUNCTION("""COMPUTED_VALUE"""),525.0)</f>
        <v>525</v>
      </c>
      <c r="O239" s="5">
        <f>IFERROR(__xludf.DUMMYFUNCTION("""COMPUTED_VALUE"""),2.8)</f>
        <v>2.8</v>
      </c>
      <c r="P239" s="5">
        <f>IFERROR(__xludf.DUMMYFUNCTION("""COMPUTED_VALUE"""),91.8)</f>
        <v>91.8</v>
      </c>
    </row>
    <row r="240">
      <c r="A240" s="19" t="str">
        <f>vlookup(B240,'Player Codes'!A:D,4,)</f>
        <v>0118</v>
      </c>
      <c r="B240" s="21" t="s">
        <v>705</v>
      </c>
      <c r="C240" s="5">
        <f>IFERROR(__xludf.DUMMYFUNCTION("""COMPUTED_VALUE"""),236.0)</f>
        <v>236</v>
      </c>
      <c r="D240" s="5" t="str">
        <f>IFERROR(__xludf.DUMMYFUNCTION("""COMPUTED_VALUE"""),"Tyler Conklin")</f>
        <v>Tyler Conklin</v>
      </c>
      <c r="E240" s="5" t="str">
        <f>IFERROR(__xludf.DUMMYFUNCTION("""COMPUTED_VALUE"""),"TE19")</f>
        <v>TE19</v>
      </c>
      <c r="F240" s="5" t="str">
        <f>IFERROR(__xludf.DUMMYFUNCTION("""COMPUTED_VALUE"""),"NYJ")</f>
        <v>NYJ</v>
      </c>
      <c r="G240" s="5">
        <f>IFERROR(__xludf.DUMMYFUNCTION("""COMPUTED_VALUE"""),7.0)</f>
        <v>7</v>
      </c>
      <c r="H240" s="5">
        <f>IFERROR(__xludf.DUMMYFUNCTION("""COMPUTED_VALUE"""),0.0)</f>
        <v>0</v>
      </c>
      <c r="I240" s="5">
        <f>IFERROR(__xludf.DUMMYFUNCTION("""COMPUTED_VALUE"""),0.0)</f>
        <v>0</v>
      </c>
      <c r="J240" s="5">
        <f>IFERROR(__xludf.DUMMYFUNCTION("""COMPUTED_VALUE"""),0.0)</f>
        <v>0</v>
      </c>
      <c r="K240" s="5">
        <f>IFERROR(__xludf.DUMMYFUNCTION("""COMPUTED_VALUE"""),4.0)</f>
        <v>4</v>
      </c>
      <c r="L240" s="5">
        <f>IFERROR(__xludf.DUMMYFUNCTION("""COMPUTED_VALUE"""),0.0)</f>
        <v>0</v>
      </c>
      <c r="M240" s="5">
        <f>IFERROR(__xludf.DUMMYFUNCTION("""COMPUTED_VALUE"""),46.0)</f>
        <v>46</v>
      </c>
      <c r="N240" s="5">
        <f>IFERROR(__xludf.DUMMYFUNCTION("""COMPUTED_VALUE"""),456.0)</f>
        <v>456</v>
      </c>
      <c r="O240" s="5">
        <f>IFERROR(__xludf.DUMMYFUNCTION("""COMPUTED_VALUE"""),3.7)</f>
        <v>3.7</v>
      </c>
      <c r="P240" s="5">
        <f>IFERROR(__xludf.DUMMYFUNCTION("""COMPUTED_VALUE"""),91.3)</f>
        <v>91.3</v>
      </c>
    </row>
    <row r="241">
      <c r="A241" s="19" t="str">
        <f>vlookup(B241,'Player Codes'!A:D,4,)</f>
        <v>0287</v>
      </c>
      <c r="B241" s="21" t="s">
        <v>803</v>
      </c>
      <c r="C241" s="5">
        <f>IFERROR(__xludf.DUMMYFUNCTION("""COMPUTED_VALUE"""),237.0)</f>
        <v>237</v>
      </c>
      <c r="D241" s="5" t="str">
        <f>IFERROR(__xludf.DUMMYFUNCTION("""COMPUTED_VALUE"""),"Gerald Everett")</f>
        <v>Gerald Everett</v>
      </c>
      <c r="E241" s="5" t="str">
        <f>IFERROR(__xludf.DUMMYFUNCTION("""COMPUTED_VALUE"""),"TE20")</f>
        <v>TE20</v>
      </c>
      <c r="F241" s="5" t="str">
        <f>IFERROR(__xludf.DUMMYFUNCTION("""COMPUTED_VALUE"""),"LAC")</f>
        <v>LAC</v>
      </c>
      <c r="G241" s="5">
        <f>IFERROR(__xludf.DUMMYFUNCTION("""COMPUTED_VALUE"""),5.0)</f>
        <v>5</v>
      </c>
      <c r="H241" s="5">
        <f>IFERROR(__xludf.DUMMYFUNCTION("""COMPUTED_VALUE"""),0.0)</f>
        <v>0</v>
      </c>
      <c r="I241" s="5">
        <f>IFERROR(__xludf.DUMMYFUNCTION("""COMPUTED_VALUE"""),0.0)</f>
        <v>0</v>
      </c>
      <c r="J241" s="5">
        <f>IFERROR(__xludf.DUMMYFUNCTION("""COMPUTED_VALUE"""),0.0)</f>
        <v>0</v>
      </c>
      <c r="K241" s="5">
        <f>IFERROR(__xludf.DUMMYFUNCTION("""COMPUTED_VALUE"""),0.0)</f>
        <v>0</v>
      </c>
      <c r="L241" s="5">
        <f>IFERROR(__xludf.DUMMYFUNCTION("""COMPUTED_VALUE"""),0.0)</f>
        <v>0</v>
      </c>
      <c r="M241" s="5">
        <f>IFERROR(__xludf.DUMMYFUNCTION("""COMPUTED_VALUE"""),43.0)</f>
        <v>43</v>
      </c>
      <c r="N241" s="5">
        <f>IFERROR(__xludf.DUMMYFUNCTION("""COMPUTED_VALUE"""),504.0)</f>
        <v>504</v>
      </c>
      <c r="O241" s="5">
        <f>IFERROR(__xludf.DUMMYFUNCTION("""COMPUTED_VALUE"""),3.2)</f>
        <v>3.2</v>
      </c>
      <c r="P241" s="5">
        <f>IFERROR(__xludf.DUMMYFUNCTION("""COMPUTED_VALUE"""),91.0)</f>
        <v>91</v>
      </c>
    </row>
    <row r="242">
      <c r="A242" s="19" t="str">
        <f>vlookup(B242,'Player Codes'!A:D,4,)</f>
        <v>0115</v>
      </c>
      <c r="B242" s="21" t="s">
        <v>805</v>
      </c>
      <c r="C242" s="5">
        <f>IFERROR(__xludf.DUMMYFUNCTION("""COMPUTED_VALUE"""),238.0)</f>
        <v>238</v>
      </c>
      <c r="D242" s="5" t="str">
        <f>IFERROR(__xludf.DUMMYFUNCTION("""COMPUTED_VALUE"""),"Marvin Mims Jr.")</f>
        <v>Marvin Mims Jr.</v>
      </c>
      <c r="E242" s="5" t="str">
        <f>IFERROR(__xludf.DUMMYFUNCTION("""COMPUTED_VALUE"""),"WR73")</f>
        <v>WR73</v>
      </c>
      <c r="F242" s="5" t="str">
        <f>IFERROR(__xludf.DUMMYFUNCTION("""COMPUTED_VALUE"""),"DEN")</f>
        <v>DEN</v>
      </c>
      <c r="G242" s="5">
        <f>IFERROR(__xludf.DUMMYFUNCTION("""COMPUTED_VALUE"""),9.0)</f>
        <v>9</v>
      </c>
      <c r="H242" s="5">
        <f>IFERROR(__xludf.DUMMYFUNCTION("""COMPUTED_VALUE"""),0.0)</f>
        <v>0</v>
      </c>
      <c r="I242" s="5">
        <f>IFERROR(__xludf.DUMMYFUNCTION("""COMPUTED_VALUE"""),0.0)</f>
        <v>0</v>
      </c>
      <c r="J242" s="5">
        <f>IFERROR(__xludf.DUMMYFUNCTION("""COMPUTED_VALUE"""),0.0)</f>
        <v>0</v>
      </c>
      <c r="K242" s="5">
        <f>IFERROR(__xludf.DUMMYFUNCTION("""COMPUTED_VALUE"""),20.0)</f>
        <v>20</v>
      </c>
      <c r="L242" s="5">
        <f>IFERROR(__xludf.DUMMYFUNCTION("""COMPUTED_VALUE"""),0.0)</f>
        <v>0</v>
      </c>
      <c r="M242" s="5">
        <f>IFERROR(__xludf.DUMMYFUNCTION("""COMPUTED_VALUE"""),43.0)</f>
        <v>43</v>
      </c>
      <c r="N242" s="5">
        <f>IFERROR(__xludf.DUMMYFUNCTION("""COMPUTED_VALUE"""),525.0)</f>
        <v>525</v>
      </c>
      <c r="O242" s="5">
        <f>IFERROR(__xludf.DUMMYFUNCTION("""COMPUTED_VALUE"""),2.5)</f>
        <v>2.5</v>
      </c>
      <c r="P242" s="5">
        <f>IFERROR(__xludf.DUMMYFUNCTION("""COMPUTED_VALUE"""),90.8)</f>
        <v>90.8</v>
      </c>
    </row>
    <row r="243">
      <c r="A243" s="19" t="str">
        <f>vlookup(B243,'Player Codes'!A:D,4,)</f>
        <v>0206</v>
      </c>
      <c r="B243" s="21" t="s">
        <v>736</v>
      </c>
      <c r="C243" s="5">
        <f>IFERROR(__xludf.DUMMYFUNCTION("""COMPUTED_VALUE"""),239.0)</f>
        <v>239</v>
      </c>
      <c r="D243" s="5" t="str">
        <f>IFERROR(__xludf.DUMMYFUNCTION("""COMPUTED_VALUE"""),"Jamaal Williams")</f>
        <v>Jamaal Williams</v>
      </c>
      <c r="E243" s="5" t="str">
        <f>IFERROR(__xludf.DUMMYFUNCTION("""COMPUTED_VALUE"""),"RB54")</f>
        <v>RB54</v>
      </c>
      <c r="F243" s="5" t="str">
        <f>IFERROR(__xludf.DUMMYFUNCTION("""COMPUTED_VALUE"""),"NO")</f>
        <v>NO</v>
      </c>
      <c r="G243" s="5">
        <f>IFERROR(__xludf.DUMMYFUNCTION("""COMPUTED_VALUE"""),11.0)</f>
        <v>11</v>
      </c>
      <c r="H243" s="5">
        <f>IFERROR(__xludf.DUMMYFUNCTION("""COMPUTED_VALUE"""),0.0)</f>
        <v>0</v>
      </c>
      <c r="I243" s="5">
        <f>IFERROR(__xludf.DUMMYFUNCTION("""COMPUTED_VALUE"""),0.0)</f>
        <v>0</v>
      </c>
      <c r="J243" s="5">
        <f>IFERROR(__xludf.DUMMYFUNCTION("""COMPUTED_VALUE"""),0.0)</f>
        <v>0</v>
      </c>
      <c r="K243" s="5">
        <f>IFERROR(__xludf.DUMMYFUNCTION("""COMPUTED_VALUE"""),510.0)</f>
        <v>510</v>
      </c>
      <c r="L243" s="5">
        <f>IFERROR(__xludf.DUMMYFUNCTION("""COMPUTED_VALUE"""),3.2)</f>
        <v>3.2</v>
      </c>
      <c r="M243" s="5">
        <f>IFERROR(__xludf.DUMMYFUNCTION("""COMPUTED_VALUE"""),16.0)</f>
        <v>16</v>
      </c>
      <c r="N243" s="5">
        <f>IFERROR(__xludf.DUMMYFUNCTION("""COMPUTED_VALUE"""),97.0)</f>
        <v>97</v>
      </c>
      <c r="O243" s="5">
        <f>IFERROR(__xludf.DUMMYFUNCTION("""COMPUTED_VALUE"""),0.4)</f>
        <v>0.4</v>
      </c>
      <c r="P243" s="5">
        <f>IFERROR(__xludf.DUMMYFUNCTION("""COMPUTED_VALUE"""),90.3)</f>
        <v>90.3</v>
      </c>
    </row>
    <row r="244">
      <c r="A244" s="19" t="str">
        <f>vlookup(B244,'Player Codes'!A:D,4,)</f>
        <v>0142</v>
      </c>
      <c r="B244" s="21" t="s">
        <v>468</v>
      </c>
      <c r="C244" s="5">
        <f>IFERROR(__xludf.DUMMYFUNCTION("""COMPUTED_VALUE"""),240.0)</f>
        <v>240</v>
      </c>
      <c r="D244" s="5" t="str">
        <f>IFERROR(__xludf.DUMMYFUNCTION("""COMPUTED_VALUE"""),"Arizona Cardinals")</f>
        <v>Arizona Cardinals</v>
      </c>
      <c r="E244" s="5" t="str">
        <f>IFERROR(__xludf.DUMMYFUNCTION("""COMPUTED_VALUE"""),"DST30")</f>
        <v>DST30</v>
      </c>
      <c r="F244" s="5" t="str">
        <f>IFERROR(__xludf.DUMMYFUNCTION("""COMPUTED_VALUE"""),"ARI")</f>
        <v>ARI</v>
      </c>
      <c r="G244" s="5">
        <f>IFERROR(__xludf.DUMMYFUNCTION("""COMPUTED_VALUE"""),14.0)</f>
        <v>14</v>
      </c>
      <c r="H244" s="5" t="str">
        <f>IFERROR(__xludf.DUMMYFUNCTION("""COMPUTED_VALUE"""),"--")</f>
        <v>--</v>
      </c>
      <c r="I244" s="5" t="str">
        <f>IFERROR(__xludf.DUMMYFUNCTION("""COMPUTED_VALUE"""),"--")</f>
        <v>--</v>
      </c>
      <c r="J244" s="5" t="str">
        <f>IFERROR(__xludf.DUMMYFUNCTION("""COMPUTED_VALUE"""),"--")</f>
        <v>--</v>
      </c>
      <c r="K244" s="5" t="str">
        <f>IFERROR(__xludf.DUMMYFUNCTION("""COMPUTED_VALUE"""),"--")</f>
        <v>--</v>
      </c>
      <c r="L244" s="5" t="str">
        <f>IFERROR(__xludf.DUMMYFUNCTION("""COMPUTED_VALUE"""),"--")</f>
        <v>--</v>
      </c>
      <c r="M244" s="5" t="str">
        <f>IFERROR(__xludf.DUMMYFUNCTION("""COMPUTED_VALUE"""),"--")</f>
        <v>--</v>
      </c>
      <c r="N244" s="5" t="str">
        <f>IFERROR(__xludf.DUMMYFUNCTION("""COMPUTED_VALUE"""),"--")</f>
        <v>--</v>
      </c>
      <c r="O244" s="5" t="str">
        <f>IFERROR(__xludf.DUMMYFUNCTION("""COMPUTED_VALUE"""),"--")</f>
        <v>--</v>
      </c>
      <c r="P244" s="5">
        <f>IFERROR(__xludf.DUMMYFUNCTION("""COMPUTED_VALUE"""),90.1)</f>
        <v>90.1</v>
      </c>
    </row>
    <row r="245">
      <c r="A245" s="19" t="str">
        <f>vlookup(B245,'Player Codes'!A:D,4,)</f>
        <v>0016</v>
      </c>
      <c r="B245" s="23" t="s">
        <v>2343</v>
      </c>
      <c r="C245" s="5">
        <f>IFERROR(__xludf.DUMMYFUNCTION("""COMPUTED_VALUE"""),241.0)</f>
        <v>241</v>
      </c>
      <c r="D245" s="5" t="str">
        <f>IFERROR(__xludf.DUMMYFUNCTION("""COMPUTED_VALUE"""),"Chicago Bears")</f>
        <v>Chicago Bears</v>
      </c>
      <c r="E245" s="5" t="str">
        <f>IFERROR(__xludf.DUMMYFUNCTION("""COMPUTED_VALUE"""),"DST31")</f>
        <v>DST31</v>
      </c>
      <c r="F245" s="5" t="str">
        <f>IFERROR(__xludf.DUMMYFUNCTION("""COMPUTED_VALUE"""),"CHI")</f>
        <v>CHI</v>
      </c>
      <c r="G245" s="5">
        <f>IFERROR(__xludf.DUMMYFUNCTION("""COMPUTED_VALUE"""),13.0)</f>
        <v>13</v>
      </c>
      <c r="H245" s="5" t="str">
        <f>IFERROR(__xludf.DUMMYFUNCTION("""COMPUTED_VALUE"""),"--")</f>
        <v>--</v>
      </c>
      <c r="I245" s="5" t="str">
        <f>IFERROR(__xludf.DUMMYFUNCTION("""COMPUTED_VALUE"""),"--")</f>
        <v>--</v>
      </c>
      <c r="J245" s="5" t="str">
        <f>IFERROR(__xludf.DUMMYFUNCTION("""COMPUTED_VALUE"""),"--")</f>
        <v>--</v>
      </c>
      <c r="K245" s="5" t="str">
        <f>IFERROR(__xludf.DUMMYFUNCTION("""COMPUTED_VALUE"""),"--")</f>
        <v>--</v>
      </c>
      <c r="L245" s="5" t="str">
        <f>IFERROR(__xludf.DUMMYFUNCTION("""COMPUTED_VALUE"""),"--")</f>
        <v>--</v>
      </c>
      <c r="M245" s="5" t="str">
        <f>IFERROR(__xludf.DUMMYFUNCTION("""COMPUTED_VALUE"""),"--")</f>
        <v>--</v>
      </c>
      <c r="N245" s="5" t="str">
        <f>IFERROR(__xludf.DUMMYFUNCTION("""COMPUTED_VALUE"""),"--")</f>
        <v>--</v>
      </c>
      <c r="O245" s="5" t="str">
        <f>IFERROR(__xludf.DUMMYFUNCTION("""COMPUTED_VALUE"""),"--")</f>
        <v>--</v>
      </c>
      <c r="P245" s="5">
        <f>IFERROR(__xludf.DUMMYFUNCTION("""COMPUTED_VALUE"""),89.4)</f>
        <v>89.4</v>
      </c>
    </row>
    <row r="246">
      <c r="A246" s="19" t="str">
        <f>vlookup(B246,'Player Codes'!A:D,4,)</f>
        <v>0047</v>
      </c>
      <c r="B246" s="23" t="s">
        <v>2344</v>
      </c>
      <c r="C246" s="5">
        <f>IFERROR(__xludf.DUMMYFUNCTION("""COMPUTED_VALUE"""),242.0)</f>
        <v>242</v>
      </c>
      <c r="D246" s="5" t="str">
        <f>IFERROR(__xludf.DUMMYFUNCTION("""COMPUTED_VALUE"""),"Juwan Johnson")</f>
        <v>Juwan Johnson</v>
      </c>
      <c r="E246" s="5" t="str">
        <f>IFERROR(__xludf.DUMMYFUNCTION("""COMPUTED_VALUE"""),"TE21")</f>
        <v>TE21</v>
      </c>
      <c r="F246" s="5" t="str">
        <f>IFERROR(__xludf.DUMMYFUNCTION("""COMPUTED_VALUE"""),"NO")</f>
        <v>NO</v>
      </c>
      <c r="G246" s="5">
        <f>IFERROR(__xludf.DUMMYFUNCTION("""COMPUTED_VALUE"""),11.0)</f>
        <v>11</v>
      </c>
      <c r="H246" s="5">
        <f>IFERROR(__xludf.DUMMYFUNCTION("""COMPUTED_VALUE"""),0.0)</f>
        <v>0</v>
      </c>
      <c r="I246" s="5">
        <f>IFERROR(__xludf.DUMMYFUNCTION("""COMPUTED_VALUE"""),0.0)</f>
        <v>0</v>
      </c>
      <c r="J246" s="5">
        <f>IFERROR(__xludf.DUMMYFUNCTION("""COMPUTED_VALUE"""),0.0)</f>
        <v>0</v>
      </c>
      <c r="K246" s="5">
        <f>IFERROR(__xludf.DUMMYFUNCTION("""COMPUTED_VALUE"""),6.0)</f>
        <v>6</v>
      </c>
      <c r="L246" s="5">
        <f>IFERROR(__xludf.DUMMYFUNCTION("""COMPUTED_VALUE"""),0.1)</f>
        <v>0.1</v>
      </c>
      <c r="M246" s="5">
        <f>IFERROR(__xludf.DUMMYFUNCTION("""COMPUTED_VALUE"""),38.0)</f>
        <v>38</v>
      </c>
      <c r="N246" s="5">
        <f>IFERROR(__xludf.DUMMYFUNCTION("""COMPUTED_VALUE"""),449.0)</f>
        <v>449</v>
      </c>
      <c r="O246" s="5">
        <f>IFERROR(__xludf.DUMMYFUNCTION("""COMPUTED_VALUE"""),4.0)</f>
        <v>4</v>
      </c>
      <c r="P246" s="5">
        <f>IFERROR(__xludf.DUMMYFUNCTION("""COMPUTED_VALUE"""),88.9)</f>
        <v>88.9</v>
      </c>
    </row>
    <row r="247">
      <c r="A247" s="19" t="str">
        <f>vlookup(B247,'Player Codes'!A:D,4,)</f>
        <v>0176</v>
      </c>
      <c r="B247" s="21" t="s">
        <v>757</v>
      </c>
      <c r="C247" s="5">
        <f>IFERROR(__xludf.DUMMYFUNCTION("""COMPUTED_VALUE"""),243.0)</f>
        <v>243</v>
      </c>
      <c r="D247" s="5" t="str">
        <f>IFERROR(__xludf.DUMMYFUNCTION("""COMPUTED_VALUE"""),"Damien Harris")</f>
        <v>Damien Harris</v>
      </c>
      <c r="E247" s="5" t="str">
        <f>IFERROR(__xludf.DUMMYFUNCTION("""COMPUTED_VALUE"""),"RB55")</f>
        <v>RB55</v>
      </c>
      <c r="F247" s="5" t="str">
        <f>IFERROR(__xludf.DUMMYFUNCTION("""COMPUTED_VALUE"""),"BUF")</f>
        <v>BUF</v>
      </c>
      <c r="G247" s="5">
        <f>IFERROR(__xludf.DUMMYFUNCTION("""COMPUTED_VALUE"""),13.0)</f>
        <v>13</v>
      </c>
      <c r="H247" s="5">
        <f>IFERROR(__xludf.DUMMYFUNCTION("""COMPUTED_VALUE"""),0.0)</f>
        <v>0</v>
      </c>
      <c r="I247" s="5">
        <f>IFERROR(__xludf.DUMMYFUNCTION("""COMPUTED_VALUE"""),0.0)</f>
        <v>0</v>
      </c>
      <c r="J247" s="5">
        <f>IFERROR(__xludf.DUMMYFUNCTION("""COMPUTED_VALUE"""),0.0)</f>
        <v>0</v>
      </c>
      <c r="K247" s="5">
        <f>IFERROR(__xludf.DUMMYFUNCTION("""COMPUTED_VALUE"""),494.0)</f>
        <v>494</v>
      </c>
      <c r="L247" s="5">
        <f>IFERROR(__xludf.DUMMYFUNCTION("""COMPUTED_VALUE"""),3.5)</f>
        <v>3.5</v>
      </c>
      <c r="M247" s="5">
        <f>IFERROR(__xludf.DUMMYFUNCTION("""COMPUTED_VALUE"""),14.0)</f>
        <v>14</v>
      </c>
      <c r="N247" s="5">
        <f>IFERROR(__xludf.DUMMYFUNCTION("""COMPUTED_VALUE"""),91.0)</f>
        <v>91</v>
      </c>
      <c r="O247" s="5">
        <f>IFERROR(__xludf.DUMMYFUNCTION("""COMPUTED_VALUE"""),0.4)</f>
        <v>0.4</v>
      </c>
      <c r="P247" s="5">
        <f>IFERROR(__xludf.DUMMYFUNCTION("""COMPUTED_VALUE"""),88.8)</f>
        <v>88.8</v>
      </c>
    </row>
    <row r="248">
      <c r="A248" s="19" t="str">
        <f>vlookup(B248,'Player Codes'!A:D,4,)</f>
        <v>0075</v>
      </c>
      <c r="B248" s="21" t="s">
        <v>478</v>
      </c>
      <c r="C248" s="5">
        <f>IFERROR(__xludf.DUMMYFUNCTION("""COMPUTED_VALUE"""),244.0)</f>
        <v>244</v>
      </c>
      <c r="D248" s="5" t="str">
        <f>IFERROR(__xludf.DUMMYFUNCTION("""COMPUTED_VALUE"""),"Tutu Atwell")</f>
        <v>Tutu Atwell</v>
      </c>
      <c r="E248" s="5" t="str">
        <f>IFERROR(__xludf.DUMMYFUNCTION("""COMPUTED_VALUE"""),"WR74")</f>
        <v>WR74</v>
      </c>
      <c r="F248" s="5" t="str">
        <f>IFERROR(__xludf.DUMMYFUNCTION("""COMPUTED_VALUE"""),"LAR")</f>
        <v>LAR</v>
      </c>
      <c r="G248" s="5">
        <f>IFERROR(__xludf.DUMMYFUNCTION("""COMPUTED_VALUE"""),10.0)</f>
        <v>10</v>
      </c>
      <c r="H248" s="5">
        <f>IFERROR(__xludf.DUMMYFUNCTION("""COMPUTED_VALUE"""),0.0)</f>
        <v>0</v>
      </c>
      <c r="I248" s="5">
        <f>IFERROR(__xludf.DUMMYFUNCTION("""COMPUTED_VALUE"""),0.0)</f>
        <v>0</v>
      </c>
      <c r="J248" s="5">
        <f>IFERROR(__xludf.DUMMYFUNCTION("""COMPUTED_VALUE"""),0.0)</f>
        <v>0</v>
      </c>
      <c r="K248" s="5">
        <f>IFERROR(__xludf.DUMMYFUNCTION("""COMPUTED_VALUE"""),28.0)</f>
        <v>28</v>
      </c>
      <c r="L248" s="5">
        <f>IFERROR(__xludf.DUMMYFUNCTION("""COMPUTED_VALUE"""),0.3)</f>
        <v>0.3</v>
      </c>
      <c r="M248" s="5">
        <f>IFERROR(__xludf.DUMMYFUNCTION("""COMPUTED_VALUE"""),40.0)</f>
        <v>40</v>
      </c>
      <c r="N248" s="5">
        <f>IFERROR(__xludf.DUMMYFUNCTION("""COMPUTED_VALUE"""),481.0)</f>
        <v>481</v>
      </c>
      <c r="O248" s="5">
        <f>IFERROR(__xludf.DUMMYFUNCTION("""COMPUTED_VALUE"""),2.6)</f>
        <v>2.6</v>
      </c>
      <c r="P248" s="5">
        <f>IFERROR(__xludf.DUMMYFUNCTION("""COMPUTED_VALUE"""),88.5)</f>
        <v>88.5</v>
      </c>
    </row>
    <row r="249">
      <c r="A249" s="19" t="str">
        <f>vlookup(B249,'Player Codes'!A:D,4,)</f>
        <v>0214</v>
      </c>
      <c r="B249" s="21" t="s">
        <v>834</v>
      </c>
      <c r="C249" s="5">
        <f>IFERROR(__xludf.DUMMYFUNCTION("""COMPUTED_VALUE"""),244.0)</f>
        <v>244</v>
      </c>
      <c r="D249" s="5" t="str">
        <f>IFERROR(__xludf.DUMMYFUNCTION("""COMPUTED_VALUE"""),"Michael Mayer")</f>
        <v>Michael Mayer</v>
      </c>
      <c r="E249" s="5" t="str">
        <f>IFERROR(__xludf.DUMMYFUNCTION("""COMPUTED_VALUE"""),"TE22")</f>
        <v>TE22</v>
      </c>
      <c r="F249" s="5" t="str">
        <f>IFERROR(__xludf.DUMMYFUNCTION("""COMPUTED_VALUE"""),"LV")</f>
        <v>LV</v>
      </c>
      <c r="G249" s="5">
        <f>IFERROR(__xludf.DUMMYFUNCTION("""COMPUTED_VALUE"""),13.0)</f>
        <v>13</v>
      </c>
      <c r="H249" s="5">
        <f>IFERROR(__xludf.DUMMYFUNCTION("""COMPUTED_VALUE"""),0.0)</f>
        <v>0</v>
      </c>
      <c r="I249" s="5">
        <f>IFERROR(__xludf.DUMMYFUNCTION("""COMPUTED_VALUE"""),0.0)</f>
        <v>0</v>
      </c>
      <c r="J249" s="5">
        <f>IFERROR(__xludf.DUMMYFUNCTION("""COMPUTED_VALUE"""),0.0)</f>
        <v>0</v>
      </c>
      <c r="K249" s="5">
        <f>IFERROR(__xludf.DUMMYFUNCTION("""COMPUTED_VALUE"""),6.0)</f>
        <v>6</v>
      </c>
      <c r="L249" s="5">
        <f>IFERROR(__xludf.DUMMYFUNCTION("""COMPUTED_VALUE"""),0.1)</f>
        <v>0.1</v>
      </c>
      <c r="M249" s="5">
        <f>IFERROR(__xludf.DUMMYFUNCTION("""COMPUTED_VALUE"""),41.0)</f>
        <v>41</v>
      </c>
      <c r="N249" s="5">
        <f>IFERROR(__xludf.DUMMYFUNCTION("""COMPUTED_VALUE"""),508.0)</f>
        <v>508</v>
      </c>
      <c r="O249" s="5">
        <f>IFERROR(__xludf.DUMMYFUNCTION("""COMPUTED_VALUE"""),2.7)</f>
        <v>2.7</v>
      </c>
      <c r="P249" s="5">
        <f>IFERROR(__xludf.DUMMYFUNCTION("""COMPUTED_VALUE"""),88.5)</f>
        <v>88.5</v>
      </c>
    </row>
    <row r="250">
      <c r="A250" s="19" t="str">
        <f>vlookup(B250,'Player Codes'!A:D,4,)</f>
        <v>0125</v>
      </c>
      <c r="B250" s="21" t="s">
        <v>843</v>
      </c>
      <c r="C250" s="5">
        <f>IFERROR(__xludf.DUMMYFUNCTION("""COMPUTED_VALUE"""),246.0)</f>
        <v>246</v>
      </c>
      <c r="D250" s="5" t="str">
        <f>IFERROR(__xludf.DUMMYFUNCTION("""COMPUTED_VALUE"""),"Hunter Henry")</f>
        <v>Hunter Henry</v>
      </c>
      <c r="E250" s="5" t="str">
        <f>IFERROR(__xludf.DUMMYFUNCTION("""COMPUTED_VALUE"""),"TE23")</f>
        <v>TE23</v>
      </c>
      <c r="F250" s="5" t="str">
        <f>IFERROR(__xludf.DUMMYFUNCTION("""COMPUTED_VALUE"""),"NE")</f>
        <v>NE</v>
      </c>
      <c r="G250" s="5">
        <f>IFERROR(__xludf.DUMMYFUNCTION("""COMPUTED_VALUE"""),11.0)</f>
        <v>11</v>
      </c>
      <c r="H250" s="5">
        <f>IFERROR(__xludf.DUMMYFUNCTION("""COMPUTED_VALUE"""),0.0)</f>
        <v>0</v>
      </c>
      <c r="I250" s="5">
        <f>IFERROR(__xludf.DUMMYFUNCTION("""COMPUTED_VALUE"""),0.0)</f>
        <v>0</v>
      </c>
      <c r="J250" s="5">
        <f>IFERROR(__xludf.DUMMYFUNCTION("""COMPUTED_VALUE"""),0.0)</f>
        <v>0</v>
      </c>
      <c r="K250" s="5">
        <f>IFERROR(__xludf.DUMMYFUNCTION("""COMPUTED_VALUE"""),0.0)</f>
        <v>0</v>
      </c>
      <c r="L250" s="5">
        <f>IFERROR(__xludf.DUMMYFUNCTION("""COMPUTED_VALUE"""),0.0)</f>
        <v>0</v>
      </c>
      <c r="M250" s="5">
        <f>IFERROR(__xludf.DUMMYFUNCTION("""COMPUTED_VALUE"""),45.0)</f>
        <v>45</v>
      </c>
      <c r="N250" s="5">
        <f>IFERROR(__xludf.DUMMYFUNCTION("""COMPUTED_VALUE"""),451.0)</f>
        <v>451</v>
      </c>
      <c r="O250" s="5">
        <f>IFERROR(__xludf.DUMMYFUNCTION("""COMPUTED_VALUE"""),3.3)</f>
        <v>3.3</v>
      </c>
      <c r="P250" s="5">
        <f>IFERROR(__xludf.DUMMYFUNCTION("""COMPUTED_VALUE"""),87.4)</f>
        <v>87.4</v>
      </c>
    </row>
    <row r="251">
      <c r="A251" s="19" t="str">
        <f>vlookup(B251,'Player Codes'!A:D,4,)</f>
        <v>0141</v>
      </c>
      <c r="B251" s="21" t="s">
        <v>779</v>
      </c>
      <c r="C251" s="5">
        <f>IFERROR(__xludf.DUMMYFUNCTION("""COMPUTED_VALUE"""),247.0)</f>
        <v>247</v>
      </c>
      <c r="D251" s="5" t="str">
        <f>IFERROR(__xludf.DUMMYFUNCTION("""COMPUTED_VALUE"""),"Jalin Hyatt")</f>
        <v>Jalin Hyatt</v>
      </c>
      <c r="E251" s="5" t="str">
        <f>IFERROR(__xludf.DUMMYFUNCTION("""COMPUTED_VALUE"""),"WR75")</f>
        <v>WR75</v>
      </c>
      <c r="F251" s="5" t="str">
        <f>IFERROR(__xludf.DUMMYFUNCTION("""COMPUTED_VALUE"""),"NYG")</f>
        <v>NYG</v>
      </c>
      <c r="G251" s="5">
        <f>IFERROR(__xludf.DUMMYFUNCTION("""COMPUTED_VALUE"""),13.0)</f>
        <v>13</v>
      </c>
      <c r="H251" s="5">
        <f>IFERROR(__xludf.DUMMYFUNCTION("""COMPUTED_VALUE"""),0.0)</f>
        <v>0</v>
      </c>
      <c r="I251" s="5">
        <f>IFERROR(__xludf.DUMMYFUNCTION("""COMPUTED_VALUE"""),0.0)</f>
        <v>0</v>
      </c>
      <c r="J251" s="5">
        <f>IFERROR(__xludf.DUMMYFUNCTION("""COMPUTED_VALUE"""),0.0)</f>
        <v>0</v>
      </c>
      <c r="K251" s="5">
        <f>IFERROR(__xludf.DUMMYFUNCTION("""COMPUTED_VALUE"""),11.0)</f>
        <v>11</v>
      </c>
      <c r="L251" s="5">
        <f>IFERROR(__xludf.DUMMYFUNCTION("""COMPUTED_VALUE"""),0.1)</f>
        <v>0.1</v>
      </c>
      <c r="M251" s="5">
        <f>IFERROR(__xludf.DUMMYFUNCTION("""COMPUTED_VALUE"""),40.0)</f>
        <v>40</v>
      </c>
      <c r="N251" s="5">
        <f>IFERROR(__xludf.DUMMYFUNCTION("""COMPUTED_VALUE"""),505.0)</f>
        <v>505</v>
      </c>
      <c r="O251" s="5">
        <f>IFERROR(__xludf.DUMMYFUNCTION("""COMPUTED_VALUE"""),2.5)</f>
        <v>2.5</v>
      </c>
      <c r="P251" s="5">
        <f>IFERROR(__xludf.DUMMYFUNCTION("""COMPUTED_VALUE"""),87.3)</f>
        <v>87.3</v>
      </c>
    </row>
    <row r="252">
      <c r="A252" s="19" t="str">
        <f>vlookup(B252,'Player Codes'!A:D,4,)</f>
        <v>0272</v>
      </c>
      <c r="B252" s="21" t="s">
        <v>693</v>
      </c>
      <c r="C252" s="5">
        <f>IFERROR(__xludf.DUMMYFUNCTION("""COMPUTED_VALUE"""),248.0)</f>
        <v>248</v>
      </c>
      <c r="D252" s="5" t="str">
        <f>IFERROR(__xludf.DUMMYFUNCTION("""COMPUTED_VALUE"""),"Terrace Marshall Jr.")</f>
        <v>Terrace Marshall Jr.</v>
      </c>
      <c r="E252" s="5" t="str">
        <f>IFERROR(__xludf.DUMMYFUNCTION("""COMPUTED_VALUE"""),"WR76")</f>
        <v>WR76</v>
      </c>
      <c r="F252" s="5" t="str">
        <f>IFERROR(__xludf.DUMMYFUNCTION("""COMPUTED_VALUE"""),"CAR")</f>
        <v>CAR</v>
      </c>
      <c r="G252" s="5">
        <f>IFERROR(__xludf.DUMMYFUNCTION("""COMPUTED_VALUE"""),7.0)</f>
        <v>7</v>
      </c>
      <c r="H252" s="5">
        <f>IFERROR(__xludf.DUMMYFUNCTION("""COMPUTED_VALUE"""),0.0)</f>
        <v>0</v>
      </c>
      <c r="I252" s="5">
        <f>IFERROR(__xludf.DUMMYFUNCTION("""COMPUTED_VALUE"""),0.0)</f>
        <v>0</v>
      </c>
      <c r="J252" s="5">
        <f>IFERROR(__xludf.DUMMYFUNCTION("""COMPUTED_VALUE"""),0.0)</f>
        <v>0</v>
      </c>
      <c r="K252" s="5">
        <f>IFERROR(__xludf.DUMMYFUNCTION("""COMPUTED_VALUE"""),14.0)</f>
        <v>14</v>
      </c>
      <c r="L252" s="5">
        <f>IFERROR(__xludf.DUMMYFUNCTION("""COMPUTED_VALUE"""),0.1)</f>
        <v>0.1</v>
      </c>
      <c r="M252" s="5">
        <f>IFERROR(__xludf.DUMMYFUNCTION("""COMPUTED_VALUE"""),40.0)</f>
        <v>40</v>
      </c>
      <c r="N252" s="5">
        <f>IFERROR(__xludf.DUMMYFUNCTION("""COMPUTED_VALUE"""),468.0)</f>
        <v>468</v>
      </c>
      <c r="O252" s="5">
        <f>IFERROR(__xludf.DUMMYFUNCTION("""COMPUTED_VALUE"""),2.9)</f>
        <v>2.9</v>
      </c>
      <c r="P252" s="5">
        <f>IFERROR(__xludf.DUMMYFUNCTION("""COMPUTED_VALUE"""),86.3)</f>
        <v>86.3</v>
      </c>
    </row>
    <row r="253">
      <c r="A253" s="19" t="str">
        <f>vlookup(B253,'Player Codes'!A:D,4,)</f>
        <v>0196</v>
      </c>
      <c r="B253" s="23" t="s">
        <v>2345</v>
      </c>
      <c r="C253" s="5">
        <f>IFERROR(__xludf.DUMMYFUNCTION("""COMPUTED_VALUE"""),249.0)</f>
        <v>249</v>
      </c>
      <c r="D253" s="5" t="str">
        <f>IFERROR(__xludf.DUMMYFUNCTION("""COMPUTED_VALUE"""),"Las Vegas Raiders")</f>
        <v>Las Vegas Raiders</v>
      </c>
      <c r="E253" s="5" t="str">
        <f>IFERROR(__xludf.DUMMYFUNCTION("""COMPUTED_VALUE"""),"DST32")</f>
        <v>DST32</v>
      </c>
      <c r="F253" s="5" t="str">
        <f>IFERROR(__xludf.DUMMYFUNCTION("""COMPUTED_VALUE"""),"LV")</f>
        <v>LV</v>
      </c>
      <c r="G253" s="5">
        <f>IFERROR(__xludf.DUMMYFUNCTION("""COMPUTED_VALUE"""),13.0)</f>
        <v>13</v>
      </c>
      <c r="H253" s="5" t="str">
        <f>IFERROR(__xludf.DUMMYFUNCTION("""COMPUTED_VALUE"""),"--")</f>
        <v>--</v>
      </c>
      <c r="I253" s="5" t="str">
        <f>IFERROR(__xludf.DUMMYFUNCTION("""COMPUTED_VALUE"""),"--")</f>
        <v>--</v>
      </c>
      <c r="J253" s="5" t="str">
        <f>IFERROR(__xludf.DUMMYFUNCTION("""COMPUTED_VALUE"""),"--")</f>
        <v>--</v>
      </c>
      <c r="K253" s="5" t="str">
        <f>IFERROR(__xludf.DUMMYFUNCTION("""COMPUTED_VALUE"""),"--")</f>
        <v>--</v>
      </c>
      <c r="L253" s="5" t="str">
        <f>IFERROR(__xludf.DUMMYFUNCTION("""COMPUTED_VALUE"""),"--")</f>
        <v>--</v>
      </c>
      <c r="M253" s="5" t="str">
        <f>IFERROR(__xludf.DUMMYFUNCTION("""COMPUTED_VALUE"""),"--")</f>
        <v>--</v>
      </c>
      <c r="N253" s="5" t="str">
        <f>IFERROR(__xludf.DUMMYFUNCTION("""COMPUTED_VALUE"""),"--")</f>
        <v>--</v>
      </c>
      <c r="O253" s="5" t="str">
        <f>IFERROR(__xludf.DUMMYFUNCTION("""COMPUTED_VALUE"""),"--")</f>
        <v>--</v>
      </c>
      <c r="P253" s="5">
        <f>IFERROR(__xludf.DUMMYFUNCTION("""COMPUTED_VALUE"""),85.7)</f>
        <v>85.7</v>
      </c>
    </row>
    <row r="254">
      <c r="A254" s="19" t="str">
        <f>vlookup(B254,'Player Codes'!A:D,4,)</f>
        <v>0233</v>
      </c>
      <c r="B254" s="21" t="s">
        <v>643</v>
      </c>
      <c r="C254" s="5">
        <f>IFERROR(__xludf.DUMMYFUNCTION("""COMPUTED_VALUE"""),249.0)</f>
        <v>249</v>
      </c>
      <c r="D254" s="5" t="str">
        <f>IFERROR(__xludf.DUMMYFUNCTION("""COMPUTED_VALUE"""),"Parris Campbell")</f>
        <v>Parris Campbell</v>
      </c>
      <c r="E254" s="5" t="str">
        <f>IFERROR(__xludf.DUMMYFUNCTION("""COMPUTED_VALUE"""),"WR77")</f>
        <v>WR77</v>
      </c>
      <c r="F254" s="5" t="str">
        <f>IFERROR(__xludf.DUMMYFUNCTION("""COMPUTED_VALUE"""),"NYG")</f>
        <v>NYG</v>
      </c>
      <c r="G254" s="5">
        <f>IFERROR(__xludf.DUMMYFUNCTION("""COMPUTED_VALUE"""),13.0)</f>
        <v>13</v>
      </c>
      <c r="H254" s="5">
        <f>IFERROR(__xludf.DUMMYFUNCTION("""COMPUTED_VALUE"""),0.0)</f>
        <v>0</v>
      </c>
      <c r="I254" s="5">
        <f>IFERROR(__xludf.DUMMYFUNCTION("""COMPUTED_VALUE"""),0.0)</f>
        <v>0</v>
      </c>
      <c r="J254" s="5">
        <f>IFERROR(__xludf.DUMMYFUNCTION("""COMPUTED_VALUE"""),0.0)</f>
        <v>0</v>
      </c>
      <c r="K254" s="5">
        <f>IFERROR(__xludf.DUMMYFUNCTION("""COMPUTED_VALUE"""),7.0)</f>
        <v>7</v>
      </c>
      <c r="L254" s="5">
        <f>IFERROR(__xludf.DUMMYFUNCTION("""COMPUTED_VALUE"""),0.1)</f>
        <v>0.1</v>
      </c>
      <c r="M254" s="5">
        <f>IFERROR(__xludf.DUMMYFUNCTION("""COMPUTED_VALUE"""),43.0)</f>
        <v>43</v>
      </c>
      <c r="N254" s="5">
        <f>IFERROR(__xludf.DUMMYFUNCTION("""COMPUTED_VALUE"""),474.0)</f>
        <v>474</v>
      </c>
      <c r="O254" s="5">
        <f>IFERROR(__xludf.DUMMYFUNCTION("""COMPUTED_VALUE"""),2.6)</f>
        <v>2.6</v>
      </c>
      <c r="P254" s="5">
        <f>IFERROR(__xludf.DUMMYFUNCTION("""COMPUTED_VALUE"""),85.7)</f>
        <v>85.7</v>
      </c>
    </row>
    <row r="255">
      <c r="A255" s="19" t="str">
        <f>vlookup(B255,'Player Codes'!A:D,4,)</f>
        <v>0162</v>
      </c>
      <c r="B255" s="21" t="s">
        <v>708</v>
      </c>
      <c r="C255" s="5">
        <f>IFERROR(__xludf.DUMMYFUNCTION("""COMPUTED_VALUE"""),251.0)</f>
        <v>251</v>
      </c>
      <c r="D255" s="5" t="str">
        <f>IFERROR(__xludf.DUMMYFUNCTION("""COMPUTED_VALUE"""),"John Metchie III")</f>
        <v>John Metchie III</v>
      </c>
      <c r="E255" s="5" t="str">
        <f>IFERROR(__xludf.DUMMYFUNCTION("""COMPUTED_VALUE"""),"WR78")</f>
        <v>WR78</v>
      </c>
      <c r="F255" s="5" t="str">
        <f>IFERROR(__xludf.DUMMYFUNCTION("""COMPUTED_VALUE"""),"HOU")</f>
        <v>HOU</v>
      </c>
      <c r="G255" s="5">
        <f>IFERROR(__xludf.DUMMYFUNCTION("""COMPUTED_VALUE"""),7.0)</f>
        <v>7</v>
      </c>
      <c r="H255" s="5">
        <f>IFERROR(__xludf.DUMMYFUNCTION("""COMPUTED_VALUE"""),0.0)</f>
        <v>0</v>
      </c>
      <c r="I255" s="5">
        <f>IFERROR(__xludf.DUMMYFUNCTION("""COMPUTED_VALUE"""),0.0)</f>
        <v>0</v>
      </c>
      <c r="J255" s="5">
        <f>IFERROR(__xludf.DUMMYFUNCTION("""COMPUTED_VALUE"""),0.0)</f>
        <v>0</v>
      </c>
      <c r="K255" s="5">
        <f>IFERROR(__xludf.DUMMYFUNCTION("""COMPUTED_VALUE"""),12.0)</f>
        <v>12</v>
      </c>
      <c r="L255" s="5">
        <f>IFERROR(__xludf.DUMMYFUNCTION("""COMPUTED_VALUE"""),0.0)</f>
        <v>0</v>
      </c>
      <c r="M255" s="5">
        <f>IFERROR(__xludf.DUMMYFUNCTION("""COMPUTED_VALUE"""),40.0)</f>
        <v>40</v>
      </c>
      <c r="N255" s="5">
        <f>IFERROR(__xludf.DUMMYFUNCTION("""COMPUTED_VALUE"""),476.0)</f>
        <v>476</v>
      </c>
      <c r="O255" s="5">
        <f>IFERROR(__xludf.DUMMYFUNCTION("""COMPUTED_VALUE"""),2.8)</f>
        <v>2.8</v>
      </c>
      <c r="P255" s="5">
        <f>IFERROR(__xludf.DUMMYFUNCTION("""COMPUTED_VALUE"""),85.5)</f>
        <v>85.5</v>
      </c>
    </row>
    <row r="256">
      <c r="A256" s="19" t="str">
        <f>vlookup(B256,'Player Codes'!A:D,4,)</f>
        <v>0205</v>
      </c>
      <c r="B256" s="21" t="s">
        <v>711</v>
      </c>
      <c r="C256" s="5">
        <f>IFERROR(__xludf.DUMMYFUNCTION("""COMPUTED_VALUE"""),251.0)</f>
        <v>251</v>
      </c>
      <c r="D256" s="5" t="str">
        <f>IFERROR(__xludf.DUMMYFUNCTION("""COMPUTED_VALUE"""),"Puka Nacua")</f>
        <v>Puka Nacua</v>
      </c>
      <c r="E256" s="5" t="str">
        <f>IFERROR(__xludf.DUMMYFUNCTION("""COMPUTED_VALUE"""),"WR78")</f>
        <v>WR78</v>
      </c>
      <c r="F256" s="5" t="str">
        <f>IFERROR(__xludf.DUMMYFUNCTION("""COMPUTED_VALUE"""),"LAR")</f>
        <v>LAR</v>
      </c>
      <c r="G256" s="5">
        <f>IFERROR(__xludf.DUMMYFUNCTION("""COMPUTED_VALUE"""),10.0)</f>
        <v>10</v>
      </c>
      <c r="H256" s="5">
        <f>IFERROR(__xludf.DUMMYFUNCTION("""COMPUTED_VALUE"""),0.0)</f>
        <v>0</v>
      </c>
      <c r="I256" s="5">
        <f>IFERROR(__xludf.DUMMYFUNCTION("""COMPUTED_VALUE"""),0.0)</f>
        <v>0</v>
      </c>
      <c r="J256" s="5">
        <f>IFERROR(__xludf.DUMMYFUNCTION("""COMPUTED_VALUE"""),0.0)</f>
        <v>0</v>
      </c>
      <c r="K256" s="5">
        <f>IFERROR(__xludf.DUMMYFUNCTION("""COMPUTED_VALUE"""),31.0)</f>
        <v>31</v>
      </c>
      <c r="L256" s="5">
        <f>IFERROR(__xludf.DUMMYFUNCTION("""COMPUTED_VALUE"""),0.2)</f>
        <v>0.2</v>
      </c>
      <c r="M256" s="5">
        <f>IFERROR(__xludf.DUMMYFUNCTION("""COMPUTED_VALUE"""),41.0)</f>
        <v>41</v>
      </c>
      <c r="N256" s="5">
        <f>IFERROR(__xludf.DUMMYFUNCTION("""COMPUTED_VALUE"""),468.0)</f>
        <v>468</v>
      </c>
      <c r="O256" s="5">
        <f>IFERROR(__xludf.DUMMYFUNCTION("""COMPUTED_VALUE"""),2.3)</f>
        <v>2.3</v>
      </c>
      <c r="P256" s="5">
        <f>IFERROR(__xludf.DUMMYFUNCTION("""COMPUTED_VALUE"""),85.5)</f>
        <v>85.5</v>
      </c>
    </row>
    <row r="257">
      <c r="A257" s="19" t="str">
        <f>vlookup(B257,'Player Codes'!A:D,4,)</f>
        <v>0006</v>
      </c>
      <c r="B257" s="21" t="s">
        <v>721</v>
      </c>
      <c r="C257" s="5">
        <f>IFERROR(__xludf.DUMMYFUNCTION("""COMPUTED_VALUE"""),253.0)</f>
        <v>253</v>
      </c>
      <c r="D257" s="5" t="str">
        <f>IFERROR(__xludf.DUMMYFUNCTION("""COMPUTED_VALUE"""),"Marvin Jones Jr.")</f>
        <v>Marvin Jones Jr.</v>
      </c>
      <c r="E257" s="5" t="str">
        <f>IFERROR(__xludf.DUMMYFUNCTION("""COMPUTED_VALUE"""),"WR80")</f>
        <v>WR80</v>
      </c>
      <c r="F257" s="5" t="str">
        <f>IFERROR(__xludf.DUMMYFUNCTION("""COMPUTED_VALUE"""),"DET")</f>
        <v>DET</v>
      </c>
      <c r="G257" s="5">
        <f>IFERROR(__xludf.DUMMYFUNCTION("""COMPUTED_VALUE"""),9.0)</f>
        <v>9</v>
      </c>
      <c r="H257" s="5">
        <f>IFERROR(__xludf.DUMMYFUNCTION("""COMPUTED_VALUE"""),0.0)</f>
        <v>0</v>
      </c>
      <c r="I257" s="5">
        <f>IFERROR(__xludf.DUMMYFUNCTION("""COMPUTED_VALUE"""),0.0)</f>
        <v>0</v>
      </c>
      <c r="J257" s="5">
        <f>IFERROR(__xludf.DUMMYFUNCTION("""COMPUTED_VALUE"""),0.0)</f>
        <v>0</v>
      </c>
      <c r="K257" s="5">
        <f>IFERROR(__xludf.DUMMYFUNCTION("""COMPUTED_VALUE"""),0.0)</f>
        <v>0</v>
      </c>
      <c r="L257" s="5">
        <f>IFERROR(__xludf.DUMMYFUNCTION("""COMPUTED_VALUE"""),0.0)</f>
        <v>0</v>
      </c>
      <c r="M257" s="5">
        <f>IFERROR(__xludf.DUMMYFUNCTION("""COMPUTED_VALUE"""),41.0)</f>
        <v>41</v>
      </c>
      <c r="N257" s="5">
        <f>IFERROR(__xludf.DUMMYFUNCTION("""COMPUTED_VALUE"""),522.0)</f>
        <v>522</v>
      </c>
      <c r="O257" s="5">
        <f>IFERROR(__xludf.DUMMYFUNCTION("""COMPUTED_VALUE"""),2.1)</f>
        <v>2.1</v>
      </c>
      <c r="P257" s="5">
        <f>IFERROR(__xludf.DUMMYFUNCTION("""COMPUTED_VALUE"""),85.2)</f>
        <v>85.2</v>
      </c>
    </row>
    <row r="258">
      <c r="A258" s="19" t="str">
        <f>vlookup(B258,'Player Codes'!A:D,4,)</f>
        <v>0211</v>
      </c>
      <c r="B258" s="21" t="s">
        <v>724</v>
      </c>
      <c r="C258" s="5">
        <f>IFERROR(__xludf.DUMMYFUNCTION("""COMPUTED_VALUE"""),254.0)</f>
        <v>254</v>
      </c>
      <c r="D258" s="5" t="str">
        <f>IFERROR(__xludf.DUMMYFUNCTION("""COMPUTED_VALUE"""),"Alec Pierce")</f>
        <v>Alec Pierce</v>
      </c>
      <c r="E258" s="5" t="str">
        <f>IFERROR(__xludf.DUMMYFUNCTION("""COMPUTED_VALUE"""),"WR81")</f>
        <v>WR81</v>
      </c>
      <c r="F258" s="5" t="str">
        <f>IFERROR(__xludf.DUMMYFUNCTION("""COMPUTED_VALUE"""),"IND")</f>
        <v>IND</v>
      </c>
      <c r="G258" s="5">
        <f>IFERROR(__xludf.DUMMYFUNCTION("""COMPUTED_VALUE"""),11.0)</f>
        <v>11</v>
      </c>
      <c r="H258" s="5">
        <f>IFERROR(__xludf.DUMMYFUNCTION("""COMPUTED_VALUE"""),0.0)</f>
        <v>0</v>
      </c>
      <c r="I258" s="5">
        <f>IFERROR(__xludf.DUMMYFUNCTION("""COMPUTED_VALUE"""),0.0)</f>
        <v>0</v>
      </c>
      <c r="J258" s="5">
        <f>IFERROR(__xludf.DUMMYFUNCTION("""COMPUTED_VALUE"""),0.0)</f>
        <v>0</v>
      </c>
      <c r="K258" s="5">
        <f>IFERROR(__xludf.DUMMYFUNCTION("""COMPUTED_VALUE"""),8.0)</f>
        <v>8</v>
      </c>
      <c r="L258" s="5">
        <f>IFERROR(__xludf.DUMMYFUNCTION("""COMPUTED_VALUE"""),0.1)</f>
        <v>0.1</v>
      </c>
      <c r="M258" s="5">
        <f>IFERROR(__xludf.DUMMYFUNCTION("""COMPUTED_VALUE"""),33.0)</f>
        <v>33</v>
      </c>
      <c r="N258" s="5">
        <f>IFERROR(__xludf.DUMMYFUNCTION("""COMPUTED_VALUE"""),493.0)</f>
        <v>493</v>
      </c>
      <c r="O258" s="5">
        <f>IFERROR(__xludf.DUMMYFUNCTION("""COMPUTED_VALUE"""),3.0)</f>
        <v>3</v>
      </c>
      <c r="P258" s="5">
        <f>IFERROR(__xludf.DUMMYFUNCTION("""COMPUTED_VALUE"""),85.1)</f>
        <v>85.1</v>
      </c>
    </row>
    <row r="259">
      <c r="A259" s="19" t="str">
        <f>vlookup(B259,'Player Codes'!A:D,4,)</f>
        <v>0033</v>
      </c>
      <c r="B259" s="21" t="s">
        <v>869</v>
      </c>
      <c r="C259" s="5">
        <f>IFERROR(__xludf.DUMMYFUNCTION("""COMPUTED_VALUE"""),255.0)</f>
        <v>255</v>
      </c>
      <c r="D259" s="5" t="str">
        <f>IFERROR(__xludf.DUMMYFUNCTION("""COMPUTED_VALUE"""),"Mecole Hardman Jr.")</f>
        <v>Mecole Hardman Jr.</v>
      </c>
      <c r="E259" s="5" t="str">
        <f>IFERROR(__xludf.DUMMYFUNCTION("""COMPUTED_VALUE"""),"WR82")</f>
        <v>WR82</v>
      </c>
      <c r="F259" s="5" t="str">
        <f>IFERROR(__xludf.DUMMYFUNCTION("""COMPUTED_VALUE"""),"NYJ")</f>
        <v>NYJ</v>
      </c>
      <c r="G259" s="5">
        <f>IFERROR(__xludf.DUMMYFUNCTION("""COMPUTED_VALUE"""),7.0)</f>
        <v>7</v>
      </c>
      <c r="H259" s="5">
        <f>IFERROR(__xludf.DUMMYFUNCTION("""COMPUTED_VALUE"""),0.0)</f>
        <v>0</v>
      </c>
      <c r="I259" s="5">
        <f>IFERROR(__xludf.DUMMYFUNCTION("""COMPUTED_VALUE"""),0.0)</f>
        <v>0</v>
      </c>
      <c r="J259" s="5">
        <f>IFERROR(__xludf.DUMMYFUNCTION("""COMPUTED_VALUE"""),0.0)</f>
        <v>0</v>
      </c>
      <c r="K259" s="5">
        <f>IFERROR(__xludf.DUMMYFUNCTION("""COMPUTED_VALUE"""),63.0)</f>
        <v>63</v>
      </c>
      <c r="L259" s="5">
        <f>IFERROR(__xludf.DUMMYFUNCTION("""COMPUTED_VALUE"""),0.4)</f>
        <v>0.4</v>
      </c>
      <c r="M259" s="5">
        <f>IFERROR(__xludf.DUMMYFUNCTION("""COMPUTED_VALUE"""),38.0)</f>
        <v>38</v>
      </c>
      <c r="N259" s="5">
        <f>IFERROR(__xludf.DUMMYFUNCTION("""COMPUTED_VALUE"""),431.0)</f>
        <v>431</v>
      </c>
      <c r="O259" s="5">
        <f>IFERROR(__xludf.DUMMYFUNCTION("""COMPUTED_VALUE"""),2.4)</f>
        <v>2.4</v>
      </c>
      <c r="P259" s="5">
        <f>IFERROR(__xludf.DUMMYFUNCTION("""COMPUTED_VALUE"""),85.0)</f>
        <v>85</v>
      </c>
    </row>
    <row r="260">
      <c r="A260" s="19" t="str">
        <f>vlookup(B260,'Player Codes'!A:D,4,)</f>
        <v>0267</v>
      </c>
      <c r="B260" s="21" t="s">
        <v>730</v>
      </c>
      <c r="C260" s="5">
        <f>IFERROR(__xludf.DUMMYFUNCTION("""COMPUTED_VALUE"""),256.0)</f>
        <v>256</v>
      </c>
      <c r="D260" s="5" t="str">
        <f>IFERROR(__xludf.DUMMYFUNCTION("""COMPUTED_VALUE"""),"Cade Otton")</f>
        <v>Cade Otton</v>
      </c>
      <c r="E260" s="5" t="str">
        <f>IFERROR(__xludf.DUMMYFUNCTION("""COMPUTED_VALUE"""),"TE24")</f>
        <v>TE24</v>
      </c>
      <c r="F260" s="5" t="str">
        <f>IFERROR(__xludf.DUMMYFUNCTION("""COMPUTED_VALUE"""),"TB")</f>
        <v>TB</v>
      </c>
      <c r="G260" s="5">
        <f>IFERROR(__xludf.DUMMYFUNCTION("""COMPUTED_VALUE"""),5.0)</f>
        <v>5</v>
      </c>
      <c r="H260" s="5">
        <f>IFERROR(__xludf.DUMMYFUNCTION("""COMPUTED_VALUE"""),0.0)</f>
        <v>0</v>
      </c>
      <c r="I260" s="5">
        <f>IFERROR(__xludf.DUMMYFUNCTION("""COMPUTED_VALUE"""),0.0)</f>
        <v>0</v>
      </c>
      <c r="J260" s="5">
        <f>IFERROR(__xludf.DUMMYFUNCTION("""COMPUTED_VALUE"""),0.0)</f>
        <v>0</v>
      </c>
      <c r="K260" s="5">
        <f>IFERROR(__xludf.DUMMYFUNCTION("""COMPUTED_VALUE"""),0.0)</f>
        <v>0</v>
      </c>
      <c r="L260" s="5">
        <f>IFERROR(__xludf.DUMMYFUNCTION("""COMPUTED_VALUE"""),0.0)</f>
        <v>0</v>
      </c>
      <c r="M260" s="5">
        <f>IFERROR(__xludf.DUMMYFUNCTION("""COMPUTED_VALUE"""),41.0)</f>
        <v>41</v>
      </c>
      <c r="N260" s="5">
        <f>IFERROR(__xludf.DUMMYFUNCTION("""COMPUTED_VALUE"""),471.0)</f>
        <v>471</v>
      </c>
      <c r="O260" s="5">
        <f>IFERROR(__xludf.DUMMYFUNCTION("""COMPUTED_VALUE"""),2.8)</f>
        <v>2.8</v>
      </c>
      <c r="P260" s="5">
        <f>IFERROR(__xludf.DUMMYFUNCTION("""COMPUTED_VALUE"""),84.6)</f>
        <v>84.6</v>
      </c>
    </row>
    <row r="261">
      <c r="A261" s="19" t="str">
        <f>vlookup(B261,'Player Codes'!A:D,4,)</f>
        <v>0084</v>
      </c>
      <c r="B261" s="21" t="s">
        <v>814</v>
      </c>
      <c r="C261" s="5">
        <f>IFERROR(__xludf.DUMMYFUNCTION("""COMPUTED_VALUE"""),257.0)</f>
        <v>257</v>
      </c>
      <c r="D261" s="5" t="str">
        <f>IFERROR(__xludf.DUMMYFUNCTION("""COMPUTED_VALUE"""),"Tank Dell")</f>
        <v>Tank Dell</v>
      </c>
      <c r="E261" s="5" t="str">
        <f>IFERROR(__xludf.DUMMYFUNCTION("""COMPUTED_VALUE"""),"WR83")</f>
        <v>WR83</v>
      </c>
      <c r="F261" s="5" t="str">
        <f>IFERROR(__xludf.DUMMYFUNCTION("""COMPUTED_VALUE"""),"HOU")</f>
        <v>HOU</v>
      </c>
      <c r="G261" s="5">
        <f>IFERROR(__xludf.DUMMYFUNCTION("""COMPUTED_VALUE"""),7.0)</f>
        <v>7</v>
      </c>
      <c r="H261" s="5">
        <f>IFERROR(__xludf.DUMMYFUNCTION("""COMPUTED_VALUE"""),0.0)</f>
        <v>0</v>
      </c>
      <c r="I261" s="5">
        <f>IFERROR(__xludf.DUMMYFUNCTION("""COMPUTED_VALUE"""),0.0)</f>
        <v>0</v>
      </c>
      <c r="J261" s="5">
        <f>IFERROR(__xludf.DUMMYFUNCTION("""COMPUTED_VALUE"""),0.0)</f>
        <v>0</v>
      </c>
      <c r="K261" s="5">
        <f>IFERROR(__xludf.DUMMYFUNCTION("""COMPUTED_VALUE"""),21.0)</f>
        <v>21</v>
      </c>
      <c r="L261" s="5">
        <f>IFERROR(__xludf.DUMMYFUNCTION("""COMPUTED_VALUE"""),0.1)</f>
        <v>0.1</v>
      </c>
      <c r="M261" s="5">
        <f>IFERROR(__xludf.DUMMYFUNCTION("""COMPUTED_VALUE"""),39.0)</f>
        <v>39</v>
      </c>
      <c r="N261" s="5">
        <f>IFERROR(__xludf.DUMMYFUNCTION("""COMPUTED_VALUE"""),488.0)</f>
        <v>488</v>
      </c>
      <c r="O261" s="5">
        <f>IFERROR(__xludf.DUMMYFUNCTION("""COMPUTED_VALUE"""),2.2)</f>
        <v>2.2</v>
      </c>
      <c r="P261" s="5">
        <f>IFERROR(__xludf.DUMMYFUNCTION("""COMPUTED_VALUE"""),84.0)</f>
        <v>84</v>
      </c>
    </row>
    <row r="262">
      <c r="A262" s="19" t="str">
        <f>vlookup(B262,'Player Codes'!A:D,4,)</f>
        <v>0238</v>
      </c>
      <c r="B262" s="21" t="s">
        <v>751</v>
      </c>
      <c r="C262" s="5">
        <f>IFERROR(__xludf.DUMMYFUNCTION("""COMPUTED_VALUE"""),258.0)</f>
        <v>258</v>
      </c>
      <c r="D262" s="5" t="str">
        <f>IFERROR(__xludf.DUMMYFUNCTION("""COMPUTED_VALUE"""),"Dawson Knox")</f>
        <v>Dawson Knox</v>
      </c>
      <c r="E262" s="5" t="str">
        <f>IFERROR(__xludf.DUMMYFUNCTION("""COMPUTED_VALUE"""),"TE25")</f>
        <v>TE25</v>
      </c>
      <c r="F262" s="5" t="str">
        <f>IFERROR(__xludf.DUMMYFUNCTION("""COMPUTED_VALUE"""),"BUF")</f>
        <v>BUF</v>
      </c>
      <c r="G262" s="5">
        <f>IFERROR(__xludf.DUMMYFUNCTION("""COMPUTED_VALUE"""),13.0)</f>
        <v>13</v>
      </c>
      <c r="H262" s="5">
        <f>IFERROR(__xludf.DUMMYFUNCTION("""COMPUTED_VALUE"""),0.0)</f>
        <v>0</v>
      </c>
      <c r="I262" s="5">
        <f>IFERROR(__xludf.DUMMYFUNCTION("""COMPUTED_VALUE"""),0.0)</f>
        <v>0</v>
      </c>
      <c r="J262" s="5">
        <f>IFERROR(__xludf.DUMMYFUNCTION("""COMPUTED_VALUE"""),0.0)</f>
        <v>0</v>
      </c>
      <c r="K262" s="5">
        <f>IFERROR(__xludf.DUMMYFUNCTION("""COMPUTED_VALUE"""),0.0)</f>
        <v>0</v>
      </c>
      <c r="L262" s="5">
        <f>IFERROR(__xludf.DUMMYFUNCTION("""COMPUTED_VALUE"""),0.0)</f>
        <v>0</v>
      </c>
      <c r="M262" s="5">
        <f>IFERROR(__xludf.DUMMYFUNCTION("""COMPUTED_VALUE"""),37.0)</f>
        <v>37</v>
      </c>
      <c r="N262" s="5">
        <f>IFERROR(__xludf.DUMMYFUNCTION("""COMPUTED_VALUE"""),383.0)</f>
        <v>383</v>
      </c>
      <c r="O262" s="5">
        <f>IFERROR(__xludf.DUMMYFUNCTION("""COMPUTED_VALUE"""),4.5)</f>
        <v>4.5</v>
      </c>
      <c r="P262" s="5">
        <f>IFERROR(__xludf.DUMMYFUNCTION("""COMPUTED_VALUE"""),83.9)</f>
        <v>83.9</v>
      </c>
    </row>
    <row r="263">
      <c r="A263" s="19" t="str">
        <f>vlookup(B263,'Player Codes'!A:D,4,)</f>
        <v>0057</v>
      </c>
      <c r="B263" s="21" t="s">
        <v>620</v>
      </c>
      <c r="C263" s="5">
        <f>IFERROR(__xludf.DUMMYFUNCTION("""COMPUTED_VALUE"""),259.0)</f>
        <v>259</v>
      </c>
      <c r="D263" s="5" t="str">
        <f>IFERROR(__xludf.DUMMYFUNCTION("""COMPUTED_VALUE"""),"Chuba Hubbard")</f>
        <v>Chuba Hubbard</v>
      </c>
      <c r="E263" s="5" t="str">
        <f>IFERROR(__xludf.DUMMYFUNCTION("""COMPUTED_VALUE"""),"RB56")</f>
        <v>RB56</v>
      </c>
      <c r="F263" s="5" t="str">
        <f>IFERROR(__xludf.DUMMYFUNCTION("""COMPUTED_VALUE"""),"CAR")</f>
        <v>CAR</v>
      </c>
      <c r="G263" s="5">
        <f>IFERROR(__xludf.DUMMYFUNCTION("""COMPUTED_VALUE"""),7.0)</f>
        <v>7</v>
      </c>
      <c r="H263" s="5">
        <f>IFERROR(__xludf.DUMMYFUNCTION("""COMPUTED_VALUE"""),0.0)</f>
        <v>0</v>
      </c>
      <c r="I263" s="5">
        <f>IFERROR(__xludf.DUMMYFUNCTION("""COMPUTED_VALUE"""),0.0)</f>
        <v>0</v>
      </c>
      <c r="J263" s="5">
        <f>IFERROR(__xludf.DUMMYFUNCTION("""COMPUTED_VALUE"""),0.0)</f>
        <v>0</v>
      </c>
      <c r="K263" s="5">
        <f>IFERROR(__xludf.DUMMYFUNCTION("""COMPUTED_VALUE"""),408.0)</f>
        <v>408</v>
      </c>
      <c r="L263" s="5">
        <f>IFERROR(__xludf.DUMMYFUNCTION("""COMPUTED_VALUE"""),3.0)</f>
        <v>3</v>
      </c>
      <c r="M263" s="5">
        <f>IFERROR(__xludf.DUMMYFUNCTION("""COMPUTED_VALUE"""),17.0)</f>
        <v>17</v>
      </c>
      <c r="N263" s="5">
        <f>IFERROR(__xludf.DUMMYFUNCTION("""COMPUTED_VALUE"""),124.0)</f>
        <v>124</v>
      </c>
      <c r="O263" s="5">
        <f>IFERROR(__xludf.DUMMYFUNCTION("""COMPUTED_VALUE"""),0.7)</f>
        <v>0.7</v>
      </c>
      <c r="P263" s="5">
        <f>IFERROR(__xludf.DUMMYFUNCTION("""COMPUTED_VALUE"""),83.8)</f>
        <v>83.8</v>
      </c>
    </row>
    <row r="264">
      <c r="A264" s="19" t="str">
        <f>vlookup(B264,'Player Codes'!A:D,4,)</f>
        <v>0151</v>
      </c>
      <c r="B264" s="21" t="s">
        <v>680</v>
      </c>
      <c r="C264" s="5">
        <f>IFERROR(__xludf.DUMMYFUNCTION("""COMPUTED_VALUE"""),260.0)</f>
        <v>260</v>
      </c>
      <c r="D264" s="5" t="str">
        <f>IFERROR(__xludf.DUMMYFUNCTION("""COMPUTED_VALUE"""),"Jayden Reed")</f>
        <v>Jayden Reed</v>
      </c>
      <c r="E264" s="5" t="str">
        <f>IFERROR(__xludf.DUMMYFUNCTION("""COMPUTED_VALUE"""),"WR84")</f>
        <v>WR84</v>
      </c>
      <c r="F264" s="5" t="str">
        <f>IFERROR(__xludf.DUMMYFUNCTION("""COMPUTED_VALUE"""),"GB")</f>
        <v>GB</v>
      </c>
      <c r="G264" s="5">
        <f>IFERROR(__xludf.DUMMYFUNCTION("""COMPUTED_VALUE"""),6.0)</f>
        <v>6</v>
      </c>
      <c r="H264" s="5">
        <f>IFERROR(__xludf.DUMMYFUNCTION("""COMPUTED_VALUE"""),0.0)</f>
        <v>0</v>
      </c>
      <c r="I264" s="5">
        <f>IFERROR(__xludf.DUMMYFUNCTION("""COMPUTED_VALUE"""),0.0)</f>
        <v>0</v>
      </c>
      <c r="J264" s="5">
        <f>IFERROR(__xludf.DUMMYFUNCTION("""COMPUTED_VALUE"""),0.0)</f>
        <v>0</v>
      </c>
      <c r="K264" s="5">
        <f>IFERROR(__xludf.DUMMYFUNCTION("""COMPUTED_VALUE"""),26.0)</f>
        <v>26</v>
      </c>
      <c r="L264" s="5">
        <f>IFERROR(__xludf.DUMMYFUNCTION("""COMPUTED_VALUE"""),0.2)</f>
        <v>0.2</v>
      </c>
      <c r="M264" s="5">
        <f>IFERROR(__xludf.DUMMYFUNCTION("""COMPUTED_VALUE"""),38.0)</f>
        <v>38</v>
      </c>
      <c r="N264" s="5">
        <f>IFERROR(__xludf.DUMMYFUNCTION("""COMPUTED_VALUE"""),452.0)</f>
        <v>452</v>
      </c>
      <c r="O264" s="5">
        <f>IFERROR(__xludf.DUMMYFUNCTION("""COMPUTED_VALUE"""),2.6)</f>
        <v>2.6</v>
      </c>
      <c r="P264" s="5">
        <f>IFERROR(__xludf.DUMMYFUNCTION("""COMPUTED_VALUE"""),83.6)</f>
        <v>83.6</v>
      </c>
    </row>
    <row r="265">
      <c r="A265" s="19" t="str">
        <f>vlookup(B265,'Player Codes'!A:D,4,)</f>
        <v>0260</v>
      </c>
      <c r="B265" s="21" t="s">
        <v>631</v>
      </c>
      <c r="C265" s="5">
        <f>IFERROR(__xludf.DUMMYFUNCTION("""COMPUTED_VALUE"""),261.0)</f>
        <v>261</v>
      </c>
      <c r="D265" s="5" t="str">
        <f>IFERROR(__xludf.DUMMYFUNCTION("""COMPUTED_VALUE"""),"Sean Tucker")</f>
        <v>Sean Tucker</v>
      </c>
      <c r="E265" s="5" t="str">
        <f>IFERROR(__xludf.DUMMYFUNCTION("""COMPUTED_VALUE"""),"RB57")</f>
        <v>RB57</v>
      </c>
      <c r="F265" s="5" t="str">
        <f>IFERROR(__xludf.DUMMYFUNCTION("""COMPUTED_VALUE"""),"TB")</f>
        <v>TB</v>
      </c>
      <c r="G265" s="5">
        <f>IFERROR(__xludf.DUMMYFUNCTION("""COMPUTED_VALUE"""),5.0)</f>
        <v>5</v>
      </c>
      <c r="H265" s="5">
        <f>IFERROR(__xludf.DUMMYFUNCTION("""COMPUTED_VALUE"""),0.0)</f>
        <v>0</v>
      </c>
      <c r="I265" s="5">
        <f>IFERROR(__xludf.DUMMYFUNCTION("""COMPUTED_VALUE"""),0.0)</f>
        <v>0</v>
      </c>
      <c r="J265" s="5">
        <f>IFERROR(__xludf.DUMMYFUNCTION("""COMPUTED_VALUE"""),0.0)</f>
        <v>0</v>
      </c>
      <c r="K265" s="5">
        <f>IFERROR(__xludf.DUMMYFUNCTION("""COMPUTED_VALUE"""),440.0)</f>
        <v>440</v>
      </c>
      <c r="L265" s="5">
        <f>IFERROR(__xludf.DUMMYFUNCTION("""COMPUTED_VALUE"""),3.1)</f>
        <v>3.1</v>
      </c>
      <c r="M265" s="5">
        <f>IFERROR(__xludf.DUMMYFUNCTION("""COMPUTED_VALUE"""),14.0)</f>
        <v>14</v>
      </c>
      <c r="N265" s="5">
        <f>IFERROR(__xludf.DUMMYFUNCTION("""COMPUTED_VALUE"""),108.0)</f>
        <v>108</v>
      </c>
      <c r="O265" s="5">
        <f>IFERROR(__xludf.DUMMYFUNCTION("""COMPUTED_VALUE"""),0.4)</f>
        <v>0.4</v>
      </c>
      <c r="P265" s="5">
        <f>IFERROR(__xludf.DUMMYFUNCTION("""COMPUTED_VALUE"""),82.8)</f>
        <v>82.8</v>
      </c>
    </row>
    <row r="266">
      <c r="A266" s="19" t="str">
        <f>vlookup(B266,'Player Codes'!A:D,4,)</f>
        <v>0199</v>
      </c>
      <c r="B266" s="21" t="s">
        <v>903</v>
      </c>
      <c r="C266" s="5">
        <f>IFERROR(__xludf.DUMMYFUNCTION("""COMPUTED_VALUE"""),262.0)</f>
        <v>262</v>
      </c>
      <c r="D266" s="5" t="str">
        <f>IFERROR(__xludf.DUMMYFUNCTION("""COMPUTED_VALUE"""),"Rico Dowdle")</f>
        <v>Rico Dowdle</v>
      </c>
      <c r="E266" s="5" t="str">
        <f>IFERROR(__xludf.DUMMYFUNCTION("""COMPUTED_VALUE"""),"RB58")</f>
        <v>RB58</v>
      </c>
      <c r="F266" s="5" t="str">
        <f>IFERROR(__xludf.DUMMYFUNCTION("""COMPUTED_VALUE"""),"DAL")</f>
        <v>DAL</v>
      </c>
      <c r="G266" s="5">
        <f>IFERROR(__xludf.DUMMYFUNCTION("""COMPUTED_VALUE"""),7.0)</f>
        <v>7</v>
      </c>
      <c r="H266" s="5">
        <f>IFERROR(__xludf.DUMMYFUNCTION("""COMPUTED_VALUE"""),0.0)</f>
        <v>0</v>
      </c>
      <c r="I266" s="5">
        <f>IFERROR(__xludf.DUMMYFUNCTION("""COMPUTED_VALUE"""),0.0)</f>
        <v>0</v>
      </c>
      <c r="J266" s="5">
        <f>IFERROR(__xludf.DUMMYFUNCTION("""COMPUTED_VALUE"""),0.0)</f>
        <v>0</v>
      </c>
      <c r="K266" s="5">
        <f>IFERROR(__xludf.DUMMYFUNCTION("""COMPUTED_VALUE"""),444.0)</f>
        <v>444</v>
      </c>
      <c r="L266" s="5">
        <f>IFERROR(__xludf.DUMMYFUNCTION("""COMPUTED_VALUE"""),2.9)</f>
        <v>2.9</v>
      </c>
      <c r="M266" s="5">
        <f>IFERROR(__xludf.DUMMYFUNCTION("""COMPUTED_VALUE"""),14.0)</f>
        <v>14</v>
      </c>
      <c r="N266" s="5">
        <f>IFERROR(__xludf.DUMMYFUNCTION("""COMPUTED_VALUE"""),106.0)</f>
        <v>106</v>
      </c>
      <c r="O266" s="5">
        <f>IFERROR(__xludf.DUMMYFUNCTION("""COMPUTED_VALUE"""),0.5)</f>
        <v>0.5</v>
      </c>
      <c r="P266" s="5">
        <f>IFERROR(__xludf.DUMMYFUNCTION("""COMPUTED_VALUE"""),82.7)</f>
        <v>82.7</v>
      </c>
    </row>
    <row r="267">
      <c r="A267" s="19" t="str">
        <f>vlookup(B267,'Player Codes'!A:D,4,)</f>
        <v>0249</v>
      </c>
      <c r="B267" s="23" t="s">
        <v>627</v>
      </c>
      <c r="C267" s="5">
        <f>IFERROR(__xludf.DUMMYFUNCTION("""COMPUTED_VALUE"""),263.0)</f>
        <v>263</v>
      </c>
      <c r="D267" s="5" t="str">
        <f>IFERROR(__xludf.DUMMYFUNCTION("""COMPUTED_VALUE"""),"Luke Musgrave")</f>
        <v>Luke Musgrave</v>
      </c>
      <c r="E267" s="5" t="str">
        <f>IFERROR(__xludf.DUMMYFUNCTION("""COMPUTED_VALUE"""),"TE26")</f>
        <v>TE26</v>
      </c>
      <c r="F267" s="5" t="str">
        <f>IFERROR(__xludf.DUMMYFUNCTION("""COMPUTED_VALUE"""),"GB")</f>
        <v>GB</v>
      </c>
      <c r="G267" s="5">
        <f>IFERROR(__xludf.DUMMYFUNCTION("""COMPUTED_VALUE"""),6.0)</f>
        <v>6</v>
      </c>
      <c r="H267" s="5">
        <f>IFERROR(__xludf.DUMMYFUNCTION("""COMPUTED_VALUE"""),0.0)</f>
        <v>0</v>
      </c>
      <c r="I267" s="5">
        <f>IFERROR(__xludf.DUMMYFUNCTION("""COMPUTED_VALUE"""),0.0)</f>
        <v>0</v>
      </c>
      <c r="J267" s="5">
        <f>IFERROR(__xludf.DUMMYFUNCTION("""COMPUTED_VALUE"""),0.0)</f>
        <v>0</v>
      </c>
      <c r="K267" s="5">
        <f>IFERROR(__xludf.DUMMYFUNCTION("""COMPUTED_VALUE"""),0.0)</f>
        <v>0</v>
      </c>
      <c r="L267" s="5">
        <f>IFERROR(__xludf.DUMMYFUNCTION("""COMPUTED_VALUE"""),0.0)</f>
        <v>0</v>
      </c>
      <c r="M267" s="5">
        <f>IFERROR(__xludf.DUMMYFUNCTION("""COMPUTED_VALUE"""),42.0)</f>
        <v>42</v>
      </c>
      <c r="N267" s="5">
        <f>IFERROR(__xludf.DUMMYFUNCTION("""COMPUTED_VALUE"""),445.0)</f>
        <v>445</v>
      </c>
      <c r="O267" s="5">
        <f>IFERROR(__xludf.DUMMYFUNCTION("""COMPUTED_VALUE"""),2.8)</f>
        <v>2.8</v>
      </c>
      <c r="P267" s="5">
        <f>IFERROR(__xludf.DUMMYFUNCTION("""COMPUTED_VALUE"""),82.4)</f>
        <v>82.4</v>
      </c>
    </row>
    <row r="268">
      <c r="A268" s="19" t="str">
        <f>vlookup(B268,'Player Codes'!A:D,4,)</f>
        <v>0123</v>
      </c>
      <c r="B268" s="21" t="s">
        <v>837</v>
      </c>
      <c r="C268" s="5">
        <f>IFERROR(__xludf.DUMMYFUNCTION("""COMPUTED_VALUE"""),264.0)</f>
        <v>264</v>
      </c>
      <c r="D268" s="5" t="str">
        <f>IFERROR(__xludf.DUMMYFUNCTION("""COMPUTED_VALUE"""),"Robert Woods")</f>
        <v>Robert Woods</v>
      </c>
      <c r="E268" s="5" t="str">
        <f>IFERROR(__xludf.DUMMYFUNCTION("""COMPUTED_VALUE"""),"WR85")</f>
        <v>WR85</v>
      </c>
      <c r="F268" s="5" t="str">
        <f>IFERROR(__xludf.DUMMYFUNCTION("""COMPUTED_VALUE"""),"HOU")</f>
        <v>HOU</v>
      </c>
      <c r="G268" s="5">
        <f>IFERROR(__xludf.DUMMYFUNCTION("""COMPUTED_VALUE"""),7.0)</f>
        <v>7</v>
      </c>
      <c r="H268" s="5">
        <f>IFERROR(__xludf.DUMMYFUNCTION("""COMPUTED_VALUE"""),0.0)</f>
        <v>0</v>
      </c>
      <c r="I268" s="5">
        <f>IFERROR(__xludf.DUMMYFUNCTION("""COMPUTED_VALUE"""),0.0)</f>
        <v>0</v>
      </c>
      <c r="J268" s="5">
        <f>IFERROR(__xludf.DUMMYFUNCTION("""COMPUTED_VALUE"""),0.0)</f>
        <v>0</v>
      </c>
      <c r="K268" s="5">
        <f>IFERROR(__xludf.DUMMYFUNCTION("""COMPUTED_VALUE"""),8.0)</f>
        <v>8</v>
      </c>
      <c r="L268" s="5">
        <f>IFERROR(__xludf.DUMMYFUNCTION("""COMPUTED_VALUE"""),0.1)</f>
        <v>0.1</v>
      </c>
      <c r="M268" s="5">
        <f>IFERROR(__xludf.DUMMYFUNCTION("""COMPUTED_VALUE"""),41.0)</f>
        <v>41</v>
      </c>
      <c r="N268" s="5">
        <f>IFERROR(__xludf.DUMMYFUNCTION("""COMPUTED_VALUE"""),472.0)</f>
        <v>472</v>
      </c>
      <c r="O268" s="5">
        <f>IFERROR(__xludf.DUMMYFUNCTION("""COMPUTED_VALUE"""),2.1)</f>
        <v>2.1</v>
      </c>
      <c r="P268" s="5">
        <f>IFERROR(__xludf.DUMMYFUNCTION("""COMPUTED_VALUE"""),81.8)</f>
        <v>81.8</v>
      </c>
    </row>
    <row r="269">
      <c r="A269" s="19" t="str">
        <f>vlookup(B269,'Player Codes'!A:D,4,)</f>
        <v>0282</v>
      </c>
      <c r="B269" s="21" t="s">
        <v>696</v>
      </c>
      <c r="C269" s="5">
        <f>IFERROR(__xludf.DUMMYFUNCTION("""COMPUTED_VALUE"""),264.0)</f>
        <v>264</v>
      </c>
      <c r="D269" s="5" t="str">
        <f>IFERROR(__xludf.DUMMYFUNCTION("""COMPUTED_VALUE"""),"Hayden Hurst")</f>
        <v>Hayden Hurst</v>
      </c>
      <c r="E269" s="5" t="str">
        <f>IFERROR(__xludf.DUMMYFUNCTION("""COMPUTED_VALUE"""),"TE27")</f>
        <v>TE27</v>
      </c>
      <c r="F269" s="5" t="str">
        <f>IFERROR(__xludf.DUMMYFUNCTION("""COMPUTED_VALUE"""),"CAR")</f>
        <v>CAR</v>
      </c>
      <c r="G269" s="5">
        <f>IFERROR(__xludf.DUMMYFUNCTION("""COMPUTED_VALUE"""),7.0)</f>
        <v>7</v>
      </c>
      <c r="H269" s="5">
        <f>IFERROR(__xludf.DUMMYFUNCTION("""COMPUTED_VALUE"""),0.0)</f>
        <v>0</v>
      </c>
      <c r="I269" s="5">
        <f>IFERROR(__xludf.DUMMYFUNCTION("""COMPUTED_VALUE"""),0.0)</f>
        <v>0</v>
      </c>
      <c r="J269" s="5">
        <f>IFERROR(__xludf.DUMMYFUNCTION("""COMPUTED_VALUE"""),0.0)</f>
        <v>0</v>
      </c>
      <c r="K269" s="5">
        <f>IFERROR(__xludf.DUMMYFUNCTION("""COMPUTED_VALUE"""),0.0)</f>
        <v>0</v>
      </c>
      <c r="L269" s="5">
        <f>IFERROR(__xludf.DUMMYFUNCTION("""COMPUTED_VALUE"""),0.0)</f>
        <v>0</v>
      </c>
      <c r="M269" s="5">
        <f>IFERROR(__xludf.DUMMYFUNCTION("""COMPUTED_VALUE"""),42.0)</f>
        <v>42</v>
      </c>
      <c r="N269" s="5">
        <f>IFERROR(__xludf.DUMMYFUNCTION("""COMPUTED_VALUE"""),441.0)</f>
        <v>441</v>
      </c>
      <c r="O269" s="5">
        <f>IFERROR(__xludf.DUMMYFUNCTION("""COMPUTED_VALUE"""),2.8)</f>
        <v>2.8</v>
      </c>
      <c r="P269" s="5">
        <f>IFERROR(__xludf.DUMMYFUNCTION("""COMPUTED_VALUE"""),81.8)</f>
        <v>81.8</v>
      </c>
    </row>
    <row r="270">
      <c r="A270" s="19" t="str">
        <f>vlookup(B270,'Player Codes'!A:D,4,)</f>
        <v>0281</v>
      </c>
      <c r="B270" s="21" t="s">
        <v>852</v>
      </c>
      <c r="C270" s="5">
        <f>IFERROR(__xludf.DUMMYFUNCTION("""COMPUTED_VALUE"""),266.0)</f>
        <v>266</v>
      </c>
      <c r="D270" s="5" t="str">
        <f>IFERROR(__xludf.DUMMYFUNCTION("""COMPUTED_VALUE"""),"Jake Ferguson")</f>
        <v>Jake Ferguson</v>
      </c>
      <c r="E270" s="5" t="str">
        <f>IFERROR(__xludf.DUMMYFUNCTION("""COMPUTED_VALUE"""),"TE28")</f>
        <v>TE28</v>
      </c>
      <c r="F270" s="5" t="str">
        <f>IFERROR(__xludf.DUMMYFUNCTION("""COMPUTED_VALUE"""),"DAL")</f>
        <v>DAL</v>
      </c>
      <c r="G270" s="5">
        <f>IFERROR(__xludf.DUMMYFUNCTION("""COMPUTED_VALUE"""),7.0)</f>
        <v>7</v>
      </c>
      <c r="H270" s="5">
        <f>IFERROR(__xludf.DUMMYFUNCTION("""COMPUTED_VALUE"""),0.0)</f>
        <v>0</v>
      </c>
      <c r="I270" s="5">
        <f>IFERROR(__xludf.DUMMYFUNCTION("""COMPUTED_VALUE"""),0.0)</f>
        <v>0</v>
      </c>
      <c r="J270" s="5">
        <f>IFERROR(__xludf.DUMMYFUNCTION("""COMPUTED_VALUE"""),0.0)</f>
        <v>0</v>
      </c>
      <c r="K270" s="5">
        <f>IFERROR(__xludf.DUMMYFUNCTION("""COMPUTED_VALUE"""),0.0)</f>
        <v>0</v>
      </c>
      <c r="L270" s="5">
        <f>IFERROR(__xludf.DUMMYFUNCTION("""COMPUTED_VALUE"""),0.0)</f>
        <v>0</v>
      </c>
      <c r="M270" s="5">
        <f>IFERROR(__xludf.DUMMYFUNCTION("""COMPUTED_VALUE"""),40.0)</f>
        <v>40</v>
      </c>
      <c r="N270" s="5">
        <f>IFERROR(__xludf.DUMMYFUNCTION("""COMPUTED_VALUE"""),400.0)</f>
        <v>400</v>
      </c>
      <c r="O270" s="5">
        <f>IFERROR(__xludf.DUMMYFUNCTION("""COMPUTED_VALUE"""),3.4)</f>
        <v>3.4</v>
      </c>
      <c r="P270" s="5">
        <f>IFERROR(__xludf.DUMMYFUNCTION("""COMPUTED_VALUE"""),80.3)</f>
        <v>80.3</v>
      </c>
    </row>
    <row r="271">
      <c r="A271" s="19" t="str">
        <f>vlookup(B271,'Player Codes'!A:D,4,)</f>
        <v>0207</v>
      </c>
      <c r="B271" s="21" t="s">
        <v>594</v>
      </c>
      <c r="C271" s="5">
        <f>IFERROR(__xludf.DUMMYFUNCTION("""COMPUTED_VALUE"""),267.0)</f>
        <v>267</v>
      </c>
      <c r="D271" s="5" t="str">
        <f>IFERROR(__xludf.DUMMYFUNCTION("""COMPUTED_VALUE"""),"Clyde Edwards-Helaire")</f>
        <v>Clyde Edwards-Helaire</v>
      </c>
      <c r="E271" s="5" t="str">
        <f>IFERROR(__xludf.DUMMYFUNCTION("""COMPUTED_VALUE"""),"RB59")</f>
        <v>RB59</v>
      </c>
      <c r="F271" s="5" t="str">
        <f>IFERROR(__xludf.DUMMYFUNCTION("""COMPUTED_VALUE"""),"KC")</f>
        <v>KC</v>
      </c>
      <c r="G271" s="5">
        <f>IFERROR(__xludf.DUMMYFUNCTION("""COMPUTED_VALUE"""),10.0)</f>
        <v>10</v>
      </c>
      <c r="H271" s="5">
        <f>IFERROR(__xludf.DUMMYFUNCTION("""COMPUTED_VALUE"""),0.0)</f>
        <v>0</v>
      </c>
      <c r="I271" s="5">
        <f>IFERROR(__xludf.DUMMYFUNCTION("""COMPUTED_VALUE"""),0.0)</f>
        <v>0</v>
      </c>
      <c r="J271" s="5">
        <f>IFERROR(__xludf.DUMMYFUNCTION("""COMPUTED_VALUE"""),0.0)</f>
        <v>0</v>
      </c>
      <c r="K271" s="5">
        <f>IFERROR(__xludf.DUMMYFUNCTION("""COMPUTED_VALUE"""),321.0)</f>
        <v>321</v>
      </c>
      <c r="L271" s="5">
        <f>IFERROR(__xludf.DUMMYFUNCTION("""COMPUTED_VALUE"""),2.2)</f>
        <v>2.2</v>
      </c>
      <c r="M271" s="5">
        <f>IFERROR(__xludf.DUMMYFUNCTION("""COMPUTED_VALUE"""),21.0)</f>
        <v>21</v>
      </c>
      <c r="N271" s="5">
        <f>IFERROR(__xludf.DUMMYFUNCTION("""COMPUTED_VALUE"""),161.0)</f>
        <v>161</v>
      </c>
      <c r="O271" s="5">
        <f>IFERROR(__xludf.DUMMYFUNCTION("""COMPUTED_VALUE"""),1.3)</f>
        <v>1.3</v>
      </c>
      <c r="P271" s="5">
        <f>IFERROR(__xludf.DUMMYFUNCTION("""COMPUTED_VALUE"""),79.8)</f>
        <v>79.8</v>
      </c>
    </row>
    <row r="272">
      <c r="A272" s="19" t="str">
        <f>vlookup(B272,'Player Codes'!A:D,4,)</f>
        <v>0129</v>
      </c>
      <c r="B272" s="21" t="s">
        <v>860</v>
      </c>
      <c r="C272" s="5">
        <f>IFERROR(__xludf.DUMMYFUNCTION("""COMPUTED_VALUE"""),268.0)</f>
        <v>268</v>
      </c>
      <c r="D272" s="5" t="str">
        <f>IFERROR(__xludf.DUMMYFUNCTION("""COMPUTED_VALUE"""),"Matt Breida")</f>
        <v>Matt Breida</v>
      </c>
      <c r="E272" s="5" t="str">
        <f>IFERROR(__xludf.DUMMYFUNCTION("""COMPUTED_VALUE"""),"RB60")</f>
        <v>RB60</v>
      </c>
      <c r="F272" s="5" t="str">
        <f>IFERROR(__xludf.DUMMYFUNCTION("""COMPUTED_VALUE"""),"NYG")</f>
        <v>NYG</v>
      </c>
      <c r="G272" s="5">
        <f>IFERROR(__xludf.DUMMYFUNCTION("""COMPUTED_VALUE"""),13.0)</f>
        <v>13</v>
      </c>
      <c r="H272" s="5">
        <f>IFERROR(__xludf.DUMMYFUNCTION("""COMPUTED_VALUE"""),0.0)</f>
        <v>0</v>
      </c>
      <c r="I272" s="5">
        <f>IFERROR(__xludf.DUMMYFUNCTION("""COMPUTED_VALUE"""),0.0)</f>
        <v>0</v>
      </c>
      <c r="J272" s="5">
        <f>IFERROR(__xludf.DUMMYFUNCTION("""COMPUTED_VALUE"""),0.0)</f>
        <v>0</v>
      </c>
      <c r="K272" s="5">
        <f>IFERROR(__xludf.DUMMYFUNCTION("""COMPUTED_VALUE"""),357.0)</f>
        <v>357</v>
      </c>
      <c r="L272" s="5">
        <f>IFERROR(__xludf.DUMMYFUNCTION("""COMPUTED_VALUE"""),2.4)</f>
        <v>2.4</v>
      </c>
      <c r="M272" s="5">
        <f>IFERROR(__xludf.DUMMYFUNCTION("""COMPUTED_VALUE"""),20.0)</f>
        <v>20</v>
      </c>
      <c r="N272" s="5">
        <f>IFERROR(__xludf.DUMMYFUNCTION("""COMPUTED_VALUE"""),146.0)</f>
        <v>146</v>
      </c>
      <c r="O272" s="5">
        <f>IFERROR(__xludf.DUMMYFUNCTION("""COMPUTED_VALUE"""),0.8)</f>
        <v>0.8</v>
      </c>
      <c r="P272" s="5">
        <f>IFERROR(__xludf.DUMMYFUNCTION("""COMPUTED_VALUE"""),79.7)</f>
        <v>79.7</v>
      </c>
    </row>
    <row r="273">
      <c r="A273" s="19" t="str">
        <f>vlookup(B273,'Player Codes'!A:D,4,)</f>
        <v>0231</v>
      </c>
      <c r="B273" s="21" t="s">
        <v>885</v>
      </c>
      <c r="C273" s="5">
        <f>IFERROR(__xludf.DUMMYFUNCTION("""COMPUTED_VALUE"""),269.0)</f>
        <v>269</v>
      </c>
      <c r="D273" s="5" t="str">
        <f>IFERROR(__xludf.DUMMYFUNCTION("""COMPUTED_VALUE"""),"Isaiah Hodgins")</f>
        <v>Isaiah Hodgins</v>
      </c>
      <c r="E273" s="5" t="str">
        <f>IFERROR(__xludf.DUMMYFUNCTION("""COMPUTED_VALUE"""),"WR86")</f>
        <v>WR86</v>
      </c>
      <c r="F273" s="5" t="str">
        <f>IFERROR(__xludf.DUMMYFUNCTION("""COMPUTED_VALUE"""),"NYG")</f>
        <v>NYG</v>
      </c>
      <c r="G273" s="5">
        <f>IFERROR(__xludf.DUMMYFUNCTION("""COMPUTED_VALUE"""),13.0)</f>
        <v>13</v>
      </c>
      <c r="H273" s="5">
        <f>IFERROR(__xludf.DUMMYFUNCTION("""COMPUTED_VALUE"""),0.0)</f>
        <v>0</v>
      </c>
      <c r="I273" s="5">
        <f>IFERROR(__xludf.DUMMYFUNCTION("""COMPUTED_VALUE"""),0.0)</f>
        <v>0</v>
      </c>
      <c r="J273" s="5">
        <f>IFERROR(__xludf.DUMMYFUNCTION("""COMPUTED_VALUE"""),0.0)</f>
        <v>0</v>
      </c>
      <c r="K273" s="5">
        <f>IFERROR(__xludf.DUMMYFUNCTION("""COMPUTED_VALUE"""),7.0)</f>
        <v>7</v>
      </c>
      <c r="L273" s="5">
        <f>IFERROR(__xludf.DUMMYFUNCTION("""COMPUTED_VALUE"""),0.1)</f>
        <v>0.1</v>
      </c>
      <c r="M273" s="5">
        <f>IFERROR(__xludf.DUMMYFUNCTION("""COMPUTED_VALUE"""),35.0)</f>
        <v>35</v>
      </c>
      <c r="N273" s="5">
        <f>IFERROR(__xludf.DUMMYFUNCTION("""COMPUTED_VALUE"""),455.0)</f>
        <v>455</v>
      </c>
      <c r="O273" s="5">
        <f>IFERROR(__xludf.DUMMYFUNCTION("""COMPUTED_VALUE"""),2.6)</f>
        <v>2.6</v>
      </c>
      <c r="P273" s="5">
        <f>IFERROR(__xludf.DUMMYFUNCTION("""COMPUTED_VALUE"""),79.6)</f>
        <v>79.6</v>
      </c>
    </row>
    <row r="274">
      <c r="A274" s="19" t="str">
        <f>vlookup(B274,'Player Codes'!A:D,4,)</f>
        <v>0137</v>
      </c>
      <c r="B274" s="21" t="s">
        <v>890</v>
      </c>
      <c r="C274" s="5">
        <f>IFERROR(__xludf.DUMMYFUNCTION("""COMPUTED_VALUE"""),270.0)</f>
        <v>270</v>
      </c>
      <c r="D274" s="5" t="str">
        <f>IFERROR(__xludf.DUMMYFUNCTION("""COMPUTED_VALUE"""),"Noah Fant")</f>
        <v>Noah Fant</v>
      </c>
      <c r="E274" s="5" t="str">
        <f>IFERROR(__xludf.DUMMYFUNCTION("""COMPUTED_VALUE"""),"TE29")</f>
        <v>TE29</v>
      </c>
      <c r="F274" s="5" t="str">
        <f>IFERROR(__xludf.DUMMYFUNCTION("""COMPUTED_VALUE"""),"SEA")</f>
        <v>SEA</v>
      </c>
      <c r="G274" s="5">
        <f>IFERROR(__xludf.DUMMYFUNCTION("""COMPUTED_VALUE"""),5.0)</f>
        <v>5</v>
      </c>
      <c r="H274" s="5">
        <f>IFERROR(__xludf.DUMMYFUNCTION("""COMPUTED_VALUE"""),0.0)</f>
        <v>0</v>
      </c>
      <c r="I274" s="5">
        <f>IFERROR(__xludf.DUMMYFUNCTION("""COMPUTED_VALUE"""),0.0)</f>
        <v>0</v>
      </c>
      <c r="J274" s="5">
        <f>IFERROR(__xludf.DUMMYFUNCTION("""COMPUTED_VALUE"""),0.0)</f>
        <v>0</v>
      </c>
      <c r="K274" s="5">
        <f>IFERROR(__xludf.DUMMYFUNCTION("""COMPUTED_VALUE"""),0.0)</f>
        <v>0</v>
      </c>
      <c r="L274" s="5">
        <f>IFERROR(__xludf.DUMMYFUNCTION("""COMPUTED_VALUE"""),0.0)</f>
        <v>0</v>
      </c>
      <c r="M274" s="5">
        <f>IFERROR(__xludf.DUMMYFUNCTION("""COMPUTED_VALUE"""),41.0)</f>
        <v>41</v>
      </c>
      <c r="N274" s="5">
        <f>IFERROR(__xludf.DUMMYFUNCTION("""COMPUTED_VALUE"""),423.0)</f>
        <v>423</v>
      </c>
      <c r="O274" s="5">
        <f>IFERROR(__xludf.DUMMYFUNCTION("""COMPUTED_VALUE"""),2.8)</f>
        <v>2.8</v>
      </c>
      <c r="P274" s="5">
        <f>IFERROR(__xludf.DUMMYFUNCTION("""COMPUTED_VALUE"""),79.4)</f>
        <v>79.4</v>
      </c>
    </row>
    <row r="275">
      <c r="A275" s="19" t="str">
        <f>vlookup(B275,'Player Codes'!A:D,4,)</f>
        <v>0203</v>
      </c>
      <c r="B275" s="21" t="s">
        <v>718</v>
      </c>
      <c r="C275" s="5">
        <f>IFERROR(__xludf.DUMMYFUNCTION("""COMPUTED_VALUE"""),271.0)</f>
        <v>271</v>
      </c>
      <c r="D275" s="5" t="str">
        <f>IFERROR(__xludf.DUMMYFUNCTION("""COMPUTED_VALUE"""),"Deon Jackson")</f>
        <v>Deon Jackson</v>
      </c>
      <c r="E275" s="5" t="str">
        <f>IFERROR(__xludf.DUMMYFUNCTION("""COMPUTED_VALUE"""),"RB61")</f>
        <v>RB61</v>
      </c>
      <c r="F275" s="5" t="str">
        <f>IFERROR(__xludf.DUMMYFUNCTION("""COMPUTED_VALUE"""),"IND")</f>
        <v>IND</v>
      </c>
      <c r="G275" s="5">
        <f>IFERROR(__xludf.DUMMYFUNCTION("""COMPUTED_VALUE"""),11.0)</f>
        <v>11</v>
      </c>
      <c r="H275" s="5">
        <f>IFERROR(__xludf.DUMMYFUNCTION("""COMPUTED_VALUE"""),0.0)</f>
        <v>0</v>
      </c>
      <c r="I275" s="5">
        <f>IFERROR(__xludf.DUMMYFUNCTION("""COMPUTED_VALUE"""),0.0)</f>
        <v>0</v>
      </c>
      <c r="J275" s="5">
        <f>IFERROR(__xludf.DUMMYFUNCTION("""COMPUTED_VALUE"""),0.0)</f>
        <v>0</v>
      </c>
      <c r="K275" s="5">
        <f>IFERROR(__xludf.DUMMYFUNCTION("""COMPUTED_VALUE"""),335.0)</f>
        <v>335</v>
      </c>
      <c r="L275" s="5">
        <f>IFERROR(__xludf.DUMMYFUNCTION("""COMPUTED_VALUE"""),2.0)</f>
        <v>2</v>
      </c>
      <c r="M275" s="5">
        <f>IFERROR(__xludf.DUMMYFUNCTION("""COMPUTED_VALUE"""),23.0)</f>
        <v>23</v>
      </c>
      <c r="N275" s="5">
        <f>IFERROR(__xludf.DUMMYFUNCTION("""COMPUTED_VALUE"""),169.0)</f>
        <v>169</v>
      </c>
      <c r="O275" s="5">
        <f>IFERROR(__xludf.DUMMYFUNCTION("""COMPUTED_VALUE"""),0.8)</f>
        <v>0.8</v>
      </c>
      <c r="P275" s="5">
        <f>IFERROR(__xludf.DUMMYFUNCTION("""COMPUTED_VALUE"""),78.6)</f>
        <v>78.6</v>
      </c>
    </row>
    <row r="276">
      <c r="A276" s="19" t="str">
        <f>vlookup(B276,'Player Codes'!A:D,4,)</f>
        <v>0184</v>
      </c>
      <c r="B276" s="21" t="s">
        <v>810</v>
      </c>
      <c r="C276" s="5">
        <f>IFERROR(__xludf.DUMMYFUNCTION("""COMPUTED_VALUE"""),272.0)</f>
        <v>272</v>
      </c>
      <c r="D276" s="5" t="str">
        <f>IFERROR(__xludf.DUMMYFUNCTION("""COMPUTED_VALUE"""),"Marquez Valdes-Scantling")</f>
        <v>Marquez Valdes-Scantling</v>
      </c>
      <c r="E276" s="5" t="str">
        <f>IFERROR(__xludf.DUMMYFUNCTION("""COMPUTED_VALUE"""),"WR87")</f>
        <v>WR87</v>
      </c>
      <c r="F276" s="5" t="str">
        <f>IFERROR(__xludf.DUMMYFUNCTION("""COMPUTED_VALUE"""),"KC")</f>
        <v>KC</v>
      </c>
      <c r="G276" s="5">
        <f>IFERROR(__xludf.DUMMYFUNCTION("""COMPUTED_VALUE"""),10.0)</f>
        <v>10</v>
      </c>
      <c r="H276" s="5">
        <f>IFERROR(__xludf.DUMMYFUNCTION("""COMPUTED_VALUE"""),0.0)</f>
        <v>0</v>
      </c>
      <c r="I276" s="5">
        <f>IFERROR(__xludf.DUMMYFUNCTION("""COMPUTED_VALUE"""),0.0)</f>
        <v>0</v>
      </c>
      <c r="J276" s="5">
        <f>IFERROR(__xludf.DUMMYFUNCTION("""COMPUTED_VALUE"""),0.0)</f>
        <v>0</v>
      </c>
      <c r="K276" s="5">
        <f>IFERROR(__xludf.DUMMYFUNCTION("""COMPUTED_VALUE"""),0.0)</f>
        <v>0</v>
      </c>
      <c r="L276" s="5">
        <f>IFERROR(__xludf.DUMMYFUNCTION("""COMPUTED_VALUE"""),0.0)</f>
        <v>0</v>
      </c>
      <c r="M276" s="5">
        <f>IFERROR(__xludf.DUMMYFUNCTION("""COMPUTED_VALUE"""),33.0)</f>
        <v>33</v>
      </c>
      <c r="N276" s="5">
        <f>IFERROR(__xludf.DUMMYFUNCTION("""COMPUTED_VALUE"""),439.0)</f>
        <v>439</v>
      </c>
      <c r="O276" s="5">
        <f>IFERROR(__xludf.DUMMYFUNCTION("""COMPUTED_VALUE"""),2.9)</f>
        <v>2.9</v>
      </c>
      <c r="P276" s="5">
        <f>IFERROR(__xludf.DUMMYFUNCTION("""COMPUTED_VALUE"""),77.9)</f>
        <v>77.9</v>
      </c>
    </row>
    <row r="277">
      <c r="A277" s="19" t="str">
        <f>vlookup(B277,'Player Codes'!A:D,4,)</f>
        <v>0169</v>
      </c>
      <c r="B277" s="23" t="s">
        <v>817</v>
      </c>
      <c r="C277" s="5">
        <f>IFERROR(__xludf.DUMMYFUNCTION("""COMPUTED_VALUE"""),273.0)</f>
        <v>273</v>
      </c>
      <c r="D277" s="5" t="str">
        <f>IFERROR(__xludf.DUMMYFUNCTION("""COMPUTED_VALUE"""),"Kendrick Bourne")</f>
        <v>Kendrick Bourne</v>
      </c>
      <c r="E277" s="5" t="str">
        <f>IFERROR(__xludf.DUMMYFUNCTION("""COMPUTED_VALUE"""),"WR88")</f>
        <v>WR88</v>
      </c>
      <c r="F277" s="5" t="str">
        <f>IFERROR(__xludf.DUMMYFUNCTION("""COMPUTED_VALUE"""),"NE")</f>
        <v>NE</v>
      </c>
      <c r="G277" s="5">
        <f>IFERROR(__xludf.DUMMYFUNCTION("""COMPUTED_VALUE"""),11.0)</f>
        <v>11</v>
      </c>
      <c r="H277" s="5">
        <f>IFERROR(__xludf.DUMMYFUNCTION("""COMPUTED_VALUE"""),0.0)</f>
        <v>0</v>
      </c>
      <c r="I277" s="5">
        <f>IFERROR(__xludf.DUMMYFUNCTION("""COMPUTED_VALUE"""),0.0)</f>
        <v>0</v>
      </c>
      <c r="J277" s="5">
        <f>IFERROR(__xludf.DUMMYFUNCTION("""COMPUTED_VALUE"""),0.0)</f>
        <v>0</v>
      </c>
      <c r="K277" s="5">
        <f>IFERROR(__xludf.DUMMYFUNCTION("""COMPUTED_VALUE"""),28.0)</f>
        <v>28</v>
      </c>
      <c r="L277" s="5">
        <f>IFERROR(__xludf.DUMMYFUNCTION("""COMPUTED_VALUE"""),0.1)</f>
        <v>0.1</v>
      </c>
      <c r="M277" s="5">
        <f>IFERROR(__xludf.DUMMYFUNCTION("""COMPUTED_VALUE"""),38.0)</f>
        <v>38</v>
      </c>
      <c r="N277" s="5">
        <f>IFERROR(__xludf.DUMMYFUNCTION("""COMPUTED_VALUE"""),425.0)</f>
        <v>425</v>
      </c>
      <c r="O277" s="5">
        <f>IFERROR(__xludf.DUMMYFUNCTION("""COMPUTED_VALUE"""),2.2)</f>
        <v>2.2</v>
      </c>
      <c r="P277" s="5">
        <f>IFERROR(__xludf.DUMMYFUNCTION("""COMPUTED_VALUE"""),77.8)</f>
        <v>77.8</v>
      </c>
    </row>
    <row r="278">
      <c r="A278" s="19" t="str">
        <f>vlookup(B278,'Player Codes'!A:D,4,)</f>
        <v>0217</v>
      </c>
      <c r="B278" s="21" t="s">
        <v>871</v>
      </c>
      <c r="C278" s="5">
        <f>IFERROR(__xludf.DUMMYFUNCTION("""COMPUTED_VALUE"""),274.0)</f>
        <v>274</v>
      </c>
      <c r="D278" s="5" t="str">
        <f>IFERROR(__xludf.DUMMYFUNCTION("""COMPUTED_VALUE"""),"Josh Reynolds")</f>
        <v>Josh Reynolds</v>
      </c>
      <c r="E278" s="5" t="str">
        <f>IFERROR(__xludf.DUMMYFUNCTION("""COMPUTED_VALUE"""),"WR89")</f>
        <v>WR89</v>
      </c>
      <c r="F278" s="5" t="str">
        <f>IFERROR(__xludf.DUMMYFUNCTION("""COMPUTED_VALUE"""),"DET")</f>
        <v>DET</v>
      </c>
      <c r="G278" s="5">
        <f>IFERROR(__xludf.DUMMYFUNCTION("""COMPUTED_VALUE"""),9.0)</f>
        <v>9</v>
      </c>
      <c r="H278" s="5">
        <f>IFERROR(__xludf.DUMMYFUNCTION("""COMPUTED_VALUE"""),0.0)</f>
        <v>0</v>
      </c>
      <c r="I278" s="5">
        <f>IFERROR(__xludf.DUMMYFUNCTION("""COMPUTED_VALUE"""),0.0)</f>
        <v>0</v>
      </c>
      <c r="J278" s="5">
        <f>IFERROR(__xludf.DUMMYFUNCTION("""COMPUTED_VALUE"""),0.0)</f>
        <v>0</v>
      </c>
      <c r="K278" s="5">
        <f>IFERROR(__xludf.DUMMYFUNCTION("""COMPUTED_VALUE"""),0.0)</f>
        <v>0</v>
      </c>
      <c r="L278" s="5">
        <f>IFERROR(__xludf.DUMMYFUNCTION("""COMPUTED_VALUE"""),0.0)</f>
        <v>0</v>
      </c>
      <c r="M278" s="5">
        <f>IFERROR(__xludf.DUMMYFUNCTION("""COMPUTED_VALUE"""),36.0)</f>
        <v>36</v>
      </c>
      <c r="N278" s="5">
        <f>IFERROR(__xludf.DUMMYFUNCTION("""COMPUTED_VALUE"""),472.0)</f>
        <v>472</v>
      </c>
      <c r="O278" s="5">
        <f>IFERROR(__xludf.DUMMYFUNCTION("""COMPUTED_VALUE"""),2.0)</f>
        <v>2</v>
      </c>
      <c r="P278" s="5">
        <f>IFERROR(__xludf.DUMMYFUNCTION("""COMPUTED_VALUE"""),77.0)</f>
        <v>77</v>
      </c>
    </row>
    <row r="279">
      <c r="A279" s="19" t="str">
        <f>vlookup(B279,'Player Codes'!A:D,4,)</f>
        <v>0126</v>
      </c>
      <c r="B279" s="21" t="s">
        <v>745</v>
      </c>
      <c r="C279" s="5">
        <f>IFERROR(__xludf.DUMMYFUNCTION("""COMPUTED_VALUE"""),275.0)</f>
        <v>275</v>
      </c>
      <c r="D279" s="5" t="str">
        <f>IFERROR(__xludf.DUMMYFUNCTION("""COMPUTED_VALUE"""),"Michael Wilson")</f>
        <v>Michael Wilson</v>
      </c>
      <c r="E279" s="5" t="str">
        <f>IFERROR(__xludf.DUMMYFUNCTION("""COMPUTED_VALUE"""),"WR90")</f>
        <v>WR90</v>
      </c>
      <c r="F279" s="5" t="str">
        <f>IFERROR(__xludf.DUMMYFUNCTION("""COMPUTED_VALUE"""),"ARI")</f>
        <v>ARI</v>
      </c>
      <c r="G279" s="5">
        <f>IFERROR(__xludf.DUMMYFUNCTION("""COMPUTED_VALUE"""),14.0)</f>
        <v>14</v>
      </c>
      <c r="H279" s="5">
        <f>IFERROR(__xludf.DUMMYFUNCTION("""COMPUTED_VALUE"""),0.0)</f>
        <v>0</v>
      </c>
      <c r="I279" s="5">
        <f>IFERROR(__xludf.DUMMYFUNCTION("""COMPUTED_VALUE"""),0.0)</f>
        <v>0</v>
      </c>
      <c r="J279" s="5">
        <f>IFERROR(__xludf.DUMMYFUNCTION("""COMPUTED_VALUE"""),0.0)</f>
        <v>0</v>
      </c>
      <c r="K279" s="5">
        <f>IFERROR(__xludf.DUMMYFUNCTION("""COMPUTED_VALUE"""),0.0)</f>
        <v>0</v>
      </c>
      <c r="L279" s="5">
        <f>IFERROR(__xludf.DUMMYFUNCTION("""COMPUTED_VALUE"""),0.0)</f>
        <v>0</v>
      </c>
      <c r="M279" s="5">
        <f>IFERROR(__xludf.DUMMYFUNCTION("""COMPUTED_VALUE"""),39.0)</f>
        <v>39</v>
      </c>
      <c r="N279" s="5">
        <f>IFERROR(__xludf.DUMMYFUNCTION("""COMPUTED_VALUE"""),441.0)</f>
        <v>441</v>
      </c>
      <c r="O279" s="5">
        <f>IFERROR(__xludf.DUMMYFUNCTION("""COMPUTED_VALUE"""),2.2)</f>
        <v>2.2</v>
      </c>
      <c r="P279" s="5">
        <f>IFERROR(__xludf.DUMMYFUNCTION("""COMPUTED_VALUE"""),76.8)</f>
        <v>76.8</v>
      </c>
    </row>
    <row r="280">
      <c r="A280" s="19" t="str">
        <f>vlookup(B280,'Player Codes'!A:D,4,)</f>
        <v>0045</v>
      </c>
      <c r="B280" s="21" t="s">
        <v>828</v>
      </c>
      <c r="C280" s="5">
        <f>IFERROR(__xludf.DUMMYFUNCTION("""COMPUTED_VALUE"""),276.0)</f>
        <v>276</v>
      </c>
      <c r="D280" s="5" t="str">
        <f>IFERROR(__xludf.DUMMYFUNCTION("""COMPUTED_VALUE"""),"Hunter Renfrow")</f>
        <v>Hunter Renfrow</v>
      </c>
      <c r="E280" s="5" t="str">
        <f>IFERROR(__xludf.DUMMYFUNCTION("""COMPUTED_VALUE"""),"WR91")</f>
        <v>WR91</v>
      </c>
      <c r="F280" s="5" t="str">
        <f>IFERROR(__xludf.DUMMYFUNCTION("""COMPUTED_VALUE"""),"LV")</f>
        <v>LV</v>
      </c>
      <c r="G280" s="5">
        <f>IFERROR(__xludf.DUMMYFUNCTION("""COMPUTED_VALUE"""),13.0)</f>
        <v>13</v>
      </c>
      <c r="H280" s="5">
        <f>IFERROR(__xludf.DUMMYFUNCTION("""COMPUTED_VALUE"""),0.0)</f>
        <v>0</v>
      </c>
      <c r="I280" s="5">
        <f>IFERROR(__xludf.DUMMYFUNCTION("""COMPUTED_VALUE"""),0.0)</f>
        <v>0</v>
      </c>
      <c r="J280" s="5">
        <f>IFERROR(__xludf.DUMMYFUNCTION("""COMPUTED_VALUE"""),0.0)</f>
        <v>0</v>
      </c>
      <c r="K280" s="5">
        <f>IFERROR(__xludf.DUMMYFUNCTION("""COMPUTED_VALUE"""),9.0)</f>
        <v>9</v>
      </c>
      <c r="L280" s="5">
        <f>IFERROR(__xludf.DUMMYFUNCTION("""COMPUTED_VALUE"""),0.1)</f>
        <v>0.1</v>
      </c>
      <c r="M280" s="5">
        <f>IFERROR(__xludf.DUMMYFUNCTION("""COMPUTED_VALUE"""),38.0)</f>
        <v>38</v>
      </c>
      <c r="N280" s="5">
        <f>IFERROR(__xludf.DUMMYFUNCTION("""COMPUTED_VALUE"""),422.0)</f>
        <v>422</v>
      </c>
      <c r="O280" s="5">
        <f>IFERROR(__xludf.DUMMYFUNCTION("""COMPUTED_VALUE"""),2.3)</f>
        <v>2.3</v>
      </c>
      <c r="P280" s="5">
        <f>IFERROR(__xludf.DUMMYFUNCTION("""COMPUTED_VALUE"""),76.4)</f>
        <v>76.4</v>
      </c>
    </row>
    <row r="281">
      <c r="A281" s="19" t="str">
        <f>vlookup(B281,'Player Codes'!A:D,4,)</f>
        <v>0269</v>
      </c>
      <c r="B281" s="21" t="s">
        <v>742</v>
      </c>
      <c r="C281" s="5">
        <f>IFERROR(__xludf.DUMMYFUNCTION("""COMPUTED_VALUE"""),277.0)</f>
        <v>277</v>
      </c>
      <c r="D281" s="5" t="str">
        <f>IFERROR(__xludf.DUMMYFUNCTION("""COMPUTED_VALUE"""),"Cedrick Wilson Jr.")</f>
        <v>Cedrick Wilson Jr.</v>
      </c>
      <c r="E281" s="5" t="str">
        <f>IFERROR(__xludf.DUMMYFUNCTION("""COMPUTED_VALUE"""),"WR92")</f>
        <v>WR92</v>
      </c>
      <c r="F281" s="5" t="str">
        <f>IFERROR(__xludf.DUMMYFUNCTION("""COMPUTED_VALUE"""),"MIA")</f>
        <v>MIA</v>
      </c>
      <c r="G281" s="5">
        <f>IFERROR(__xludf.DUMMYFUNCTION("""COMPUTED_VALUE"""),10.0)</f>
        <v>10</v>
      </c>
      <c r="H281" s="5">
        <f>IFERROR(__xludf.DUMMYFUNCTION("""COMPUTED_VALUE"""),0.0)</f>
        <v>0</v>
      </c>
      <c r="I281" s="5">
        <f>IFERROR(__xludf.DUMMYFUNCTION("""COMPUTED_VALUE"""),0.0)</f>
        <v>0</v>
      </c>
      <c r="J281" s="5">
        <f>IFERROR(__xludf.DUMMYFUNCTION("""COMPUTED_VALUE"""),0.0)</f>
        <v>0</v>
      </c>
      <c r="K281" s="5">
        <f>IFERROR(__xludf.DUMMYFUNCTION("""COMPUTED_VALUE"""),0.0)</f>
        <v>0</v>
      </c>
      <c r="L281" s="5">
        <f>IFERROR(__xludf.DUMMYFUNCTION("""COMPUTED_VALUE"""),0.0)</f>
        <v>0</v>
      </c>
      <c r="M281" s="5">
        <f>IFERROR(__xludf.DUMMYFUNCTION("""COMPUTED_VALUE"""),34.0)</f>
        <v>34</v>
      </c>
      <c r="N281" s="5">
        <f>IFERROR(__xludf.DUMMYFUNCTION("""COMPUTED_VALUE"""),429.0)</f>
        <v>429</v>
      </c>
      <c r="O281" s="5">
        <f>IFERROR(__xludf.DUMMYFUNCTION("""COMPUTED_VALUE"""),2.6)</f>
        <v>2.6</v>
      </c>
      <c r="P281" s="5">
        <f>IFERROR(__xludf.DUMMYFUNCTION("""COMPUTED_VALUE"""),75.6)</f>
        <v>75.6</v>
      </c>
    </row>
    <row r="282">
      <c r="A282" s="19" t="str">
        <f>vlookup(B282,'Player Codes'!A:D,4,)</f>
        <v>0219</v>
      </c>
      <c r="B282" s="21" t="s">
        <v>899</v>
      </c>
      <c r="C282" s="5">
        <f>IFERROR(__xludf.DUMMYFUNCTION("""COMPUTED_VALUE"""),278.0)</f>
        <v>278</v>
      </c>
      <c r="D282" s="5" t="str">
        <f>IFERROR(__xludf.DUMMYFUNCTION("""COMPUTED_VALUE"""),"Chase Claypool")</f>
        <v>Chase Claypool</v>
      </c>
      <c r="E282" s="5" t="str">
        <f>IFERROR(__xludf.DUMMYFUNCTION("""COMPUTED_VALUE"""),"WR93")</f>
        <v>WR93</v>
      </c>
      <c r="F282" s="5" t="str">
        <f>IFERROR(__xludf.DUMMYFUNCTION("""COMPUTED_VALUE"""),"CHI")</f>
        <v>CHI</v>
      </c>
      <c r="G282" s="5">
        <f>IFERROR(__xludf.DUMMYFUNCTION("""COMPUTED_VALUE"""),13.0)</f>
        <v>13</v>
      </c>
      <c r="H282" s="5">
        <f>IFERROR(__xludf.DUMMYFUNCTION("""COMPUTED_VALUE"""),0.0)</f>
        <v>0</v>
      </c>
      <c r="I282" s="5">
        <f>IFERROR(__xludf.DUMMYFUNCTION("""COMPUTED_VALUE"""),0.0)</f>
        <v>0</v>
      </c>
      <c r="J282" s="5">
        <f>IFERROR(__xludf.DUMMYFUNCTION("""COMPUTED_VALUE"""),0.0)</f>
        <v>0</v>
      </c>
      <c r="K282" s="5">
        <f>IFERROR(__xludf.DUMMYFUNCTION("""COMPUTED_VALUE"""),30.0)</f>
        <v>30</v>
      </c>
      <c r="L282" s="5">
        <f>IFERROR(__xludf.DUMMYFUNCTION("""COMPUTED_VALUE"""),0.2)</f>
        <v>0.2</v>
      </c>
      <c r="M282" s="5">
        <f>IFERROR(__xludf.DUMMYFUNCTION("""COMPUTED_VALUE"""),29.0)</f>
        <v>29</v>
      </c>
      <c r="N282" s="5">
        <f>IFERROR(__xludf.DUMMYFUNCTION("""COMPUTED_VALUE"""),391.0)</f>
        <v>391</v>
      </c>
      <c r="O282" s="5">
        <f>IFERROR(__xludf.DUMMYFUNCTION("""COMPUTED_VALUE"""),2.9)</f>
        <v>2.9</v>
      </c>
      <c r="P282" s="5">
        <f>IFERROR(__xludf.DUMMYFUNCTION("""COMPUTED_VALUE"""),75.3)</f>
        <v>75.3</v>
      </c>
    </row>
    <row r="283">
      <c r="A283" s="19" t="str">
        <f>vlookup(B283,'Player Codes'!A:D,4,)</f>
        <v>0156</v>
      </c>
      <c r="B283" s="21" t="s">
        <v>558</v>
      </c>
      <c r="C283" s="5">
        <f>IFERROR(__xludf.DUMMYFUNCTION("""COMPUTED_VALUE"""),279.0)</f>
        <v>279</v>
      </c>
      <c r="D283" s="5" t="str">
        <f>IFERROR(__xludf.DUMMYFUNCTION("""COMPUTED_VALUE"""),"Taysom Hill")</f>
        <v>Taysom Hill</v>
      </c>
      <c r="E283" s="5" t="str">
        <f>IFERROR(__xludf.DUMMYFUNCTION("""COMPUTED_VALUE"""),"TE30")</f>
        <v>TE30</v>
      </c>
      <c r="F283" s="5" t="str">
        <f>IFERROR(__xludf.DUMMYFUNCTION("""COMPUTED_VALUE"""),"NO")</f>
        <v>NO</v>
      </c>
      <c r="G283" s="5">
        <f>IFERROR(__xludf.DUMMYFUNCTION("""COMPUTED_VALUE"""),11.0)</f>
        <v>11</v>
      </c>
      <c r="H283" s="5">
        <f>IFERROR(__xludf.DUMMYFUNCTION("""COMPUTED_VALUE"""),127.0)</f>
        <v>127</v>
      </c>
      <c r="I283" s="5">
        <f>IFERROR(__xludf.DUMMYFUNCTION("""COMPUTED_VALUE"""),0.7)</f>
        <v>0.7</v>
      </c>
      <c r="J283" s="5">
        <f>IFERROR(__xludf.DUMMYFUNCTION("""COMPUTED_VALUE"""),0.3)</f>
        <v>0.3</v>
      </c>
      <c r="K283" s="5">
        <f>IFERROR(__xludf.DUMMYFUNCTION("""COMPUTED_VALUE"""),293.0)</f>
        <v>293</v>
      </c>
      <c r="L283" s="5">
        <f>IFERROR(__xludf.DUMMYFUNCTION("""COMPUTED_VALUE"""),3.5)</f>
        <v>3.5</v>
      </c>
      <c r="M283" s="5">
        <f>IFERROR(__xludf.DUMMYFUNCTION("""COMPUTED_VALUE"""),9.0)</f>
        <v>9</v>
      </c>
      <c r="N283" s="5">
        <f>IFERROR(__xludf.DUMMYFUNCTION("""COMPUTED_VALUE"""),93.0)</f>
        <v>93</v>
      </c>
      <c r="O283" s="5">
        <f>IFERROR(__xludf.DUMMYFUNCTION("""COMPUTED_VALUE"""),0.6)</f>
        <v>0.6</v>
      </c>
      <c r="P283" s="5">
        <f>IFERROR(__xludf.DUMMYFUNCTION("""COMPUTED_VALUE"""),75.1)</f>
        <v>75.1</v>
      </c>
    </row>
    <row r="284">
      <c r="A284" s="19" t="str">
        <f>vlookup(B284,'Player Codes'!A:D,4,)</f>
        <v>0201</v>
      </c>
      <c r="B284" s="21" t="s">
        <v>832</v>
      </c>
      <c r="C284" s="5">
        <f>IFERROR(__xludf.DUMMYFUNCTION("""COMPUTED_VALUE"""),280.0)</f>
        <v>280</v>
      </c>
      <c r="D284" s="5" t="str">
        <f>IFERROR(__xludf.DUMMYFUNCTION("""COMPUTED_VALUE"""),"Mike Gesicki")</f>
        <v>Mike Gesicki</v>
      </c>
      <c r="E284" s="5" t="str">
        <f>IFERROR(__xludf.DUMMYFUNCTION("""COMPUTED_VALUE"""),"TE31")</f>
        <v>TE31</v>
      </c>
      <c r="F284" s="5" t="str">
        <f>IFERROR(__xludf.DUMMYFUNCTION("""COMPUTED_VALUE"""),"NE")</f>
        <v>NE</v>
      </c>
      <c r="G284" s="5">
        <f>IFERROR(__xludf.DUMMYFUNCTION("""COMPUTED_VALUE"""),11.0)</f>
        <v>11</v>
      </c>
      <c r="H284" s="5">
        <f>IFERROR(__xludf.DUMMYFUNCTION("""COMPUTED_VALUE"""),0.0)</f>
        <v>0</v>
      </c>
      <c r="I284" s="5">
        <f>IFERROR(__xludf.DUMMYFUNCTION("""COMPUTED_VALUE"""),0.0)</f>
        <v>0</v>
      </c>
      <c r="J284" s="5">
        <f>IFERROR(__xludf.DUMMYFUNCTION("""COMPUTED_VALUE"""),0.0)</f>
        <v>0</v>
      </c>
      <c r="K284" s="5">
        <f>IFERROR(__xludf.DUMMYFUNCTION("""COMPUTED_VALUE"""),0.0)</f>
        <v>0</v>
      </c>
      <c r="L284" s="5">
        <f>IFERROR(__xludf.DUMMYFUNCTION("""COMPUTED_VALUE"""),0.0)</f>
        <v>0</v>
      </c>
      <c r="M284" s="5">
        <f>IFERROR(__xludf.DUMMYFUNCTION("""COMPUTED_VALUE"""),37.0)</f>
        <v>37</v>
      </c>
      <c r="N284" s="5">
        <f>IFERROR(__xludf.DUMMYFUNCTION("""COMPUTED_VALUE"""),410.0)</f>
        <v>410</v>
      </c>
      <c r="O284" s="5">
        <f>IFERROR(__xludf.DUMMYFUNCTION("""COMPUTED_VALUE"""),2.5)</f>
        <v>2.5</v>
      </c>
      <c r="P284" s="5">
        <f>IFERROR(__xludf.DUMMYFUNCTION("""COMPUTED_VALUE"""),74.6)</f>
        <v>74.6</v>
      </c>
    </row>
    <row r="285">
      <c r="A285" s="19" t="str">
        <f>vlookup(B285,'Player Codes'!A:D,4,)</f>
        <v>0043</v>
      </c>
      <c r="B285" s="21" t="s">
        <v>840</v>
      </c>
      <c r="C285" s="5">
        <f>IFERROR(__xludf.DUMMYFUNCTION("""COMPUTED_VALUE"""),281.0)</f>
        <v>281</v>
      </c>
      <c r="D285" s="5" t="str">
        <f>IFERROR(__xludf.DUMMYFUNCTION("""COMPUTED_VALUE"""),"Jerome Ford")</f>
        <v>Jerome Ford</v>
      </c>
      <c r="E285" s="5" t="str">
        <f>IFERROR(__xludf.DUMMYFUNCTION("""COMPUTED_VALUE"""),"RB62")</f>
        <v>RB62</v>
      </c>
      <c r="F285" s="5" t="str">
        <f>IFERROR(__xludf.DUMMYFUNCTION("""COMPUTED_VALUE"""),"CLE")</f>
        <v>CLE</v>
      </c>
      <c r="G285" s="5">
        <f>IFERROR(__xludf.DUMMYFUNCTION("""COMPUTED_VALUE"""),5.0)</f>
        <v>5</v>
      </c>
      <c r="H285" s="5">
        <f>IFERROR(__xludf.DUMMYFUNCTION("""COMPUTED_VALUE"""),0.0)</f>
        <v>0</v>
      </c>
      <c r="I285" s="5">
        <f>IFERROR(__xludf.DUMMYFUNCTION("""COMPUTED_VALUE"""),0.0)</f>
        <v>0</v>
      </c>
      <c r="J285" s="5">
        <f>IFERROR(__xludf.DUMMYFUNCTION("""COMPUTED_VALUE"""),0.0)</f>
        <v>0</v>
      </c>
      <c r="K285" s="5">
        <f>IFERROR(__xludf.DUMMYFUNCTION("""COMPUTED_VALUE"""),333.0)</f>
        <v>333</v>
      </c>
      <c r="L285" s="5">
        <f>IFERROR(__xludf.DUMMYFUNCTION("""COMPUTED_VALUE"""),1.7)</f>
        <v>1.7</v>
      </c>
      <c r="M285" s="5">
        <f>IFERROR(__xludf.DUMMYFUNCTION("""COMPUTED_VALUE"""),21.0)</f>
        <v>21</v>
      </c>
      <c r="N285" s="5">
        <f>IFERROR(__xludf.DUMMYFUNCTION("""COMPUTED_VALUE"""),152.0)</f>
        <v>152</v>
      </c>
      <c r="O285" s="5">
        <f>IFERROR(__xludf.DUMMYFUNCTION("""COMPUTED_VALUE"""),0.8)</f>
        <v>0.8</v>
      </c>
      <c r="P285" s="5">
        <f>IFERROR(__xludf.DUMMYFUNCTION("""COMPUTED_VALUE"""),74.0)</f>
        <v>74</v>
      </c>
    </row>
    <row r="286">
      <c r="A286" s="19" t="str">
        <f>vlookup(B286,'Player Codes'!A:D,4,)</f>
        <v>0170</v>
      </c>
      <c r="B286" s="21" t="s">
        <v>846</v>
      </c>
      <c r="C286" s="5">
        <f>IFERROR(__xludf.DUMMYFUNCTION("""COMPUTED_VALUE"""),282.0)</f>
        <v>282</v>
      </c>
      <c r="D286" s="5" t="str">
        <f>IFERROR(__xludf.DUMMYFUNCTION("""COMPUTED_VALUE"""),"Mack Hollins")</f>
        <v>Mack Hollins</v>
      </c>
      <c r="E286" s="5" t="str">
        <f>IFERROR(__xludf.DUMMYFUNCTION("""COMPUTED_VALUE"""),"WR94")</f>
        <v>WR94</v>
      </c>
      <c r="F286" s="5" t="str">
        <f>IFERROR(__xludf.DUMMYFUNCTION("""COMPUTED_VALUE"""),"ATL")</f>
        <v>ATL</v>
      </c>
      <c r="G286" s="5">
        <f>IFERROR(__xludf.DUMMYFUNCTION("""COMPUTED_VALUE"""),11.0)</f>
        <v>11</v>
      </c>
      <c r="H286" s="5">
        <f>IFERROR(__xludf.DUMMYFUNCTION("""COMPUTED_VALUE"""),0.0)</f>
        <v>0</v>
      </c>
      <c r="I286" s="5">
        <f>IFERROR(__xludf.DUMMYFUNCTION("""COMPUTED_VALUE"""),0.0)</f>
        <v>0</v>
      </c>
      <c r="J286" s="5">
        <f>IFERROR(__xludf.DUMMYFUNCTION("""COMPUTED_VALUE"""),0.0)</f>
        <v>0</v>
      </c>
      <c r="K286" s="5">
        <f>IFERROR(__xludf.DUMMYFUNCTION("""COMPUTED_VALUE"""),5.0)</f>
        <v>5</v>
      </c>
      <c r="L286" s="5">
        <f>IFERROR(__xludf.DUMMYFUNCTION("""COMPUTED_VALUE"""),0.0)</f>
        <v>0</v>
      </c>
      <c r="M286" s="5">
        <f>IFERROR(__xludf.DUMMYFUNCTION("""COMPUTED_VALUE"""),34.0)</f>
        <v>34</v>
      </c>
      <c r="N286" s="5">
        <f>IFERROR(__xludf.DUMMYFUNCTION("""COMPUTED_VALUE"""),432.0)</f>
        <v>432</v>
      </c>
      <c r="O286" s="5">
        <f>IFERROR(__xludf.DUMMYFUNCTION("""COMPUTED_VALUE"""),2.2)</f>
        <v>2.2</v>
      </c>
      <c r="P286" s="5">
        <f>IFERROR(__xludf.DUMMYFUNCTION("""COMPUTED_VALUE"""),73.6)</f>
        <v>73.6</v>
      </c>
    </row>
    <row r="287">
      <c r="A287" s="19" t="str">
        <f>vlookup(B287,'Player Codes'!A:D,4,)</f>
        <v>0278</v>
      </c>
      <c r="B287" s="21" t="s">
        <v>905</v>
      </c>
      <c r="C287" s="5">
        <f>IFERROR(__xludf.DUMMYFUNCTION("""COMPUTED_VALUE"""),283.0)</f>
        <v>283</v>
      </c>
      <c r="D287" s="5" t="str">
        <f>IFERROR(__xludf.DUMMYFUNCTION("""COMPUTED_VALUE"""),"Durham Smythe")</f>
        <v>Durham Smythe</v>
      </c>
      <c r="E287" s="5" t="str">
        <f>IFERROR(__xludf.DUMMYFUNCTION("""COMPUTED_VALUE"""),"TE32")</f>
        <v>TE32</v>
      </c>
      <c r="F287" s="5" t="str">
        <f>IFERROR(__xludf.DUMMYFUNCTION("""COMPUTED_VALUE"""),"MIA")</f>
        <v>MIA</v>
      </c>
      <c r="G287" s="5">
        <f>IFERROR(__xludf.DUMMYFUNCTION("""COMPUTED_VALUE"""),10.0)</f>
        <v>10</v>
      </c>
      <c r="H287" s="5">
        <f>IFERROR(__xludf.DUMMYFUNCTION("""COMPUTED_VALUE"""),0.0)</f>
        <v>0</v>
      </c>
      <c r="I287" s="5">
        <f>IFERROR(__xludf.DUMMYFUNCTION("""COMPUTED_VALUE"""),0.0)</f>
        <v>0</v>
      </c>
      <c r="J287" s="5">
        <f>IFERROR(__xludf.DUMMYFUNCTION("""COMPUTED_VALUE"""),0.0)</f>
        <v>0</v>
      </c>
      <c r="K287" s="5">
        <f>IFERROR(__xludf.DUMMYFUNCTION("""COMPUTED_VALUE"""),0.0)</f>
        <v>0</v>
      </c>
      <c r="L287" s="5">
        <f>IFERROR(__xludf.DUMMYFUNCTION("""COMPUTED_VALUE"""),0.0)</f>
        <v>0</v>
      </c>
      <c r="M287" s="5">
        <f>IFERROR(__xludf.DUMMYFUNCTION("""COMPUTED_VALUE"""),32.0)</f>
        <v>32</v>
      </c>
      <c r="N287" s="5">
        <f>IFERROR(__xludf.DUMMYFUNCTION("""COMPUTED_VALUE"""),378.0)</f>
        <v>378</v>
      </c>
      <c r="O287" s="5">
        <f>IFERROR(__xludf.DUMMYFUNCTION("""COMPUTED_VALUE"""),3.2)</f>
        <v>3.2</v>
      </c>
      <c r="P287" s="5">
        <f>IFERROR(__xludf.DUMMYFUNCTION("""COMPUTED_VALUE"""),73.0)</f>
        <v>73</v>
      </c>
    </row>
    <row r="288">
      <c r="A288" s="19" t="str">
        <f>vlookup(B288,'Player Codes'!A:D,4,)</f>
        <v>0298</v>
      </c>
      <c r="B288" s="21" t="s">
        <v>790</v>
      </c>
      <c r="C288" s="5">
        <f>IFERROR(__xludf.DUMMYFUNCTION("""COMPUTED_VALUE"""),284.0)</f>
        <v>284</v>
      </c>
      <c r="D288" s="5" t="str">
        <f>IFERROR(__xludf.DUMMYFUNCTION("""COMPUTED_VALUE"""),"Charlie Jones")</f>
        <v>Charlie Jones</v>
      </c>
      <c r="E288" s="5" t="str">
        <f>IFERROR(__xludf.DUMMYFUNCTION("""COMPUTED_VALUE"""),"WR95")</f>
        <v>WR95</v>
      </c>
      <c r="F288" s="5" t="str">
        <f>IFERROR(__xludf.DUMMYFUNCTION("""COMPUTED_VALUE"""),"CIN")</f>
        <v>CIN</v>
      </c>
      <c r="G288" s="5">
        <f>IFERROR(__xludf.DUMMYFUNCTION("""COMPUTED_VALUE"""),7.0)</f>
        <v>7</v>
      </c>
      <c r="H288" s="5">
        <f>IFERROR(__xludf.DUMMYFUNCTION("""COMPUTED_VALUE"""),0.0)</f>
        <v>0</v>
      </c>
      <c r="I288" s="5">
        <f>IFERROR(__xludf.DUMMYFUNCTION("""COMPUTED_VALUE"""),0.0)</f>
        <v>0</v>
      </c>
      <c r="J288" s="5">
        <f>IFERROR(__xludf.DUMMYFUNCTION("""COMPUTED_VALUE"""),0.0)</f>
        <v>0</v>
      </c>
      <c r="K288" s="5">
        <f>IFERROR(__xludf.DUMMYFUNCTION("""COMPUTED_VALUE"""),9.0)</f>
        <v>9</v>
      </c>
      <c r="L288" s="5">
        <f>IFERROR(__xludf.DUMMYFUNCTION("""COMPUTED_VALUE"""),0.1)</f>
        <v>0.1</v>
      </c>
      <c r="M288" s="5">
        <f>IFERROR(__xludf.DUMMYFUNCTION("""COMPUTED_VALUE"""),33.0)</f>
        <v>33</v>
      </c>
      <c r="N288" s="5">
        <f>IFERROR(__xludf.DUMMYFUNCTION("""COMPUTED_VALUE"""),372.0)</f>
        <v>372</v>
      </c>
      <c r="O288" s="5">
        <f>IFERROR(__xludf.DUMMYFUNCTION("""COMPUTED_VALUE"""),3.0)</f>
        <v>3</v>
      </c>
      <c r="P288" s="5">
        <f>IFERROR(__xludf.DUMMYFUNCTION("""COMPUTED_VALUE"""),72.9)</f>
        <v>72.9</v>
      </c>
    </row>
    <row r="289">
      <c r="A289" s="19" t="str">
        <f>vlookup(B289,'Player Codes'!A:D,4,)</f>
        <v>0009</v>
      </c>
      <c r="B289" s="21" t="s">
        <v>856</v>
      </c>
      <c r="C289" s="5">
        <f>IFERROR(__xludf.DUMMYFUNCTION("""COMPUTED_VALUE"""),285.0)</f>
        <v>285</v>
      </c>
      <c r="D289" s="5" t="str">
        <f>IFERROR(__xludf.DUMMYFUNCTION("""COMPUTED_VALUE"""),"Joshua Palmer")</f>
        <v>Joshua Palmer</v>
      </c>
      <c r="E289" s="5" t="str">
        <f>IFERROR(__xludf.DUMMYFUNCTION("""COMPUTED_VALUE"""),"WR96")</f>
        <v>WR96</v>
      </c>
      <c r="F289" s="5" t="str">
        <f>IFERROR(__xludf.DUMMYFUNCTION("""COMPUTED_VALUE"""),"LAC")</f>
        <v>LAC</v>
      </c>
      <c r="G289" s="5">
        <f>IFERROR(__xludf.DUMMYFUNCTION("""COMPUTED_VALUE"""),5.0)</f>
        <v>5</v>
      </c>
      <c r="H289" s="5">
        <f>IFERROR(__xludf.DUMMYFUNCTION("""COMPUTED_VALUE"""),0.0)</f>
        <v>0</v>
      </c>
      <c r="I289" s="5">
        <f>IFERROR(__xludf.DUMMYFUNCTION("""COMPUTED_VALUE"""),0.0)</f>
        <v>0</v>
      </c>
      <c r="J289" s="5">
        <f>IFERROR(__xludf.DUMMYFUNCTION("""COMPUTED_VALUE"""),0.0)</f>
        <v>0</v>
      </c>
      <c r="K289" s="5">
        <f>IFERROR(__xludf.DUMMYFUNCTION("""COMPUTED_VALUE"""),7.0)</f>
        <v>7</v>
      </c>
      <c r="L289" s="5">
        <f>IFERROR(__xludf.DUMMYFUNCTION("""COMPUTED_VALUE"""),0.0)</f>
        <v>0</v>
      </c>
      <c r="M289" s="5">
        <f>IFERROR(__xludf.DUMMYFUNCTION("""COMPUTED_VALUE"""),33.0)</f>
        <v>33</v>
      </c>
      <c r="N289" s="5">
        <f>IFERROR(__xludf.DUMMYFUNCTION("""COMPUTED_VALUE"""),407.0)</f>
        <v>407</v>
      </c>
      <c r="O289" s="5">
        <f>IFERROR(__xludf.DUMMYFUNCTION("""COMPUTED_VALUE"""),2.4)</f>
        <v>2.4</v>
      </c>
      <c r="P289" s="5">
        <f>IFERROR(__xludf.DUMMYFUNCTION("""COMPUTED_VALUE"""),72.3)</f>
        <v>72.3</v>
      </c>
    </row>
    <row r="290">
      <c r="A290" s="19" t="str">
        <f>vlookup(B290,'Player Codes'!A:D,4,)</f>
        <v>0041</v>
      </c>
      <c r="B290" s="21" t="s">
        <v>888</v>
      </c>
      <c r="C290" s="5">
        <f>IFERROR(__xludf.DUMMYFUNCTION("""COMPUTED_VALUE"""),285.0)</f>
        <v>285</v>
      </c>
      <c r="D290" s="5" t="str">
        <f>IFERROR(__xludf.DUMMYFUNCTION("""COMPUTED_VALUE"""),"Trey McBride")</f>
        <v>Trey McBride</v>
      </c>
      <c r="E290" s="5" t="str">
        <f>IFERROR(__xludf.DUMMYFUNCTION("""COMPUTED_VALUE"""),"TE33")</f>
        <v>TE33</v>
      </c>
      <c r="F290" s="5" t="str">
        <f>IFERROR(__xludf.DUMMYFUNCTION("""COMPUTED_VALUE"""),"ARI")</f>
        <v>ARI</v>
      </c>
      <c r="G290" s="5">
        <f>IFERROR(__xludf.DUMMYFUNCTION("""COMPUTED_VALUE"""),14.0)</f>
        <v>14</v>
      </c>
      <c r="H290" s="5">
        <f>IFERROR(__xludf.DUMMYFUNCTION("""COMPUTED_VALUE"""),0.0)</f>
        <v>0</v>
      </c>
      <c r="I290" s="5">
        <f>IFERROR(__xludf.DUMMYFUNCTION("""COMPUTED_VALUE"""),0.0)</f>
        <v>0</v>
      </c>
      <c r="J290" s="5">
        <f>IFERROR(__xludf.DUMMYFUNCTION("""COMPUTED_VALUE"""),0.0)</f>
        <v>0</v>
      </c>
      <c r="K290" s="5">
        <f>IFERROR(__xludf.DUMMYFUNCTION("""COMPUTED_VALUE"""),4.0)</f>
        <v>4</v>
      </c>
      <c r="L290" s="5">
        <f>IFERROR(__xludf.DUMMYFUNCTION("""COMPUTED_VALUE"""),0.0)</f>
        <v>0</v>
      </c>
      <c r="M290" s="5">
        <f>IFERROR(__xludf.DUMMYFUNCTION("""COMPUTED_VALUE"""),37.0)</f>
        <v>37</v>
      </c>
      <c r="N290" s="5">
        <f>IFERROR(__xludf.DUMMYFUNCTION("""COMPUTED_VALUE"""),380.0)</f>
        <v>380</v>
      </c>
      <c r="O290" s="5">
        <f>IFERROR(__xludf.DUMMYFUNCTION("""COMPUTED_VALUE"""),2.6)</f>
        <v>2.6</v>
      </c>
      <c r="P290" s="5">
        <f>IFERROR(__xludf.DUMMYFUNCTION("""COMPUTED_VALUE"""),72.3)</f>
        <v>72.3</v>
      </c>
    </row>
    <row r="291">
      <c r="A291" s="19" t="str">
        <f>vlookup(B291,'Player Codes'!A:D,4,)</f>
        <v>0290</v>
      </c>
      <c r="B291" s="21" t="s">
        <v>893</v>
      </c>
      <c r="C291" s="5">
        <f>IFERROR(__xludf.DUMMYFUNCTION("""COMPUTED_VALUE"""),287.0)</f>
        <v>287</v>
      </c>
      <c r="D291" s="5" t="str">
        <f>IFERROR(__xludf.DUMMYFUNCTION("""COMPUTED_VALUE"""),"Zamir White")</f>
        <v>Zamir White</v>
      </c>
      <c r="E291" s="5" t="str">
        <f>IFERROR(__xludf.DUMMYFUNCTION("""COMPUTED_VALUE"""),"RB63")</f>
        <v>RB63</v>
      </c>
      <c r="F291" s="5" t="str">
        <f>IFERROR(__xludf.DUMMYFUNCTION("""COMPUTED_VALUE"""),"LV")</f>
        <v>LV</v>
      </c>
      <c r="G291" s="5">
        <f>IFERROR(__xludf.DUMMYFUNCTION("""COMPUTED_VALUE"""),13.0)</f>
        <v>13</v>
      </c>
      <c r="H291" s="5">
        <f>IFERROR(__xludf.DUMMYFUNCTION("""COMPUTED_VALUE"""),0.0)</f>
        <v>0</v>
      </c>
      <c r="I291" s="5">
        <f>IFERROR(__xludf.DUMMYFUNCTION("""COMPUTED_VALUE"""),0.0)</f>
        <v>0</v>
      </c>
      <c r="J291" s="5">
        <f>IFERROR(__xludf.DUMMYFUNCTION("""COMPUTED_VALUE"""),0.0)</f>
        <v>0</v>
      </c>
      <c r="K291" s="5">
        <f>IFERROR(__xludf.DUMMYFUNCTION("""COMPUTED_VALUE"""),419.0)</f>
        <v>419</v>
      </c>
      <c r="L291" s="5">
        <f>IFERROR(__xludf.DUMMYFUNCTION("""COMPUTED_VALUE"""),2.7)</f>
        <v>2.7</v>
      </c>
      <c r="M291" s="5">
        <f>IFERROR(__xludf.DUMMYFUNCTION("""COMPUTED_VALUE"""),9.0)</f>
        <v>9</v>
      </c>
      <c r="N291" s="5">
        <f>IFERROR(__xludf.DUMMYFUNCTION("""COMPUTED_VALUE"""),73.0)</f>
        <v>73</v>
      </c>
      <c r="O291" s="5">
        <f>IFERROR(__xludf.DUMMYFUNCTION("""COMPUTED_VALUE"""),0.3)</f>
        <v>0.3</v>
      </c>
      <c r="P291" s="5">
        <f>IFERROR(__xludf.DUMMYFUNCTION("""COMPUTED_VALUE"""),71.8)</f>
        <v>71.8</v>
      </c>
    </row>
    <row r="292">
      <c r="A292" s="19" t="str">
        <f>vlookup(B292,'Player Codes'!A:D,4,)</f>
        <v>0078</v>
      </c>
      <c r="B292" s="21" t="s">
        <v>702</v>
      </c>
      <c r="C292" s="5">
        <f>IFERROR(__xludf.DUMMYFUNCTION("""COMPUTED_VALUE"""),288.0)</f>
        <v>288</v>
      </c>
      <c r="D292" s="5" t="str">
        <f>IFERROR(__xludf.DUMMYFUNCTION("""COMPUTED_VALUE"""),"Allen Robinson II")</f>
        <v>Allen Robinson II</v>
      </c>
      <c r="E292" s="5" t="str">
        <f>IFERROR(__xludf.DUMMYFUNCTION("""COMPUTED_VALUE"""),"WR97")</f>
        <v>WR97</v>
      </c>
      <c r="F292" s="5" t="str">
        <f>IFERROR(__xludf.DUMMYFUNCTION("""COMPUTED_VALUE"""),"PIT")</f>
        <v>PIT</v>
      </c>
      <c r="G292" s="5">
        <f>IFERROR(__xludf.DUMMYFUNCTION("""COMPUTED_VALUE"""),6.0)</f>
        <v>6</v>
      </c>
      <c r="H292" s="5">
        <f>IFERROR(__xludf.DUMMYFUNCTION("""COMPUTED_VALUE"""),0.0)</f>
        <v>0</v>
      </c>
      <c r="I292" s="5">
        <f>IFERROR(__xludf.DUMMYFUNCTION("""COMPUTED_VALUE"""),0.0)</f>
        <v>0</v>
      </c>
      <c r="J292" s="5">
        <f>IFERROR(__xludf.DUMMYFUNCTION("""COMPUTED_VALUE"""),0.0)</f>
        <v>0</v>
      </c>
      <c r="K292" s="5">
        <f>IFERROR(__xludf.DUMMYFUNCTION("""COMPUTED_VALUE"""),0.0)</f>
        <v>0</v>
      </c>
      <c r="L292" s="5">
        <f>IFERROR(__xludf.DUMMYFUNCTION("""COMPUTED_VALUE"""),0.0)</f>
        <v>0</v>
      </c>
      <c r="M292" s="5">
        <f>IFERROR(__xludf.DUMMYFUNCTION("""COMPUTED_VALUE"""),36.0)</f>
        <v>36</v>
      </c>
      <c r="N292" s="5">
        <f>IFERROR(__xludf.DUMMYFUNCTION("""COMPUTED_VALUE"""),423.0)</f>
        <v>423</v>
      </c>
      <c r="O292" s="5">
        <f>IFERROR(__xludf.DUMMYFUNCTION("""COMPUTED_VALUE"""),1.7)</f>
        <v>1.7</v>
      </c>
      <c r="P292" s="5">
        <f>IFERROR(__xludf.DUMMYFUNCTION("""COMPUTED_VALUE"""),70.6)</f>
        <v>70.6</v>
      </c>
    </row>
    <row r="293">
      <c r="A293" s="19" t="str">
        <f>vlookup(B293,'Player Codes'!A:D,4,)</f>
        <v>0049</v>
      </c>
      <c r="B293" s="21" t="s">
        <v>801</v>
      </c>
      <c r="C293" s="5">
        <f>IFERROR(__xludf.DUMMYFUNCTION("""COMPUTED_VALUE"""),289.0)</f>
        <v>289</v>
      </c>
      <c r="D293" s="5" t="str">
        <f>IFERROR(__xludf.DUMMYFUNCTION("""COMPUTED_VALUE"""),"Cedric Tillman")</f>
        <v>Cedric Tillman</v>
      </c>
      <c r="E293" s="5" t="str">
        <f>IFERROR(__xludf.DUMMYFUNCTION("""COMPUTED_VALUE"""),"WR98")</f>
        <v>WR98</v>
      </c>
      <c r="F293" s="5" t="str">
        <f>IFERROR(__xludf.DUMMYFUNCTION("""COMPUTED_VALUE"""),"CLE")</f>
        <v>CLE</v>
      </c>
      <c r="G293" s="5">
        <f>IFERROR(__xludf.DUMMYFUNCTION("""COMPUTED_VALUE"""),5.0)</f>
        <v>5</v>
      </c>
      <c r="H293" s="5">
        <f>IFERROR(__xludf.DUMMYFUNCTION("""COMPUTED_VALUE"""),0.0)</f>
        <v>0</v>
      </c>
      <c r="I293" s="5">
        <f>IFERROR(__xludf.DUMMYFUNCTION("""COMPUTED_VALUE"""),0.0)</f>
        <v>0</v>
      </c>
      <c r="J293" s="5">
        <f>IFERROR(__xludf.DUMMYFUNCTION("""COMPUTED_VALUE"""),0.0)</f>
        <v>0</v>
      </c>
      <c r="K293" s="5">
        <f>IFERROR(__xludf.DUMMYFUNCTION("""COMPUTED_VALUE"""),18.0)</f>
        <v>18</v>
      </c>
      <c r="L293" s="5">
        <f>IFERROR(__xludf.DUMMYFUNCTION("""COMPUTED_VALUE"""),0.2)</f>
        <v>0.2</v>
      </c>
      <c r="M293" s="5">
        <f>IFERROR(__xludf.DUMMYFUNCTION("""COMPUTED_VALUE"""),32.0)</f>
        <v>32</v>
      </c>
      <c r="N293" s="5">
        <f>IFERROR(__xludf.DUMMYFUNCTION("""COMPUTED_VALUE"""),378.0)</f>
        <v>378</v>
      </c>
      <c r="O293" s="5">
        <f>IFERROR(__xludf.DUMMYFUNCTION("""COMPUTED_VALUE"""),2.3)</f>
        <v>2.3</v>
      </c>
      <c r="P293" s="5">
        <f>IFERROR(__xludf.DUMMYFUNCTION("""COMPUTED_VALUE"""),70.5)</f>
        <v>70.5</v>
      </c>
    </row>
    <row r="294">
      <c r="A294" s="19" t="str">
        <f>vlookup(B294,'Player Codes'!A:D,4,)</f>
        <v>0297</v>
      </c>
      <c r="B294" s="21" t="s">
        <v>793</v>
      </c>
      <c r="C294" s="5">
        <f>IFERROR(__xludf.DUMMYFUNCTION("""COMPUTED_VALUE"""),290.0)</f>
        <v>290</v>
      </c>
      <c r="D294" s="5" t="str">
        <f>IFERROR(__xludf.DUMMYFUNCTION("""COMPUTED_VALUE"""),"Tyquan Thornton")</f>
        <v>Tyquan Thornton</v>
      </c>
      <c r="E294" s="5" t="str">
        <f>IFERROR(__xludf.DUMMYFUNCTION("""COMPUTED_VALUE"""),"WR99")</f>
        <v>WR99</v>
      </c>
      <c r="F294" s="5" t="str">
        <f>IFERROR(__xludf.DUMMYFUNCTION("""COMPUTED_VALUE"""),"NE")</f>
        <v>NE</v>
      </c>
      <c r="G294" s="5">
        <f>IFERROR(__xludf.DUMMYFUNCTION("""COMPUTED_VALUE"""),11.0)</f>
        <v>11</v>
      </c>
      <c r="H294" s="5">
        <f>IFERROR(__xludf.DUMMYFUNCTION("""COMPUTED_VALUE"""),0.0)</f>
        <v>0</v>
      </c>
      <c r="I294" s="5">
        <f>IFERROR(__xludf.DUMMYFUNCTION("""COMPUTED_VALUE"""),0.0)</f>
        <v>0</v>
      </c>
      <c r="J294" s="5">
        <f>IFERROR(__xludf.DUMMYFUNCTION("""COMPUTED_VALUE"""),0.0)</f>
        <v>0</v>
      </c>
      <c r="K294" s="5">
        <f>IFERROR(__xludf.DUMMYFUNCTION("""COMPUTED_VALUE"""),15.0)</f>
        <v>15</v>
      </c>
      <c r="L294" s="5">
        <f>IFERROR(__xludf.DUMMYFUNCTION("""COMPUTED_VALUE"""),0.1)</f>
        <v>0.1</v>
      </c>
      <c r="M294" s="5">
        <f>IFERROR(__xludf.DUMMYFUNCTION("""COMPUTED_VALUE"""),29.0)</f>
        <v>29</v>
      </c>
      <c r="N294" s="5">
        <f>IFERROR(__xludf.DUMMYFUNCTION("""COMPUTED_VALUE"""),387.0)</f>
        <v>387</v>
      </c>
      <c r="O294" s="5">
        <f>IFERROR(__xludf.DUMMYFUNCTION("""COMPUTED_VALUE"""),2.5)</f>
        <v>2.5</v>
      </c>
      <c r="P294" s="5">
        <f>IFERROR(__xludf.DUMMYFUNCTION("""COMPUTED_VALUE"""),70.4)</f>
        <v>70.4</v>
      </c>
    </row>
    <row r="295">
      <c r="A295" s="19" t="str">
        <f>vlookup(B295,'Player Codes'!A:D,4,)</f>
        <v>0181</v>
      </c>
      <c r="B295" s="21" t="s">
        <v>727</v>
      </c>
      <c r="C295" s="5">
        <f>IFERROR(__xludf.DUMMYFUNCTION("""COMPUTED_VALUE"""),291.0)</f>
        <v>291</v>
      </c>
      <c r="D295" s="5" t="str">
        <f>IFERROR(__xludf.DUMMYFUNCTION("""COMPUTED_VALUE"""),"Darius Slayton")</f>
        <v>Darius Slayton</v>
      </c>
      <c r="E295" s="5" t="str">
        <f>IFERROR(__xludf.DUMMYFUNCTION("""COMPUTED_VALUE"""),"WR100")</f>
        <v>WR100</v>
      </c>
      <c r="F295" s="5" t="str">
        <f>IFERROR(__xludf.DUMMYFUNCTION("""COMPUTED_VALUE"""),"NYG")</f>
        <v>NYG</v>
      </c>
      <c r="G295" s="5">
        <f>IFERROR(__xludf.DUMMYFUNCTION("""COMPUTED_VALUE"""),13.0)</f>
        <v>13</v>
      </c>
      <c r="H295" s="5">
        <f>IFERROR(__xludf.DUMMYFUNCTION("""COMPUTED_VALUE"""),0.0)</f>
        <v>0</v>
      </c>
      <c r="I295" s="5">
        <f>IFERROR(__xludf.DUMMYFUNCTION("""COMPUTED_VALUE"""),0.0)</f>
        <v>0</v>
      </c>
      <c r="J295" s="5">
        <f>IFERROR(__xludf.DUMMYFUNCTION("""COMPUTED_VALUE"""),0.0)</f>
        <v>0</v>
      </c>
      <c r="K295" s="5">
        <f>IFERROR(__xludf.DUMMYFUNCTION("""COMPUTED_VALUE"""),11.0)</f>
        <v>11</v>
      </c>
      <c r="L295" s="5">
        <f>IFERROR(__xludf.DUMMYFUNCTION("""COMPUTED_VALUE"""),0.1)</f>
        <v>0.1</v>
      </c>
      <c r="M295" s="5">
        <f>IFERROR(__xludf.DUMMYFUNCTION("""COMPUTED_VALUE"""),35.0)</f>
        <v>35</v>
      </c>
      <c r="N295" s="5">
        <f>IFERROR(__xludf.DUMMYFUNCTION("""COMPUTED_VALUE"""),397.0)</f>
        <v>397</v>
      </c>
      <c r="O295" s="5">
        <f>IFERROR(__xludf.DUMMYFUNCTION("""COMPUTED_VALUE"""),1.9)</f>
        <v>1.9</v>
      </c>
      <c r="P295" s="5">
        <f>IFERROR(__xludf.DUMMYFUNCTION("""COMPUTED_VALUE"""),70.3)</f>
        <v>70.3</v>
      </c>
    </row>
    <row r="296">
      <c r="A296" s="19" t="str">
        <f>vlookup(B296,'Player Codes'!A:D,4,)</f>
        <v>0060</v>
      </c>
      <c r="B296" s="23" t="s">
        <v>668</v>
      </c>
      <c r="C296" s="5">
        <f>IFERROR(__xludf.DUMMYFUNCTION("""COMPUTED_VALUE"""),292.0)</f>
        <v>292</v>
      </c>
      <c r="D296" s="5" t="str">
        <f>IFERROR(__xludf.DUMMYFUNCTION("""COMPUTED_VALUE"""),"Zach Ertz")</f>
        <v>Zach Ertz</v>
      </c>
      <c r="E296" s="5" t="str">
        <f>IFERROR(__xludf.DUMMYFUNCTION("""COMPUTED_VALUE"""),"TE34")</f>
        <v>TE34</v>
      </c>
      <c r="F296" s="5" t="str">
        <f>IFERROR(__xludf.DUMMYFUNCTION("""COMPUTED_VALUE"""),"ARI")</f>
        <v>ARI</v>
      </c>
      <c r="G296" s="5">
        <f>IFERROR(__xludf.DUMMYFUNCTION("""COMPUTED_VALUE"""),14.0)</f>
        <v>14</v>
      </c>
      <c r="H296" s="5">
        <f>IFERROR(__xludf.DUMMYFUNCTION("""COMPUTED_VALUE"""),0.0)</f>
        <v>0</v>
      </c>
      <c r="I296" s="5">
        <f>IFERROR(__xludf.DUMMYFUNCTION("""COMPUTED_VALUE"""),0.0)</f>
        <v>0</v>
      </c>
      <c r="J296" s="5">
        <f>IFERROR(__xludf.DUMMYFUNCTION("""COMPUTED_VALUE"""),0.0)</f>
        <v>0</v>
      </c>
      <c r="K296" s="5">
        <f>IFERROR(__xludf.DUMMYFUNCTION("""COMPUTED_VALUE"""),0.0)</f>
        <v>0</v>
      </c>
      <c r="L296" s="5">
        <f>IFERROR(__xludf.DUMMYFUNCTION("""COMPUTED_VALUE"""),0.0)</f>
        <v>0</v>
      </c>
      <c r="M296" s="5">
        <f>IFERROR(__xludf.DUMMYFUNCTION("""COMPUTED_VALUE"""),38.0)</f>
        <v>38</v>
      </c>
      <c r="N296" s="5">
        <f>IFERROR(__xludf.DUMMYFUNCTION("""COMPUTED_VALUE"""),358.0)</f>
        <v>358</v>
      </c>
      <c r="O296" s="5">
        <f>IFERROR(__xludf.DUMMYFUNCTION("""COMPUTED_VALUE"""),2.5)</f>
        <v>2.5</v>
      </c>
      <c r="P296" s="5">
        <f>IFERROR(__xludf.DUMMYFUNCTION("""COMPUTED_VALUE"""),69.5)</f>
        <v>69.5</v>
      </c>
    </row>
    <row r="297">
      <c r="A297" s="19" t="str">
        <f>vlookup(B297,'Player Codes'!A:D,4,)</f>
        <v>0051</v>
      </c>
      <c r="B297" s="21" t="s">
        <v>754</v>
      </c>
      <c r="C297" s="5">
        <f>IFERROR(__xludf.DUMMYFUNCTION("""COMPUTED_VALUE"""),293.0)</f>
        <v>293</v>
      </c>
      <c r="D297" s="5" t="str">
        <f>IFERROR(__xludf.DUMMYFUNCTION("""COMPUTED_VALUE"""),"Keaontay Ingram")</f>
        <v>Keaontay Ingram</v>
      </c>
      <c r="E297" s="5" t="str">
        <f>IFERROR(__xludf.DUMMYFUNCTION("""COMPUTED_VALUE"""),"RB64")</f>
        <v>RB64</v>
      </c>
      <c r="F297" s="5" t="str">
        <f>IFERROR(__xludf.DUMMYFUNCTION("""COMPUTED_VALUE"""),"ARI")</f>
        <v>ARI</v>
      </c>
      <c r="G297" s="5">
        <f>IFERROR(__xludf.DUMMYFUNCTION("""COMPUTED_VALUE"""),14.0)</f>
        <v>14</v>
      </c>
      <c r="H297" s="5">
        <f>IFERROR(__xludf.DUMMYFUNCTION("""COMPUTED_VALUE"""),0.0)</f>
        <v>0</v>
      </c>
      <c r="I297" s="5">
        <f>IFERROR(__xludf.DUMMYFUNCTION("""COMPUTED_VALUE"""),0.0)</f>
        <v>0</v>
      </c>
      <c r="J297" s="5">
        <f>IFERROR(__xludf.DUMMYFUNCTION("""COMPUTED_VALUE"""),0.0)</f>
        <v>0</v>
      </c>
      <c r="K297" s="5">
        <f>IFERROR(__xludf.DUMMYFUNCTION("""COMPUTED_VALUE"""),351.0)</f>
        <v>351</v>
      </c>
      <c r="L297" s="5">
        <f>IFERROR(__xludf.DUMMYFUNCTION("""COMPUTED_VALUE"""),2.3)</f>
        <v>2.3</v>
      </c>
      <c r="M297" s="5">
        <f>IFERROR(__xludf.DUMMYFUNCTION("""COMPUTED_VALUE"""),15.0)</f>
        <v>15</v>
      </c>
      <c r="N297" s="5">
        <f>IFERROR(__xludf.DUMMYFUNCTION("""COMPUTED_VALUE"""),109.0)</f>
        <v>109</v>
      </c>
      <c r="O297" s="5">
        <f>IFERROR(__xludf.DUMMYFUNCTION("""COMPUTED_VALUE"""),0.3)</f>
        <v>0.3</v>
      </c>
      <c r="P297" s="5">
        <f>IFERROR(__xludf.DUMMYFUNCTION("""COMPUTED_VALUE"""),69.1)</f>
        <v>69.1</v>
      </c>
    </row>
    <row r="298">
      <c r="A298" s="19" t="str">
        <f>vlookup(B298,'Player Codes'!A:D,4,)</f>
        <v>0121</v>
      </c>
      <c r="B298" s="23" t="s">
        <v>673</v>
      </c>
      <c r="C298" s="5">
        <f>IFERROR(__xludf.DUMMYFUNCTION("""COMPUTED_VALUE"""),294.0)</f>
        <v>294</v>
      </c>
      <c r="D298" s="5" t="str">
        <f>IFERROR(__xludf.DUMMYFUNCTION("""COMPUTED_VALUE"""),"Chris Evans")</f>
        <v>Chris Evans</v>
      </c>
      <c r="E298" s="5" t="str">
        <f>IFERROR(__xludf.DUMMYFUNCTION("""COMPUTED_VALUE"""),"RB65")</f>
        <v>RB65</v>
      </c>
      <c r="F298" s="5" t="str">
        <f>IFERROR(__xludf.DUMMYFUNCTION("""COMPUTED_VALUE"""),"CIN")</f>
        <v>CIN</v>
      </c>
      <c r="G298" s="5">
        <f>IFERROR(__xludf.DUMMYFUNCTION("""COMPUTED_VALUE"""),7.0)</f>
        <v>7</v>
      </c>
      <c r="H298" s="5">
        <f>IFERROR(__xludf.DUMMYFUNCTION("""COMPUTED_VALUE"""),0.0)</f>
        <v>0</v>
      </c>
      <c r="I298" s="5">
        <f>IFERROR(__xludf.DUMMYFUNCTION("""COMPUTED_VALUE"""),0.0)</f>
        <v>0</v>
      </c>
      <c r="J298" s="5">
        <f>IFERROR(__xludf.DUMMYFUNCTION("""COMPUTED_VALUE"""),0.0)</f>
        <v>0</v>
      </c>
      <c r="K298" s="5">
        <f>IFERROR(__xludf.DUMMYFUNCTION("""COMPUTED_VALUE"""),252.0)</f>
        <v>252</v>
      </c>
      <c r="L298" s="5">
        <f>IFERROR(__xludf.DUMMYFUNCTION("""COMPUTED_VALUE"""),1.1)</f>
        <v>1.1</v>
      </c>
      <c r="M298" s="5">
        <f>IFERROR(__xludf.DUMMYFUNCTION("""COMPUTED_VALUE"""),22.0)</f>
        <v>22</v>
      </c>
      <c r="N298" s="5">
        <f>IFERROR(__xludf.DUMMYFUNCTION("""COMPUTED_VALUE"""),184.0)</f>
        <v>184</v>
      </c>
      <c r="O298" s="5">
        <f>IFERROR(__xludf.DUMMYFUNCTION("""COMPUTED_VALUE"""),1.2)</f>
        <v>1.2</v>
      </c>
      <c r="P298" s="5">
        <f>IFERROR(__xludf.DUMMYFUNCTION("""COMPUTED_VALUE"""),68.2)</f>
        <v>68.2</v>
      </c>
    </row>
    <row r="299">
      <c r="A299" s="19" t="str">
        <f>vlookup(B299,'Player Codes'!A:D,4,)</f>
        <v>0062</v>
      </c>
      <c r="B299" s="21" t="s">
        <v>908</v>
      </c>
      <c r="C299" s="5">
        <f>IFERROR(__xludf.DUMMYFUNCTION("""COMPUTED_VALUE"""),295.0)</f>
        <v>295</v>
      </c>
      <c r="D299" s="5" t="str">
        <f>IFERROR(__xludf.DUMMYFUNCTION("""COMPUTED_VALUE"""),"Gus Edwards")</f>
        <v>Gus Edwards</v>
      </c>
      <c r="E299" s="5" t="str">
        <f>IFERROR(__xludf.DUMMYFUNCTION("""COMPUTED_VALUE"""),"RB66")</f>
        <v>RB66</v>
      </c>
      <c r="F299" s="5" t="str">
        <f>IFERROR(__xludf.DUMMYFUNCTION("""COMPUTED_VALUE"""),"BAL")</f>
        <v>BAL</v>
      </c>
      <c r="G299" s="5">
        <f>IFERROR(__xludf.DUMMYFUNCTION("""COMPUTED_VALUE"""),13.0)</f>
        <v>13</v>
      </c>
      <c r="H299" s="5">
        <f>IFERROR(__xludf.DUMMYFUNCTION("""COMPUTED_VALUE"""),0.0)</f>
        <v>0</v>
      </c>
      <c r="I299" s="5">
        <f>IFERROR(__xludf.DUMMYFUNCTION("""COMPUTED_VALUE"""),0.0)</f>
        <v>0</v>
      </c>
      <c r="J299" s="5">
        <f>IFERROR(__xludf.DUMMYFUNCTION("""COMPUTED_VALUE"""),0.0)</f>
        <v>0</v>
      </c>
      <c r="K299" s="5">
        <f>IFERROR(__xludf.DUMMYFUNCTION("""COMPUTED_VALUE"""),435.0)</f>
        <v>435</v>
      </c>
      <c r="L299" s="5">
        <f>IFERROR(__xludf.DUMMYFUNCTION("""COMPUTED_VALUE"""),3.0)</f>
        <v>3</v>
      </c>
      <c r="M299" s="5">
        <f>IFERROR(__xludf.DUMMYFUNCTION("""COMPUTED_VALUE"""),3.0)</f>
        <v>3</v>
      </c>
      <c r="N299" s="5">
        <f>IFERROR(__xludf.DUMMYFUNCTION("""COMPUTED_VALUE"""),26.0)</f>
        <v>26</v>
      </c>
      <c r="O299" s="5">
        <f>IFERROR(__xludf.DUMMYFUNCTION("""COMPUTED_VALUE"""),0.3)</f>
        <v>0.3</v>
      </c>
      <c r="P299" s="5">
        <f>IFERROR(__xludf.DUMMYFUNCTION("""COMPUTED_VALUE"""),67.7)</f>
        <v>67.7</v>
      </c>
    </row>
    <row r="300">
      <c r="A300" s="19" t="str">
        <f>vlookup(B300,'Player Codes'!A:D,4,)</f>
        <v>0192</v>
      </c>
      <c r="B300" s="21" t="s">
        <v>878</v>
      </c>
      <c r="C300" s="5">
        <f>IFERROR(__xludf.DUMMYFUNCTION("""COMPUTED_VALUE"""),296.0)</f>
        <v>296</v>
      </c>
      <c r="D300" s="5" t="str">
        <f>IFERROR(__xludf.DUMMYFUNCTION("""COMPUTED_VALUE"""),"Cole Turner")</f>
        <v>Cole Turner</v>
      </c>
      <c r="E300" s="5" t="str">
        <f>IFERROR(__xludf.DUMMYFUNCTION("""COMPUTED_VALUE"""),"TE35")</f>
        <v>TE35</v>
      </c>
      <c r="F300" s="5" t="str">
        <f>IFERROR(__xludf.DUMMYFUNCTION("""COMPUTED_VALUE"""),"WAS")</f>
        <v>WAS</v>
      </c>
      <c r="G300" s="5">
        <f>IFERROR(__xludf.DUMMYFUNCTION("""COMPUTED_VALUE"""),14.0)</f>
        <v>14</v>
      </c>
      <c r="H300" s="5">
        <f>IFERROR(__xludf.DUMMYFUNCTION("""COMPUTED_VALUE"""),0.0)</f>
        <v>0</v>
      </c>
      <c r="I300" s="5">
        <f>IFERROR(__xludf.DUMMYFUNCTION("""COMPUTED_VALUE"""),0.0)</f>
        <v>0</v>
      </c>
      <c r="J300" s="5">
        <f>IFERROR(__xludf.DUMMYFUNCTION("""COMPUTED_VALUE"""),0.0)</f>
        <v>0</v>
      </c>
      <c r="K300" s="5">
        <f>IFERROR(__xludf.DUMMYFUNCTION("""COMPUTED_VALUE"""),0.0)</f>
        <v>0</v>
      </c>
      <c r="L300" s="5">
        <f>IFERROR(__xludf.DUMMYFUNCTION("""COMPUTED_VALUE"""),0.0)</f>
        <v>0</v>
      </c>
      <c r="M300" s="5">
        <f>IFERROR(__xludf.DUMMYFUNCTION("""COMPUTED_VALUE"""),34.0)</f>
        <v>34</v>
      </c>
      <c r="N300" s="5">
        <f>IFERROR(__xludf.DUMMYFUNCTION("""COMPUTED_VALUE"""),368.0)</f>
        <v>368</v>
      </c>
      <c r="O300" s="5">
        <f>IFERROR(__xludf.DUMMYFUNCTION("""COMPUTED_VALUE"""),2.3)</f>
        <v>2.3</v>
      </c>
      <c r="P300" s="5">
        <f>IFERROR(__xludf.DUMMYFUNCTION("""COMPUTED_VALUE"""),67.4)</f>
        <v>67.4</v>
      </c>
    </row>
    <row r="301">
      <c r="A301" s="19" t="str">
        <f>vlookup(B301,'Player Codes'!A:D,4,)</f>
        <v>0097</v>
      </c>
      <c r="B301" s="21" t="s">
        <v>764</v>
      </c>
      <c r="C301" s="5">
        <f>IFERROR(__xludf.DUMMYFUNCTION("""COMPUTED_VALUE"""),297.0)</f>
        <v>297</v>
      </c>
      <c r="D301" s="5" t="str">
        <f>IFERROR(__xludf.DUMMYFUNCTION("""COMPUTED_VALUE"""),"Kyle Trask")</f>
        <v>Kyle Trask</v>
      </c>
      <c r="E301" s="5" t="str">
        <f>IFERROR(__xludf.DUMMYFUNCTION("""COMPUTED_VALUE"""),"QB33")</f>
        <v>QB33</v>
      </c>
      <c r="F301" s="5" t="str">
        <f>IFERROR(__xludf.DUMMYFUNCTION("""COMPUTED_VALUE"""),"TB")</f>
        <v>TB</v>
      </c>
      <c r="G301" s="5">
        <f>IFERROR(__xludf.DUMMYFUNCTION("""COMPUTED_VALUE"""),5.0)</f>
        <v>5</v>
      </c>
      <c r="H301" s="5">
        <f>IFERROR(__xludf.DUMMYFUNCTION("""COMPUTED_VALUE"""),1215.0)</f>
        <v>1215</v>
      </c>
      <c r="I301" s="5">
        <f>IFERROR(__xludf.DUMMYFUNCTION("""COMPUTED_VALUE"""),6.0)</f>
        <v>6</v>
      </c>
      <c r="J301" s="5">
        <f>IFERROR(__xludf.DUMMYFUNCTION("""COMPUTED_VALUE"""),7.3)</f>
        <v>7.3</v>
      </c>
      <c r="K301" s="5">
        <f>IFERROR(__xludf.DUMMYFUNCTION("""COMPUTED_VALUE"""),56.0)</f>
        <v>56</v>
      </c>
      <c r="L301" s="5">
        <f>IFERROR(__xludf.DUMMYFUNCTION("""COMPUTED_VALUE"""),0.6)</f>
        <v>0.6</v>
      </c>
      <c r="M301" s="5">
        <f>IFERROR(__xludf.DUMMYFUNCTION("""COMPUTED_VALUE"""),0.0)</f>
        <v>0</v>
      </c>
      <c r="N301" s="5">
        <f>IFERROR(__xludf.DUMMYFUNCTION("""COMPUTED_VALUE"""),0.0)</f>
        <v>0</v>
      </c>
      <c r="O301" s="5">
        <f>IFERROR(__xludf.DUMMYFUNCTION("""COMPUTED_VALUE"""),0.0)</f>
        <v>0</v>
      </c>
      <c r="P301" s="5">
        <f>IFERROR(__xludf.DUMMYFUNCTION("""COMPUTED_VALUE"""),67.2)</f>
        <v>67.2</v>
      </c>
    </row>
    <row r="302">
      <c r="A302" s="19" t="str">
        <f>vlookup(B302,'Player Codes'!A:D,4,)</f>
        <v>0064</v>
      </c>
      <c r="B302" s="21" t="s">
        <v>567</v>
      </c>
      <c r="C302" s="5">
        <f>IFERROR(__xludf.DUMMYFUNCTION("""COMPUTED_VALUE"""),298.0)</f>
        <v>298</v>
      </c>
      <c r="D302" s="5" t="str">
        <f>IFERROR(__xludf.DUMMYFUNCTION("""COMPUTED_VALUE"""),"Salvon Ahmed")</f>
        <v>Salvon Ahmed</v>
      </c>
      <c r="E302" s="5" t="str">
        <f>IFERROR(__xludf.DUMMYFUNCTION("""COMPUTED_VALUE"""),"RB67")</f>
        <v>RB67</v>
      </c>
      <c r="F302" s="5" t="str">
        <f>IFERROR(__xludf.DUMMYFUNCTION("""COMPUTED_VALUE"""),"MIA")</f>
        <v>MIA</v>
      </c>
      <c r="G302" s="5">
        <f>IFERROR(__xludf.DUMMYFUNCTION("""COMPUTED_VALUE"""),10.0)</f>
        <v>10</v>
      </c>
      <c r="H302" s="5">
        <f>IFERROR(__xludf.DUMMYFUNCTION("""COMPUTED_VALUE"""),0.0)</f>
        <v>0</v>
      </c>
      <c r="I302" s="5">
        <f>IFERROR(__xludf.DUMMYFUNCTION("""COMPUTED_VALUE"""),0.0)</f>
        <v>0</v>
      </c>
      <c r="J302" s="5">
        <f>IFERROR(__xludf.DUMMYFUNCTION("""COMPUTED_VALUE"""),0.0)</f>
        <v>0</v>
      </c>
      <c r="K302" s="5">
        <f>IFERROR(__xludf.DUMMYFUNCTION("""COMPUTED_VALUE"""),309.0)</f>
        <v>309</v>
      </c>
      <c r="L302" s="5">
        <f>IFERROR(__xludf.DUMMYFUNCTION("""COMPUTED_VALUE"""),2.8)</f>
        <v>2.8</v>
      </c>
      <c r="M302" s="5">
        <f>IFERROR(__xludf.DUMMYFUNCTION("""COMPUTED_VALUE"""),12.0)</f>
        <v>12</v>
      </c>
      <c r="N302" s="5">
        <f>IFERROR(__xludf.DUMMYFUNCTION("""COMPUTED_VALUE"""),89.0)</f>
        <v>89</v>
      </c>
      <c r="O302" s="5">
        <f>IFERROR(__xludf.DUMMYFUNCTION("""COMPUTED_VALUE"""),0.5)</f>
        <v>0.5</v>
      </c>
      <c r="P302" s="5">
        <f>IFERROR(__xludf.DUMMYFUNCTION("""COMPUTED_VALUE"""),65.5)</f>
        <v>65.5</v>
      </c>
    </row>
    <row r="303">
      <c r="A303" s="19" t="str">
        <f>vlookup(B303,'Player Codes'!A:D,4,)</f>
        <v>0044</v>
      </c>
      <c r="B303" s="21" t="s">
        <v>771</v>
      </c>
      <c r="C303" s="5">
        <f>IFERROR(__xludf.DUMMYFUNCTION("""COMPUTED_VALUE"""),299.0)</f>
        <v>299</v>
      </c>
      <c r="D303" s="5" t="str">
        <f>IFERROR(__xludf.DUMMYFUNCTION("""COMPUTED_VALUE"""),"Cordarrelle Patterson")</f>
        <v>Cordarrelle Patterson</v>
      </c>
      <c r="E303" s="5" t="str">
        <f>IFERROR(__xludf.DUMMYFUNCTION("""COMPUTED_VALUE"""),"RB68")</f>
        <v>RB68</v>
      </c>
      <c r="F303" s="5" t="str">
        <f>IFERROR(__xludf.DUMMYFUNCTION("""COMPUTED_VALUE"""),"ATL")</f>
        <v>ATL</v>
      </c>
      <c r="G303" s="5">
        <f>IFERROR(__xludf.DUMMYFUNCTION("""COMPUTED_VALUE"""),11.0)</f>
        <v>11</v>
      </c>
      <c r="H303" s="5">
        <f>IFERROR(__xludf.DUMMYFUNCTION("""COMPUTED_VALUE"""),0.0)</f>
        <v>0</v>
      </c>
      <c r="I303" s="5">
        <f>IFERROR(__xludf.DUMMYFUNCTION("""COMPUTED_VALUE"""),0.0)</f>
        <v>0</v>
      </c>
      <c r="J303" s="5">
        <f>IFERROR(__xludf.DUMMYFUNCTION("""COMPUTED_VALUE"""),0.0)</f>
        <v>0</v>
      </c>
      <c r="K303" s="5">
        <f>IFERROR(__xludf.DUMMYFUNCTION("""COMPUTED_VALUE"""),194.0)</f>
        <v>194</v>
      </c>
      <c r="L303" s="5">
        <f>IFERROR(__xludf.DUMMYFUNCTION("""COMPUTED_VALUE"""),1.2)</f>
        <v>1.2</v>
      </c>
      <c r="M303" s="5">
        <f>IFERROR(__xludf.DUMMYFUNCTION("""COMPUTED_VALUE"""),24.0)</f>
        <v>24</v>
      </c>
      <c r="N303" s="5">
        <f>IFERROR(__xludf.DUMMYFUNCTION("""COMPUTED_VALUE"""),205.0)</f>
        <v>205</v>
      </c>
      <c r="O303" s="5">
        <f>IFERROR(__xludf.DUMMYFUNCTION("""COMPUTED_VALUE"""),1.0)</f>
        <v>1</v>
      </c>
      <c r="P303" s="5">
        <f>IFERROR(__xludf.DUMMYFUNCTION("""COMPUTED_VALUE"""),65.1)</f>
        <v>65.1</v>
      </c>
    </row>
    <row r="304">
      <c r="A304" s="19" t="str">
        <f>vlookup(B304,'Player Codes'!A:D,4,)</f>
        <v>0247</v>
      </c>
      <c r="B304" s="21" t="s">
        <v>775</v>
      </c>
      <c r="C304" s="5">
        <f>IFERROR(__xludf.DUMMYFUNCTION("""COMPUTED_VALUE"""),300.0)</f>
        <v>300</v>
      </c>
      <c r="D304" s="5" t="str">
        <f>IFERROR(__xludf.DUMMYFUNCTION("""COMPUTED_VALUE"""),"Chase Brown")</f>
        <v>Chase Brown</v>
      </c>
      <c r="E304" s="5" t="str">
        <f>IFERROR(__xludf.DUMMYFUNCTION("""COMPUTED_VALUE"""),"RB69")</f>
        <v>RB69</v>
      </c>
      <c r="F304" s="5" t="str">
        <f>IFERROR(__xludf.DUMMYFUNCTION("""COMPUTED_VALUE"""),"CIN")</f>
        <v>CIN</v>
      </c>
      <c r="G304" s="5">
        <f>IFERROR(__xludf.DUMMYFUNCTION("""COMPUTED_VALUE"""),7.0)</f>
        <v>7</v>
      </c>
      <c r="H304" s="5">
        <f>IFERROR(__xludf.DUMMYFUNCTION("""COMPUTED_VALUE"""),0.0)</f>
        <v>0</v>
      </c>
      <c r="I304" s="5">
        <f>IFERROR(__xludf.DUMMYFUNCTION("""COMPUTED_VALUE"""),0.0)</f>
        <v>0</v>
      </c>
      <c r="J304" s="5">
        <f>IFERROR(__xludf.DUMMYFUNCTION("""COMPUTED_VALUE"""),0.0)</f>
        <v>0</v>
      </c>
      <c r="K304" s="5">
        <f>IFERROR(__xludf.DUMMYFUNCTION("""COMPUTED_VALUE"""),251.0)</f>
        <v>251</v>
      </c>
      <c r="L304" s="5">
        <f>IFERROR(__xludf.DUMMYFUNCTION("""COMPUTED_VALUE"""),1.5)</f>
        <v>1.5</v>
      </c>
      <c r="M304" s="5">
        <f>IFERROR(__xludf.DUMMYFUNCTION("""COMPUTED_VALUE"""),20.0)</f>
        <v>20</v>
      </c>
      <c r="N304" s="5">
        <f>IFERROR(__xludf.DUMMYFUNCTION("""COMPUTED_VALUE"""),150.0)</f>
        <v>150</v>
      </c>
      <c r="O304" s="5">
        <f>IFERROR(__xludf.DUMMYFUNCTION("""COMPUTED_VALUE"""),1.0)</f>
        <v>1</v>
      </c>
      <c r="P304" s="5">
        <f>IFERROR(__xludf.DUMMYFUNCTION("""COMPUTED_VALUE"""),65.0)</f>
        <v>65</v>
      </c>
    </row>
  </sheetData>
  <autoFilter ref="$E$5:$E$304">
    <sortState ref="E5:E304">
      <sortCondition ref="E5:E30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8.75"/>
  </cols>
  <sheetData>
    <row r="1">
      <c r="B1" s="10" t="s">
        <v>919</v>
      </c>
      <c r="C1" s="10" t="s">
        <v>920</v>
      </c>
      <c r="D1" s="10" t="s">
        <v>921</v>
      </c>
      <c r="E1" s="10" t="s">
        <v>922</v>
      </c>
      <c r="F1" s="11" t="s">
        <v>923</v>
      </c>
      <c r="G1" s="12" t="s">
        <v>924</v>
      </c>
      <c r="H1" s="12" t="s">
        <v>925</v>
      </c>
      <c r="I1" s="12" t="s">
        <v>926</v>
      </c>
      <c r="J1" s="12" t="s">
        <v>927</v>
      </c>
    </row>
    <row r="2">
      <c r="B2" s="5" t="s">
        <v>251</v>
      </c>
      <c r="C2" s="5" t="s">
        <v>928</v>
      </c>
      <c r="D2" s="5" t="s">
        <v>929</v>
      </c>
      <c r="E2" s="5">
        <v>13.0</v>
      </c>
      <c r="F2" s="5">
        <v>372.5</v>
      </c>
      <c r="G2" s="13">
        <v>1.0</v>
      </c>
      <c r="H2" s="13">
        <v>273.2</v>
      </c>
      <c r="I2" s="14">
        <v>3.0</v>
      </c>
      <c r="J2" s="13">
        <v>1.0</v>
      </c>
    </row>
    <row r="3">
      <c r="B3" s="5" t="s">
        <v>264</v>
      </c>
      <c r="C3" s="5" t="s">
        <v>930</v>
      </c>
      <c r="D3" s="5" t="s">
        <v>931</v>
      </c>
      <c r="E3" s="5">
        <v>10.0</v>
      </c>
      <c r="F3" s="5">
        <v>369.0</v>
      </c>
      <c r="G3" s="13">
        <v>2.0</v>
      </c>
      <c r="H3" s="13">
        <v>269.7</v>
      </c>
      <c r="I3" s="14">
        <v>3.0</v>
      </c>
      <c r="J3" s="13">
        <v>1.0</v>
      </c>
    </row>
    <row r="4">
      <c r="B4" s="5" t="s">
        <v>267</v>
      </c>
      <c r="C4" s="5" t="s">
        <v>932</v>
      </c>
      <c r="D4" s="5" t="s">
        <v>933</v>
      </c>
      <c r="E4" s="5">
        <v>10.0</v>
      </c>
      <c r="F4" s="5">
        <v>361.0</v>
      </c>
      <c r="G4" s="13">
        <v>3.0</v>
      </c>
      <c r="H4" s="13">
        <v>261.7</v>
      </c>
      <c r="I4" s="14">
        <v>3.0</v>
      </c>
      <c r="J4" s="13">
        <v>1.0</v>
      </c>
    </row>
    <row r="5">
      <c r="B5" s="5" t="s">
        <v>207</v>
      </c>
      <c r="C5" s="5" t="s">
        <v>934</v>
      </c>
      <c r="D5" s="5" t="s">
        <v>935</v>
      </c>
      <c r="E5" s="5">
        <v>7.0</v>
      </c>
      <c r="F5" s="5">
        <v>345.7</v>
      </c>
      <c r="G5" s="13">
        <v>4.0</v>
      </c>
      <c r="H5" s="13">
        <v>246.39999999999998</v>
      </c>
      <c r="I5" s="14">
        <v>4.0</v>
      </c>
      <c r="J5" s="13">
        <v>1.0</v>
      </c>
    </row>
    <row r="6">
      <c r="B6" s="5" t="s">
        <v>211</v>
      </c>
      <c r="D6" s="5" t="s">
        <v>936</v>
      </c>
      <c r="E6" s="5">
        <v>13.0</v>
      </c>
      <c r="F6" s="5">
        <v>325.4</v>
      </c>
      <c r="G6" s="13">
        <v>5.0</v>
      </c>
      <c r="H6" s="13">
        <v>226.09999999999997</v>
      </c>
      <c r="I6" s="14">
        <v>4.0</v>
      </c>
      <c r="J6" s="13">
        <v>1.0</v>
      </c>
    </row>
    <row r="7">
      <c r="B7" s="5" t="s">
        <v>219</v>
      </c>
      <c r="C7" s="5" t="s">
        <v>937</v>
      </c>
      <c r="D7" s="5" t="s">
        <v>938</v>
      </c>
      <c r="E7" s="5">
        <v>5.0</v>
      </c>
      <c r="F7" s="5">
        <v>314.0</v>
      </c>
      <c r="G7" s="13">
        <v>6.0</v>
      </c>
      <c r="H7" s="13">
        <v>214.7</v>
      </c>
      <c r="I7" s="14">
        <v>4.0</v>
      </c>
      <c r="J7" s="13">
        <v>1.0</v>
      </c>
    </row>
    <row r="8">
      <c r="B8" s="2" t="s">
        <v>222</v>
      </c>
      <c r="C8" s="5" t="s">
        <v>939</v>
      </c>
      <c r="D8" s="5" t="s">
        <v>940</v>
      </c>
      <c r="E8" s="5">
        <v>13.0</v>
      </c>
      <c r="F8" s="5">
        <v>311.8</v>
      </c>
      <c r="G8" s="13">
        <v>7.0</v>
      </c>
      <c r="H8" s="13">
        <v>212.5</v>
      </c>
      <c r="I8" s="14">
        <v>4.0</v>
      </c>
      <c r="J8" s="13">
        <v>1.0</v>
      </c>
    </row>
    <row r="9">
      <c r="B9" s="5" t="s">
        <v>303</v>
      </c>
      <c r="C9" s="5" t="s">
        <v>941</v>
      </c>
      <c r="D9" s="5" t="s">
        <v>942</v>
      </c>
      <c r="E9" s="5">
        <v>9.0</v>
      </c>
      <c r="F9" s="5">
        <v>301.4</v>
      </c>
      <c r="G9" s="13">
        <v>8.0</v>
      </c>
      <c r="H9" s="13">
        <v>202.09999999999997</v>
      </c>
      <c r="I9" s="14">
        <v>2.0</v>
      </c>
      <c r="J9" s="13">
        <v>1.0</v>
      </c>
    </row>
    <row r="10">
      <c r="B10" s="5" t="s">
        <v>275</v>
      </c>
      <c r="C10" s="5" t="s">
        <v>943</v>
      </c>
      <c r="D10" s="5" t="s">
        <v>944</v>
      </c>
      <c r="E10" s="5">
        <v>5.0</v>
      </c>
      <c r="F10" s="5">
        <v>293.2</v>
      </c>
      <c r="G10" s="13">
        <v>9.0</v>
      </c>
      <c r="H10" s="13">
        <v>193.89999999999998</v>
      </c>
      <c r="I10" s="14">
        <v>3.0</v>
      </c>
      <c r="J10" s="13">
        <v>1.0</v>
      </c>
    </row>
    <row r="11">
      <c r="B11" s="5" t="s">
        <v>227</v>
      </c>
      <c r="C11" s="5" t="s">
        <v>945</v>
      </c>
      <c r="D11" s="5" t="s">
        <v>946</v>
      </c>
      <c r="E11" s="5">
        <v>5.0</v>
      </c>
      <c r="F11" s="5">
        <v>285.9</v>
      </c>
      <c r="G11" s="13">
        <v>10.0</v>
      </c>
      <c r="H11" s="13">
        <v>186.59999999999997</v>
      </c>
      <c r="I11" s="14">
        <v>4.0</v>
      </c>
      <c r="J11" s="13">
        <v>1.0</v>
      </c>
    </row>
    <row r="12">
      <c r="B12" s="5" t="s">
        <v>173</v>
      </c>
      <c r="C12" s="5" t="s">
        <v>947</v>
      </c>
      <c r="D12" s="5" t="s">
        <v>948</v>
      </c>
      <c r="E12" s="5">
        <v>13.0</v>
      </c>
      <c r="F12" s="5">
        <v>284.1</v>
      </c>
      <c r="G12" s="13">
        <v>11.0</v>
      </c>
      <c r="H12" s="13">
        <v>184.8</v>
      </c>
      <c r="I12" s="14">
        <v>5.0</v>
      </c>
      <c r="J12" s="13">
        <v>1.0</v>
      </c>
    </row>
    <row r="13">
      <c r="B13" s="5" t="s">
        <v>95</v>
      </c>
      <c r="C13" s="5" t="s">
        <v>949</v>
      </c>
      <c r="D13" s="5" t="s">
        <v>950</v>
      </c>
      <c r="E13" s="5">
        <v>13.0</v>
      </c>
      <c r="F13" s="5">
        <v>252.7</v>
      </c>
      <c r="G13" s="13">
        <v>18.0</v>
      </c>
      <c r="H13" s="13">
        <v>183.1</v>
      </c>
      <c r="I13" s="14">
        <v>3.0</v>
      </c>
      <c r="J13" s="13">
        <v>3.0</v>
      </c>
    </row>
    <row r="14">
      <c r="B14" s="5" t="s">
        <v>229</v>
      </c>
      <c r="C14" s="5" t="s">
        <v>951</v>
      </c>
      <c r="D14" s="5" t="s">
        <v>952</v>
      </c>
      <c r="E14" s="5">
        <v>7.0</v>
      </c>
      <c r="F14" s="5">
        <v>278.0</v>
      </c>
      <c r="G14" s="13">
        <v>12.0</v>
      </c>
      <c r="H14" s="13">
        <v>178.09999999999997</v>
      </c>
      <c r="I14" s="14">
        <v>4.0</v>
      </c>
      <c r="J14" s="13">
        <v>1.0</v>
      </c>
    </row>
    <row r="15">
      <c r="B15" s="5" t="s">
        <v>31</v>
      </c>
      <c r="C15" s="5" t="s">
        <v>953</v>
      </c>
      <c r="D15" s="5" t="s">
        <v>954</v>
      </c>
      <c r="E15" s="5">
        <v>10.0</v>
      </c>
      <c r="F15" s="5">
        <v>245.4</v>
      </c>
      <c r="G15" s="13">
        <v>20.0</v>
      </c>
      <c r="H15" s="13">
        <v>175.8</v>
      </c>
      <c r="I15" s="14">
        <v>5.0</v>
      </c>
      <c r="J15" s="13">
        <v>3.0</v>
      </c>
    </row>
    <row r="16">
      <c r="B16" s="5" t="s">
        <v>231</v>
      </c>
      <c r="C16" s="5" t="s">
        <v>955</v>
      </c>
      <c r="D16" s="5" t="s">
        <v>954</v>
      </c>
      <c r="E16" s="5">
        <v>10.0</v>
      </c>
      <c r="F16" s="5">
        <v>274.5</v>
      </c>
      <c r="G16" s="13">
        <v>13.0</v>
      </c>
      <c r="H16" s="13">
        <v>175.2</v>
      </c>
      <c r="I16" s="14">
        <v>4.0</v>
      </c>
      <c r="J16" s="13">
        <v>1.0</v>
      </c>
    </row>
    <row r="17">
      <c r="B17" s="5" t="s">
        <v>67</v>
      </c>
      <c r="C17" s="5" t="s">
        <v>956</v>
      </c>
      <c r="D17" s="5" t="s">
        <v>935</v>
      </c>
      <c r="E17" s="5">
        <v>7.0</v>
      </c>
      <c r="F17" s="5">
        <v>244.0</v>
      </c>
      <c r="G17" s="13">
        <v>22.0</v>
      </c>
      <c r="H17" s="13">
        <v>174.4</v>
      </c>
      <c r="I17" s="14">
        <v>4.0</v>
      </c>
      <c r="J17" s="13">
        <v>3.0</v>
      </c>
    </row>
    <row r="18">
      <c r="B18" s="5" t="s">
        <v>71</v>
      </c>
      <c r="C18" s="5" t="s">
        <v>957</v>
      </c>
      <c r="D18" s="5" t="s">
        <v>958</v>
      </c>
      <c r="E18" s="5">
        <v>10.0</v>
      </c>
      <c r="F18" s="5">
        <v>243.3</v>
      </c>
      <c r="G18" s="13">
        <v>23.0</v>
      </c>
      <c r="H18" s="13">
        <v>173.70000000000002</v>
      </c>
      <c r="I18" s="14">
        <v>4.0</v>
      </c>
      <c r="J18" s="13">
        <v>3.0</v>
      </c>
    </row>
    <row r="19">
      <c r="B19" s="5" t="s">
        <v>237</v>
      </c>
      <c r="C19" s="5" t="s">
        <v>959</v>
      </c>
      <c r="D19" s="5" t="s">
        <v>950</v>
      </c>
      <c r="E19" s="5">
        <v>13.0</v>
      </c>
      <c r="F19" s="5">
        <v>271.8</v>
      </c>
      <c r="G19" s="13">
        <v>14.0</v>
      </c>
      <c r="H19" s="13">
        <v>172.5</v>
      </c>
      <c r="I19" s="14">
        <v>4.0</v>
      </c>
      <c r="J19" s="13">
        <v>1.0</v>
      </c>
    </row>
    <row r="20">
      <c r="B20" s="2" t="s">
        <v>288</v>
      </c>
      <c r="C20" s="5" t="s">
        <v>960</v>
      </c>
      <c r="D20" s="5" t="s">
        <v>961</v>
      </c>
      <c r="E20" s="5">
        <v>11.0</v>
      </c>
      <c r="F20" s="5">
        <v>267.6</v>
      </c>
      <c r="G20" s="13">
        <v>15.0</v>
      </c>
      <c r="H20" s="13">
        <v>168.3</v>
      </c>
      <c r="I20" s="14">
        <v>3.0</v>
      </c>
      <c r="J20" s="13">
        <v>1.0</v>
      </c>
    </row>
    <row r="21">
      <c r="B21" s="5" t="s">
        <v>14</v>
      </c>
      <c r="C21" s="5" t="s">
        <v>962</v>
      </c>
      <c r="D21" s="5" t="s">
        <v>963</v>
      </c>
      <c r="E21" s="5">
        <v>9.0</v>
      </c>
      <c r="F21" s="5">
        <v>246.9</v>
      </c>
      <c r="G21" s="13">
        <v>19.0</v>
      </c>
      <c r="H21" s="13">
        <v>166.4</v>
      </c>
      <c r="I21" s="14">
        <v>5.0</v>
      </c>
      <c r="J21" s="13">
        <v>4.0</v>
      </c>
    </row>
    <row r="22">
      <c r="B22" s="5" t="s">
        <v>290</v>
      </c>
      <c r="C22" s="5" t="s">
        <v>964</v>
      </c>
      <c r="D22" s="5" t="s">
        <v>965</v>
      </c>
      <c r="E22" s="5">
        <v>9.0</v>
      </c>
      <c r="F22" s="5">
        <v>264.1</v>
      </c>
      <c r="G22" s="13">
        <v>16.0</v>
      </c>
      <c r="H22" s="13">
        <v>164.8</v>
      </c>
      <c r="I22" s="14">
        <v>3.0</v>
      </c>
      <c r="J22" s="13">
        <v>1.0</v>
      </c>
    </row>
    <row r="23">
      <c r="B23" s="5" t="s">
        <v>196</v>
      </c>
      <c r="C23" s="5" t="s">
        <v>966</v>
      </c>
      <c r="D23" s="5" t="s">
        <v>967</v>
      </c>
      <c r="E23" s="5">
        <v>7.0</v>
      </c>
      <c r="F23" s="5">
        <v>261.3</v>
      </c>
      <c r="G23" s="13">
        <v>17.0</v>
      </c>
      <c r="H23" s="13">
        <v>162.0</v>
      </c>
      <c r="I23" s="14">
        <v>5.0</v>
      </c>
      <c r="J23" s="13">
        <v>1.0</v>
      </c>
    </row>
    <row r="24">
      <c r="B24" s="5" t="s">
        <v>192</v>
      </c>
      <c r="C24" s="5" t="s">
        <v>968</v>
      </c>
      <c r="D24" s="5" t="s">
        <v>933</v>
      </c>
      <c r="E24" s="5">
        <v>10.0</v>
      </c>
      <c r="F24" s="5">
        <v>227.9</v>
      </c>
      <c r="G24" s="13">
        <v>31.0</v>
      </c>
      <c r="H24" s="13">
        <v>160.5</v>
      </c>
      <c r="I24" s="14">
        <v>4.0</v>
      </c>
      <c r="J24" s="13">
        <v>2.0</v>
      </c>
    </row>
    <row r="25">
      <c r="B25" s="5" t="s">
        <v>89</v>
      </c>
      <c r="C25" s="5" t="s">
        <v>969</v>
      </c>
      <c r="D25" s="5" t="s">
        <v>929</v>
      </c>
      <c r="E25" s="5">
        <v>13.0</v>
      </c>
      <c r="F25" s="5">
        <v>229.6</v>
      </c>
      <c r="G25" s="13">
        <v>30.0</v>
      </c>
      <c r="H25" s="13">
        <v>160.0</v>
      </c>
      <c r="I25" s="14">
        <v>4.0</v>
      </c>
      <c r="J25" s="13">
        <v>3.0</v>
      </c>
    </row>
    <row r="26">
      <c r="B26" s="5" t="s">
        <v>18</v>
      </c>
      <c r="C26" s="5" t="s">
        <v>970</v>
      </c>
      <c r="D26" s="5" t="s">
        <v>938</v>
      </c>
      <c r="E26" s="5">
        <v>5.0</v>
      </c>
      <c r="F26" s="5">
        <v>238.3</v>
      </c>
      <c r="G26" s="13">
        <v>25.0</v>
      </c>
      <c r="H26" s="13">
        <v>157.3</v>
      </c>
      <c r="I26" s="14">
        <v>5.0</v>
      </c>
      <c r="J26" s="13">
        <v>4.0</v>
      </c>
    </row>
    <row r="27">
      <c r="B27" s="5" t="s">
        <v>93</v>
      </c>
      <c r="C27" s="5" t="s">
        <v>971</v>
      </c>
      <c r="D27" s="5" t="s">
        <v>931</v>
      </c>
      <c r="E27" s="5">
        <v>10.0</v>
      </c>
      <c r="F27" s="5">
        <v>222.1</v>
      </c>
      <c r="G27" s="13">
        <v>35.0</v>
      </c>
      <c r="H27" s="13">
        <v>152.5</v>
      </c>
      <c r="I27" s="14">
        <v>4.0</v>
      </c>
      <c r="J27" s="13">
        <v>3.0</v>
      </c>
    </row>
    <row r="28">
      <c r="B28" s="5" t="s">
        <v>149</v>
      </c>
      <c r="C28" s="5" t="s">
        <v>972</v>
      </c>
      <c r="D28" s="5" t="s">
        <v>967</v>
      </c>
      <c r="E28" s="5">
        <v>7.0</v>
      </c>
      <c r="F28" s="5">
        <v>221.2</v>
      </c>
      <c r="G28" s="13">
        <v>37.0</v>
      </c>
      <c r="H28" s="13">
        <v>151.6</v>
      </c>
      <c r="I28" s="14">
        <v>3.0</v>
      </c>
      <c r="J28" s="13">
        <v>3.0</v>
      </c>
    </row>
    <row r="29">
      <c r="B29" s="5" t="s">
        <v>47</v>
      </c>
      <c r="C29" s="5" t="s">
        <v>973</v>
      </c>
      <c r="D29" s="5" t="s">
        <v>974</v>
      </c>
      <c r="E29" s="5">
        <v>11.0</v>
      </c>
      <c r="F29" s="5">
        <v>227.9</v>
      </c>
      <c r="G29" s="13">
        <v>31.0</v>
      </c>
      <c r="H29" s="13">
        <v>146.9</v>
      </c>
      <c r="I29" s="14">
        <v>3.0</v>
      </c>
      <c r="J29" s="13">
        <v>4.0</v>
      </c>
    </row>
    <row r="30">
      <c r="B30" s="5" t="s">
        <v>199</v>
      </c>
      <c r="C30" s="5" t="s">
        <v>975</v>
      </c>
      <c r="D30" s="5" t="s">
        <v>976</v>
      </c>
      <c r="E30" s="5">
        <v>9.0</v>
      </c>
      <c r="F30" s="5">
        <v>244.5</v>
      </c>
      <c r="G30" s="13">
        <v>21.0</v>
      </c>
      <c r="H30" s="13">
        <v>145.2</v>
      </c>
      <c r="I30" s="14">
        <v>5.0</v>
      </c>
      <c r="J30" s="13">
        <v>1.0</v>
      </c>
    </row>
    <row r="31">
      <c r="B31" s="5" t="s">
        <v>106</v>
      </c>
      <c r="C31" s="5" t="s">
        <v>977</v>
      </c>
      <c r="D31" s="5" t="s">
        <v>952</v>
      </c>
      <c r="E31" s="5">
        <v>7.0</v>
      </c>
      <c r="F31" s="5">
        <v>214.5</v>
      </c>
      <c r="G31" s="13">
        <v>42.0</v>
      </c>
      <c r="H31" s="13">
        <v>144.6</v>
      </c>
      <c r="I31" s="14">
        <v>4.0</v>
      </c>
      <c r="J31" s="13">
        <v>3.0</v>
      </c>
    </row>
    <row r="32">
      <c r="B32" s="5" t="s">
        <v>175</v>
      </c>
      <c r="C32" s="5" t="s">
        <v>978</v>
      </c>
      <c r="D32" s="5" t="s">
        <v>965</v>
      </c>
      <c r="E32" s="5">
        <v>9.0</v>
      </c>
      <c r="F32" s="5">
        <v>213.9</v>
      </c>
      <c r="G32" s="13">
        <v>44.0</v>
      </c>
      <c r="H32" s="13">
        <v>144.3</v>
      </c>
      <c r="I32" s="14">
        <v>3.0</v>
      </c>
      <c r="J32" s="13">
        <v>3.0</v>
      </c>
    </row>
    <row r="33">
      <c r="B33" s="5" t="s">
        <v>86</v>
      </c>
      <c r="C33" s="5" t="s">
        <v>979</v>
      </c>
      <c r="D33" s="5" t="s">
        <v>980</v>
      </c>
      <c r="E33" s="5">
        <v>13.0</v>
      </c>
      <c r="F33" s="5">
        <v>212.9</v>
      </c>
      <c r="G33" s="13">
        <v>47.0</v>
      </c>
      <c r="H33" s="13">
        <v>143.3</v>
      </c>
      <c r="I33" s="14">
        <v>5.0</v>
      </c>
      <c r="J33" s="13">
        <v>3.0</v>
      </c>
    </row>
    <row r="34">
      <c r="B34" s="5" t="s">
        <v>22</v>
      </c>
      <c r="C34" s="5" t="s">
        <v>981</v>
      </c>
      <c r="D34" s="5" t="s">
        <v>944</v>
      </c>
      <c r="E34" s="5">
        <v>5.0</v>
      </c>
      <c r="F34" s="5">
        <v>221.1</v>
      </c>
      <c r="G34" s="13">
        <v>38.0</v>
      </c>
      <c r="H34" s="13">
        <v>140.0</v>
      </c>
      <c r="I34" s="14">
        <v>5.0</v>
      </c>
      <c r="J34" s="13">
        <v>4.0</v>
      </c>
    </row>
    <row r="35">
      <c r="B35" s="5" t="s">
        <v>269</v>
      </c>
      <c r="C35" s="5" t="s">
        <v>982</v>
      </c>
      <c r="D35" s="5" t="s">
        <v>983</v>
      </c>
      <c r="E35" s="5">
        <v>11.0</v>
      </c>
      <c r="F35" s="5">
        <v>238.4</v>
      </c>
      <c r="G35" s="13">
        <v>24.0</v>
      </c>
      <c r="H35" s="13">
        <v>139.10000000000002</v>
      </c>
      <c r="I35" s="14">
        <v>4.0</v>
      </c>
      <c r="J35" s="13">
        <v>1.0</v>
      </c>
    </row>
    <row r="36">
      <c r="B36" s="5" t="s">
        <v>334</v>
      </c>
      <c r="C36" s="5" t="s">
        <v>984</v>
      </c>
      <c r="D36" s="5" t="s">
        <v>985</v>
      </c>
      <c r="E36" s="5">
        <v>6.0</v>
      </c>
      <c r="F36" s="5">
        <v>238.3</v>
      </c>
      <c r="G36" s="13">
        <v>25.0</v>
      </c>
      <c r="H36" s="13">
        <v>139.0</v>
      </c>
      <c r="I36" s="14">
        <v>2.0</v>
      </c>
      <c r="J36" s="13">
        <v>1.0</v>
      </c>
    </row>
    <row r="37">
      <c r="B37" s="5" t="s">
        <v>35</v>
      </c>
      <c r="C37" s="5" t="s">
        <v>986</v>
      </c>
      <c r="D37" s="5" t="s">
        <v>952</v>
      </c>
      <c r="E37" s="5">
        <v>7.0</v>
      </c>
      <c r="F37" s="5">
        <v>218.8</v>
      </c>
      <c r="G37" s="13">
        <v>39.0</v>
      </c>
      <c r="H37" s="13">
        <v>138.9</v>
      </c>
      <c r="I37" s="14">
        <v>4.0</v>
      </c>
      <c r="J37" s="13">
        <v>4.0</v>
      </c>
    </row>
    <row r="38">
      <c r="B38" s="5" t="s">
        <v>344</v>
      </c>
      <c r="C38" s="5" t="s">
        <v>987</v>
      </c>
      <c r="D38" s="5" t="s">
        <v>988</v>
      </c>
      <c r="E38" s="5">
        <v>6.0</v>
      </c>
      <c r="F38" s="5">
        <v>234.5</v>
      </c>
      <c r="G38" s="13">
        <v>27.0</v>
      </c>
      <c r="H38" s="13">
        <v>135.2</v>
      </c>
      <c r="I38" s="14">
        <v>2.0</v>
      </c>
      <c r="J38" s="13">
        <v>1.0</v>
      </c>
    </row>
    <row r="39">
      <c r="B39" s="5" t="s">
        <v>39</v>
      </c>
      <c r="C39" s="5" t="s">
        <v>989</v>
      </c>
      <c r="D39" s="5" t="s">
        <v>990</v>
      </c>
      <c r="E39" s="5">
        <v>7.0</v>
      </c>
      <c r="F39" s="5">
        <v>214.2</v>
      </c>
      <c r="G39" s="13">
        <v>43.0</v>
      </c>
      <c r="H39" s="13">
        <v>133.1</v>
      </c>
      <c r="I39" s="14">
        <v>4.0</v>
      </c>
      <c r="J39" s="13">
        <v>4.0</v>
      </c>
    </row>
    <row r="40">
      <c r="B40" s="5" t="s">
        <v>346</v>
      </c>
      <c r="C40" s="5" t="s">
        <v>991</v>
      </c>
      <c r="D40" s="5" t="s">
        <v>992</v>
      </c>
      <c r="E40" s="5">
        <v>7.0</v>
      </c>
      <c r="F40" s="5">
        <v>232.0</v>
      </c>
      <c r="G40" s="13">
        <v>28.0</v>
      </c>
      <c r="H40" s="13">
        <v>132.7</v>
      </c>
      <c r="I40" s="14">
        <v>2.0</v>
      </c>
      <c r="J40" s="13">
        <v>1.0</v>
      </c>
    </row>
    <row r="41">
      <c r="B41" s="5" t="s">
        <v>26</v>
      </c>
      <c r="C41" s="5" t="s">
        <v>993</v>
      </c>
      <c r="D41" s="5" t="s">
        <v>948</v>
      </c>
      <c r="E41" s="5">
        <v>13.0</v>
      </c>
      <c r="F41" s="5">
        <v>213.6</v>
      </c>
      <c r="G41" s="13">
        <v>45.0</v>
      </c>
      <c r="H41" s="13">
        <v>132.6</v>
      </c>
      <c r="I41" s="14">
        <v>5.0</v>
      </c>
      <c r="J41" s="13">
        <v>4.0</v>
      </c>
    </row>
    <row r="42">
      <c r="B42" s="5" t="s">
        <v>121</v>
      </c>
      <c r="C42" s="5" t="s">
        <v>994</v>
      </c>
      <c r="D42" s="5" t="s">
        <v>983</v>
      </c>
      <c r="E42" s="5">
        <v>11.0</v>
      </c>
      <c r="F42" s="5">
        <v>202.2</v>
      </c>
      <c r="G42" s="13">
        <v>49.0</v>
      </c>
      <c r="H42" s="13">
        <v>132.6</v>
      </c>
      <c r="I42" s="14">
        <v>4.0</v>
      </c>
      <c r="J42" s="13">
        <v>3.0</v>
      </c>
    </row>
    <row r="43">
      <c r="B43" s="5" t="s">
        <v>306</v>
      </c>
      <c r="C43" s="5" t="s">
        <v>995</v>
      </c>
      <c r="D43" s="5" t="s">
        <v>996</v>
      </c>
      <c r="E43" s="5">
        <v>7.0</v>
      </c>
      <c r="F43" s="5">
        <v>230.4</v>
      </c>
      <c r="G43" s="13">
        <v>29.0</v>
      </c>
      <c r="H43" s="13">
        <v>131.10000000000002</v>
      </c>
      <c r="I43" s="14">
        <v>3.0</v>
      </c>
      <c r="J43" s="13">
        <v>1.0</v>
      </c>
    </row>
    <row r="44">
      <c r="B44" s="5" t="s">
        <v>131</v>
      </c>
      <c r="C44" s="5" t="s">
        <v>997</v>
      </c>
      <c r="D44" s="5" t="s">
        <v>935</v>
      </c>
      <c r="E44" s="5">
        <v>7.0</v>
      </c>
      <c r="F44" s="5">
        <v>199.5</v>
      </c>
      <c r="G44" s="13">
        <v>51.0</v>
      </c>
      <c r="H44" s="13">
        <v>129.9</v>
      </c>
      <c r="I44" s="14">
        <v>4.0</v>
      </c>
      <c r="J44" s="13">
        <v>3.0</v>
      </c>
    </row>
    <row r="45">
      <c r="B45" s="5" t="s">
        <v>239</v>
      </c>
      <c r="C45" s="5" t="s">
        <v>998</v>
      </c>
      <c r="D45" s="5" t="s">
        <v>958</v>
      </c>
      <c r="E45" s="5">
        <v>10.0</v>
      </c>
      <c r="F45" s="5">
        <v>227.7</v>
      </c>
      <c r="G45" s="13">
        <v>33.0</v>
      </c>
      <c r="H45" s="13">
        <v>128.39999999999998</v>
      </c>
      <c r="I45" s="14">
        <v>5.0</v>
      </c>
      <c r="J45" s="13">
        <v>1.0</v>
      </c>
    </row>
    <row r="46">
      <c r="B46" s="5" t="s">
        <v>43</v>
      </c>
      <c r="C46" s="5" t="s">
        <v>999</v>
      </c>
      <c r="D46" s="5" t="s">
        <v>980</v>
      </c>
      <c r="E46" s="5">
        <v>13.0</v>
      </c>
      <c r="F46" s="5">
        <v>207.5</v>
      </c>
      <c r="G46" s="13">
        <v>48.0</v>
      </c>
      <c r="H46" s="13">
        <v>126.5</v>
      </c>
      <c r="I46" s="14">
        <v>4.0</v>
      </c>
      <c r="J46" s="13">
        <v>4.0</v>
      </c>
    </row>
    <row r="47">
      <c r="B47" s="5" t="s">
        <v>202</v>
      </c>
      <c r="C47" s="5" t="s">
        <v>1000</v>
      </c>
      <c r="D47" s="5" t="s">
        <v>954</v>
      </c>
      <c r="E47" s="5">
        <v>10.0</v>
      </c>
      <c r="F47" s="5">
        <v>194.8</v>
      </c>
      <c r="G47" s="13">
        <v>53.0</v>
      </c>
      <c r="H47" s="13">
        <v>125.20000000000002</v>
      </c>
      <c r="I47" s="14">
        <v>3.0</v>
      </c>
      <c r="J47" s="13">
        <v>3.0</v>
      </c>
    </row>
    <row r="48">
      <c r="B48" s="2" t="s">
        <v>209</v>
      </c>
      <c r="C48" s="5" t="s">
        <v>1001</v>
      </c>
      <c r="D48" s="5" t="s">
        <v>946</v>
      </c>
      <c r="E48" s="5">
        <v>5.0</v>
      </c>
      <c r="F48" s="5">
        <v>194.3</v>
      </c>
      <c r="G48" s="13">
        <v>54.0</v>
      </c>
      <c r="H48" s="13">
        <v>124.70000000000002</v>
      </c>
      <c r="I48" s="14">
        <v>3.0</v>
      </c>
      <c r="J48" s="13">
        <v>3.0</v>
      </c>
    </row>
    <row r="49">
      <c r="B49" s="5" t="s">
        <v>194</v>
      </c>
      <c r="C49" s="5" t="s">
        <v>1002</v>
      </c>
      <c r="D49" s="5" t="s">
        <v>980</v>
      </c>
      <c r="E49" s="5">
        <v>13.0</v>
      </c>
      <c r="F49" s="5">
        <v>222.7</v>
      </c>
      <c r="G49" s="13">
        <v>34.0</v>
      </c>
      <c r="H49" s="13">
        <v>123.39999999999999</v>
      </c>
      <c r="I49" s="14">
        <v>6.0</v>
      </c>
      <c r="J49" s="13">
        <v>1.0</v>
      </c>
    </row>
    <row r="50">
      <c r="B50" s="5" t="s">
        <v>146</v>
      </c>
      <c r="C50" s="5" t="s">
        <v>1003</v>
      </c>
      <c r="D50" s="5" t="s">
        <v>931</v>
      </c>
      <c r="E50" s="5">
        <v>10.0</v>
      </c>
      <c r="F50" s="5">
        <v>188.7</v>
      </c>
      <c r="G50" s="13">
        <v>55.0</v>
      </c>
      <c r="H50" s="13">
        <v>119.1</v>
      </c>
      <c r="I50" s="14">
        <v>4.0</v>
      </c>
      <c r="J50" s="13">
        <v>3.0</v>
      </c>
    </row>
    <row r="51">
      <c r="B51" s="5" t="s">
        <v>51</v>
      </c>
      <c r="C51" s="5" t="s">
        <v>1004</v>
      </c>
      <c r="D51" s="5" t="s">
        <v>961</v>
      </c>
      <c r="E51" s="5">
        <v>11.0</v>
      </c>
      <c r="F51" s="5">
        <v>198.6</v>
      </c>
      <c r="G51" s="13">
        <v>52.0</v>
      </c>
      <c r="H51" s="13">
        <v>117.6</v>
      </c>
      <c r="I51" s="14">
        <v>4.0</v>
      </c>
      <c r="J51" s="13">
        <v>4.0</v>
      </c>
    </row>
    <row r="52">
      <c r="B52" s="5" t="s">
        <v>152</v>
      </c>
      <c r="C52" s="5" t="s">
        <v>1005</v>
      </c>
      <c r="D52" s="5" t="s">
        <v>942</v>
      </c>
      <c r="E52" s="5">
        <v>9.0</v>
      </c>
      <c r="F52" s="5">
        <v>181.8</v>
      </c>
      <c r="G52" s="13">
        <v>57.0</v>
      </c>
      <c r="H52" s="13">
        <v>112.20000000000002</v>
      </c>
      <c r="I52" s="14">
        <v>4.0</v>
      </c>
      <c r="J52" s="13">
        <v>3.0</v>
      </c>
    </row>
    <row r="53">
      <c r="B53" s="5" t="s">
        <v>277</v>
      </c>
      <c r="C53" s="5" t="s">
        <v>1006</v>
      </c>
      <c r="D53" s="5" t="s">
        <v>1007</v>
      </c>
      <c r="E53" s="5">
        <v>13.0</v>
      </c>
      <c r="F53" s="5">
        <v>171.6</v>
      </c>
      <c r="G53" s="13">
        <v>62.0</v>
      </c>
      <c r="H53" s="13">
        <v>104.19999999999999</v>
      </c>
      <c r="I53" s="14">
        <v>4.0</v>
      </c>
      <c r="J53" s="13">
        <v>2.0</v>
      </c>
    </row>
    <row r="54">
      <c r="B54" s="5" t="s">
        <v>63</v>
      </c>
      <c r="C54" s="5" t="s">
        <v>1008</v>
      </c>
      <c r="D54" s="5" t="s">
        <v>1009</v>
      </c>
      <c r="E54" s="5">
        <v>11.0</v>
      </c>
      <c r="F54" s="5">
        <v>185.1</v>
      </c>
      <c r="G54" s="13">
        <v>56.0</v>
      </c>
      <c r="H54" s="13">
        <v>104.1</v>
      </c>
      <c r="I54" s="14">
        <v>4.0</v>
      </c>
      <c r="J54" s="13">
        <v>4.0</v>
      </c>
    </row>
    <row r="55">
      <c r="B55" s="5" t="s">
        <v>169</v>
      </c>
      <c r="C55" s="5" t="s">
        <v>1010</v>
      </c>
      <c r="D55" s="5" t="s">
        <v>988</v>
      </c>
      <c r="E55" s="5">
        <v>6.0</v>
      </c>
      <c r="F55" s="5">
        <v>173.3</v>
      </c>
      <c r="G55" s="13">
        <v>60.0</v>
      </c>
      <c r="H55" s="13">
        <v>103.70000000000002</v>
      </c>
      <c r="I55" s="14">
        <v>4.0</v>
      </c>
      <c r="J55" s="13">
        <v>3.0</v>
      </c>
    </row>
    <row r="56">
      <c r="B56" s="5" t="s">
        <v>117</v>
      </c>
      <c r="C56" s="5" t="s">
        <v>1011</v>
      </c>
      <c r="D56" s="5" t="s">
        <v>963</v>
      </c>
      <c r="E56" s="5">
        <v>9.0</v>
      </c>
      <c r="F56" s="5">
        <v>169.9</v>
      </c>
      <c r="G56" s="13">
        <v>63.0</v>
      </c>
      <c r="H56" s="13">
        <v>100.6</v>
      </c>
      <c r="I56" s="14">
        <v>5.0</v>
      </c>
      <c r="J56" s="13">
        <v>3.0</v>
      </c>
    </row>
    <row r="57">
      <c r="B57" s="5" t="s">
        <v>182</v>
      </c>
      <c r="C57" s="5" t="s">
        <v>1012</v>
      </c>
      <c r="D57" s="5" t="s">
        <v>944</v>
      </c>
      <c r="E57" s="5">
        <v>5.0</v>
      </c>
      <c r="F57" s="5">
        <v>169.6</v>
      </c>
      <c r="G57" s="13">
        <v>64.0</v>
      </c>
      <c r="H57" s="13">
        <v>100.0</v>
      </c>
      <c r="I57" s="14">
        <v>4.0</v>
      </c>
      <c r="J57" s="13">
        <v>3.0</v>
      </c>
    </row>
    <row r="58">
      <c r="B58" s="2" t="s">
        <v>188</v>
      </c>
      <c r="C58" s="5" t="s">
        <v>1013</v>
      </c>
      <c r="D58" s="5" t="s">
        <v>940</v>
      </c>
      <c r="E58" s="5">
        <v>13.0</v>
      </c>
      <c r="F58" s="5">
        <v>169.2</v>
      </c>
      <c r="G58" s="13">
        <v>65.0</v>
      </c>
      <c r="H58" s="13">
        <v>99.6</v>
      </c>
      <c r="I58" s="14">
        <v>4.0</v>
      </c>
      <c r="J58" s="13">
        <v>3.0</v>
      </c>
    </row>
    <row r="59">
      <c r="B59" s="5" t="s">
        <v>75</v>
      </c>
      <c r="C59" s="5" t="s">
        <v>1014</v>
      </c>
      <c r="D59" s="5" t="s">
        <v>985</v>
      </c>
      <c r="E59" s="5">
        <v>6.0</v>
      </c>
      <c r="F59" s="5">
        <v>178.0</v>
      </c>
      <c r="G59" s="13">
        <v>58.0</v>
      </c>
      <c r="H59" s="13">
        <v>97.0</v>
      </c>
      <c r="I59" s="14">
        <v>4.0</v>
      </c>
      <c r="J59" s="13">
        <v>4.0</v>
      </c>
    </row>
    <row r="60">
      <c r="B60" s="5" t="s">
        <v>124</v>
      </c>
      <c r="C60" s="5" t="s">
        <v>1015</v>
      </c>
      <c r="D60" s="5" t="s">
        <v>1016</v>
      </c>
      <c r="E60" s="5">
        <v>14.0</v>
      </c>
      <c r="F60" s="5">
        <v>166.0</v>
      </c>
      <c r="G60" s="13">
        <v>68.0</v>
      </c>
      <c r="H60" s="13">
        <v>96.4</v>
      </c>
      <c r="I60" s="14">
        <v>5.0</v>
      </c>
      <c r="J60" s="13">
        <v>3.0</v>
      </c>
    </row>
    <row r="61">
      <c r="B61" s="5" t="s">
        <v>262</v>
      </c>
      <c r="C61" s="5" t="s">
        <v>1017</v>
      </c>
      <c r="D61" s="5" t="s">
        <v>974</v>
      </c>
      <c r="E61" s="5">
        <v>11.0</v>
      </c>
      <c r="F61" s="5">
        <v>165.8</v>
      </c>
      <c r="G61" s="13">
        <v>70.0</v>
      </c>
      <c r="H61" s="13">
        <v>96.20000000000002</v>
      </c>
      <c r="I61" s="14">
        <v>3.0</v>
      </c>
      <c r="J61" s="13">
        <v>3.0</v>
      </c>
    </row>
    <row r="62">
      <c r="B62" s="5" t="s">
        <v>113</v>
      </c>
      <c r="C62" s="5" t="s">
        <v>1018</v>
      </c>
      <c r="D62" s="5" t="s">
        <v>965</v>
      </c>
      <c r="E62" s="5">
        <v>9.0</v>
      </c>
      <c r="F62" s="5">
        <v>177.2</v>
      </c>
      <c r="G62" s="13">
        <v>59.0</v>
      </c>
      <c r="H62" s="13">
        <v>96.19999999999999</v>
      </c>
      <c r="I62" s="14">
        <v>3.0</v>
      </c>
      <c r="J62" s="13">
        <v>4.0</v>
      </c>
    </row>
    <row r="63">
      <c r="B63" s="5" t="s">
        <v>139</v>
      </c>
      <c r="C63" s="5" t="s">
        <v>1019</v>
      </c>
      <c r="D63" s="5" t="s">
        <v>938</v>
      </c>
      <c r="E63" s="5">
        <v>5.0</v>
      </c>
      <c r="F63" s="5">
        <v>163.6</v>
      </c>
      <c r="G63" s="13">
        <v>72.0</v>
      </c>
      <c r="H63" s="13">
        <v>94.0</v>
      </c>
      <c r="I63" s="14">
        <v>5.0</v>
      </c>
      <c r="J63" s="13">
        <v>3.0</v>
      </c>
    </row>
    <row r="64">
      <c r="B64" s="5" t="s">
        <v>79</v>
      </c>
      <c r="C64" s="5" t="s">
        <v>1020</v>
      </c>
      <c r="D64" s="5" t="s">
        <v>967</v>
      </c>
      <c r="E64" s="5">
        <v>7.0</v>
      </c>
      <c r="F64" s="5">
        <v>172.2</v>
      </c>
      <c r="G64" s="13">
        <v>61.0</v>
      </c>
      <c r="H64" s="13">
        <v>91.19999999999999</v>
      </c>
      <c r="I64" s="14">
        <v>4.0</v>
      </c>
      <c r="J64" s="13">
        <v>4.0</v>
      </c>
    </row>
    <row r="65">
      <c r="B65" s="5" t="s">
        <v>155</v>
      </c>
      <c r="C65" s="5" t="s">
        <v>1021</v>
      </c>
      <c r="D65" s="5" t="s">
        <v>938</v>
      </c>
      <c r="E65" s="5">
        <v>5.0</v>
      </c>
      <c r="F65" s="5">
        <v>159.3</v>
      </c>
      <c r="G65" s="13">
        <v>76.0</v>
      </c>
      <c r="H65" s="13">
        <v>89.70000000000002</v>
      </c>
      <c r="I65" s="14">
        <v>5.0</v>
      </c>
      <c r="J65" s="13">
        <v>3.0</v>
      </c>
    </row>
    <row r="66">
      <c r="B66" s="5" t="s">
        <v>128</v>
      </c>
      <c r="C66" s="5" t="s">
        <v>1022</v>
      </c>
      <c r="D66" s="5" t="s">
        <v>946</v>
      </c>
      <c r="E66" s="5">
        <v>5.0</v>
      </c>
      <c r="F66" s="5">
        <v>168.9</v>
      </c>
      <c r="G66" s="13">
        <v>66.0</v>
      </c>
      <c r="H66" s="13">
        <v>87.9</v>
      </c>
      <c r="I66" s="15">
        <v>3.0</v>
      </c>
      <c r="J66" s="13">
        <v>4.0</v>
      </c>
    </row>
    <row r="67">
      <c r="B67" s="5" t="s">
        <v>102</v>
      </c>
      <c r="C67" s="5" t="s">
        <v>1023</v>
      </c>
      <c r="D67" s="5" t="s">
        <v>990</v>
      </c>
      <c r="E67" s="5">
        <v>7.0</v>
      </c>
      <c r="F67" s="5">
        <v>157.0</v>
      </c>
      <c r="G67" s="13">
        <v>77.0</v>
      </c>
      <c r="H67" s="13">
        <v>87.4</v>
      </c>
      <c r="I67" s="14">
        <v>6.0</v>
      </c>
      <c r="J67" s="13">
        <v>3.0</v>
      </c>
    </row>
    <row r="68">
      <c r="B68" s="5" t="s">
        <v>166</v>
      </c>
      <c r="C68" s="5" t="s">
        <v>1023</v>
      </c>
      <c r="D68" s="5" t="s">
        <v>1024</v>
      </c>
      <c r="E68" s="5">
        <v>5.0</v>
      </c>
      <c r="F68" s="5">
        <v>157.0</v>
      </c>
      <c r="G68" s="13">
        <v>77.0</v>
      </c>
      <c r="H68" s="13">
        <v>87.4</v>
      </c>
      <c r="I68" s="14">
        <v>5.0</v>
      </c>
      <c r="J68" s="13">
        <v>3.0</v>
      </c>
    </row>
    <row r="69">
      <c r="B69" s="5" t="s">
        <v>279</v>
      </c>
      <c r="C69" s="5" t="s">
        <v>1025</v>
      </c>
      <c r="D69" s="5" t="s">
        <v>963</v>
      </c>
      <c r="E69" s="5">
        <v>9.0</v>
      </c>
      <c r="F69" s="5">
        <v>156.9</v>
      </c>
      <c r="G69" s="13">
        <v>79.0</v>
      </c>
      <c r="H69" s="13">
        <v>87.30000000000001</v>
      </c>
      <c r="I69" s="14">
        <v>3.0</v>
      </c>
      <c r="J69" s="13">
        <v>3.0</v>
      </c>
    </row>
    <row r="70">
      <c r="B70" s="5" t="s">
        <v>135</v>
      </c>
      <c r="C70" s="5" t="s">
        <v>1026</v>
      </c>
      <c r="D70" s="5" t="s">
        <v>950</v>
      </c>
      <c r="E70" s="5">
        <v>13.0</v>
      </c>
      <c r="F70" s="5">
        <v>165.9</v>
      </c>
      <c r="G70" s="13">
        <v>69.0</v>
      </c>
      <c r="H70" s="13">
        <v>84.9</v>
      </c>
      <c r="I70" s="14">
        <v>3.0</v>
      </c>
      <c r="J70" s="13">
        <v>4.0</v>
      </c>
    </row>
    <row r="71">
      <c r="B71" s="5" t="s">
        <v>55</v>
      </c>
      <c r="C71" s="5" t="s">
        <v>1027</v>
      </c>
      <c r="D71" s="5" t="s">
        <v>935</v>
      </c>
      <c r="E71" s="5">
        <v>7.0</v>
      </c>
      <c r="F71" s="5">
        <v>165.5</v>
      </c>
      <c r="G71" s="13">
        <v>71.0</v>
      </c>
      <c r="H71" s="13">
        <v>84.5</v>
      </c>
      <c r="I71" s="14">
        <v>5.0</v>
      </c>
      <c r="J71" s="13">
        <v>4.0</v>
      </c>
    </row>
    <row r="72">
      <c r="B72" s="5" t="s">
        <v>179</v>
      </c>
      <c r="C72" s="5" t="s">
        <v>1028</v>
      </c>
      <c r="D72" s="5" t="s">
        <v>946</v>
      </c>
      <c r="E72" s="5">
        <v>5.0</v>
      </c>
      <c r="F72" s="5">
        <v>154.1</v>
      </c>
      <c r="G72" s="13">
        <v>81.0</v>
      </c>
      <c r="H72" s="13">
        <v>84.5</v>
      </c>
      <c r="I72" s="14">
        <v>5.0</v>
      </c>
      <c r="J72" s="13">
        <v>3.0</v>
      </c>
    </row>
    <row r="73">
      <c r="B73" s="5" t="s">
        <v>285</v>
      </c>
      <c r="C73" s="5" t="s">
        <v>1029</v>
      </c>
      <c r="D73" s="5" t="s">
        <v>961</v>
      </c>
      <c r="E73" s="5">
        <v>11.0</v>
      </c>
      <c r="F73" s="5">
        <v>152.5</v>
      </c>
      <c r="G73" s="13">
        <v>82.0</v>
      </c>
      <c r="H73" s="13">
        <v>82.9</v>
      </c>
      <c r="I73" s="14">
        <v>3.0</v>
      </c>
      <c r="J73" s="13">
        <v>3.0</v>
      </c>
    </row>
    <row r="74">
      <c r="B74" s="5" t="s">
        <v>185</v>
      </c>
      <c r="C74" s="5" t="s">
        <v>1030</v>
      </c>
      <c r="D74" s="5" t="s">
        <v>1024</v>
      </c>
      <c r="E74" s="5">
        <v>5.0</v>
      </c>
      <c r="F74" s="5">
        <v>152.2</v>
      </c>
      <c r="G74" s="13">
        <v>83.0</v>
      </c>
      <c r="H74" s="13">
        <v>82.6</v>
      </c>
      <c r="I74" s="14">
        <v>5.0</v>
      </c>
      <c r="J74" s="13">
        <v>3.0</v>
      </c>
    </row>
    <row r="75">
      <c r="B75" s="5" t="s">
        <v>243</v>
      </c>
      <c r="C75" s="5" t="s">
        <v>1031</v>
      </c>
      <c r="D75" s="5" t="s">
        <v>942</v>
      </c>
      <c r="E75" s="5">
        <v>9.0</v>
      </c>
      <c r="F75" s="5">
        <v>152.0</v>
      </c>
      <c r="G75" s="13">
        <v>84.0</v>
      </c>
      <c r="H75" s="13">
        <v>82.4</v>
      </c>
      <c r="I75" s="14">
        <v>4.0</v>
      </c>
      <c r="J75" s="13">
        <v>3.0</v>
      </c>
    </row>
    <row r="76">
      <c r="B76" s="5" t="s">
        <v>59</v>
      </c>
      <c r="C76" s="5" t="s">
        <v>1032</v>
      </c>
      <c r="D76" s="5" t="s">
        <v>988</v>
      </c>
      <c r="E76" s="5">
        <v>6.0</v>
      </c>
      <c r="F76" s="5">
        <v>163.0</v>
      </c>
      <c r="G76" s="13">
        <v>73.0</v>
      </c>
      <c r="H76" s="13">
        <v>82.0</v>
      </c>
      <c r="I76" s="14">
        <v>5.0</v>
      </c>
      <c r="J76" s="13">
        <v>4.0</v>
      </c>
    </row>
    <row r="77">
      <c r="B77" s="5" t="s">
        <v>292</v>
      </c>
      <c r="C77" s="5" t="s">
        <v>1033</v>
      </c>
      <c r="D77" s="5" t="s">
        <v>985</v>
      </c>
      <c r="E77" s="5">
        <v>6.0</v>
      </c>
      <c r="F77" s="5">
        <v>151.6</v>
      </c>
      <c r="G77" s="13">
        <v>85.0</v>
      </c>
      <c r="H77" s="13">
        <v>82.0</v>
      </c>
      <c r="I77" s="14">
        <v>3.0</v>
      </c>
      <c r="J77" s="13">
        <v>3.0</v>
      </c>
    </row>
    <row r="78">
      <c r="B78" s="5" t="s">
        <v>246</v>
      </c>
      <c r="C78" s="5" t="s">
        <v>1034</v>
      </c>
      <c r="D78" s="5" t="s">
        <v>976</v>
      </c>
      <c r="E78" s="5">
        <v>9.0</v>
      </c>
      <c r="F78" s="5">
        <v>151.5</v>
      </c>
      <c r="G78" s="13">
        <v>86.0</v>
      </c>
      <c r="H78" s="13">
        <v>81.9</v>
      </c>
      <c r="I78" s="14">
        <v>4.0</v>
      </c>
      <c r="J78" s="13">
        <v>3.0</v>
      </c>
    </row>
    <row r="79">
      <c r="B79" s="5" t="s">
        <v>159</v>
      </c>
      <c r="C79" s="5" t="s">
        <v>1035</v>
      </c>
      <c r="D79" s="5" t="s">
        <v>942</v>
      </c>
      <c r="E79" s="5">
        <v>9.0</v>
      </c>
      <c r="F79" s="5">
        <v>161.9</v>
      </c>
      <c r="G79" s="13">
        <v>74.0</v>
      </c>
      <c r="H79" s="13">
        <v>80.9</v>
      </c>
      <c r="I79" s="14">
        <v>3.0</v>
      </c>
      <c r="J79" s="13">
        <v>4.0</v>
      </c>
    </row>
    <row r="80">
      <c r="B80" s="5" t="s">
        <v>300</v>
      </c>
      <c r="C80" s="5" t="s">
        <v>1036</v>
      </c>
      <c r="D80" s="5" t="s">
        <v>929</v>
      </c>
      <c r="E80" s="5">
        <v>13.0</v>
      </c>
      <c r="F80" s="5">
        <v>149.5</v>
      </c>
      <c r="G80" s="13">
        <v>87.0</v>
      </c>
      <c r="H80" s="13">
        <v>79.9</v>
      </c>
      <c r="I80" s="14">
        <v>3.0</v>
      </c>
      <c r="J80" s="13">
        <v>3.0</v>
      </c>
    </row>
    <row r="81">
      <c r="B81" s="5" t="s">
        <v>163</v>
      </c>
      <c r="C81" s="5" t="s">
        <v>1037</v>
      </c>
      <c r="D81" s="5" t="s">
        <v>992</v>
      </c>
      <c r="E81" s="5">
        <v>7.0</v>
      </c>
      <c r="F81" s="5">
        <v>160.8</v>
      </c>
      <c r="G81" s="13">
        <v>75.0</v>
      </c>
      <c r="H81" s="13">
        <v>79.80000000000001</v>
      </c>
      <c r="I81" s="14">
        <v>3.0</v>
      </c>
      <c r="J81" s="13">
        <v>4.0</v>
      </c>
    </row>
    <row r="82">
      <c r="B82" s="5" t="s">
        <v>257</v>
      </c>
      <c r="C82" s="5" t="s">
        <v>1038</v>
      </c>
      <c r="D82" s="5" t="s">
        <v>985</v>
      </c>
      <c r="E82" s="5">
        <v>6.0</v>
      </c>
      <c r="F82" s="5">
        <v>149.4</v>
      </c>
      <c r="G82" s="13">
        <v>88.0</v>
      </c>
      <c r="H82" s="13">
        <v>79.80000000000001</v>
      </c>
      <c r="I82" s="14">
        <v>4.0</v>
      </c>
      <c r="J82" s="13">
        <v>3.0</v>
      </c>
    </row>
    <row r="83">
      <c r="B83" s="5" t="s">
        <v>214</v>
      </c>
      <c r="C83" s="5" t="s">
        <v>1039</v>
      </c>
      <c r="D83" s="5" t="s">
        <v>1040</v>
      </c>
      <c r="E83" s="5">
        <v>14.0</v>
      </c>
      <c r="F83" s="5">
        <v>147.0</v>
      </c>
      <c r="G83" s="13">
        <v>92.0</v>
      </c>
      <c r="H83" s="13">
        <v>77.4</v>
      </c>
      <c r="I83" s="14">
        <v>5.0</v>
      </c>
      <c r="J83" s="13">
        <v>3.0</v>
      </c>
    </row>
    <row r="84">
      <c r="B84" s="5" t="s">
        <v>349</v>
      </c>
      <c r="C84" s="5" t="s">
        <v>1041</v>
      </c>
      <c r="D84" s="5" t="s">
        <v>950</v>
      </c>
      <c r="E84" s="5">
        <v>13.0</v>
      </c>
      <c r="F84" s="5">
        <v>142.6</v>
      </c>
      <c r="G84" s="13">
        <v>99.0</v>
      </c>
      <c r="H84" s="13">
        <v>75.19999999999999</v>
      </c>
      <c r="I84" s="14">
        <v>4.0</v>
      </c>
      <c r="J84" s="13">
        <v>2.0</v>
      </c>
    </row>
    <row r="85">
      <c r="B85" s="5" t="s">
        <v>83</v>
      </c>
      <c r="C85" s="5" t="s">
        <v>1042</v>
      </c>
      <c r="D85" s="5" t="s">
        <v>996</v>
      </c>
      <c r="E85" s="5">
        <v>7.0</v>
      </c>
      <c r="F85" s="5">
        <v>155.5</v>
      </c>
      <c r="G85" s="13">
        <v>80.0</v>
      </c>
      <c r="H85" s="13">
        <v>74.5</v>
      </c>
      <c r="I85" s="14">
        <v>5.0</v>
      </c>
      <c r="J85" s="13">
        <v>4.0</v>
      </c>
    </row>
    <row r="86">
      <c r="B86" s="5" t="s">
        <v>317</v>
      </c>
      <c r="C86" s="5" t="s">
        <v>1043</v>
      </c>
      <c r="D86" s="5" t="s">
        <v>950</v>
      </c>
      <c r="E86" s="5">
        <v>13.0</v>
      </c>
      <c r="F86" s="5">
        <v>141.7</v>
      </c>
      <c r="G86" s="13">
        <v>100.0</v>
      </c>
      <c r="H86" s="13">
        <v>72.1</v>
      </c>
      <c r="I86" s="14">
        <v>3.0</v>
      </c>
      <c r="J86" s="13">
        <v>3.0</v>
      </c>
    </row>
    <row r="87">
      <c r="B87" s="5" t="s">
        <v>325</v>
      </c>
      <c r="C87" s="5" t="s">
        <v>1044</v>
      </c>
      <c r="D87" s="5" t="s">
        <v>948</v>
      </c>
      <c r="E87" s="5">
        <v>13.0</v>
      </c>
      <c r="F87" s="5">
        <v>139.2</v>
      </c>
      <c r="G87" s="13">
        <v>107.0</v>
      </c>
      <c r="H87" s="13">
        <v>71.79999999999998</v>
      </c>
      <c r="I87" s="14">
        <v>5.0</v>
      </c>
      <c r="J87" s="13">
        <v>2.0</v>
      </c>
    </row>
    <row r="88">
      <c r="B88" s="5" t="s">
        <v>329</v>
      </c>
      <c r="C88" s="5" t="s">
        <v>1045</v>
      </c>
      <c r="D88" s="5" t="s">
        <v>963</v>
      </c>
      <c r="E88" s="5">
        <v>9.0</v>
      </c>
      <c r="F88" s="5">
        <v>137.8</v>
      </c>
      <c r="G88" s="13">
        <v>110.0</v>
      </c>
      <c r="H88" s="13">
        <v>70.4</v>
      </c>
      <c r="I88" s="14">
        <v>5.0</v>
      </c>
      <c r="J88" s="13">
        <v>2.0</v>
      </c>
    </row>
    <row r="89">
      <c r="B89" s="5" t="s">
        <v>352</v>
      </c>
      <c r="C89" s="5" t="s">
        <v>1046</v>
      </c>
      <c r="D89" s="5" t="s">
        <v>1040</v>
      </c>
      <c r="E89" s="5">
        <v>14.0</v>
      </c>
      <c r="F89" s="5">
        <v>168.5</v>
      </c>
      <c r="G89" s="13">
        <v>67.0</v>
      </c>
      <c r="H89" s="13">
        <v>69.2</v>
      </c>
      <c r="I89" s="14">
        <v>4.0</v>
      </c>
      <c r="J89" s="13">
        <v>1.0</v>
      </c>
    </row>
    <row r="90">
      <c r="B90" s="5" t="s">
        <v>142</v>
      </c>
      <c r="C90" s="5" t="s">
        <v>1047</v>
      </c>
      <c r="D90" s="5" t="s">
        <v>933</v>
      </c>
      <c r="E90" s="5">
        <v>10.0</v>
      </c>
      <c r="F90" s="5">
        <v>148.6</v>
      </c>
      <c r="G90" s="13">
        <v>89.0</v>
      </c>
      <c r="H90" s="13">
        <v>67.6</v>
      </c>
      <c r="I90" s="14">
        <v>4.0</v>
      </c>
      <c r="J90" s="13">
        <v>4.0</v>
      </c>
    </row>
    <row r="91">
      <c r="B91" s="5" t="s">
        <v>337</v>
      </c>
      <c r="C91" s="5" t="s">
        <v>1048</v>
      </c>
      <c r="D91" s="5" t="s">
        <v>990</v>
      </c>
      <c r="E91" s="5">
        <v>7.0</v>
      </c>
      <c r="F91" s="5">
        <v>137.2</v>
      </c>
      <c r="G91" s="13">
        <v>111.0</v>
      </c>
      <c r="H91" s="13">
        <v>67.6</v>
      </c>
      <c r="I91" s="14">
        <v>3.0</v>
      </c>
      <c r="J91" s="13">
        <v>3.0</v>
      </c>
    </row>
    <row r="92">
      <c r="B92" s="5" t="s">
        <v>217</v>
      </c>
      <c r="C92" s="5" t="s">
        <v>1049</v>
      </c>
      <c r="D92" s="5" t="s">
        <v>1007</v>
      </c>
      <c r="E92" s="5">
        <v>13.0</v>
      </c>
      <c r="F92" s="5">
        <v>148.1</v>
      </c>
      <c r="G92" s="13">
        <v>90.0</v>
      </c>
      <c r="H92" s="13">
        <v>67.1</v>
      </c>
      <c r="I92" s="14">
        <v>3.0</v>
      </c>
      <c r="J92" s="13">
        <v>4.0</v>
      </c>
    </row>
    <row r="93">
      <c r="B93" s="5" t="s">
        <v>98</v>
      </c>
      <c r="C93" s="5" t="s">
        <v>1050</v>
      </c>
      <c r="D93" s="5" t="s">
        <v>1040</v>
      </c>
      <c r="E93" s="5">
        <v>14.0</v>
      </c>
      <c r="F93" s="5">
        <v>147.5</v>
      </c>
      <c r="G93" s="13">
        <v>91.0</v>
      </c>
      <c r="H93" s="13">
        <v>66.5</v>
      </c>
      <c r="I93" s="14">
        <v>5.0</v>
      </c>
      <c r="J93" s="13">
        <v>4.0</v>
      </c>
    </row>
    <row r="94">
      <c r="B94" s="5" t="s">
        <v>313</v>
      </c>
      <c r="C94" s="5" t="s">
        <v>1051</v>
      </c>
      <c r="D94" s="5" t="s">
        <v>944</v>
      </c>
      <c r="E94" s="5">
        <v>5.0</v>
      </c>
      <c r="F94" s="5">
        <v>134.3</v>
      </c>
      <c r="G94" s="13">
        <v>118.0</v>
      </c>
      <c r="H94" s="13">
        <v>64.70000000000002</v>
      </c>
      <c r="I94" s="14">
        <v>4.0</v>
      </c>
      <c r="J94" s="13">
        <v>3.0</v>
      </c>
    </row>
    <row r="95">
      <c r="B95" s="5" t="s">
        <v>109</v>
      </c>
      <c r="C95" s="5" t="s">
        <v>1052</v>
      </c>
      <c r="D95" s="5" t="s">
        <v>965</v>
      </c>
      <c r="E95" s="5">
        <v>9.0</v>
      </c>
      <c r="F95" s="5">
        <v>144.4</v>
      </c>
      <c r="G95" s="13">
        <v>95.0</v>
      </c>
      <c r="H95" s="13">
        <v>63.400000000000006</v>
      </c>
      <c r="I95" s="14">
        <v>5.0</v>
      </c>
      <c r="J95" s="13">
        <v>4.0</v>
      </c>
    </row>
    <row r="96">
      <c r="B96" s="5" t="s">
        <v>235</v>
      </c>
      <c r="C96" s="5" t="s">
        <v>1053</v>
      </c>
      <c r="D96" s="5" t="s">
        <v>958</v>
      </c>
      <c r="E96" s="5">
        <v>10.0</v>
      </c>
      <c r="F96" s="5">
        <v>143.2</v>
      </c>
      <c r="G96" s="13">
        <v>98.0</v>
      </c>
      <c r="H96" s="13">
        <v>62.19999999999999</v>
      </c>
      <c r="I96" s="14">
        <v>3.0</v>
      </c>
      <c r="J96" s="13">
        <v>4.0</v>
      </c>
    </row>
    <row r="97">
      <c r="B97" s="5" t="s">
        <v>380</v>
      </c>
      <c r="C97" s="5" t="s">
        <v>1054</v>
      </c>
      <c r="D97" s="5" t="s">
        <v>938</v>
      </c>
      <c r="E97" s="5">
        <v>5.0</v>
      </c>
      <c r="F97" s="5">
        <v>130.6</v>
      </c>
      <c r="G97" s="13">
        <v>131.0</v>
      </c>
      <c r="H97" s="13">
        <v>61.0</v>
      </c>
      <c r="I97" s="14">
        <v>3.0</v>
      </c>
      <c r="J97" s="13">
        <v>3.0</v>
      </c>
    </row>
    <row r="98">
      <c r="B98" s="5" t="s">
        <v>389</v>
      </c>
      <c r="C98" s="5" t="s">
        <v>1055</v>
      </c>
      <c r="D98" s="5" t="s">
        <v>1016</v>
      </c>
      <c r="E98" s="5">
        <v>14.0</v>
      </c>
      <c r="F98" s="5">
        <v>130.5</v>
      </c>
      <c r="G98" s="13">
        <v>134.0</v>
      </c>
      <c r="H98" s="13">
        <v>60.900000000000006</v>
      </c>
      <c r="I98" s="14">
        <v>3.0</v>
      </c>
      <c r="J98" s="13">
        <v>3.0</v>
      </c>
    </row>
    <row r="99">
      <c r="B99" s="5" t="s">
        <v>433</v>
      </c>
      <c r="C99" s="5" t="s">
        <v>1056</v>
      </c>
      <c r="D99" s="5" t="s">
        <v>974</v>
      </c>
      <c r="E99" s="5">
        <v>11.0</v>
      </c>
      <c r="F99" s="5">
        <v>127.8</v>
      </c>
      <c r="G99" s="13">
        <v>142.0</v>
      </c>
      <c r="H99" s="13">
        <v>60.39999999999999</v>
      </c>
      <c r="I99" s="14">
        <v>4.0</v>
      </c>
      <c r="J99" s="13">
        <v>2.0</v>
      </c>
    </row>
    <row r="100">
      <c r="B100" s="5" t="s">
        <v>249</v>
      </c>
      <c r="C100" s="5" t="s">
        <v>1057</v>
      </c>
      <c r="D100" s="5" t="s">
        <v>929</v>
      </c>
      <c r="E100" s="5">
        <v>13.0</v>
      </c>
      <c r="F100" s="5">
        <v>140.8</v>
      </c>
      <c r="G100" s="13">
        <v>102.0</v>
      </c>
      <c r="H100" s="13">
        <v>59.80000000000001</v>
      </c>
      <c r="I100" s="14">
        <v>3.0</v>
      </c>
      <c r="J100" s="13">
        <v>4.0</v>
      </c>
    </row>
    <row r="101">
      <c r="B101" s="5" t="s">
        <v>355</v>
      </c>
      <c r="C101" s="5" t="s">
        <v>1058</v>
      </c>
      <c r="D101" s="5" t="s">
        <v>976</v>
      </c>
      <c r="E101" s="5">
        <v>9.0</v>
      </c>
      <c r="F101" s="5">
        <v>128.8</v>
      </c>
      <c r="G101" s="13">
        <v>139.0</v>
      </c>
      <c r="H101" s="13">
        <v>59.20000000000002</v>
      </c>
      <c r="I101" s="14">
        <v>4.0</v>
      </c>
      <c r="J101" s="13">
        <v>3.0</v>
      </c>
    </row>
    <row r="102">
      <c r="B102" s="5" t="s">
        <v>260</v>
      </c>
      <c r="C102" s="5" t="s">
        <v>1059</v>
      </c>
      <c r="D102" s="5" t="s">
        <v>976</v>
      </c>
      <c r="E102" s="5">
        <v>9.0</v>
      </c>
      <c r="F102" s="5">
        <v>140.2</v>
      </c>
      <c r="G102" s="13">
        <v>104.0</v>
      </c>
      <c r="H102" s="13">
        <v>59.19999999999999</v>
      </c>
      <c r="I102" s="14">
        <v>3.0</v>
      </c>
      <c r="J102" s="13">
        <v>4.0</v>
      </c>
    </row>
    <row r="103">
      <c r="B103" s="5" t="s">
        <v>361</v>
      </c>
      <c r="C103" s="5" t="s">
        <v>1060</v>
      </c>
      <c r="D103" s="5" t="s">
        <v>967</v>
      </c>
      <c r="E103" s="5">
        <v>7.0</v>
      </c>
      <c r="F103" s="5">
        <v>126.3</v>
      </c>
      <c r="G103" s="13">
        <v>144.0</v>
      </c>
      <c r="H103" s="13">
        <v>56.7</v>
      </c>
      <c r="I103" s="14">
        <v>4.0</v>
      </c>
      <c r="J103" s="13">
        <v>3.0</v>
      </c>
    </row>
    <row r="104">
      <c r="B104" s="5" t="s">
        <v>403</v>
      </c>
      <c r="C104" s="5" t="s">
        <v>1060</v>
      </c>
      <c r="D104" s="5" t="s">
        <v>946</v>
      </c>
      <c r="E104" s="5">
        <v>5.0</v>
      </c>
      <c r="F104" s="5">
        <v>126.3</v>
      </c>
      <c r="G104" s="13">
        <v>144.0</v>
      </c>
      <c r="H104" s="13">
        <v>56.7</v>
      </c>
      <c r="I104" s="14">
        <v>3.0</v>
      </c>
      <c r="J104" s="13">
        <v>3.0</v>
      </c>
    </row>
    <row r="105">
      <c r="B105" s="5" t="s">
        <v>225</v>
      </c>
      <c r="C105" s="5" t="s">
        <v>1061</v>
      </c>
      <c r="D105" s="5" t="s">
        <v>940</v>
      </c>
      <c r="E105" s="5">
        <v>13.0</v>
      </c>
      <c r="F105" s="5">
        <v>137.2</v>
      </c>
      <c r="G105" s="13">
        <v>111.0</v>
      </c>
      <c r="H105" s="13">
        <v>56.19999999999999</v>
      </c>
      <c r="I105" s="14">
        <v>4.0</v>
      </c>
      <c r="J105" s="13">
        <v>4.0</v>
      </c>
    </row>
    <row r="106">
      <c r="B106" s="5" t="s">
        <v>376</v>
      </c>
      <c r="C106" s="5" t="s">
        <v>1062</v>
      </c>
      <c r="D106" s="5" t="s">
        <v>952</v>
      </c>
      <c r="E106" s="5">
        <v>7.0</v>
      </c>
      <c r="F106" s="5">
        <v>125.0</v>
      </c>
      <c r="G106" s="13">
        <v>150.0</v>
      </c>
      <c r="H106" s="13">
        <v>54.900000000000006</v>
      </c>
      <c r="I106" s="14">
        <v>4.0</v>
      </c>
      <c r="J106" s="13">
        <v>3.0</v>
      </c>
    </row>
    <row r="107">
      <c r="B107" s="5" t="s">
        <v>411</v>
      </c>
      <c r="C107" s="5" t="s">
        <v>1063</v>
      </c>
      <c r="D107" s="5" t="s">
        <v>931</v>
      </c>
      <c r="E107" s="5">
        <v>10.0</v>
      </c>
      <c r="F107" s="5">
        <v>122.3</v>
      </c>
      <c r="G107" s="13">
        <v>155.0</v>
      </c>
      <c r="H107" s="13">
        <v>54.89999999999999</v>
      </c>
      <c r="I107" s="14">
        <v>5.0</v>
      </c>
      <c r="J107" s="13">
        <v>2.0</v>
      </c>
    </row>
    <row r="108">
      <c r="B108" s="5" t="s">
        <v>386</v>
      </c>
      <c r="C108" s="5" t="s">
        <v>1064</v>
      </c>
      <c r="D108" s="5" t="s">
        <v>933</v>
      </c>
      <c r="E108" s="5">
        <v>10.0</v>
      </c>
      <c r="F108" s="5">
        <v>123.2</v>
      </c>
      <c r="G108" s="13">
        <v>152.0</v>
      </c>
      <c r="H108" s="13">
        <v>53.60000000000001</v>
      </c>
      <c r="I108" s="14">
        <v>4.0</v>
      </c>
      <c r="J108" s="13">
        <v>3.0</v>
      </c>
    </row>
    <row r="109">
      <c r="B109" s="5" t="s">
        <v>475</v>
      </c>
      <c r="C109" s="5" t="s">
        <v>1065</v>
      </c>
      <c r="D109" s="5" t="s">
        <v>985</v>
      </c>
      <c r="E109" s="5">
        <v>6.0</v>
      </c>
      <c r="F109" s="5">
        <v>120.4</v>
      </c>
      <c r="G109" s="13">
        <v>158.0</v>
      </c>
      <c r="H109" s="13">
        <v>53.0</v>
      </c>
      <c r="I109" s="14">
        <v>4.0</v>
      </c>
      <c r="J109" s="13">
        <v>2.0</v>
      </c>
    </row>
    <row r="110">
      <c r="B110" s="5" t="s">
        <v>419</v>
      </c>
      <c r="C110" s="5" t="s">
        <v>1066</v>
      </c>
      <c r="D110" s="5" t="s">
        <v>1007</v>
      </c>
      <c r="E110" s="5">
        <v>13.0</v>
      </c>
      <c r="F110" s="5">
        <v>122.4</v>
      </c>
      <c r="G110" s="13">
        <v>154.0</v>
      </c>
      <c r="H110" s="13">
        <v>52.80000000000001</v>
      </c>
      <c r="I110" s="14">
        <v>3.0</v>
      </c>
      <c r="J110" s="13">
        <v>3.0</v>
      </c>
    </row>
    <row r="111">
      <c r="B111" s="5" t="s">
        <v>298</v>
      </c>
      <c r="C111" s="5" t="s">
        <v>1067</v>
      </c>
      <c r="D111" s="5" t="s">
        <v>1016</v>
      </c>
      <c r="E111" s="5">
        <v>14.0</v>
      </c>
      <c r="F111" s="5">
        <v>133.6</v>
      </c>
      <c r="G111" s="13">
        <v>120.0</v>
      </c>
      <c r="H111" s="13">
        <v>52.599999999999994</v>
      </c>
      <c r="I111" s="14">
        <v>3.0</v>
      </c>
      <c r="J111" s="13">
        <v>4.0</v>
      </c>
    </row>
    <row r="112">
      <c r="B112" s="5" t="s">
        <v>254</v>
      </c>
      <c r="C112" s="5" t="s">
        <v>1068</v>
      </c>
      <c r="D112" s="5" t="s">
        <v>1024</v>
      </c>
      <c r="E112" s="5">
        <v>5.0</v>
      </c>
      <c r="F112" s="5">
        <v>133.5</v>
      </c>
      <c r="G112" s="13">
        <v>121.0</v>
      </c>
      <c r="H112" s="13">
        <v>52.5</v>
      </c>
      <c r="I112" s="14">
        <v>4.0</v>
      </c>
      <c r="J112" s="13">
        <v>4.0</v>
      </c>
    </row>
    <row r="113">
      <c r="B113" s="5" t="s">
        <v>205</v>
      </c>
      <c r="C113" s="5" t="s">
        <v>1069</v>
      </c>
      <c r="D113" s="5" t="s">
        <v>983</v>
      </c>
      <c r="E113" s="5">
        <v>11.0</v>
      </c>
      <c r="F113" s="5">
        <v>132.4</v>
      </c>
      <c r="G113" s="13">
        <v>124.0</v>
      </c>
      <c r="H113" s="13">
        <v>51.400000000000006</v>
      </c>
      <c r="I113" s="14">
        <v>5.0</v>
      </c>
      <c r="J113" s="13">
        <v>4.0</v>
      </c>
    </row>
    <row r="114">
      <c r="B114" s="5" t="s">
        <v>272</v>
      </c>
      <c r="C114" s="5" t="s">
        <v>1070</v>
      </c>
      <c r="D114" s="5" t="s">
        <v>931</v>
      </c>
      <c r="E114" s="5">
        <v>10.0</v>
      </c>
      <c r="F114" s="5">
        <v>131.0</v>
      </c>
      <c r="G114" s="13">
        <v>129.0</v>
      </c>
      <c r="H114" s="13">
        <v>50.0</v>
      </c>
      <c r="I114" s="14">
        <v>4.0</v>
      </c>
      <c r="J114" s="13">
        <v>4.0</v>
      </c>
    </row>
    <row r="115">
      <c r="B115" s="2" t="s">
        <v>309</v>
      </c>
      <c r="C115" s="5" t="s">
        <v>1071</v>
      </c>
      <c r="D115" s="5" t="s">
        <v>988</v>
      </c>
      <c r="E115" s="5">
        <v>6.0</v>
      </c>
      <c r="F115" s="5">
        <v>130.6</v>
      </c>
      <c r="G115" s="13">
        <v>131.0</v>
      </c>
      <c r="H115" s="13">
        <v>49.599999999999994</v>
      </c>
      <c r="I115" s="14">
        <v>3.0</v>
      </c>
      <c r="J115" s="13">
        <v>4.0</v>
      </c>
    </row>
    <row r="116">
      <c r="B116" s="5" t="s">
        <v>358</v>
      </c>
      <c r="C116" s="5" t="s">
        <v>1072</v>
      </c>
      <c r="D116" s="5" t="s">
        <v>1009</v>
      </c>
      <c r="E116" s="5">
        <v>11.0</v>
      </c>
      <c r="F116" s="5">
        <v>118.8</v>
      </c>
      <c r="G116" s="13">
        <v>162.0</v>
      </c>
      <c r="H116" s="13">
        <v>49.2</v>
      </c>
      <c r="I116" s="14">
        <v>5.0</v>
      </c>
      <c r="J116" s="13">
        <v>3.0</v>
      </c>
    </row>
    <row r="117">
      <c r="B117" s="5" t="s">
        <v>295</v>
      </c>
      <c r="C117" s="5" t="s">
        <v>1073</v>
      </c>
      <c r="D117" s="5" t="s">
        <v>1016</v>
      </c>
      <c r="E117" s="5">
        <v>14.0</v>
      </c>
      <c r="F117" s="5">
        <v>129.5</v>
      </c>
      <c r="G117" s="13">
        <v>138.0</v>
      </c>
      <c r="H117" s="13">
        <v>48.5</v>
      </c>
      <c r="I117" s="14">
        <v>4.0</v>
      </c>
      <c r="J117" s="13">
        <v>4.0</v>
      </c>
    </row>
    <row r="118">
      <c r="B118" s="5" t="s">
        <v>372</v>
      </c>
      <c r="C118" s="5" t="s">
        <v>1074</v>
      </c>
      <c r="D118" s="5" t="s">
        <v>983</v>
      </c>
      <c r="E118" s="5">
        <v>11.0</v>
      </c>
      <c r="F118" s="5">
        <v>117.2</v>
      </c>
      <c r="G118" s="13">
        <v>167.0</v>
      </c>
      <c r="H118" s="13">
        <v>47.60000000000001</v>
      </c>
      <c r="I118" s="14">
        <v>5.0</v>
      </c>
      <c r="J118" s="13">
        <v>3.0</v>
      </c>
    </row>
    <row r="119">
      <c r="B119" s="2" t="s">
        <v>623</v>
      </c>
      <c r="C119" s="2" t="s">
        <v>1075</v>
      </c>
      <c r="D119" s="5" t="s">
        <v>952</v>
      </c>
      <c r="E119" s="5">
        <v>7.0</v>
      </c>
      <c r="F119" s="5">
        <v>132.3</v>
      </c>
      <c r="G119" s="13">
        <v>126.0</v>
      </c>
      <c r="H119" s="13">
        <v>46.60000000000001</v>
      </c>
      <c r="I119" s="15">
        <v>3.0</v>
      </c>
      <c r="J119" s="13">
        <v>0.0</v>
      </c>
    </row>
    <row r="120">
      <c r="B120" s="5" t="s">
        <v>507</v>
      </c>
      <c r="C120" s="5" t="s">
        <v>1076</v>
      </c>
      <c r="D120" s="5" t="s">
        <v>942</v>
      </c>
      <c r="E120" s="5">
        <v>9.0</v>
      </c>
      <c r="F120" s="5">
        <v>113.9</v>
      </c>
      <c r="G120" s="13">
        <v>176.0</v>
      </c>
      <c r="H120" s="13">
        <v>46.5</v>
      </c>
      <c r="I120" s="14">
        <v>4.0</v>
      </c>
      <c r="J120" s="13">
        <v>2.0</v>
      </c>
    </row>
    <row r="121">
      <c r="B121" s="5" t="s">
        <v>415</v>
      </c>
      <c r="C121" s="5" t="s">
        <v>1077</v>
      </c>
      <c r="D121" s="5" t="s">
        <v>980</v>
      </c>
      <c r="E121" s="5">
        <v>13.0</v>
      </c>
      <c r="F121" s="5">
        <v>116.0</v>
      </c>
      <c r="G121" s="13">
        <v>171.0</v>
      </c>
      <c r="H121" s="13">
        <v>46.400000000000006</v>
      </c>
      <c r="I121" s="14">
        <v>4.0</v>
      </c>
      <c r="J121" s="13">
        <v>3.0</v>
      </c>
    </row>
    <row r="122">
      <c r="B122" s="2" t="s">
        <v>640</v>
      </c>
      <c r="C122" s="2" t="s">
        <v>1078</v>
      </c>
      <c r="D122" s="5" t="s">
        <v>963</v>
      </c>
      <c r="E122" s="5">
        <v>9.0</v>
      </c>
      <c r="F122" s="5">
        <v>130.6</v>
      </c>
      <c r="G122" s="13">
        <v>131.0</v>
      </c>
      <c r="H122" s="13">
        <v>44.89999999999999</v>
      </c>
      <c r="I122" s="15">
        <v>3.0</v>
      </c>
      <c r="J122" s="13">
        <v>0.0</v>
      </c>
    </row>
    <row r="123">
      <c r="B123" s="2" t="s">
        <v>662</v>
      </c>
      <c r="C123" s="2" t="s">
        <v>1079</v>
      </c>
      <c r="D123" s="5" t="s">
        <v>931</v>
      </c>
      <c r="E123" s="5">
        <v>10.0</v>
      </c>
      <c r="F123" s="5">
        <v>130.2</v>
      </c>
      <c r="G123" s="13">
        <v>136.0</v>
      </c>
      <c r="H123" s="13">
        <v>44.499999999999986</v>
      </c>
      <c r="I123" s="15">
        <v>3.0</v>
      </c>
      <c r="J123" s="13">
        <v>0.0</v>
      </c>
    </row>
    <row r="124">
      <c r="B124" s="5" t="s">
        <v>436</v>
      </c>
      <c r="C124" s="5" t="s">
        <v>1080</v>
      </c>
      <c r="D124" s="5" t="s">
        <v>992</v>
      </c>
      <c r="E124" s="5">
        <v>7.0</v>
      </c>
      <c r="F124" s="5">
        <v>113.9</v>
      </c>
      <c r="G124" s="13">
        <v>176.0</v>
      </c>
      <c r="H124" s="13">
        <v>44.30000000000001</v>
      </c>
      <c r="I124" s="14">
        <v>4.0</v>
      </c>
      <c r="J124" s="13">
        <v>3.0</v>
      </c>
    </row>
    <row r="125">
      <c r="B125" s="5" t="s">
        <v>646</v>
      </c>
      <c r="C125" s="5" t="s">
        <v>1081</v>
      </c>
      <c r="D125" s="5" t="s">
        <v>990</v>
      </c>
      <c r="E125" s="5">
        <v>7.0</v>
      </c>
      <c r="F125" s="5">
        <v>110.4</v>
      </c>
      <c r="G125" s="13">
        <v>182.0</v>
      </c>
      <c r="H125" s="13">
        <v>43.0</v>
      </c>
      <c r="I125" s="14">
        <v>2.0</v>
      </c>
      <c r="J125" s="13">
        <v>2.0</v>
      </c>
    </row>
    <row r="126">
      <c r="B126" s="5" t="s">
        <v>443</v>
      </c>
      <c r="C126" s="5" t="s">
        <v>1082</v>
      </c>
      <c r="D126" s="5" t="s">
        <v>933</v>
      </c>
      <c r="E126" s="5">
        <v>10.0</v>
      </c>
      <c r="F126" s="5">
        <v>112.5</v>
      </c>
      <c r="G126" s="13">
        <v>178.0</v>
      </c>
      <c r="H126" s="13">
        <v>42.900000000000006</v>
      </c>
      <c r="I126" s="14">
        <v>4.0</v>
      </c>
      <c r="J126" s="13">
        <v>3.0</v>
      </c>
    </row>
    <row r="127">
      <c r="B127" s="5" t="s">
        <v>283</v>
      </c>
      <c r="C127" s="5" t="s">
        <v>1083</v>
      </c>
      <c r="D127" s="5" t="s">
        <v>967</v>
      </c>
      <c r="E127" s="5">
        <v>7.0</v>
      </c>
      <c r="F127" s="5">
        <v>123.6</v>
      </c>
      <c r="G127" s="13">
        <v>151.0</v>
      </c>
      <c r="H127" s="13">
        <v>42.599999999999994</v>
      </c>
      <c r="I127" s="14">
        <v>5.0</v>
      </c>
      <c r="J127" s="13">
        <v>4.0</v>
      </c>
    </row>
    <row r="128">
      <c r="B128" s="5" t="s">
        <v>526</v>
      </c>
      <c r="C128" s="5" t="s">
        <v>1084</v>
      </c>
      <c r="D128" s="5" t="s">
        <v>1007</v>
      </c>
      <c r="E128" s="5">
        <v>13.0</v>
      </c>
      <c r="F128" s="5">
        <v>110.8</v>
      </c>
      <c r="G128" s="13">
        <v>180.0</v>
      </c>
      <c r="H128" s="13">
        <v>41.2</v>
      </c>
      <c r="I128" s="14">
        <v>2.0</v>
      </c>
      <c r="J128" s="13">
        <v>3.0</v>
      </c>
    </row>
    <row r="129">
      <c r="B129" s="2" t="s">
        <v>683</v>
      </c>
      <c r="C129" s="2" t="s">
        <v>1085</v>
      </c>
      <c r="D129" s="5" t="s">
        <v>1007</v>
      </c>
      <c r="E129" s="5">
        <v>13.0</v>
      </c>
      <c r="F129" s="5">
        <v>126.8</v>
      </c>
      <c r="G129" s="13">
        <v>143.0</v>
      </c>
      <c r="H129" s="13">
        <v>41.099999999999994</v>
      </c>
      <c r="I129" s="15">
        <v>3.0</v>
      </c>
      <c r="J129" s="13">
        <v>0.0</v>
      </c>
    </row>
    <row r="130">
      <c r="B130" s="5" t="s">
        <v>454</v>
      </c>
      <c r="C130" s="5" t="s">
        <v>1086</v>
      </c>
      <c r="D130" s="5" t="s">
        <v>942</v>
      </c>
      <c r="E130" s="5">
        <v>9.0</v>
      </c>
      <c r="F130" s="5">
        <v>108.8</v>
      </c>
      <c r="G130" s="13">
        <v>184.0</v>
      </c>
      <c r="H130" s="13">
        <v>39.2</v>
      </c>
      <c r="I130" s="14">
        <v>4.0</v>
      </c>
      <c r="J130" s="13">
        <v>3.0</v>
      </c>
    </row>
    <row r="131">
      <c r="B131" s="5" t="s">
        <v>368</v>
      </c>
      <c r="C131" s="5" t="s">
        <v>1087</v>
      </c>
      <c r="D131" s="5" t="s">
        <v>946</v>
      </c>
      <c r="E131" s="5">
        <v>5.0</v>
      </c>
      <c r="F131" s="5">
        <v>118.8</v>
      </c>
      <c r="G131" s="13">
        <v>162.0</v>
      </c>
      <c r="H131" s="13">
        <v>37.8</v>
      </c>
      <c r="I131" s="14">
        <v>3.0</v>
      </c>
      <c r="J131" s="13">
        <v>4.0</v>
      </c>
    </row>
    <row r="132">
      <c r="B132" s="5" t="s">
        <v>341</v>
      </c>
      <c r="C132" s="5" t="s">
        <v>1088</v>
      </c>
      <c r="D132" s="5" t="s">
        <v>976</v>
      </c>
      <c r="E132" s="5">
        <v>9.0</v>
      </c>
      <c r="F132" s="5">
        <v>118.4</v>
      </c>
      <c r="G132" s="13">
        <v>164.0</v>
      </c>
      <c r="H132" s="13">
        <v>37.400000000000006</v>
      </c>
      <c r="I132" s="14">
        <v>4.0</v>
      </c>
      <c r="J132" s="13">
        <v>4.0</v>
      </c>
    </row>
    <row r="133">
      <c r="B133" s="5" t="s">
        <v>472</v>
      </c>
      <c r="C133" s="5" t="s">
        <v>1089</v>
      </c>
      <c r="D133" s="5" t="s">
        <v>952</v>
      </c>
      <c r="E133" s="5">
        <v>7.0</v>
      </c>
      <c r="F133" s="5">
        <v>105.9</v>
      </c>
      <c r="G133" s="13">
        <v>190.0</v>
      </c>
      <c r="H133" s="13">
        <v>36.2</v>
      </c>
      <c r="I133" s="14">
        <v>4.0</v>
      </c>
      <c r="J133" s="13">
        <v>3.0</v>
      </c>
    </row>
    <row r="134">
      <c r="B134" s="5" t="s">
        <v>504</v>
      </c>
      <c r="C134" s="5" t="s">
        <v>1090</v>
      </c>
      <c r="D134" s="5" t="s">
        <v>996</v>
      </c>
      <c r="E134" s="5">
        <v>7.0</v>
      </c>
      <c r="F134" s="5">
        <v>105.8</v>
      </c>
      <c r="G134" s="13">
        <v>191.0</v>
      </c>
      <c r="H134" s="13">
        <v>36.10000000000001</v>
      </c>
      <c r="I134" s="15">
        <v>3.0</v>
      </c>
      <c r="J134" s="13">
        <v>3.0</v>
      </c>
    </row>
    <row r="135">
      <c r="B135" s="5" t="s">
        <v>580</v>
      </c>
      <c r="C135" s="5" t="s">
        <v>1091</v>
      </c>
      <c r="D135" s="5" t="s">
        <v>944</v>
      </c>
      <c r="E135" s="5">
        <v>5.0</v>
      </c>
      <c r="F135" s="5">
        <v>103.5</v>
      </c>
      <c r="G135" s="13">
        <v>196.0</v>
      </c>
      <c r="H135" s="13">
        <v>36.099999999999994</v>
      </c>
      <c r="I135" s="14">
        <v>4.0</v>
      </c>
      <c r="J135" s="13">
        <v>2.0</v>
      </c>
    </row>
    <row r="136">
      <c r="B136" s="2" t="s">
        <v>739</v>
      </c>
      <c r="C136" s="2" t="s">
        <v>1092</v>
      </c>
      <c r="D136" s="5" t="s">
        <v>929</v>
      </c>
      <c r="E136" s="5">
        <v>13.0</v>
      </c>
      <c r="F136" s="5">
        <v>121.1</v>
      </c>
      <c r="G136" s="13">
        <v>156.0</v>
      </c>
      <c r="H136" s="13">
        <v>35.39999999999999</v>
      </c>
      <c r="I136" s="15">
        <v>3.0</v>
      </c>
      <c r="J136" s="13">
        <v>0.0</v>
      </c>
    </row>
    <row r="137">
      <c r="B137" s="5" t="s">
        <v>430</v>
      </c>
      <c r="C137" s="5" t="s">
        <v>1093</v>
      </c>
      <c r="D137" s="5" t="s">
        <v>1007</v>
      </c>
      <c r="E137" s="5">
        <v>13.0</v>
      </c>
      <c r="F137" s="5">
        <v>104.7</v>
      </c>
      <c r="G137" s="13">
        <v>194.0</v>
      </c>
      <c r="H137" s="13">
        <v>35.10000000000001</v>
      </c>
      <c r="I137" s="14">
        <v>5.0</v>
      </c>
      <c r="J137" s="13">
        <v>3.0</v>
      </c>
    </row>
    <row r="138">
      <c r="B138" s="5" t="s">
        <v>603</v>
      </c>
      <c r="C138" s="5" t="s">
        <v>1094</v>
      </c>
      <c r="D138" s="5" t="s">
        <v>992</v>
      </c>
      <c r="E138" s="5">
        <v>7.0</v>
      </c>
      <c r="F138" s="5">
        <v>101.2</v>
      </c>
      <c r="G138" s="13">
        <v>203.0</v>
      </c>
      <c r="H138" s="13">
        <v>33.8</v>
      </c>
      <c r="I138" s="14">
        <v>4.0</v>
      </c>
      <c r="J138" s="13">
        <v>2.0</v>
      </c>
    </row>
    <row r="139">
      <c r="B139" s="5" t="s">
        <v>486</v>
      </c>
      <c r="C139" s="5" t="s">
        <v>1095</v>
      </c>
      <c r="D139" s="5" t="s">
        <v>935</v>
      </c>
      <c r="E139" s="5">
        <v>7.0</v>
      </c>
      <c r="F139" s="5">
        <v>103.0</v>
      </c>
      <c r="G139" s="13">
        <v>198.0</v>
      </c>
      <c r="H139" s="13">
        <v>33.400000000000006</v>
      </c>
      <c r="I139" s="14">
        <v>4.0</v>
      </c>
      <c r="J139" s="13">
        <v>3.0</v>
      </c>
    </row>
    <row r="140">
      <c r="B140" s="5" t="s">
        <v>768</v>
      </c>
      <c r="C140" s="5" t="s">
        <v>1096</v>
      </c>
      <c r="D140" s="5" t="s">
        <v>929</v>
      </c>
      <c r="E140" s="5">
        <v>13.0</v>
      </c>
      <c r="F140" s="5">
        <v>99.7</v>
      </c>
      <c r="G140" s="13">
        <v>211.0</v>
      </c>
      <c r="H140" s="13">
        <v>32.3</v>
      </c>
      <c r="I140" s="14">
        <v>2.0</v>
      </c>
      <c r="J140" s="13">
        <v>2.0</v>
      </c>
    </row>
    <row r="141">
      <c r="B141" s="5" t="s">
        <v>451</v>
      </c>
      <c r="C141" s="5" t="s">
        <v>1097</v>
      </c>
      <c r="D141" s="5" t="s">
        <v>942</v>
      </c>
      <c r="E141" s="5">
        <v>9.0</v>
      </c>
      <c r="F141" s="5">
        <v>112.2</v>
      </c>
      <c r="G141" s="13">
        <v>179.0</v>
      </c>
      <c r="H141" s="13">
        <v>31.200000000000003</v>
      </c>
      <c r="I141" s="14">
        <v>2.0</v>
      </c>
      <c r="J141" s="13">
        <v>4.0</v>
      </c>
    </row>
    <row r="142">
      <c r="B142" s="5" t="s">
        <v>545</v>
      </c>
      <c r="C142" s="5" t="s">
        <v>1098</v>
      </c>
      <c r="D142" s="5" t="s">
        <v>965</v>
      </c>
      <c r="E142" s="5">
        <v>9.0</v>
      </c>
      <c r="F142" s="5">
        <v>100.6</v>
      </c>
      <c r="G142" s="13">
        <v>205.0</v>
      </c>
      <c r="H142" s="13">
        <v>31.0</v>
      </c>
      <c r="I142" s="14">
        <v>3.0</v>
      </c>
      <c r="J142" s="13">
        <v>3.0</v>
      </c>
    </row>
    <row r="143">
      <c r="B143" s="5" t="s">
        <v>590</v>
      </c>
      <c r="C143" s="5" t="s">
        <v>1099</v>
      </c>
      <c r="D143" s="5" t="s">
        <v>958</v>
      </c>
      <c r="E143" s="5">
        <v>10.0</v>
      </c>
      <c r="F143" s="5">
        <v>98.1</v>
      </c>
      <c r="G143" s="13">
        <v>219.0</v>
      </c>
      <c r="H143" s="13">
        <v>30.69999999999999</v>
      </c>
      <c r="I143" s="14">
        <v>5.0</v>
      </c>
      <c r="J143" s="13">
        <v>2.0</v>
      </c>
    </row>
    <row r="144">
      <c r="B144" s="5" t="s">
        <v>465</v>
      </c>
      <c r="C144" s="5" t="s">
        <v>1100</v>
      </c>
      <c r="D144" s="5" t="s">
        <v>996</v>
      </c>
      <c r="E144" s="5">
        <v>7.0</v>
      </c>
      <c r="F144" s="5">
        <v>100.2</v>
      </c>
      <c r="G144" s="13">
        <v>206.0</v>
      </c>
      <c r="H144" s="13">
        <v>30.60000000000001</v>
      </c>
      <c r="I144" s="14">
        <v>5.0</v>
      </c>
      <c r="J144" s="13">
        <v>3.0</v>
      </c>
    </row>
    <row r="145">
      <c r="B145" s="2" t="s">
        <v>807</v>
      </c>
      <c r="C145" s="2" t="s">
        <v>1101</v>
      </c>
      <c r="D145" s="5" t="s">
        <v>935</v>
      </c>
      <c r="E145" s="5">
        <v>7.0</v>
      </c>
      <c r="F145" s="5">
        <v>116.0</v>
      </c>
      <c r="G145" s="13">
        <v>171.0</v>
      </c>
      <c r="H145" s="13">
        <v>30.299999999999997</v>
      </c>
      <c r="I145" s="15">
        <v>3.0</v>
      </c>
      <c r="J145" s="13">
        <v>0.0</v>
      </c>
    </row>
    <row r="146">
      <c r="B146" s="5" t="s">
        <v>821</v>
      </c>
      <c r="C146" s="5" t="s">
        <v>1102</v>
      </c>
      <c r="D146" s="5" t="s">
        <v>940</v>
      </c>
      <c r="E146" s="5">
        <v>13.0</v>
      </c>
      <c r="F146" s="5">
        <v>97.2</v>
      </c>
      <c r="G146" s="13">
        <v>223.0</v>
      </c>
      <c r="H146" s="13">
        <v>29.799999999999997</v>
      </c>
      <c r="I146" s="14">
        <v>2.0</v>
      </c>
      <c r="J146" s="13">
        <v>2.0</v>
      </c>
    </row>
    <row r="147">
      <c r="B147" s="2" t="s">
        <v>819</v>
      </c>
      <c r="C147" s="2" t="s">
        <v>1103</v>
      </c>
      <c r="D147" s="5" t="s">
        <v>967</v>
      </c>
      <c r="E147" s="5">
        <v>7.0</v>
      </c>
      <c r="F147" s="5">
        <v>115.4</v>
      </c>
      <c r="G147" s="13">
        <v>173.0</v>
      </c>
      <c r="H147" s="13">
        <v>29.700000000000003</v>
      </c>
      <c r="I147" s="15">
        <v>3.0</v>
      </c>
      <c r="J147" s="13">
        <v>0.0</v>
      </c>
    </row>
    <row r="148">
      <c r="B148" s="2" t="s">
        <v>823</v>
      </c>
      <c r="C148" s="2" t="s">
        <v>1104</v>
      </c>
      <c r="D148" s="5" t="s">
        <v>983</v>
      </c>
      <c r="E148" s="5">
        <v>11.0</v>
      </c>
      <c r="F148" s="5">
        <v>115.2</v>
      </c>
      <c r="G148" s="13">
        <v>174.0</v>
      </c>
      <c r="H148" s="13">
        <v>29.5</v>
      </c>
      <c r="I148" s="15">
        <v>3.0</v>
      </c>
      <c r="J148" s="13">
        <v>0.0</v>
      </c>
    </row>
    <row r="149">
      <c r="B149" s="5" t="s">
        <v>732</v>
      </c>
      <c r="C149" s="5" t="s">
        <v>1105</v>
      </c>
      <c r="D149" s="5" t="s">
        <v>965</v>
      </c>
      <c r="E149" s="5">
        <v>9.0</v>
      </c>
      <c r="F149" s="5">
        <v>96.8</v>
      </c>
      <c r="G149" s="13">
        <v>224.0</v>
      </c>
      <c r="H149" s="13">
        <v>29.39999999999999</v>
      </c>
      <c r="I149" s="14">
        <v>3.0</v>
      </c>
      <c r="J149" s="13">
        <v>2.0</v>
      </c>
    </row>
    <row r="150">
      <c r="B150" s="5" t="s">
        <v>482</v>
      </c>
      <c r="C150" s="5" t="s">
        <v>1106</v>
      </c>
      <c r="D150" s="5" t="s">
        <v>1016</v>
      </c>
      <c r="E150" s="5">
        <v>14.0</v>
      </c>
      <c r="F150" s="5">
        <v>98.6</v>
      </c>
      <c r="G150" s="13">
        <v>216.0</v>
      </c>
      <c r="H150" s="13">
        <v>29.0</v>
      </c>
      <c r="I150" s="14">
        <v>5.0</v>
      </c>
      <c r="J150" s="13">
        <v>3.0</v>
      </c>
    </row>
    <row r="151">
      <c r="B151" s="5" t="s">
        <v>536</v>
      </c>
      <c r="C151" s="5" t="s">
        <v>1107</v>
      </c>
      <c r="D151" s="5" t="s">
        <v>950</v>
      </c>
      <c r="E151" s="5">
        <v>13.0</v>
      </c>
      <c r="F151" s="5">
        <v>98.2</v>
      </c>
      <c r="G151" s="13">
        <v>218.0</v>
      </c>
      <c r="H151" s="13">
        <v>28.60000000000001</v>
      </c>
      <c r="I151" s="14">
        <v>4.0</v>
      </c>
      <c r="J151" s="13">
        <v>3.0</v>
      </c>
    </row>
    <row r="152">
      <c r="B152" s="5" t="s">
        <v>551</v>
      </c>
      <c r="C152" s="5" t="s">
        <v>1108</v>
      </c>
      <c r="D152" s="5" t="s">
        <v>1040</v>
      </c>
      <c r="E152" s="5">
        <v>14.0</v>
      </c>
      <c r="F152" s="5">
        <v>96.5</v>
      </c>
      <c r="G152" s="13">
        <v>225.0</v>
      </c>
      <c r="H152" s="13">
        <v>26.900000000000006</v>
      </c>
      <c r="I152" s="14">
        <v>4.0</v>
      </c>
      <c r="J152" s="13">
        <v>3.0</v>
      </c>
    </row>
    <row r="153">
      <c r="B153" s="5" t="s">
        <v>517</v>
      </c>
      <c r="C153" s="5" t="s">
        <v>599</v>
      </c>
      <c r="D153" s="5" t="s">
        <v>1007</v>
      </c>
      <c r="E153" s="5">
        <v>13.0</v>
      </c>
      <c r="F153" s="5">
        <v>145.9</v>
      </c>
      <c r="G153" s="13">
        <v>93.0</v>
      </c>
      <c r="H153" s="13">
        <v>26.80000000000001</v>
      </c>
      <c r="I153" s="15">
        <v>3.0</v>
      </c>
      <c r="J153" s="13">
        <v>0.0</v>
      </c>
    </row>
    <row r="154">
      <c r="B154" s="5" t="s">
        <v>571</v>
      </c>
      <c r="C154" s="5" t="s">
        <v>1109</v>
      </c>
      <c r="D154" s="5" t="s">
        <v>940</v>
      </c>
      <c r="E154" s="5">
        <v>13.0</v>
      </c>
      <c r="F154" s="5">
        <v>95.7</v>
      </c>
      <c r="G154" s="13">
        <v>228.0</v>
      </c>
      <c r="H154" s="13">
        <v>26.10000000000001</v>
      </c>
      <c r="I154" s="14">
        <v>4.0</v>
      </c>
      <c r="J154" s="13">
        <v>3.0</v>
      </c>
    </row>
    <row r="155">
      <c r="B155" s="5" t="s">
        <v>520</v>
      </c>
      <c r="C155" s="5" t="s">
        <v>1110</v>
      </c>
      <c r="D155" s="5" t="s">
        <v>946</v>
      </c>
      <c r="E155" s="5">
        <v>5.0</v>
      </c>
      <c r="F155" s="5">
        <v>144.7</v>
      </c>
      <c r="G155" s="13">
        <v>94.0</v>
      </c>
      <c r="H155" s="13">
        <v>25.599999999999994</v>
      </c>
      <c r="I155" s="15">
        <v>3.0</v>
      </c>
      <c r="J155" s="13">
        <v>0.0</v>
      </c>
    </row>
    <row r="156">
      <c r="B156" s="5" t="s">
        <v>783</v>
      </c>
      <c r="C156" s="5" t="s">
        <v>1111</v>
      </c>
      <c r="D156" s="5" t="s">
        <v>935</v>
      </c>
      <c r="E156" s="5">
        <v>7.0</v>
      </c>
      <c r="F156" s="5">
        <v>92.8</v>
      </c>
      <c r="G156" s="13">
        <v>234.0</v>
      </c>
      <c r="H156" s="13">
        <v>25.39999999999999</v>
      </c>
      <c r="I156" s="15">
        <v>3.0</v>
      </c>
      <c r="J156" s="13">
        <v>2.0</v>
      </c>
    </row>
    <row r="157">
      <c r="B157" s="5" t="s">
        <v>422</v>
      </c>
      <c r="C157" s="5" t="s">
        <v>1112</v>
      </c>
      <c r="D157" s="5" t="s">
        <v>985</v>
      </c>
      <c r="E157" s="5">
        <v>6.0</v>
      </c>
      <c r="F157" s="5">
        <v>106.3</v>
      </c>
      <c r="G157" s="13">
        <v>189.0</v>
      </c>
      <c r="H157" s="13">
        <v>25.299999999999997</v>
      </c>
      <c r="I157" s="14">
        <v>3.0</v>
      </c>
      <c r="J157" s="13">
        <v>4.0</v>
      </c>
    </row>
    <row r="158">
      <c r="B158" s="5" t="s">
        <v>533</v>
      </c>
      <c r="C158" s="5" t="s">
        <v>1113</v>
      </c>
      <c r="D158" s="5" t="s">
        <v>933</v>
      </c>
      <c r="E158" s="5">
        <v>10.0</v>
      </c>
      <c r="F158" s="5">
        <v>143.8</v>
      </c>
      <c r="G158" s="13">
        <v>97.0</v>
      </c>
      <c r="H158" s="13">
        <v>24.700000000000017</v>
      </c>
      <c r="I158" s="15">
        <v>3.0</v>
      </c>
      <c r="J158" s="13">
        <v>0.0</v>
      </c>
    </row>
    <row r="159">
      <c r="B159" s="5" t="s">
        <v>705</v>
      </c>
      <c r="C159" s="5" t="s">
        <v>1114</v>
      </c>
      <c r="D159" s="5" t="s">
        <v>976</v>
      </c>
      <c r="E159" s="5">
        <v>9.0</v>
      </c>
      <c r="F159" s="5">
        <v>91.8</v>
      </c>
      <c r="G159" s="13">
        <v>237.0</v>
      </c>
      <c r="H159" s="13">
        <v>24.39999999999999</v>
      </c>
      <c r="I159" s="14">
        <v>4.0</v>
      </c>
      <c r="J159" s="13">
        <v>2.0</v>
      </c>
    </row>
    <row r="160">
      <c r="B160" s="5" t="s">
        <v>805</v>
      </c>
      <c r="C160" s="5" t="s">
        <v>1115</v>
      </c>
      <c r="D160" s="5" t="s">
        <v>938</v>
      </c>
      <c r="E160" s="5">
        <v>5.0</v>
      </c>
      <c r="F160" s="5">
        <v>91.0</v>
      </c>
      <c r="G160" s="13">
        <v>239.0</v>
      </c>
      <c r="H160" s="13">
        <v>23.599999999999994</v>
      </c>
      <c r="I160" s="14">
        <v>3.0</v>
      </c>
      <c r="J160" s="13">
        <v>2.0</v>
      </c>
    </row>
    <row r="161">
      <c r="B161" s="5" t="s">
        <v>757</v>
      </c>
      <c r="C161" s="5" t="s">
        <v>1116</v>
      </c>
      <c r="D161" s="5" t="s">
        <v>983</v>
      </c>
      <c r="E161" s="5">
        <v>11.0</v>
      </c>
      <c r="F161" s="5">
        <v>88.9</v>
      </c>
      <c r="G161" s="13">
        <v>245.0</v>
      </c>
      <c r="H161" s="13">
        <v>21.5</v>
      </c>
      <c r="I161" s="14">
        <v>4.0</v>
      </c>
      <c r="J161" s="13">
        <v>2.0</v>
      </c>
    </row>
    <row r="162">
      <c r="B162" s="5" t="s">
        <v>548</v>
      </c>
      <c r="C162" s="5" t="s">
        <v>1117</v>
      </c>
      <c r="D162" s="5" t="s">
        <v>954</v>
      </c>
      <c r="E162" s="5">
        <v>10.0</v>
      </c>
      <c r="F162" s="5">
        <v>140.5</v>
      </c>
      <c r="G162" s="13">
        <v>103.0</v>
      </c>
      <c r="H162" s="13">
        <v>21.400000000000006</v>
      </c>
      <c r="I162" s="15">
        <v>3.0</v>
      </c>
      <c r="J162" s="13">
        <v>0.0</v>
      </c>
    </row>
    <row r="163">
      <c r="B163" s="5" t="s">
        <v>458</v>
      </c>
      <c r="C163" s="5" t="s">
        <v>1118</v>
      </c>
      <c r="D163" s="5" t="s">
        <v>958</v>
      </c>
      <c r="E163" s="5">
        <v>10.0</v>
      </c>
      <c r="F163" s="5">
        <v>102.2</v>
      </c>
      <c r="G163" s="13">
        <v>200.0</v>
      </c>
      <c r="H163" s="13">
        <v>21.200000000000003</v>
      </c>
      <c r="I163" s="14">
        <v>3.0</v>
      </c>
      <c r="J163" s="13">
        <v>4.0</v>
      </c>
    </row>
    <row r="164">
      <c r="B164" s="5" t="s">
        <v>554</v>
      </c>
      <c r="C164" s="5" t="s">
        <v>553</v>
      </c>
      <c r="D164" s="5" t="s">
        <v>935</v>
      </c>
      <c r="E164" s="5">
        <v>7.0</v>
      </c>
      <c r="F164" s="5">
        <v>139.8</v>
      </c>
      <c r="G164" s="13">
        <v>105.0</v>
      </c>
      <c r="H164" s="13">
        <v>20.700000000000017</v>
      </c>
      <c r="I164" s="15">
        <v>3.0</v>
      </c>
      <c r="J164" s="13"/>
    </row>
    <row r="165">
      <c r="B165" s="5" t="s">
        <v>461</v>
      </c>
      <c r="C165" s="5" t="s">
        <v>1119</v>
      </c>
      <c r="D165" s="5" t="s">
        <v>974</v>
      </c>
      <c r="E165" s="5">
        <v>11.0</v>
      </c>
      <c r="F165" s="5">
        <v>101.6</v>
      </c>
      <c r="G165" s="13">
        <v>202.0</v>
      </c>
      <c r="H165" s="13">
        <v>20.599999999999994</v>
      </c>
      <c r="I165" s="14">
        <v>3.0</v>
      </c>
      <c r="J165" s="13">
        <v>4.0</v>
      </c>
    </row>
    <row r="166">
      <c r="B166" s="5" t="s">
        <v>407</v>
      </c>
      <c r="C166" s="5" t="s">
        <v>1120</v>
      </c>
      <c r="D166" s="5" t="s">
        <v>963</v>
      </c>
      <c r="E166" s="5">
        <v>9.0</v>
      </c>
      <c r="F166" s="5">
        <v>100.9</v>
      </c>
      <c r="G166" s="13">
        <v>204.0</v>
      </c>
      <c r="H166" s="13">
        <v>20.200000000000003</v>
      </c>
      <c r="I166" s="14">
        <v>4.0</v>
      </c>
      <c r="J166" s="13">
        <v>4.0</v>
      </c>
    </row>
    <row r="167">
      <c r="B167" s="5" t="s">
        <v>574</v>
      </c>
      <c r="C167" s="5" t="s">
        <v>1121</v>
      </c>
      <c r="D167" s="5" t="s">
        <v>929</v>
      </c>
      <c r="E167" s="5">
        <v>13.0</v>
      </c>
      <c r="F167" s="5">
        <v>138.5</v>
      </c>
      <c r="G167" s="13">
        <v>108.0</v>
      </c>
      <c r="H167" s="13">
        <v>19.400000000000006</v>
      </c>
      <c r="I167" s="15">
        <v>3.0</v>
      </c>
      <c r="J167" s="13">
        <v>0.0</v>
      </c>
    </row>
    <row r="168">
      <c r="B168" s="5" t="s">
        <v>426</v>
      </c>
      <c r="C168" s="5" t="s">
        <v>1122</v>
      </c>
      <c r="D168" s="5" t="s">
        <v>933</v>
      </c>
      <c r="E168" s="5">
        <v>10.0</v>
      </c>
      <c r="F168" s="5">
        <v>100.0</v>
      </c>
      <c r="G168" s="13">
        <v>208.0</v>
      </c>
      <c r="H168" s="13">
        <v>19.0</v>
      </c>
      <c r="I168" s="14">
        <v>4.0</v>
      </c>
      <c r="J168" s="13">
        <v>4.0</v>
      </c>
    </row>
    <row r="169">
      <c r="B169" s="5" t="s">
        <v>510</v>
      </c>
      <c r="C169" s="5" t="s">
        <v>1122</v>
      </c>
      <c r="D169" s="5" t="s">
        <v>931</v>
      </c>
      <c r="E169" s="5">
        <v>10.0</v>
      </c>
      <c r="F169" s="5">
        <v>100.0</v>
      </c>
      <c r="G169" s="13">
        <v>208.0</v>
      </c>
      <c r="H169" s="13">
        <v>19.0</v>
      </c>
      <c r="I169" s="14">
        <v>2.0</v>
      </c>
      <c r="J169" s="13">
        <v>4.0</v>
      </c>
    </row>
    <row r="170">
      <c r="B170" s="5" t="s">
        <v>396</v>
      </c>
      <c r="C170" s="5" t="s">
        <v>1123</v>
      </c>
      <c r="D170" s="5" t="s">
        <v>1009</v>
      </c>
      <c r="E170" s="5">
        <v>11.0</v>
      </c>
      <c r="F170" s="5">
        <v>98.9</v>
      </c>
      <c r="G170" s="13">
        <v>214.0</v>
      </c>
      <c r="H170" s="13">
        <v>17.900000000000006</v>
      </c>
      <c r="I170" s="14">
        <v>5.0</v>
      </c>
      <c r="J170" s="13">
        <v>4.0</v>
      </c>
    </row>
    <row r="171">
      <c r="B171" s="5" t="s">
        <v>400</v>
      </c>
      <c r="C171" s="5" t="s">
        <v>1123</v>
      </c>
      <c r="D171" s="5" t="s">
        <v>931</v>
      </c>
      <c r="E171" s="5">
        <v>10.0</v>
      </c>
      <c r="F171" s="5">
        <v>98.9</v>
      </c>
      <c r="G171" s="13">
        <v>214.0</v>
      </c>
      <c r="H171" s="13">
        <v>17.900000000000006</v>
      </c>
      <c r="I171" s="14">
        <v>5.0</v>
      </c>
      <c r="J171" s="13">
        <v>4.0</v>
      </c>
    </row>
    <row r="172">
      <c r="B172" s="2" t="s">
        <v>880</v>
      </c>
      <c r="C172" s="2" t="s">
        <v>1124</v>
      </c>
      <c r="D172" s="5" t="s">
        <v>976</v>
      </c>
      <c r="E172" s="5">
        <v>9.0</v>
      </c>
      <c r="F172" s="5">
        <v>103.4</v>
      </c>
      <c r="G172" s="13">
        <v>197.0</v>
      </c>
      <c r="H172" s="13">
        <v>17.700000000000003</v>
      </c>
      <c r="I172" s="15">
        <v>3.0</v>
      </c>
      <c r="J172" s="13">
        <v>0.0</v>
      </c>
    </row>
    <row r="173">
      <c r="B173" s="5" t="s">
        <v>600</v>
      </c>
      <c r="C173" s="5" t="s">
        <v>1125</v>
      </c>
      <c r="D173" s="5" t="s">
        <v>980</v>
      </c>
      <c r="E173" s="5">
        <v>13.0</v>
      </c>
      <c r="F173" s="5">
        <v>135.7</v>
      </c>
      <c r="G173" s="13">
        <v>116.0</v>
      </c>
      <c r="H173" s="13">
        <v>16.599999999999994</v>
      </c>
      <c r="I173" s="15">
        <v>3.0</v>
      </c>
      <c r="J173" s="13"/>
    </row>
    <row r="174">
      <c r="B174" s="5" t="s">
        <v>814</v>
      </c>
      <c r="C174" s="5" t="s">
        <v>1126</v>
      </c>
      <c r="D174" s="5" t="s">
        <v>929</v>
      </c>
      <c r="E174" s="5">
        <v>13.0</v>
      </c>
      <c r="F174" s="5">
        <v>83.9</v>
      </c>
      <c r="G174" s="13">
        <v>259.0</v>
      </c>
      <c r="H174" s="13">
        <v>16.5</v>
      </c>
      <c r="I174" s="14">
        <v>4.0</v>
      </c>
      <c r="J174" s="13">
        <v>2.0</v>
      </c>
    </row>
    <row r="175">
      <c r="B175" s="5" t="s">
        <v>393</v>
      </c>
      <c r="C175" s="5" t="s">
        <v>1127</v>
      </c>
      <c r="D175" s="5" t="s">
        <v>954</v>
      </c>
      <c r="E175" s="5">
        <v>10.0</v>
      </c>
      <c r="F175" s="5">
        <v>96.3</v>
      </c>
      <c r="G175" s="13">
        <v>226.0</v>
      </c>
      <c r="H175" s="13">
        <v>15.299999999999997</v>
      </c>
      <c r="I175" s="14">
        <v>6.0</v>
      </c>
      <c r="J175" s="13">
        <v>4.0</v>
      </c>
    </row>
    <row r="176">
      <c r="B176" s="5" t="s">
        <v>513</v>
      </c>
      <c r="C176" s="5" t="s">
        <v>1128</v>
      </c>
      <c r="D176" s="5" t="s">
        <v>992</v>
      </c>
      <c r="E176" s="5">
        <v>7.0</v>
      </c>
      <c r="F176" s="5">
        <v>95.8</v>
      </c>
      <c r="G176" s="13">
        <v>227.0</v>
      </c>
      <c r="H176" s="13">
        <v>14.799999999999997</v>
      </c>
      <c r="I176" s="14">
        <v>3.0</v>
      </c>
      <c r="J176" s="13">
        <v>4.0</v>
      </c>
    </row>
    <row r="177">
      <c r="B177" s="5" t="s">
        <v>609</v>
      </c>
      <c r="C177" s="5" t="s">
        <v>1129</v>
      </c>
      <c r="D177" s="5" t="s">
        <v>931</v>
      </c>
      <c r="E177" s="5">
        <v>10.0</v>
      </c>
      <c r="F177" s="5">
        <v>133.7</v>
      </c>
      <c r="G177" s="13">
        <v>119.0</v>
      </c>
      <c r="H177" s="13">
        <v>14.599999999999994</v>
      </c>
      <c r="I177" s="15">
        <v>3.0</v>
      </c>
      <c r="J177" s="13">
        <v>0.0</v>
      </c>
    </row>
    <row r="178">
      <c r="B178" s="5" t="s">
        <v>612</v>
      </c>
      <c r="C178" s="5" t="s">
        <v>1130</v>
      </c>
      <c r="D178" s="5" t="s">
        <v>974</v>
      </c>
      <c r="E178" s="5">
        <v>11.0</v>
      </c>
      <c r="F178" s="5">
        <v>133.5</v>
      </c>
      <c r="G178" s="13">
        <v>121.0</v>
      </c>
      <c r="H178" s="13">
        <v>14.400000000000006</v>
      </c>
      <c r="I178" s="15">
        <v>3.0</v>
      </c>
      <c r="J178" s="13">
        <v>0.0</v>
      </c>
    </row>
    <row r="179">
      <c r="B179" s="5" t="s">
        <v>837</v>
      </c>
      <c r="C179" s="5" t="s">
        <v>1131</v>
      </c>
      <c r="D179" s="5" t="s">
        <v>996</v>
      </c>
      <c r="E179" s="5">
        <v>7.0</v>
      </c>
      <c r="F179" s="5">
        <v>81.8</v>
      </c>
      <c r="G179" s="13">
        <v>265.0</v>
      </c>
      <c r="H179" s="13">
        <v>14.399999999999991</v>
      </c>
      <c r="I179" s="14">
        <v>4.0</v>
      </c>
      <c r="J179" s="13">
        <v>2.0</v>
      </c>
    </row>
    <row r="180">
      <c r="B180" s="2" t="s">
        <v>897</v>
      </c>
      <c r="C180" s="2" t="s">
        <v>1132</v>
      </c>
      <c r="D180" s="5" t="s">
        <v>954</v>
      </c>
      <c r="E180" s="5">
        <v>10.0</v>
      </c>
      <c r="F180" s="5">
        <v>99.8</v>
      </c>
      <c r="G180" s="13">
        <v>210.0</v>
      </c>
      <c r="H180" s="13">
        <v>14.099999999999994</v>
      </c>
      <c r="I180" s="15">
        <v>3.0</v>
      </c>
      <c r="J180" s="13">
        <v>0.0</v>
      </c>
    </row>
    <row r="181">
      <c r="B181" s="5" t="s">
        <v>440</v>
      </c>
      <c r="C181" s="5" t="s">
        <v>1133</v>
      </c>
      <c r="D181" s="5" t="s">
        <v>954</v>
      </c>
      <c r="E181" s="5">
        <v>10.0</v>
      </c>
      <c r="F181" s="5">
        <v>94.9</v>
      </c>
      <c r="G181" s="13">
        <v>229.0</v>
      </c>
      <c r="H181" s="13">
        <v>13.900000000000006</v>
      </c>
      <c r="I181" s="14">
        <v>5.0</v>
      </c>
      <c r="J181" s="13">
        <v>4.0</v>
      </c>
    </row>
    <row r="182">
      <c r="B182" s="2" t="s">
        <v>627</v>
      </c>
      <c r="C182" s="5" t="s">
        <v>1134</v>
      </c>
      <c r="D182" s="5" t="s">
        <v>992</v>
      </c>
      <c r="E182" s="5">
        <v>7.0</v>
      </c>
      <c r="F182" s="5">
        <v>81.8</v>
      </c>
      <c r="G182" s="13">
        <v>265.0</v>
      </c>
      <c r="H182" s="13">
        <v>12.800000000000011</v>
      </c>
      <c r="I182" s="14">
        <v>5.0</v>
      </c>
      <c r="J182" s="13">
        <v>3.0</v>
      </c>
    </row>
    <row r="183">
      <c r="B183" s="5" t="s">
        <v>885</v>
      </c>
      <c r="C183" s="5" t="s">
        <v>1135</v>
      </c>
      <c r="D183" s="5" t="s">
        <v>946</v>
      </c>
      <c r="E183" s="5">
        <v>5.0</v>
      </c>
      <c r="F183" s="5">
        <v>79.4</v>
      </c>
      <c r="G183" s="13">
        <v>271.0</v>
      </c>
      <c r="H183" s="13">
        <v>12.299999999999997</v>
      </c>
      <c r="I183" s="14">
        <v>3.0</v>
      </c>
      <c r="J183" s="13">
        <v>2.0</v>
      </c>
    </row>
    <row r="184">
      <c r="B184" s="5" t="s">
        <v>530</v>
      </c>
      <c r="C184" s="5" t="s">
        <v>1136</v>
      </c>
      <c r="D184" s="5" t="s">
        <v>983</v>
      </c>
      <c r="E184" s="5">
        <v>11.0</v>
      </c>
      <c r="F184" s="5">
        <v>92.9</v>
      </c>
      <c r="G184" s="13">
        <v>233.0</v>
      </c>
      <c r="H184" s="13">
        <v>11.900000000000006</v>
      </c>
      <c r="I184" s="14">
        <v>3.0</v>
      </c>
      <c r="J184" s="13">
        <v>4.0</v>
      </c>
    </row>
    <row r="185">
      <c r="B185" s="5" t="s">
        <v>718</v>
      </c>
      <c r="C185" s="5" t="s">
        <v>1137</v>
      </c>
      <c r="D185" s="5" t="s">
        <v>933</v>
      </c>
      <c r="E185" s="5">
        <v>10.0</v>
      </c>
      <c r="F185" s="5">
        <v>77.9</v>
      </c>
      <c r="G185" s="13">
        <v>273.0</v>
      </c>
      <c r="H185" s="13">
        <v>9.800000000000011</v>
      </c>
      <c r="I185" s="14">
        <v>4.0</v>
      </c>
      <c r="J185" s="13">
        <v>3.0</v>
      </c>
    </row>
    <row r="186">
      <c r="B186" s="5" t="s">
        <v>468</v>
      </c>
      <c r="C186" s="5" t="s">
        <v>1138</v>
      </c>
      <c r="D186" s="5" t="s">
        <v>983</v>
      </c>
      <c r="E186" s="5">
        <v>11.0</v>
      </c>
      <c r="F186" s="5">
        <v>90.3</v>
      </c>
      <c r="G186" s="13">
        <v>241.0</v>
      </c>
      <c r="H186" s="13">
        <v>9.299999999999997</v>
      </c>
      <c r="I186" s="14">
        <v>5.0</v>
      </c>
      <c r="J186" s="13">
        <v>4.0</v>
      </c>
    </row>
    <row r="187">
      <c r="B187" s="5" t="s">
        <v>478</v>
      </c>
      <c r="C187" s="5" t="s">
        <v>1139</v>
      </c>
      <c r="D187" s="5" t="s">
        <v>929</v>
      </c>
      <c r="E187" s="5">
        <v>13.0</v>
      </c>
      <c r="F187" s="5">
        <v>88.8</v>
      </c>
      <c r="G187" s="13">
        <v>246.0</v>
      </c>
      <c r="H187" s="13">
        <v>7.799999999999997</v>
      </c>
      <c r="I187" s="14">
        <v>5.0</v>
      </c>
      <c r="J187" s="13">
        <v>4.0</v>
      </c>
    </row>
    <row r="188">
      <c r="B188" s="5" t="s">
        <v>899</v>
      </c>
      <c r="C188" s="5" t="s">
        <v>1140</v>
      </c>
      <c r="D188" s="5" t="s">
        <v>1009</v>
      </c>
      <c r="E188" s="5">
        <v>11.0</v>
      </c>
      <c r="F188" s="5">
        <v>74.6</v>
      </c>
      <c r="G188" s="13">
        <v>280.0</v>
      </c>
      <c r="H188" s="13">
        <v>7.699999999999989</v>
      </c>
      <c r="I188" s="14">
        <v>3.0</v>
      </c>
      <c r="J188" s="13">
        <v>2.0</v>
      </c>
    </row>
    <row r="189">
      <c r="B189" s="5" t="s">
        <v>745</v>
      </c>
      <c r="C189" s="5" t="s">
        <v>1141</v>
      </c>
      <c r="D189" s="5" t="s">
        <v>980</v>
      </c>
      <c r="E189" s="5">
        <v>13.0</v>
      </c>
      <c r="F189" s="5">
        <v>76.4</v>
      </c>
      <c r="G189" s="13">
        <v>277.0</v>
      </c>
      <c r="H189" s="13">
        <v>7.200000000000003</v>
      </c>
      <c r="I189" s="14">
        <v>4.0</v>
      </c>
      <c r="J189" s="13">
        <v>3.0</v>
      </c>
    </row>
    <row r="190">
      <c r="B190" s="5" t="s">
        <v>688</v>
      </c>
      <c r="C190" s="5" t="s">
        <v>1142</v>
      </c>
      <c r="D190" s="5" t="s">
        <v>948</v>
      </c>
      <c r="E190" s="5">
        <v>13.0</v>
      </c>
      <c r="F190" s="5">
        <v>126.0</v>
      </c>
      <c r="G190" s="13">
        <v>147.0</v>
      </c>
      <c r="H190" s="13">
        <v>6.900000000000006</v>
      </c>
      <c r="I190" s="15">
        <v>3.0</v>
      </c>
      <c r="J190" s="13">
        <v>0.0</v>
      </c>
    </row>
    <row r="191">
      <c r="B191" s="5" t="s">
        <v>905</v>
      </c>
      <c r="C191" s="5" t="s">
        <v>1143</v>
      </c>
      <c r="D191" s="5" t="s">
        <v>1040</v>
      </c>
      <c r="E191" s="5">
        <v>14.0</v>
      </c>
      <c r="F191" s="5">
        <v>72.3</v>
      </c>
      <c r="G191" s="13">
        <v>283.0</v>
      </c>
      <c r="H191" s="13">
        <v>4.8999999999999915</v>
      </c>
      <c r="I191" s="14">
        <v>3.0</v>
      </c>
      <c r="J191" s="13">
        <v>2.0</v>
      </c>
    </row>
    <row r="192">
      <c r="B192" s="5" t="s">
        <v>620</v>
      </c>
      <c r="C192" s="5" t="s">
        <v>1144</v>
      </c>
      <c r="D192" s="5" t="s">
        <v>996</v>
      </c>
      <c r="E192" s="5">
        <v>7.0</v>
      </c>
      <c r="F192" s="5">
        <v>83.8</v>
      </c>
      <c r="G192" s="13">
        <v>261.0</v>
      </c>
      <c r="H192" s="13">
        <v>2.799999999999997</v>
      </c>
      <c r="I192" s="14">
        <v>3.0</v>
      </c>
      <c r="J192" s="13">
        <v>4.0</v>
      </c>
    </row>
    <row r="193">
      <c r="B193" s="5" t="s">
        <v>793</v>
      </c>
      <c r="C193" s="5" t="s">
        <v>1145</v>
      </c>
      <c r="D193" s="5" t="s">
        <v>1040</v>
      </c>
      <c r="E193" s="5">
        <v>14.0</v>
      </c>
      <c r="F193" s="5">
        <v>69.5</v>
      </c>
      <c r="G193" s="13">
        <v>291.0</v>
      </c>
      <c r="H193" s="13">
        <v>2.1999999999999886</v>
      </c>
      <c r="I193" s="14">
        <v>6.0</v>
      </c>
      <c r="J193" s="13">
        <v>2.0</v>
      </c>
    </row>
    <row r="194">
      <c r="B194" s="5" t="s">
        <v>558</v>
      </c>
      <c r="C194" s="5" t="s">
        <v>1146</v>
      </c>
      <c r="D194" s="5" t="s">
        <v>944</v>
      </c>
      <c r="E194" s="5">
        <v>5.0</v>
      </c>
      <c r="F194" s="5">
        <v>90.2</v>
      </c>
      <c r="G194" s="13">
        <v>242.0</v>
      </c>
      <c r="H194" s="13">
        <v>-6.400000000000006</v>
      </c>
      <c r="I194" s="14">
        <v>3.0</v>
      </c>
      <c r="J194" s="13">
        <v>4.0</v>
      </c>
    </row>
    <row r="195">
      <c r="B195" s="2" t="s">
        <v>668</v>
      </c>
      <c r="C195" s="5" t="s">
        <v>1147</v>
      </c>
      <c r="D195" s="5" t="s">
        <v>933</v>
      </c>
      <c r="E195" s="5">
        <v>10.0</v>
      </c>
      <c r="F195" s="5">
        <v>68.7</v>
      </c>
      <c r="G195" s="13">
        <v>293.0</v>
      </c>
      <c r="H195" s="13">
        <v>-11.900000000000006</v>
      </c>
      <c r="I195" s="14">
        <v>4.0</v>
      </c>
      <c r="J195" s="13">
        <v>4.0</v>
      </c>
    </row>
    <row r="196">
      <c r="B196" s="2" t="s">
        <v>673</v>
      </c>
      <c r="C196" s="5" t="s">
        <v>1148</v>
      </c>
      <c r="D196" s="5" t="s">
        <v>1007</v>
      </c>
      <c r="E196" s="5">
        <v>13.0</v>
      </c>
      <c r="F196" s="5">
        <v>67.7</v>
      </c>
      <c r="G196" s="13">
        <v>295.0</v>
      </c>
      <c r="H196" s="13">
        <v>-12.799999999999997</v>
      </c>
      <c r="I196" s="14">
        <v>4.0</v>
      </c>
      <c r="J196" s="13">
        <v>4.0</v>
      </c>
    </row>
    <row r="197">
      <c r="B197" s="5" t="s">
        <v>567</v>
      </c>
      <c r="C197" s="5" t="s">
        <v>1149</v>
      </c>
      <c r="D197" s="5" t="s">
        <v>974</v>
      </c>
      <c r="E197" s="5">
        <v>11.0</v>
      </c>
      <c r="F197" s="5">
        <v>65.1</v>
      </c>
      <c r="G197" s="13">
        <v>298.0</v>
      </c>
      <c r="H197" s="13">
        <v>-14.799999999999997</v>
      </c>
      <c r="I197" s="14">
        <v>6.0</v>
      </c>
      <c r="J197" s="13">
        <v>4.0</v>
      </c>
    </row>
    <row r="198">
      <c r="B198" s="5" t="s">
        <v>322</v>
      </c>
      <c r="C198" s="5" t="s">
        <v>1150</v>
      </c>
      <c r="D198" s="5" t="s">
        <v>1016</v>
      </c>
      <c r="E198" s="5">
        <v>14.0</v>
      </c>
      <c r="F198" s="5">
        <v>221.7</v>
      </c>
      <c r="G198" s="13">
        <v>36.0</v>
      </c>
      <c r="H198" s="13"/>
      <c r="I198" s="14">
        <v>3.0</v>
      </c>
      <c r="J198" s="13">
        <v>1.0</v>
      </c>
    </row>
    <row r="199">
      <c r="B199" s="5" t="s">
        <v>331</v>
      </c>
      <c r="C199" s="5" t="s">
        <v>1151</v>
      </c>
      <c r="D199" s="5" t="s">
        <v>1009</v>
      </c>
      <c r="E199" s="5">
        <v>11.0</v>
      </c>
      <c r="F199" s="5">
        <v>217.5</v>
      </c>
      <c r="G199" s="13">
        <v>40.0</v>
      </c>
      <c r="H199" s="13"/>
      <c r="I199" s="14">
        <v>3.0</v>
      </c>
      <c r="J199" s="13">
        <v>1.0</v>
      </c>
    </row>
    <row r="200">
      <c r="B200" s="5" t="s">
        <v>364</v>
      </c>
      <c r="C200" s="5" t="s">
        <v>1151</v>
      </c>
      <c r="D200" s="5" t="s">
        <v>974</v>
      </c>
      <c r="E200" s="5">
        <v>11.0</v>
      </c>
      <c r="F200" s="5">
        <v>217.5</v>
      </c>
      <c r="G200" s="13">
        <v>40.0</v>
      </c>
      <c r="H200" s="13"/>
      <c r="I200" s="14">
        <v>2.0</v>
      </c>
      <c r="J200" s="13">
        <v>1.0</v>
      </c>
    </row>
    <row r="201">
      <c r="B201" s="5" t="s">
        <v>382</v>
      </c>
      <c r="C201" s="5" t="s">
        <v>1152</v>
      </c>
      <c r="D201" s="5" t="s">
        <v>963</v>
      </c>
      <c r="E201" s="5">
        <v>9.0</v>
      </c>
      <c r="F201" s="5">
        <v>213.5</v>
      </c>
      <c r="G201" s="13">
        <v>46.0</v>
      </c>
      <c r="H201" s="13"/>
      <c r="I201" s="14">
        <v>2.0</v>
      </c>
      <c r="J201" s="13">
        <v>1.0</v>
      </c>
    </row>
    <row r="202">
      <c r="B202" s="5" t="s">
        <v>319</v>
      </c>
      <c r="C202" s="5" t="s">
        <v>1153</v>
      </c>
      <c r="D202" s="5" t="s">
        <v>990</v>
      </c>
      <c r="E202" s="5">
        <v>7.0</v>
      </c>
      <c r="F202" s="5">
        <v>200.1</v>
      </c>
      <c r="G202" s="13">
        <v>50.0</v>
      </c>
      <c r="H202" s="13"/>
      <c r="I202" s="14">
        <v>4.0</v>
      </c>
      <c r="J202" s="13">
        <v>1.0</v>
      </c>
    </row>
    <row r="203">
      <c r="B203" s="5" t="s">
        <v>522</v>
      </c>
      <c r="C203" s="5" t="s">
        <v>698</v>
      </c>
      <c r="D203" s="5" t="s">
        <v>938</v>
      </c>
      <c r="E203" s="5">
        <v>5.0</v>
      </c>
      <c r="F203" s="5">
        <v>144.4</v>
      </c>
      <c r="G203" s="13">
        <v>95.0</v>
      </c>
      <c r="H203" s="13"/>
      <c r="I203" s="15">
        <v>3.0</v>
      </c>
      <c r="J203" s="13">
        <v>0.0</v>
      </c>
    </row>
    <row r="204">
      <c r="B204" s="5" t="s">
        <v>541</v>
      </c>
      <c r="C204" s="5" t="s">
        <v>1154</v>
      </c>
      <c r="D204" s="5" t="s">
        <v>967</v>
      </c>
      <c r="E204" s="5">
        <v>7.0</v>
      </c>
      <c r="F204" s="5">
        <v>141.0</v>
      </c>
      <c r="G204" s="13">
        <v>101.0</v>
      </c>
      <c r="H204" s="13"/>
      <c r="I204" s="15">
        <v>3.0</v>
      </c>
      <c r="J204" s="13">
        <v>0.0</v>
      </c>
    </row>
    <row r="205">
      <c r="B205" s="5" t="s">
        <v>561</v>
      </c>
      <c r="C205" s="5" t="s">
        <v>1155</v>
      </c>
      <c r="D205" s="5" t="s">
        <v>950</v>
      </c>
      <c r="E205" s="5">
        <v>13.0</v>
      </c>
      <c r="F205" s="5">
        <v>139.3</v>
      </c>
      <c r="G205" s="13">
        <v>106.0</v>
      </c>
      <c r="H205" s="13"/>
      <c r="I205" s="15">
        <v>3.0</v>
      </c>
      <c r="J205" s="13">
        <v>0.0</v>
      </c>
    </row>
    <row r="206">
      <c r="B206" s="5" t="s">
        <v>577</v>
      </c>
      <c r="C206" s="5" t="s">
        <v>1156</v>
      </c>
      <c r="D206" s="5" t="s">
        <v>952</v>
      </c>
      <c r="E206" s="5">
        <v>7.0</v>
      </c>
      <c r="F206" s="5">
        <v>138.1</v>
      </c>
      <c r="G206" s="13">
        <v>109.0</v>
      </c>
      <c r="H206" s="13"/>
      <c r="I206" s="15">
        <v>3.0</v>
      </c>
      <c r="J206" s="13">
        <v>0.0</v>
      </c>
    </row>
    <row r="207">
      <c r="B207" s="5" t="s">
        <v>582</v>
      </c>
      <c r="C207" s="5" t="s">
        <v>1157</v>
      </c>
      <c r="D207" s="5" t="s">
        <v>965</v>
      </c>
      <c r="E207" s="5">
        <v>9.0</v>
      </c>
      <c r="F207" s="5">
        <v>137.0</v>
      </c>
      <c r="G207" s="13">
        <v>113.0</v>
      </c>
      <c r="H207" s="13"/>
      <c r="I207" s="15">
        <v>3.0</v>
      </c>
      <c r="J207" s="13">
        <v>0.0</v>
      </c>
    </row>
    <row r="208">
      <c r="B208" s="5" t="s">
        <v>587</v>
      </c>
      <c r="C208" s="5" t="s">
        <v>1158</v>
      </c>
      <c r="D208" s="5" t="s">
        <v>963</v>
      </c>
      <c r="E208" s="5">
        <v>9.0</v>
      </c>
      <c r="F208" s="5">
        <v>136.4</v>
      </c>
      <c r="G208" s="13">
        <v>114.0</v>
      </c>
      <c r="H208" s="13"/>
      <c r="I208" s="15">
        <v>3.0</v>
      </c>
      <c r="J208" s="13">
        <v>0.0</v>
      </c>
    </row>
    <row r="209">
      <c r="B209" s="5" t="s">
        <v>597</v>
      </c>
      <c r="C209" s="5" t="s">
        <v>1159</v>
      </c>
      <c r="D209" s="5" t="s">
        <v>942</v>
      </c>
      <c r="E209" s="5">
        <v>9.0</v>
      </c>
      <c r="F209" s="5">
        <v>136.2</v>
      </c>
      <c r="G209" s="13">
        <v>115.0</v>
      </c>
      <c r="H209" s="13"/>
      <c r="I209" s="15">
        <v>3.0</v>
      </c>
      <c r="J209" s="13">
        <v>0.0</v>
      </c>
    </row>
    <row r="210">
      <c r="B210" s="5" t="s">
        <v>606</v>
      </c>
      <c r="C210" s="5" t="s">
        <v>1160</v>
      </c>
      <c r="D210" s="5" t="s">
        <v>1009</v>
      </c>
      <c r="E210" s="5">
        <v>11.0</v>
      </c>
      <c r="F210" s="5">
        <v>134.5</v>
      </c>
      <c r="G210" s="13">
        <v>117.0</v>
      </c>
      <c r="H210" s="13"/>
      <c r="I210" s="15">
        <v>3.0</v>
      </c>
      <c r="J210" s="13">
        <v>0.0</v>
      </c>
    </row>
    <row r="211">
      <c r="B211" s="5" t="s">
        <v>615</v>
      </c>
      <c r="C211" s="5" t="s">
        <v>1161</v>
      </c>
      <c r="D211" s="5" t="s">
        <v>983</v>
      </c>
      <c r="E211" s="5">
        <v>11.0</v>
      </c>
      <c r="F211" s="5">
        <v>132.6</v>
      </c>
      <c r="G211" s="13">
        <v>123.0</v>
      </c>
      <c r="H211" s="13"/>
      <c r="I211" s="15">
        <v>3.0</v>
      </c>
      <c r="J211" s="13">
        <v>0.0</v>
      </c>
    </row>
    <row r="212">
      <c r="B212" s="5" t="s">
        <v>617</v>
      </c>
      <c r="C212" s="5" t="s">
        <v>1162</v>
      </c>
      <c r="D212" s="5" t="s">
        <v>944</v>
      </c>
      <c r="E212" s="5">
        <v>5.0</v>
      </c>
      <c r="F212" s="5">
        <v>132.4</v>
      </c>
      <c r="G212" s="13">
        <v>124.0</v>
      </c>
      <c r="H212" s="13"/>
      <c r="I212" s="15">
        <v>3.0</v>
      </c>
      <c r="J212" s="13"/>
    </row>
    <row r="213">
      <c r="B213" s="5" t="s">
        <v>633</v>
      </c>
      <c r="C213" s="5" t="s">
        <v>1163</v>
      </c>
      <c r="D213" s="5" t="s">
        <v>976</v>
      </c>
      <c r="E213" s="5">
        <v>9.0</v>
      </c>
      <c r="F213" s="5">
        <v>132.1</v>
      </c>
      <c r="G213" s="13">
        <v>127.0</v>
      </c>
      <c r="H213" s="13"/>
      <c r="I213" s="15">
        <v>3.0</v>
      </c>
      <c r="J213" s="13">
        <v>0.0</v>
      </c>
    </row>
    <row r="214">
      <c r="B214" s="5" t="s">
        <v>635</v>
      </c>
      <c r="C214" s="5" t="s">
        <v>1164</v>
      </c>
      <c r="D214" s="5" t="s">
        <v>1024</v>
      </c>
      <c r="E214" s="5">
        <v>5.0</v>
      </c>
      <c r="F214" s="5">
        <v>131.4</v>
      </c>
      <c r="G214" s="13">
        <v>128.0</v>
      </c>
      <c r="H214" s="13"/>
      <c r="I214" s="15">
        <v>3.0</v>
      </c>
      <c r="J214" s="13">
        <v>0.0</v>
      </c>
    </row>
    <row r="215">
      <c r="B215" s="5" t="s">
        <v>637</v>
      </c>
      <c r="C215" s="5" t="s">
        <v>1165</v>
      </c>
      <c r="D215" s="5" t="s">
        <v>958</v>
      </c>
      <c r="E215" s="5">
        <v>10.0</v>
      </c>
      <c r="F215" s="5">
        <v>130.7</v>
      </c>
      <c r="G215" s="13">
        <v>130.0</v>
      </c>
      <c r="H215" s="13"/>
      <c r="I215" s="15">
        <v>3.0</v>
      </c>
      <c r="J215" s="13">
        <v>0.0</v>
      </c>
    </row>
    <row r="216">
      <c r="B216" s="5" t="s">
        <v>657</v>
      </c>
      <c r="C216" s="5" t="s">
        <v>1166</v>
      </c>
      <c r="D216" s="5" t="s">
        <v>996</v>
      </c>
      <c r="E216" s="5">
        <v>7.0</v>
      </c>
      <c r="F216" s="5">
        <v>130.5</v>
      </c>
      <c r="G216" s="13">
        <v>134.0</v>
      </c>
      <c r="H216" s="13"/>
      <c r="I216" s="15">
        <v>3.0</v>
      </c>
      <c r="J216" s="13">
        <v>0.0</v>
      </c>
    </row>
    <row r="217">
      <c r="B217" s="5" t="s">
        <v>665</v>
      </c>
      <c r="C217" s="5" t="s">
        <v>1167</v>
      </c>
      <c r="D217" s="5" t="s">
        <v>1016</v>
      </c>
      <c r="E217" s="5">
        <v>14.0</v>
      </c>
      <c r="F217" s="5">
        <v>129.8</v>
      </c>
      <c r="G217" s="13">
        <v>137.0</v>
      </c>
      <c r="H217" s="13"/>
      <c r="I217" s="15">
        <v>3.0</v>
      </c>
      <c r="J217" s="13">
        <v>0.0</v>
      </c>
    </row>
    <row r="218">
      <c r="B218" s="5" t="s">
        <v>670</v>
      </c>
      <c r="C218" s="5" t="s">
        <v>1168</v>
      </c>
      <c r="D218" s="5" t="s">
        <v>992</v>
      </c>
      <c r="E218" s="5">
        <v>7.0</v>
      </c>
      <c r="F218" s="5">
        <v>128.8</v>
      </c>
      <c r="G218" s="13">
        <v>139.0</v>
      </c>
      <c r="H218" s="13"/>
      <c r="I218" s="15">
        <v>3.0</v>
      </c>
      <c r="J218" s="13">
        <v>0.0</v>
      </c>
    </row>
    <row r="219">
      <c r="B219" s="5" t="s">
        <v>676</v>
      </c>
      <c r="C219" s="5" t="s">
        <v>1169</v>
      </c>
      <c r="D219" s="5" t="s">
        <v>985</v>
      </c>
      <c r="E219" s="5">
        <v>6.0</v>
      </c>
      <c r="F219" s="5">
        <v>128.4</v>
      </c>
      <c r="G219" s="13">
        <v>141.0</v>
      </c>
      <c r="H219" s="13"/>
      <c r="I219" s="15">
        <v>3.0</v>
      </c>
      <c r="J219" s="13">
        <v>0.0</v>
      </c>
    </row>
    <row r="220">
      <c r="B220" s="5" t="s">
        <v>686</v>
      </c>
      <c r="C220" s="5" t="s">
        <v>1170</v>
      </c>
      <c r="D220" s="5" t="s">
        <v>988</v>
      </c>
      <c r="E220" s="5">
        <v>6.0</v>
      </c>
      <c r="F220" s="5">
        <v>126.2</v>
      </c>
      <c r="G220" s="13">
        <v>146.0</v>
      </c>
      <c r="H220" s="13"/>
      <c r="I220" s="15">
        <v>3.0</v>
      </c>
      <c r="J220" s="13">
        <v>0.0</v>
      </c>
    </row>
    <row r="221">
      <c r="B221" s="5" t="s">
        <v>690</v>
      </c>
      <c r="C221" s="5" t="s">
        <v>1142</v>
      </c>
      <c r="D221" s="5" t="s">
        <v>961</v>
      </c>
      <c r="E221" s="5">
        <v>11.0</v>
      </c>
      <c r="F221" s="5">
        <v>126.0</v>
      </c>
      <c r="G221" s="13">
        <v>147.0</v>
      </c>
      <c r="H221" s="13"/>
      <c r="I221" s="15">
        <v>3.0</v>
      </c>
      <c r="J221" s="13">
        <v>0.0</v>
      </c>
    </row>
    <row r="222">
      <c r="B222" s="5" t="s">
        <v>699</v>
      </c>
      <c r="C222" s="5" t="s">
        <v>1171</v>
      </c>
      <c r="D222" s="5" t="s">
        <v>940</v>
      </c>
      <c r="E222" s="5">
        <v>13.0</v>
      </c>
      <c r="F222" s="5">
        <v>125.1</v>
      </c>
      <c r="G222" s="13">
        <v>149.0</v>
      </c>
      <c r="H222" s="13"/>
      <c r="I222" s="15">
        <v>3.0</v>
      </c>
      <c r="J222" s="13"/>
    </row>
    <row r="223">
      <c r="B223" s="2" t="s">
        <v>714</v>
      </c>
      <c r="C223" s="2" t="s">
        <v>1172</v>
      </c>
      <c r="D223" s="5" t="s">
        <v>1009</v>
      </c>
      <c r="E223" s="5">
        <v>11.0</v>
      </c>
      <c r="F223" s="5">
        <v>123.2</v>
      </c>
      <c r="G223" s="13">
        <v>152.0</v>
      </c>
      <c r="H223" s="13"/>
      <c r="I223" s="15">
        <v>3.0</v>
      </c>
      <c r="J223" s="13">
        <v>0.0</v>
      </c>
    </row>
    <row r="224">
      <c r="B224" s="5" t="s">
        <v>748</v>
      </c>
      <c r="C224" s="5" t="s">
        <v>1173</v>
      </c>
      <c r="D224" s="5" t="s">
        <v>990</v>
      </c>
      <c r="E224" s="5">
        <v>7.0</v>
      </c>
      <c r="F224" s="5">
        <v>120.8</v>
      </c>
      <c r="G224" s="13">
        <v>157.0</v>
      </c>
      <c r="H224" s="13"/>
      <c r="I224" s="15">
        <v>3.0</v>
      </c>
      <c r="J224" s="13">
        <v>0.0</v>
      </c>
    </row>
    <row r="225">
      <c r="B225" s="5" t="s">
        <v>564</v>
      </c>
      <c r="C225" s="5" t="s">
        <v>1174</v>
      </c>
      <c r="D225" s="5" t="s">
        <v>1024</v>
      </c>
      <c r="E225" s="5">
        <v>5.0</v>
      </c>
      <c r="F225" s="5">
        <v>120.2</v>
      </c>
      <c r="G225" s="13">
        <v>159.0</v>
      </c>
      <c r="H225" s="13"/>
      <c r="I225" s="14">
        <v>4.0</v>
      </c>
      <c r="J225" s="13">
        <v>1.0</v>
      </c>
    </row>
    <row r="226">
      <c r="B226" s="5" t="s">
        <v>760</v>
      </c>
      <c r="C226" s="5" t="s">
        <v>1175</v>
      </c>
      <c r="D226" s="5" t="s">
        <v>1040</v>
      </c>
      <c r="E226" s="5">
        <v>14.0</v>
      </c>
      <c r="F226" s="5">
        <v>119.1</v>
      </c>
      <c r="G226" s="13">
        <v>160.0</v>
      </c>
      <c r="H226" s="13"/>
      <c r="I226" s="15">
        <v>3.0</v>
      </c>
      <c r="J226" s="13">
        <v>0.0</v>
      </c>
    </row>
    <row r="227">
      <c r="B227" s="2" t="s">
        <v>766</v>
      </c>
      <c r="C227" s="2" t="s">
        <v>1176</v>
      </c>
      <c r="D227" s="5" t="s">
        <v>996</v>
      </c>
      <c r="E227" s="5">
        <v>7.0</v>
      </c>
      <c r="F227" s="5">
        <v>118.9</v>
      </c>
      <c r="G227" s="13">
        <v>161.0</v>
      </c>
      <c r="H227" s="13"/>
      <c r="I227" s="15">
        <v>3.0</v>
      </c>
      <c r="J227" s="13">
        <v>0.0</v>
      </c>
    </row>
    <row r="228">
      <c r="B228" s="2" t="s">
        <v>781</v>
      </c>
      <c r="C228" s="2" t="s">
        <v>1177</v>
      </c>
      <c r="D228" s="5" t="s">
        <v>933</v>
      </c>
      <c r="E228" s="5">
        <v>10.0</v>
      </c>
      <c r="F228" s="5">
        <v>117.8</v>
      </c>
      <c r="G228" s="13">
        <v>165.0</v>
      </c>
      <c r="H228" s="13"/>
      <c r="I228" s="15">
        <v>3.0</v>
      </c>
      <c r="J228" s="13">
        <v>0.0</v>
      </c>
    </row>
    <row r="229">
      <c r="B229" s="2" t="s">
        <v>786</v>
      </c>
      <c r="C229" s="2" t="s">
        <v>1178</v>
      </c>
      <c r="D229" s="5" t="s">
        <v>944</v>
      </c>
      <c r="E229" s="5">
        <v>5.0</v>
      </c>
      <c r="F229" s="5">
        <v>117.3</v>
      </c>
      <c r="G229" s="13">
        <v>166.0</v>
      </c>
      <c r="H229" s="13"/>
      <c r="I229" s="15">
        <v>3.0</v>
      </c>
      <c r="J229" s="13">
        <v>0.0</v>
      </c>
    </row>
    <row r="230">
      <c r="B230" s="5" t="s">
        <v>497</v>
      </c>
      <c r="C230" s="5" t="s">
        <v>1179</v>
      </c>
      <c r="D230" s="5" t="s">
        <v>988</v>
      </c>
      <c r="E230" s="5">
        <v>6.0</v>
      </c>
      <c r="F230" s="5">
        <v>116.7</v>
      </c>
      <c r="G230" s="13">
        <v>168.0</v>
      </c>
      <c r="H230" s="13"/>
      <c r="I230" s="14">
        <v>2.0</v>
      </c>
      <c r="J230" s="13">
        <v>3.0</v>
      </c>
    </row>
    <row r="231">
      <c r="B231" s="2" t="s">
        <v>795</v>
      </c>
      <c r="C231" s="2" t="s">
        <v>1180</v>
      </c>
      <c r="D231" s="5" t="s">
        <v>948</v>
      </c>
      <c r="E231" s="5">
        <v>13.0</v>
      </c>
      <c r="F231" s="5">
        <v>116.4</v>
      </c>
      <c r="G231" s="13">
        <v>169.0</v>
      </c>
      <c r="H231" s="13"/>
      <c r="I231" s="15">
        <v>3.0</v>
      </c>
      <c r="J231" s="13">
        <v>0.0</v>
      </c>
    </row>
    <row r="232">
      <c r="B232" s="2" t="s">
        <v>798</v>
      </c>
      <c r="C232" s="2" t="s">
        <v>1180</v>
      </c>
      <c r="D232" s="5" t="s">
        <v>942</v>
      </c>
      <c r="E232" s="5">
        <v>9.0</v>
      </c>
      <c r="F232" s="5">
        <v>116.4</v>
      </c>
      <c r="G232" s="13">
        <v>169.0</v>
      </c>
      <c r="H232" s="13"/>
      <c r="I232" s="15">
        <v>3.0</v>
      </c>
      <c r="J232" s="13">
        <v>0.0</v>
      </c>
    </row>
    <row r="233">
      <c r="B233" s="2" t="s">
        <v>825</v>
      </c>
      <c r="C233" s="2" t="s">
        <v>1181</v>
      </c>
      <c r="D233" s="5" t="s">
        <v>985</v>
      </c>
      <c r="E233" s="5">
        <v>6.0</v>
      </c>
      <c r="F233" s="5">
        <v>114.3</v>
      </c>
      <c r="G233" s="13">
        <v>175.0</v>
      </c>
      <c r="H233" s="13"/>
      <c r="I233" s="15">
        <v>3.0</v>
      </c>
      <c r="J233" s="13">
        <v>0.0</v>
      </c>
    </row>
    <row r="234">
      <c r="B234" s="2" t="s">
        <v>849</v>
      </c>
      <c r="C234" s="2" t="s">
        <v>1182</v>
      </c>
      <c r="D234" s="5" t="s">
        <v>946</v>
      </c>
      <c r="E234" s="5">
        <v>5.0</v>
      </c>
      <c r="F234" s="5">
        <v>110.7</v>
      </c>
      <c r="G234" s="13">
        <v>181.0</v>
      </c>
      <c r="H234" s="13"/>
      <c r="I234" s="15">
        <v>3.0</v>
      </c>
      <c r="J234" s="13">
        <v>0.0</v>
      </c>
    </row>
    <row r="235">
      <c r="B235" s="5" t="s">
        <v>539</v>
      </c>
      <c r="C235" s="5" t="s">
        <v>1183</v>
      </c>
      <c r="D235" s="5" t="s">
        <v>996</v>
      </c>
      <c r="E235" s="5">
        <v>7.0</v>
      </c>
      <c r="F235" s="5">
        <v>110.2</v>
      </c>
      <c r="G235" s="13">
        <v>183.0</v>
      </c>
      <c r="H235" s="13"/>
      <c r="I235" s="14">
        <v>2.0</v>
      </c>
      <c r="J235" s="13">
        <v>3.0</v>
      </c>
    </row>
    <row r="236">
      <c r="B236" s="2" t="s">
        <v>858</v>
      </c>
      <c r="C236" s="2" t="s">
        <v>1184</v>
      </c>
      <c r="D236" s="5" t="s">
        <v>961</v>
      </c>
      <c r="E236" s="5">
        <v>11.0</v>
      </c>
      <c r="F236" s="5">
        <v>107.6</v>
      </c>
      <c r="G236" s="13">
        <v>185.0</v>
      </c>
      <c r="H236" s="13"/>
      <c r="I236" s="15">
        <v>3.0</v>
      </c>
      <c r="J236" s="13">
        <v>0.0</v>
      </c>
    </row>
    <row r="237">
      <c r="B237" s="2" t="s">
        <v>862</v>
      </c>
      <c r="C237" s="2" t="s">
        <v>1185</v>
      </c>
      <c r="D237" s="5" t="s">
        <v>965</v>
      </c>
      <c r="E237" s="5">
        <v>9.0</v>
      </c>
      <c r="F237" s="5">
        <v>107.3</v>
      </c>
      <c r="G237" s="13">
        <v>186.0</v>
      </c>
      <c r="H237" s="13"/>
      <c r="I237" s="15">
        <v>3.0</v>
      </c>
      <c r="J237" s="13">
        <v>0.0</v>
      </c>
    </row>
    <row r="238">
      <c r="B238" s="2" t="s">
        <v>865</v>
      </c>
      <c r="C238" s="2" t="s">
        <v>1186</v>
      </c>
      <c r="D238" s="5" t="s">
        <v>938</v>
      </c>
      <c r="E238" s="5">
        <v>5.0</v>
      </c>
      <c r="F238" s="5">
        <v>107.1</v>
      </c>
      <c r="G238" s="13">
        <v>187.0</v>
      </c>
      <c r="H238" s="13"/>
      <c r="I238" s="15">
        <v>3.0</v>
      </c>
      <c r="J238" s="13">
        <v>0.0</v>
      </c>
    </row>
    <row r="239">
      <c r="B239" s="2" t="s">
        <v>867</v>
      </c>
      <c r="C239" s="2" t="s">
        <v>1187</v>
      </c>
      <c r="D239" s="5" t="s">
        <v>1024</v>
      </c>
      <c r="E239" s="5">
        <v>5.0</v>
      </c>
      <c r="F239" s="5">
        <v>106.6</v>
      </c>
      <c r="G239" s="13">
        <v>188.0</v>
      </c>
      <c r="H239" s="13"/>
      <c r="I239" s="15">
        <v>3.0</v>
      </c>
      <c r="J239" s="13">
        <v>0.0</v>
      </c>
    </row>
    <row r="240">
      <c r="B240" s="2" t="s">
        <v>874</v>
      </c>
      <c r="C240" s="2" t="s">
        <v>1188</v>
      </c>
      <c r="D240" s="5" t="s">
        <v>950</v>
      </c>
      <c r="E240" s="5">
        <v>13.0</v>
      </c>
      <c r="F240" s="5">
        <v>105.7</v>
      </c>
      <c r="G240" s="13">
        <v>192.0</v>
      </c>
      <c r="H240" s="13"/>
      <c r="I240" s="15">
        <v>3.0</v>
      </c>
      <c r="J240" s="13">
        <v>0.0</v>
      </c>
    </row>
    <row r="241">
      <c r="B241" s="2" t="s">
        <v>876</v>
      </c>
      <c r="C241" s="2" t="s">
        <v>1189</v>
      </c>
      <c r="D241" s="5" t="s">
        <v>988</v>
      </c>
      <c r="E241" s="5">
        <v>6.0</v>
      </c>
      <c r="F241" s="5">
        <v>105.3</v>
      </c>
      <c r="G241" s="13">
        <v>193.0</v>
      </c>
      <c r="H241" s="13"/>
      <c r="I241" s="15">
        <v>3.0</v>
      </c>
      <c r="J241" s="13">
        <v>0.0</v>
      </c>
    </row>
    <row r="242">
      <c r="B242" s="5" t="s">
        <v>447</v>
      </c>
      <c r="C242" s="5" t="s">
        <v>1190</v>
      </c>
      <c r="D242" s="5" t="s">
        <v>940</v>
      </c>
      <c r="E242" s="5">
        <v>13.0</v>
      </c>
      <c r="F242" s="5">
        <v>104.6</v>
      </c>
      <c r="G242" s="13">
        <v>195.0</v>
      </c>
      <c r="H242" s="13"/>
      <c r="I242" s="15">
        <v>3.0</v>
      </c>
      <c r="J242" s="13">
        <v>4.0</v>
      </c>
    </row>
    <row r="243">
      <c r="B243" s="2" t="s">
        <v>883</v>
      </c>
      <c r="C243" s="2" t="s">
        <v>1191</v>
      </c>
      <c r="D243" s="5" t="s">
        <v>1016</v>
      </c>
      <c r="E243" s="5">
        <v>14.0</v>
      </c>
      <c r="F243" s="5">
        <v>102.7</v>
      </c>
      <c r="G243" s="13">
        <v>199.0</v>
      </c>
      <c r="H243" s="13"/>
      <c r="I243" s="15">
        <v>3.0</v>
      </c>
      <c r="J243" s="13">
        <v>0.0</v>
      </c>
    </row>
    <row r="244">
      <c r="B244" s="5" t="s">
        <v>490</v>
      </c>
      <c r="C244" s="5" t="s">
        <v>1192</v>
      </c>
      <c r="D244" s="5" t="s">
        <v>958</v>
      </c>
      <c r="E244" s="5">
        <v>10.0</v>
      </c>
      <c r="F244" s="5">
        <v>102.0</v>
      </c>
      <c r="G244" s="13">
        <v>201.0</v>
      </c>
      <c r="H244" s="13"/>
      <c r="I244" s="14">
        <v>4.0</v>
      </c>
      <c r="J244" s="13">
        <v>3.0</v>
      </c>
    </row>
    <row r="245">
      <c r="B245" s="2" t="s">
        <v>895</v>
      </c>
      <c r="C245" s="2" t="s">
        <v>1193</v>
      </c>
      <c r="D245" s="5" t="s">
        <v>990</v>
      </c>
      <c r="E245" s="5">
        <v>7.0</v>
      </c>
      <c r="F245" s="5">
        <v>100.2</v>
      </c>
      <c r="G245" s="13">
        <v>206.0</v>
      </c>
      <c r="H245" s="13"/>
      <c r="I245" s="15">
        <v>3.0</v>
      </c>
      <c r="J245" s="13">
        <v>0.0</v>
      </c>
    </row>
    <row r="246">
      <c r="B246" s="2" t="s">
        <v>901</v>
      </c>
      <c r="C246" s="2" t="s">
        <v>1194</v>
      </c>
      <c r="D246" s="5" t="s">
        <v>974</v>
      </c>
      <c r="E246" s="5">
        <v>11.0</v>
      </c>
      <c r="F246" s="5">
        <v>99.3</v>
      </c>
      <c r="G246" s="13">
        <v>212.0</v>
      </c>
      <c r="H246" s="13"/>
      <c r="I246" s="15">
        <v>3.0</v>
      </c>
      <c r="J246" s="13">
        <v>0.0</v>
      </c>
    </row>
    <row r="247">
      <c r="B247" s="5" t="s">
        <v>878</v>
      </c>
      <c r="C247" s="5" t="s">
        <v>1195</v>
      </c>
      <c r="D247" s="5" t="s">
        <v>1024</v>
      </c>
      <c r="E247" s="5">
        <v>5.0</v>
      </c>
      <c r="F247" s="5">
        <v>99.3</v>
      </c>
      <c r="G247" s="13">
        <v>212.0</v>
      </c>
      <c r="H247" s="13"/>
      <c r="I247" s="14">
        <v>2.0</v>
      </c>
      <c r="J247" s="13">
        <v>1.0</v>
      </c>
    </row>
    <row r="248">
      <c r="B248" s="5" t="s">
        <v>652</v>
      </c>
      <c r="C248" s="5" t="s">
        <v>1196</v>
      </c>
      <c r="D248" s="5" t="s">
        <v>983</v>
      </c>
      <c r="E248" s="5">
        <v>11.0</v>
      </c>
      <c r="F248" s="5">
        <v>98.5</v>
      </c>
      <c r="G248" s="13">
        <v>217.0</v>
      </c>
      <c r="H248" s="13"/>
      <c r="I248" s="14">
        <v>2.0</v>
      </c>
      <c r="J248" s="13">
        <v>3.0</v>
      </c>
    </row>
    <row r="249">
      <c r="B249" s="5" t="s">
        <v>660</v>
      </c>
      <c r="C249" s="5" t="s">
        <v>1197</v>
      </c>
      <c r="D249" s="5" t="s">
        <v>933</v>
      </c>
      <c r="E249" s="5">
        <v>10.0</v>
      </c>
      <c r="F249" s="5">
        <v>97.7</v>
      </c>
      <c r="G249" s="13">
        <v>220.0</v>
      </c>
      <c r="H249" s="13"/>
      <c r="I249" s="14">
        <v>2.0</v>
      </c>
      <c r="J249" s="13">
        <v>3.0</v>
      </c>
    </row>
    <row r="250">
      <c r="B250" s="5" t="s">
        <v>494</v>
      </c>
      <c r="C250" s="5" t="s">
        <v>1198</v>
      </c>
      <c r="D250" s="5" t="s">
        <v>1009</v>
      </c>
      <c r="E250" s="5">
        <v>11.0</v>
      </c>
      <c r="F250" s="5">
        <v>97.3</v>
      </c>
      <c r="G250" s="13">
        <v>221.0</v>
      </c>
      <c r="H250" s="13"/>
      <c r="I250" s="14">
        <v>5.0</v>
      </c>
      <c r="J250" s="13">
        <v>3.0</v>
      </c>
    </row>
    <row r="251">
      <c r="B251" s="5" t="s">
        <v>500</v>
      </c>
      <c r="C251" s="5" t="s">
        <v>1199</v>
      </c>
      <c r="D251" s="5" t="s">
        <v>954</v>
      </c>
      <c r="E251" s="5">
        <v>10.0</v>
      </c>
      <c r="F251" s="5">
        <v>97.3</v>
      </c>
      <c r="G251" s="13">
        <v>221.0</v>
      </c>
      <c r="H251" s="13"/>
      <c r="I251" s="15">
        <v>3.0</v>
      </c>
      <c r="J251" s="13">
        <v>4.0</v>
      </c>
    </row>
    <row r="252">
      <c r="B252" s="2" t="s">
        <v>910</v>
      </c>
      <c r="C252" s="2" t="s">
        <v>1200</v>
      </c>
      <c r="D252" s="5" t="s">
        <v>992</v>
      </c>
      <c r="E252" s="5">
        <v>7.0</v>
      </c>
      <c r="F252" s="5">
        <v>94.8</v>
      </c>
      <c r="G252" s="13">
        <v>230.0</v>
      </c>
      <c r="H252" s="13"/>
      <c r="I252" s="15">
        <v>3.0</v>
      </c>
      <c r="J252" s="13">
        <v>0.0</v>
      </c>
    </row>
    <row r="253">
      <c r="B253" s="2" t="s">
        <v>912</v>
      </c>
      <c r="C253" s="2" t="s">
        <v>1201</v>
      </c>
      <c r="D253" s="5" t="s">
        <v>958</v>
      </c>
      <c r="E253" s="5">
        <v>10.0</v>
      </c>
      <c r="F253" s="5">
        <v>93.6</v>
      </c>
      <c r="G253" s="13">
        <v>231.0</v>
      </c>
      <c r="H253" s="13"/>
      <c r="I253" s="15">
        <v>3.0</v>
      </c>
      <c r="J253" s="13">
        <v>0.0</v>
      </c>
    </row>
    <row r="254">
      <c r="B254" s="5" t="s">
        <v>585</v>
      </c>
      <c r="C254" s="5" t="s">
        <v>1202</v>
      </c>
      <c r="D254" s="5" t="s">
        <v>990</v>
      </c>
      <c r="E254" s="5">
        <v>7.0</v>
      </c>
      <c r="F254" s="5">
        <v>93.6</v>
      </c>
      <c r="G254" s="13">
        <v>231.0</v>
      </c>
      <c r="H254" s="13"/>
      <c r="I254" s="14">
        <v>2.0</v>
      </c>
      <c r="J254" s="13">
        <v>4.0</v>
      </c>
    </row>
    <row r="255">
      <c r="B255" s="5" t="s">
        <v>649</v>
      </c>
      <c r="C255" s="5" t="s">
        <v>1203</v>
      </c>
      <c r="D255" s="5" t="s">
        <v>944</v>
      </c>
      <c r="E255" s="5">
        <v>5.0</v>
      </c>
      <c r="F255" s="5">
        <v>92.2</v>
      </c>
      <c r="G255" s="13">
        <v>235.0</v>
      </c>
      <c r="H255" s="13"/>
      <c r="I255" s="14">
        <v>3.0</v>
      </c>
      <c r="J255" s="13">
        <v>3.0</v>
      </c>
    </row>
    <row r="256">
      <c r="B256" s="5" t="s">
        <v>655</v>
      </c>
      <c r="C256" s="5" t="s">
        <v>1204</v>
      </c>
      <c r="D256" s="5" t="s">
        <v>929</v>
      </c>
      <c r="E256" s="5">
        <v>13.0</v>
      </c>
      <c r="F256" s="5">
        <v>92.0</v>
      </c>
      <c r="G256" s="13">
        <v>236.0</v>
      </c>
      <c r="H256" s="13"/>
      <c r="I256" s="14">
        <v>3.0</v>
      </c>
      <c r="J256" s="13">
        <v>3.0</v>
      </c>
    </row>
    <row r="257">
      <c r="B257" s="5" t="s">
        <v>803</v>
      </c>
      <c r="C257" s="5" t="s">
        <v>1205</v>
      </c>
      <c r="D257" s="5" t="s">
        <v>967</v>
      </c>
      <c r="E257" s="5">
        <v>7.0</v>
      </c>
      <c r="F257" s="5">
        <v>91.3</v>
      </c>
      <c r="G257" s="13">
        <v>238.0</v>
      </c>
      <c r="H257" s="13"/>
      <c r="I257" s="14">
        <v>3.0</v>
      </c>
      <c r="J257" s="13">
        <v>2.0</v>
      </c>
    </row>
    <row r="258">
      <c r="B258" s="5" t="s">
        <v>736</v>
      </c>
      <c r="C258" s="5" t="s">
        <v>1206</v>
      </c>
      <c r="D258" s="5" t="s">
        <v>976</v>
      </c>
      <c r="E258" s="5">
        <v>9.0</v>
      </c>
      <c r="F258" s="5">
        <v>90.8</v>
      </c>
      <c r="G258" s="13">
        <v>240.0</v>
      </c>
      <c r="H258" s="13"/>
      <c r="I258" s="14">
        <v>2.0</v>
      </c>
      <c r="J258" s="13">
        <v>3.0</v>
      </c>
    </row>
    <row r="259">
      <c r="B259" s="2" t="s">
        <v>914</v>
      </c>
      <c r="C259" s="2" t="s">
        <v>1207</v>
      </c>
      <c r="D259" s="5" t="s">
        <v>1040</v>
      </c>
      <c r="E259" s="5">
        <v>14.0</v>
      </c>
      <c r="F259" s="5">
        <v>90.1</v>
      </c>
      <c r="G259" s="13">
        <v>243.0</v>
      </c>
      <c r="H259" s="13"/>
      <c r="I259" s="15">
        <v>3.0</v>
      </c>
      <c r="J259" s="13">
        <v>0.0</v>
      </c>
    </row>
    <row r="260">
      <c r="B260" s="2" t="s">
        <v>916</v>
      </c>
      <c r="C260" s="2" t="s">
        <v>1208</v>
      </c>
      <c r="D260" s="5" t="s">
        <v>940</v>
      </c>
      <c r="E260" s="5">
        <v>13.0</v>
      </c>
      <c r="F260" s="5">
        <v>89.4</v>
      </c>
      <c r="G260" s="13">
        <v>244.0</v>
      </c>
      <c r="H260" s="13"/>
      <c r="I260" s="15">
        <v>3.0</v>
      </c>
      <c r="J260" s="13">
        <v>0.0</v>
      </c>
    </row>
    <row r="261">
      <c r="B261" s="5" t="s">
        <v>834</v>
      </c>
      <c r="C261" s="5" t="s">
        <v>1209</v>
      </c>
      <c r="D261" s="5" t="s">
        <v>980</v>
      </c>
      <c r="E261" s="5">
        <v>13.0</v>
      </c>
      <c r="F261" s="5">
        <v>88.5</v>
      </c>
      <c r="G261" s="13">
        <v>247.0</v>
      </c>
      <c r="H261" s="13"/>
      <c r="I261" s="14">
        <v>3.0</v>
      </c>
      <c r="J261" s="13">
        <v>2.0</v>
      </c>
    </row>
    <row r="262">
      <c r="B262" s="5" t="s">
        <v>843</v>
      </c>
      <c r="C262" s="5" t="s">
        <v>1210</v>
      </c>
      <c r="D262" s="5" t="s">
        <v>1009</v>
      </c>
      <c r="E262" s="5">
        <v>11.0</v>
      </c>
      <c r="F262" s="5">
        <v>87.4</v>
      </c>
      <c r="G262" s="13">
        <v>248.0</v>
      </c>
      <c r="H262" s="13"/>
      <c r="I262" s="14">
        <v>3.0</v>
      </c>
      <c r="J262" s="13">
        <v>2.0</v>
      </c>
    </row>
    <row r="263">
      <c r="B263" s="5" t="s">
        <v>779</v>
      </c>
      <c r="C263" s="5" t="s">
        <v>1211</v>
      </c>
      <c r="D263" s="5" t="s">
        <v>948</v>
      </c>
      <c r="E263" s="5">
        <v>13.0</v>
      </c>
      <c r="F263" s="5">
        <v>87.3</v>
      </c>
      <c r="G263" s="13">
        <v>249.0</v>
      </c>
      <c r="H263" s="13"/>
      <c r="I263" s="14">
        <v>2.0</v>
      </c>
      <c r="J263" s="13">
        <v>3.0</v>
      </c>
    </row>
    <row r="264">
      <c r="B264" s="5" t="s">
        <v>693</v>
      </c>
      <c r="C264" s="5" t="s">
        <v>1212</v>
      </c>
      <c r="D264" s="5" t="s">
        <v>996</v>
      </c>
      <c r="E264" s="5">
        <v>7.0</v>
      </c>
      <c r="F264" s="5">
        <v>86.3</v>
      </c>
      <c r="G264" s="13">
        <v>250.0</v>
      </c>
      <c r="H264" s="13"/>
      <c r="I264" s="15">
        <v>3.0</v>
      </c>
      <c r="J264" s="13">
        <v>3.0</v>
      </c>
    </row>
    <row r="265">
      <c r="B265" s="2" t="s">
        <v>918</v>
      </c>
      <c r="C265" s="2" t="s">
        <v>1213</v>
      </c>
      <c r="D265" s="5" t="s">
        <v>980</v>
      </c>
      <c r="E265" s="5">
        <v>13.0</v>
      </c>
      <c r="F265" s="5">
        <v>85.7</v>
      </c>
      <c r="G265" s="13">
        <v>251.0</v>
      </c>
      <c r="H265" s="13"/>
      <c r="I265" s="15">
        <v>3.0</v>
      </c>
      <c r="J265" s="13">
        <v>0.0</v>
      </c>
    </row>
    <row r="266">
      <c r="B266" s="5" t="s">
        <v>643</v>
      </c>
      <c r="C266" s="5" t="s">
        <v>1214</v>
      </c>
      <c r="D266" s="5" t="s">
        <v>948</v>
      </c>
      <c r="E266" s="5">
        <v>13.0</v>
      </c>
      <c r="F266" s="5">
        <v>85.7</v>
      </c>
      <c r="G266" s="13">
        <v>251.0</v>
      </c>
      <c r="H266" s="13"/>
      <c r="I266" s="14">
        <v>4.0</v>
      </c>
      <c r="J266" s="13">
        <v>3.0</v>
      </c>
    </row>
    <row r="267">
      <c r="B267" s="5" t="s">
        <v>708</v>
      </c>
      <c r="C267" s="5" t="s">
        <v>1215</v>
      </c>
      <c r="D267" s="5" t="s">
        <v>992</v>
      </c>
      <c r="E267" s="5">
        <v>7.0</v>
      </c>
      <c r="F267" s="5">
        <v>85.5</v>
      </c>
      <c r="G267" s="13">
        <v>253.0</v>
      </c>
      <c r="H267" s="13"/>
      <c r="I267" s="15">
        <v>3.0</v>
      </c>
      <c r="J267" s="13">
        <v>3.0</v>
      </c>
    </row>
    <row r="268">
      <c r="B268" s="5" t="s">
        <v>711</v>
      </c>
      <c r="C268" s="5" t="s">
        <v>1216</v>
      </c>
      <c r="D268" s="5" t="s">
        <v>965</v>
      </c>
      <c r="E268" s="5">
        <v>9.0</v>
      </c>
      <c r="F268" s="5">
        <v>85.2</v>
      </c>
      <c r="G268" s="13">
        <v>254.0</v>
      </c>
      <c r="H268" s="13"/>
      <c r="I268" s="15">
        <v>3.0</v>
      </c>
      <c r="J268" s="13">
        <v>3.0</v>
      </c>
    </row>
    <row r="269">
      <c r="B269" s="5" t="s">
        <v>721</v>
      </c>
      <c r="C269" s="5" t="s">
        <v>1217</v>
      </c>
      <c r="D269" s="5" t="s">
        <v>961</v>
      </c>
      <c r="E269" s="5">
        <v>11.0</v>
      </c>
      <c r="F269" s="5">
        <v>85.1</v>
      </c>
      <c r="G269" s="13">
        <v>255.0</v>
      </c>
      <c r="H269" s="13"/>
      <c r="I269" s="14">
        <v>3.0</v>
      </c>
      <c r="J269" s="13">
        <v>3.0</v>
      </c>
    </row>
    <row r="270">
      <c r="B270" s="5" t="s">
        <v>724</v>
      </c>
      <c r="C270" s="5" t="s">
        <v>1218</v>
      </c>
      <c r="D270" s="5" t="s">
        <v>967</v>
      </c>
      <c r="E270" s="5">
        <v>7.0</v>
      </c>
      <c r="F270" s="5">
        <v>85.0</v>
      </c>
      <c r="G270" s="13">
        <v>256.0</v>
      </c>
      <c r="H270" s="13"/>
      <c r="I270" s="15">
        <v>3.0</v>
      </c>
      <c r="J270" s="13">
        <v>3.0</v>
      </c>
    </row>
    <row r="271">
      <c r="B271" s="5" t="s">
        <v>869</v>
      </c>
      <c r="C271" s="5" t="s">
        <v>1219</v>
      </c>
      <c r="D271" s="5" t="s">
        <v>1024</v>
      </c>
      <c r="E271" s="5">
        <v>5.0</v>
      </c>
      <c r="F271" s="5">
        <v>84.6</v>
      </c>
      <c r="G271" s="13">
        <v>257.0</v>
      </c>
      <c r="H271" s="13"/>
      <c r="I271" s="14">
        <v>3.0</v>
      </c>
      <c r="J271" s="13">
        <v>2.0</v>
      </c>
    </row>
    <row r="272">
      <c r="B272" s="5" t="s">
        <v>730</v>
      </c>
      <c r="C272" s="5" t="s">
        <v>1220</v>
      </c>
      <c r="D272" s="5" t="s">
        <v>992</v>
      </c>
      <c r="E272" s="5">
        <v>7.0</v>
      </c>
      <c r="F272" s="5">
        <v>84.0</v>
      </c>
      <c r="G272" s="13">
        <v>258.0</v>
      </c>
      <c r="H272" s="13"/>
      <c r="I272" s="15">
        <v>3.0</v>
      </c>
      <c r="J272" s="13">
        <v>3.0</v>
      </c>
    </row>
    <row r="273">
      <c r="B273" s="5" t="s">
        <v>751</v>
      </c>
      <c r="C273" s="5" t="s">
        <v>1221</v>
      </c>
      <c r="D273" s="5" t="s">
        <v>958</v>
      </c>
      <c r="E273" s="5">
        <v>10.0</v>
      </c>
      <c r="F273" s="5">
        <v>83.9</v>
      </c>
      <c r="G273" s="13">
        <v>259.0</v>
      </c>
      <c r="H273" s="13"/>
      <c r="I273" s="15">
        <v>3.0</v>
      </c>
      <c r="J273" s="13">
        <v>3.0</v>
      </c>
    </row>
    <row r="274">
      <c r="B274" s="5" t="s">
        <v>680</v>
      </c>
      <c r="C274" s="5" t="s">
        <v>1222</v>
      </c>
      <c r="D274" s="5" t="s">
        <v>988</v>
      </c>
      <c r="E274" s="5">
        <v>6.0</v>
      </c>
      <c r="F274" s="5">
        <v>83.6</v>
      </c>
      <c r="G274" s="13">
        <v>262.0</v>
      </c>
      <c r="H274" s="13"/>
      <c r="I274" s="14">
        <v>4.0</v>
      </c>
      <c r="J274" s="13">
        <v>3.0</v>
      </c>
    </row>
    <row r="275">
      <c r="B275" s="5" t="s">
        <v>631</v>
      </c>
      <c r="C275" s="5" t="s">
        <v>1223</v>
      </c>
      <c r="D275" s="5" t="s">
        <v>1024</v>
      </c>
      <c r="E275" s="5">
        <v>5.0</v>
      </c>
      <c r="F275" s="5">
        <v>82.8</v>
      </c>
      <c r="G275" s="13">
        <v>263.0</v>
      </c>
      <c r="H275" s="13"/>
      <c r="I275" s="15">
        <v>3.0</v>
      </c>
      <c r="J275" s="13">
        <v>4.0</v>
      </c>
    </row>
    <row r="276">
      <c r="B276" s="5" t="s">
        <v>903</v>
      </c>
      <c r="C276" s="5" t="s">
        <v>1224</v>
      </c>
      <c r="D276" s="5" t="s">
        <v>988</v>
      </c>
      <c r="E276" s="5">
        <v>6.0</v>
      </c>
      <c r="F276" s="5">
        <v>82.4</v>
      </c>
      <c r="G276" s="13">
        <v>264.0</v>
      </c>
      <c r="H276" s="13"/>
      <c r="I276" s="14">
        <v>2.0</v>
      </c>
      <c r="J276" s="13">
        <v>2.0</v>
      </c>
    </row>
    <row r="277">
      <c r="B277" s="5" t="s">
        <v>696</v>
      </c>
      <c r="C277" s="5" t="s">
        <v>1225</v>
      </c>
      <c r="D277" s="5" t="s">
        <v>950</v>
      </c>
      <c r="E277" s="5">
        <v>13.0</v>
      </c>
      <c r="F277" s="5">
        <v>81.0</v>
      </c>
      <c r="G277" s="13">
        <v>267.0</v>
      </c>
      <c r="H277" s="13"/>
      <c r="I277" s="14">
        <v>2.0</v>
      </c>
      <c r="J277" s="13">
        <v>4.0</v>
      </c>
    </row>
    <row r="278">
      <c r="B278" s="5" t="s">
        <v>852</v>
      </c>
      <c r="C278" s="5" t="s">
        <v>1226</v>
      </c>
      <c r="D278" s="5" t="s">
        <v>958</v>
      </c>
      <c r="E278" s="5">
        <v>10.0</v>
      </c>
      <c r="F278" s="5">
        <v>81.0</v>
      </c>
      <c r="G278" s="13">
        <v>267.0</v>
      </c>
      <c r="H278" s="13"/>
      <c r="I278" s="14">
        <v>2.0</v>
      </c>
      <c r="J278" s="13">
        <v>3.0</v>
      </c>
    </row>
    <row r="279">
      <c r="B279" s="5" t="s">
        <v>594</v>
      </c>
      <c r="C279" s="5" t="s">
        <v>1227</v>
      </c>
      <c r="D279" s="5" t="s">
        <v>948</v>
      </c>
      <c r="E279" s="5">
        <v>13.0</v>
      </c>
      <c r="F279" s="5">
        <v>79.7</v>
      </c>
      <c r="G279" s="13">
        <v>269.0</v>
      </c>
      <c r="H279" s="13"/>
      <c r="I279" s="14">
        <v>4.0</v>
      </c>
      <c r="J279" s="13">
        <v>4.0</v>
      </c>
    </row>
    <row r="280">
      <c r="B280" s="5" t="s">
        <v>860</v>
      </c>
      <c r="C280" s="5" t="s">
        <v>1228</v>
      </c>
      <c r="D280" s="5" t="s">
        <v>948</v>
      </c>
      <c r="E280" s="5">
        <v>13.0</v>
      </c>
      <c r="F280" s="5">
        <v>79.6</v>
      </c>
      <c r="G280" s="13">
        <v>270.0</v>
      </c>
      <c r="H280" s="13"/>
      <c r="I280" s="14">
        <v>2.0</v>
      </c>
      <c r="J280" s="13">
        <v>3.0</v>
      </c>
    </row>
    <row r="281">
      <c r="B281" s="5" t="s">
        <v>890</v>
      </c>
      <c r="C281" s="5" t="s">
        <v>1229</v>
      </c>
      <c r="D281" s="5" t="s">
        <v>952</v>
      </c>
      <c r="E281" s="5">
        <v>7.0</v>
      </c>
      <c r="F281" s="5">
        <v>78.2</v>
      </c>
      <c r="G281" s="13">
        <v>272.0</v>
      </c>
      <c r="H281" s="13"/>
      <c r="I281" s="14">
        <v>3.0</v>
      </c>
      <c r="J281" s="13">
        <v>2.0</v>
      </c>
    </row>
    <row r="282">
      <c r="B282" s="5" t="s">
        <v>810</v>
      </c>
      <c r="C282" s="5" t="s">
        <v>1230</v>
      </c>
      <c r="D282" s="5" t="s">
        <v>1009</v>
      </c>
      <c r="E282" s="5">
        <v>11.0</v>
      </c>
      <c r="F282" s="5">
        <v>77.8</v>
      </c>
      <c r="G282" s="13">
        <v>274.0</v>
      </c>
      <c r="H282" s="13"/>
      <c r="I282" s="14">
        <v>3.0</v>
      </c>
      <c r="J282" s="13">
        <v>3.0</v>
      </c>
    </row>
    <row r="283">
      <c r="B283" s="2" t="s">
        <v>817</v>
      </c>
      <c r="C283" s="5" t="s">
        <v>1231</v>
      </c>
      <c r="D283" s="5" t="s">
        <v>965</v>
      </c>
      <c r="E283" s="5">
        <v>9.0</v>
      </c>
      <c r="F283" s="5">
        <v>77.0</v>
      </c>
      <c r="G283" s="13">
        <v>275.0</v>
      </c>
      <c r="H283" s="13"/>
      <c r="I283" s="14">
        <v>3.0</v>
      </c>
      <c r="J283" s="13">
        <v>3.0</v>
      </c>
    </row>
    <row r="284">
      <c r="B284" s="5" t="s">
        <v>871</v>
      </c>
      <c r="C284" s="5" t="s">
        <v>1232</v>
      </c>
      <c r="D284" s="5" t="s">
        <v>1040</v>
      </c>
      <c r="E284" s="5">
        <v>14.0</v>
      </c>
      <c r="F284" s="5">
        <v>76.8</v>
      </c>
      <c r="G284" s="13">
        <v>276.0</v>
      </c>
      <c r="H284" s="13"/>
      <c r="I284" s="14">
        <v>2.0</v>
      </c>
      <c r="J284" s="13">
        <v>3.0</v>
      </c>
    </row>
    <row r="285">
      <c r="B285" s="5" t="s">
        <v>828</v>
      </c>
      <c r="C285" s="5" t="s">
        <v>1233</v>
      </c>
      <c r="D285" s="5" t="s">
        <v>940</v>
      </c>
      <c r="E285" s="5">
        <v>13.0</v>
      </c>
      <c r="F285" s="5">
        <v>75.3</v>
      </c>
      <c r="G285" s="13">
        <v>278.0</v>
      </c>
      <c r="H285" s="13"/>
      <c r="I285" s="14">
        <v>3.0</v>
      </c>
      <c r="J285" s="13">
        <v>3.0</v>
      </c>
    </row>
    <row r="286">
      <c r="B286" s="5" t="s">
        <v>742</v>
      </c>
      <c r="C286" s="5" t="s">
        <v>1234</v>
      </c>
      <c r="D286" s="5" t="s">
        <v>983</v>
      </c>
      <c r="E286" s="5">
        <v>11.0</v>
      </c>
      <c r="F286" s="5">
        <v>75.1</v>
      </c>
      <c r="G286" s="13">
        <v>279.0</v>
      </c>
      <c r="H286" s="13"/>
      <c r="I286" s="14">
        <v>6.0</v>
      </c>
      <c r="J286" s="13">
        <v>2.0</v>
      </c>
    </row>
    <row r="287">
      <c r="B287" s="5" t="s">
        <v>832</v>
      </c>
      <c r="C287" s="5" t="s">
        <v>1235</v>
      </c>
      <c r="D287" s="5" t="s">
        <v>974</v>
      </c>
      <c r="E287" s="5">
        <v>11.0</v>
      </c>
      <c r="F287" s="5">
        <v>73.6</v>
      </c>
      <c r="G287" s="13">
        <v>281.0</v>
      </c>
      <c r="H287" s="13"/>
      <c r="I287" s="14">
        <v>3.0</v>
      </c>
      <c r="J287" s="13">
        <v>3.0</v>
      </c>
    </row>
    <row r="288">
      <c r="B288" s="5" t="s">
        <v>840</v>
      </c>
      <c r="C288" s="5" t="s">
        <v>1236</v>
      </c>
      <c r="D288" s="5" t="s">
        <v>935</v>
      </c>
      <c r="E288" s="5">
        <v>7.0</v>
      </c>
      <c r="F288" s="5">
        <v>72.9</v>
      </c>
      <c r="G288" s="13">
        <v>282.0</v>
      </c>
      <c r="H288" s="13"/>
      <c r="I288" s="15">
        <v>3.0</v>
      </c>
      <c r="J288" s="13">
        <v>3.0</v>
      </c>
    </row>
    <row r="289">
      <c r="B289" s="5" t="s">
        <v>846</v>
      </c>
      <c r="C289" s="5" t="s">
        <v>1237</v>
      </c>
      <c r="D289" s="5" t="s">
        <v>938</v>
      </c>
      <c r="E289" s="5">
        <v>5.0</v>
      </c>
      <c r="F289" s="5">
        <v>72.3</v>
      </c>
      <c r="G289" s="13">
        <v>283.0</v>
      </c>
      <c r="H289" s="13"/>
      <c r="I289" s="15">
        <v>3.0</v>
      </c>
      <c r="J289" s="13">
        <v>3.0</v>
      </c>
    </row>
    <row r="290">
      <c r="B290" s="5" t="s">
        <v>790</v>
      </c>
      <c r="C290" s="5" t="s">
        <v>1238</v>
      </c>
      <c r="D290" s="5" t="s">
        <v>980</v>
      </c>
      <c r="E290" s="5">
        <v>13.0</v>
      </c>
      <c r="F290" s="5">
        <v>71.8</v>
      </c>
      <c r="G290" s="13">
        <v>285.0</v>
      </c>
      <c r="H290" s="13"/>
      <c r="I290" s="14">
        <v>2.0</v>
      </c>
      <c r="J290" s="13">
        <v>4.0</v>
      </c>
    </row>
    <row r="291">
      <c r="B291" s="5" t="s">
        <v>856</v>
      </c>
      <c r="C291" s="5" t="s">
        <v>1239</v>
      </c>
      <c r="D291" s="5" t="s">
        <v>985</v>
      </c>
      <c r="E291" s="5">
        <v>6.0</v>
      </c>
      <c r="F291" s="5">
        <v>70.6</v>
      </c>
      <c r="G291" s="13">
        <v>286.0</v>
      </c>
      <c r="H291" s="13"/>
      <c r="I291" s="15">
        <v>3.0</v>
      </c>
      <c r="J291" s="13">
        <v>3.0</v>
      </c>
    </row>
    <row r="292">
      <c r="B292" s="5" t="s">
        <v>888</v>
      </c>
      <c r="C292" s="5" t="s">
        <v>1240</v>
      </c>
      <c r="D292" s="5" t="s">
        <v>944</v>
      </c>
      <c r="E292" s="5">
        <v>5.0</v>
      </c>
      <c r="F292" s="5">
        <v>70.5</v>
      </c>
      <c r="G292" s="13">
        <v>287.0</v>
      </c>
      <c r="H292" s="13"/>
      <c r="I292" s="14">
        <v>2.0</v>
      </c>
      <c r="J292" s="13">
        <v>3.0</v>
      </c>
    </row>
    <row r="293">
      <c r="B293" s="5" t="s">
        <v>893</v>
      </c>
      <c r="C293" s="5" t="s">
        <v>1241</v>
      </c>
      <c r="D293" s="5" t="s">
        <v>1009</v>
      </c>
      <c r="E293" s="5">
        <v>11.0</v>
      </c>
      <c r="F293" s="5">
        <v>70.4</v>
      </c>
      <c r="G293" s="13">
        <v>288.0</v>
      </c>
      <c r="H293" s="13"/>
      <c r="I293" s="14">
        <v>2.0</v>
      </c>
      <c r="J293" s="13">
        <v>3.0</v>
      </c>
    </row>
    <row r="294">
      <c r="B294" s="5" t="s">
        <v>702</v>
      </c>
      <c r="C294" s="5" t="s">
        <v>1242</v>
      </c>
      <c r="D294" s="5" t="s">
        <v>948</v>
      </c>
      <c r="E294" s="5">
        <v>13.0</v>
      </c>
      <c r="F294" s="5">
        <v>70.3</v>
      </c>
      <c r="G294" s="13">
        <v>289.0</v>
      </c>
      <c r="H294" s="13"/>
      <c r="I294" s="14">
        <v>5.0</v>
      </c>
      <c r="J294" s="13">
        <v>3.0</v>
      </c>
    </row>
    <row r="295">
      <c r="B295" s="5" t="s">
        <v>801</v>
      </c>
      <c r="C295" s="5" t="s">
        <v>1243</v>
      </c>
      <c r="D295" s="5" t="s">
        <v>954</v>
      </c>
      <c r="E295" s="5">
        <v>10.0</v>
      </c>
      <c r="F295" s="5">
        <v>69.6</v>
      </c>
      <c r="G295" s="13">
        <v>290.0</v>
      </c>
      <c r="H295" s="13"/>
      <c r="I295" s="14">
        <v>4.0</v>
      </c>
      <c r="J295" s="13">
        <v>3.0</v>
      </c>
    </row>
    <row r="296">
      <c r="B296" s="5" t="s">
        <v>727</v>
      </c>
      <c r="C296" s="5" t="s">
        <v>1244</v>
      </c>
      <c r="D296" s="5" t="s">
        <v>1040</v>
      </c>
      <c r="E296" s="5">
        <v>14.0</v>
      </c>
      <c r="F296" s="5">
        <v>69.1</v>
      </c>
      <c r="G296" s="13">
        <v>292.0</v>
      </c>
      <c r="H296" s="13"/>
      <c r="I296" s="15">
        <v>3.0</v>
      </c>
      <c r="J296" s="13">
        <v>4.0</v>
      </c>
    </row>
    <row r="297">
      <c r="B297" s="5" t="s">
        <v>754</v>
      </c>
      <c r="C297" s="5" t="s">
        <v>1245</v>
      </c>
      <c r="D297" s="5" t="s">
        <v>935</v>
      </c>
      <c r="E297" s="5">
        <v>7.0</v>
      </c>
      <c r="F297" s="5">
        <v>68.2</v>
      </c>
      <c r="G297" s="13">
        <v>294.0</v>
      </c>
      <c r="H297" s="13"/>
      <c r="I297" s="15">
        <v>3.0</v>
      </c>
      <c r="J297" s="13">
        <v>4.0</v>
      </c>
    </row>
    <row r="298">
      <c r="B298" s="5" t="s">
        <v>908</v>
      </c>
      <c r="C298" s="5" t="s">
        <v>1246</v>
      </c>
      <c r="D298" s="5" t="s">
        <v>1016</v>
      </c>
      <c r="E298" s="5">
        <v>14.0</v>
      </c>
      <c r="F298" s="5">
        <v>67.4</v>
      </c>
      <c r="G298" s="13">
        <v>296.0</v>
      </c>
      <c r="H298" s="13"/>
      <c r="I298" s="15">
        <v>3.0</v>
      </c>
      <c r="J298" s="13">
        <v>2.0</v>
      </c>
    </row>
    <row r="299">
      <c r="B299" s="5" t="s">
        <v>764</v>
      </c>
      <c r="C299" s="5" t="s">
        <v>1247</v>
      </c>
      <c r="D299" s="5" t="s">
        <v>950</v>
      </c>
      <c r="E299" s="5">
        <v>13.0</v>
      </c>
      <c r="F299" s="5">
        <v>66.2</v>
      </c>
      <c r="G299" s="13">
        <v>297.0</v>
      </c>
      <c r="H299" s="13"/>
      <c r="I299" s="15">
        <v>3.0</v>
      </c>
      <c r="J299" s="13">
        <v>4.0</v>
      </c>
    </row>
    <row r="300">
      <c r="B300" s="5" t="s">
        <v>771</v>
      </c>
      <c r="C300" s="5" t="s">
        <v>1248</v>
      </c>
      <c r="D300" s="5" t="s">
        <v>935</v>
      </c>
      <c r="E300" s="5">
        <v>7.0</v>
      </c>
      <c r="F300" s="5">
        <v>65.0</v>
      </c>
      <c r="G300" s="13">
        <v>299.0</v>
      </c>
      <c r="H300" s="13"/>
      <c r="I300" s="15">
        <v>3.0</v>
      </c>
      <c r="J300" s="13">
        <v>4.0</v>
      </c>
    </row>
    <row r="301">
      <c r="B301" s="5" t="s">
        <v>775</v>
      </c>
      <c r="C301" s="5" t="s">
        <v>1249</v>
      </c>
      <c r="D301" s="5" t="s">
        <v>952</v>
      </c>
      <c r="E301" s="5">
        <v>7.0</v>
      </c>
      <c r="F301" s="5">
        <v>64.9</v>
      </c>
      <c r="G301" s="13">
        <v>300.0</v>
      </c>
      <c r="H301" s="13"/>
      <c r="I301" s="15">
        <v>3.0</v>
      </c>
      <c r="J301" s="13">
        <v>4.0</v>
      </c>
    </row>
    <row r="302">
      <c r="G302" s="16"/>
      <c r="H302" s="16"/>
      <c r="I302" s="16"/>
      <c r="J302" s="16"/>
    </row>
    <row r="303">
      <c r="G303" s="16"/>
      <c r="H303" s="16"/>
      <c r="I303" s="16"/>
      <c r="J303" s="16"/>
    </row>
    <row r="304">
      <c r="G304" s="16"/>
      <c r="H304" s="16"/>
      <c r="I304" s="16"/>
      <c r="J304" s="16"/>
    </row>
    <row r="305">
      <c r="G305" s="16"/>
      <c r="H305" s="16"/>
      <c r="I305" s="16"/>
      <c r="J305" s="16"/>
    </row>
    <row r="306">
      <c r="G306" s="16"/>
      <c r="H306" s="16"/>
      <c r="I306" s="16"/>
      <c r="J306" s="16"/>
    </row>
    <row r="307">
      <c r="G307" s="16"/>
      <c r="H307" s="16"/>
      <c r="I307" s="16"/>
      <c r="J307" s="16"/>
    </row>
    <row r="308">
      <c r="G308" s="16"/>
      <c r="H308" s="16"/>
      <c r="I308" s="16"/>
      <c r="J308" s="16"/>
    </row>
    <row r="309">
      <c r="G309" s="16"/>
      <c r="H309" s="16"/>
      <c r="I309" s="16"/>
      <c r="J309" s="16"/>
    </row>
    <row r="310">
      <c r="G310" s="16"/>
      <c r="H310" s="16"/>
      <c r="I310" s="16"/>
      <c r="J310" s="16"/>
    </row>
    <row r="311">
      <c r="G311" s="16"/>
      <c r="H311" s="16"/>
      <c r="I311" s="16"/>
      <c r="J311" s="16"/>
    </row>
    <row r="312">
      <c r="G312" s="16"/>
      <c r="H312" s="16"/>
      <c r="I312" s="16"/>
      <c r="J312" s="16"/>
    </row>
    <row r="313">
      <c r="G313" s="16"/>
      <c r="H313" s="16"/>
      <c r="I313" s="16"/>
      <c r="J313" s="16"/>
    </row>
    <row r="314">
      <c r="G314" s="16"/>
      <c r="H314" s="16"/>
      <c r="I314" s="16"/>
      <c r="J314" s="16"/>
    </row>
    <row r="315">
      <c r="G315" s="16"/>
      <c r="H315" s="16"/>
      <c r="I315" s="16"/>
      <c r="J315" s="16"/>
    </row>
    <row r="316">
      <c r="G316" s="16"/>
      <c r="H316" s="16"/>
      <c r="I316" s="16"/>
      <c r="J316" s="16"/>
    </row>
    <row r="317">
      <c r="G317" s="16"/>
      <c r="H317" s="16"/>
      <c r="I317" s="16"/>
      <c r="J317" s="16"/>
    </row>
    <row r="318">
      <c r="G318" s="16"/>
      <c r="H318" s="16"/>
      <c r="I318" s="16"/>
      <c r="J318" s="16"/>
    </row>
    <row r="319">
      <c r="G319" s="16"/>
      <c r="H319" s="16"/>
      <c r="I319" s="16"/>
      <c r="J319" s="16"/>
    </row>
    <row r="320">
      <c r="G320" s="16"/>
      <c r="H320" s="16"/>
      <c r="I320" s="16"/>
      <c r="J320" s="16"/>
    </row>
    <row r="321">
      <c r="G321" s="16"/>
      <c r="H321" s="16"/>
      <c r="I321" s="16"/>
      <c r="J321" s="16"/>
    </row>
    <row r="322">
      <c r="G322" s="16"/>
      <c r="H322" s="16"/>
      <c r="I322" s="16"/>
      <c r="J322" s="16"/>
    </row>
    <row r="323">
      <c r="G323" s="16"/>
      <c r="H323" s="16"/>
      <c r="I323" s="16"/>
      <c r="J323" s="16"/>
    </row>
    <row r="324">
      <c r="G324" s="16"/>
      <c r="H324" s="16"/>
      <c r="I324" s="16"/>
      <c r="J324" s="16"/>
    </row>
    <row r="325">
      <c r="G325" s="16"/>
      <c r="H325" s="16"/>
      <c r="I325" s="16"/>
      <c r="J325" s="16"/>
    </row>
    <row r="326">
      <c r="G326" s="16"/>
      <c r="H326" s="16"/>
      <c r="I326" s="16"/>
      <c r="J326" s="16"/>
    </row>
    <row r="327">
      <c r="G327" s="16"/>
      <c r="H327" s="16"/>
      <c r="I327" s="16"/>
      <c r="J327" s="16"/>
    </row>
    <row r="328">
      <c r="G328" s="16"/>
      <c r="H328" s="16"/>
      <c r="I328" s="16"/>
      <c r="J328" s="16"/>
    </row>
    <row r="329">
      <c r="G329" s="16"/>
      <c r="H329" s="16"/>
      <c r="I329" s="16"/>
      <c r="J329" s="16"/>
    </row>
    <row r="330">
      <c r="G330" s="16"/>
      <c r="H330" s="16"/>
      <c r="I330" s="16"/>
      <c r="J330" s="16"/>
    </row>
    <row r="331">
      <c r="G331" s="16"/>
      <c r="H331" s="16"/>
      <c r="I331" s="16"/>
      <c r="J331" s="16"/>
    </row>
    <row r="332">
      <c r="G332" s="16"/>
      <c r="H332" s="16"/>
      <c r="I332" s="16"/>
      <c r="J332" s="16"/>
    </row>
    <row r="333">
      <c r="G333" s="16"/>
      <c r="H333" s="16"/>
      <c r="I333" s="16"/>
      <c r="J333" s="16"/>
    </row>
    <row r="334">
      <c r="G334" s="16"/>
      <c r="H334" s="16"/>
      <c r="I334" s="16"/>
      <c r="J334" s="16"/>
    </row>
    <row r="335">
      <c r="G335" s="16"/>
      <c r="H335" s="16"/>
      <c r="I335" s="16"/>
      <c r="J335" s="16"/>
    </row>
    <row r="336">
      <c r="G336" s="16"/>
      <c r="H336" s="16"/>
      <c r="I336" s="16"/>
      <c r="J336" s="16"/>
    </row>
    <row r="337">
      <c r="G337" s="16"/>
      <c r="H337" s="16"/>
      <c r="I337" s="16"/>
      <c r="J337" s="16"/>
    </row>
    <row r="338">
      <c r="G338" s="16"/>
      <c r="H338" s="16"/>
      <c r="I338" s="16"/>
      <c r="J338" s="16"/>
    </row>
    <row r="339">
      <c r="G339" s="16"/>
      <c r="H339" s="16"/>
      <c r="I339" s="16"/>
      <c r="J339" s="16"/>
    </row>
    <row r="340">
      <c r="G340" s="16"/>
      <c r="H340" s="16"/>
      <c r="I340" s="16"/>
      <c r="J340" s="16"/>
    </row>
    <row r="341">
      <c r="G341" s="16"/>
      <c r="H341" s="16"/>
      <c r="I341" s="16"/>
      <c r="J341" s="16"/>
    </row>
    <row r="342">
      <c r="G342" s="16"/>
      <c r="H342" s="16"/>
      <c r="I342" s="16"/>
      <c r="J342" s="16"/>
    </row>
    <row r="343">
      <c r="G343" s="16"/>
      <c r="H343" s="16"/>
      <c r="I343" s="16"/>
      <c r="J343" s="16"/>
    </row>
    <row r="344">
      <c r="G344" s="16"/>
      <c r="H344" s="16"/>
      <c r="I344" s="16"/>
      <c r="J344" s="16"/>
    </row>
    <row r="345">
      <c r="G345" s="16"/>
      <c r="H345" s="16"/>
      <c r="I345" s="16"/>
      <c r="J345" s="16"/>
    </row>
    <row r="346">
      <c r="G346" s="16"/>
      <c r="H346" s="16"/>
      <c r="I346" s="16"/>
      <c r="J346" s="16"/>
    </row>
    <row r="347">
      <c r="G347" s="16"/>
      <c r="H347" s="16"/>
      <c r="I347" s="16"/>
      <c r="J347" s="16"/>
    </row>
    <row r="348">
      <c r="G348" s="16"/>
      <c r="H348" s="16"/>
      <c r="I348" s="16"/>
      <c r="J348" s="16"/>
    </row>
    <row r="349">
      <c r="G349" s="16"/>
      <c r="H349" s="16"/>
      <c r="I349" s="16"/>
      <c r="J349" s="16"/>
    </row>
    <row r="350">
      <c r="G350" s="16"/>
      <c r="H350" s="16"/>
      <c r="I350" s="16"/>
      <c r="J350" s="16"/>
    </row>
    <row r="351">
      <c r="G351" s="16"/>
      <c r="H351" s="16"/>
      <c r="I351" s="16"/>
      <c r="J351" s="16"/>
    </row>
    <row r="352">
      <c r="G352" s="16"/>
      <c r="H352" s="16"/>
      <c r="I352" s="16"/>
      <c r="J352" s="16"/>
    </row>
    <row r="353">
      <c r="G353" s="16"/>
      <c r="H353" s="16"/>
      <c r="I353" s="16"/>
      <c r="J353" s="16"/>
    </row>
    <row r="354">
      <c r="G354" s="16"/>
      <c r="H354" s="16"/>
      <c r="I354" s="16"/>
      <c r="J354" s="16"/>
    </row>
    <row r="355">
      <c r="G355" s="16"/>
      <c r="H355" s="16"/>
      <c r="I355" s="16"/>
      <c r="J355" s="16"/>
    </row>
    <row r="356">
      <c r="G356" s="16"/>
      <c r="H356" s="16"/>
      <c r="I356" s="16"/>
      <c r="J356" s="16"/>
    </row>
    <row r="357">
      <c r="G357" s="16"/>
      <c r="H357" s="16"/>
      <c r="I357" s="16"/>
      <c r="J357" s="16"/>
    </row>
    <row r="358">
      <c r="G358" s="16"/>
      <c r="H358" s="16"/>
      <c r="I358" s="16"/>
      <c r="J358" s="16"/>
    </row>
    <row r="359">
      <c r="G359" s="16"/>
      <c r="H359" s="16"/>
      <c r="I359" s="16"/>
      <c r="J359" s="16"/>
    </row>
    <row r="360">
      <c r="G360" s="16"/>
      <c r="H360" s="16"/>
      <c r="I360" s="16"/>
      <c r="J360" s="16"/>
    </row>
    <row r="361">
      <c r="G361" s="16"/>
      <c r="H361" s="16"/>
      <c r="I361" s="16"/>
      <c r="J361" s="16"/>
    </row>
    <row r="362">
      <c r="G362" s="16"/>
      <c r="H362" s="16"/>
      <c r="I362" s="16"/>
      <c r="J362" s="16"/>
    </row>
    <row r="363">
      <c r="G363" s="16"/>
      <c r="H363" s="16"/>
      <c r="I363" s="16"/>
      <c r="J363" s="16"/>
    </row>
    <row r="364">
      <c r="G364" s="16"/>
      <c r="H364" s="16"/>
      <c r="I364" s="16"/>
      <c r="J364" s="16"/>
    </row>
    <row r="365">
      <c r="G365" s="16"/>
      <c r="H365" s="16"/>
      <c r="I365" s="16"/>
      <c r="J365" s="16"/>
    </row>
    <row r="366">
      <c r="G366" s="16"/>
      <c r="H366" s="16"/>
      <c r="I366" s="16"/>
      <c r="J366" s="16"/>
    </row>
    <row r="367">
      <c r="G367" s="16"/>
      <c r="H367" s="16"/>
      <c r="I367" s="16"/>
      <c r="J367" s="16"/>
    </row>
    <row r="368">
      <c r="G368" s="16"/>
      <c r="H368" s="16"/>
      <c r="I368" s="16"/>
      <c r="J368" s="16"/>
    </row>
    <row r="369">
      <c r="G369" s="16"/>
      <c r="H369" s="16"/>
      <c r="I369" s="16"/>
      <c r="J369" s="16"/>
    </row>
    <row r="370">
      <c r="G370" s="16"/>
      <c r="H370" s="16"/>
      <c r="I370" s="16"/>
      <c r="J370" s="16"/>
    </row>
    <row r="371">
      <c r="G371" s="16"/>
      <c r="H371" s="16"/>
      <c r="I371" s="16"/>
      <c r="J371" s="16"/>
    </row>
    <row r="372">
      <c r="G372" s="16"/>
      <c r="H372" s="16"/>
      <c r="I372" s="16"/>
      <c r="J372" s="16"/>
    </row>
    <row r="373">
      <c r="G373" s="16"/>
      <c r="H373" s="16"/>
      <c r="I373" s="16"/>
      <c r="J373" s="16"/>
    </row>
    <row r="374">
      <c r="G374" s="16"/>
      <c r="H374" s="16"/>
      <c r="I374" s="16"/>
      <c r="J374" s="16"/>
    </row>
    <row r="375">
      <c r="G375" s="16"/>
      <c r="H375" s="16"/>
      <c r="I375" s="16"/>
      <c r="J375" s="16"/>
    </row>
    <row r="376">
      <c r="G376" s="16"/>
      <c r="H376" s="16"/>
      <c r="I376" s="16"/>
      <c r="J376" s="16"/>
    </row>
    <row r="377">
      <c r="G377" s="16"/>
      <c r="H377" s="16"/>
      <c r="I377" s="16"/>
      <c r="J377" s="16"/>
    </row>
    <row r="378">
      <c r="G378" s="16"/>
      <c r="H378" s="16"/>
      <c r="I378" s="16"/>
      <c r="J378" s="16"/>
    </row>
    <row r="379">
      <c r="G379" s="16"/>
      <c r="H379" s="16"/>
      <c r="I379" s="16"/>
      <c r="J379" s="16"/>
    </row>
    <row r="380">
      <c r="G380" s="16"/>
      <c r="H380" s="16"/>
      <c r="I380" s="16"/>
      <c r="J380" s="16"/>
    </row>
    <row r="381">
      <c r="G381" s="16"/>
      <c r="H381" s="16"/>
      <c r="I381" s="16"/>
      <c r="J381" s="16"/>
    </row>
    <row r="382">
      <c r="G382" s="16"/>
      <c r="H382" s="16"/>
      <c r="I382" s="16"/>
      <c r="J382" s="16"/>
    </row>
    <row r="383">
      <c r="G383" s="16"/>
      <c r="H383" s="16"/>
      <c r="I383" s="16"/>
      <c r="J383" s="16"/>
    </row>
    <row r="384">
      <c r="G384" s="16"/>
      <c r="H384" s="16"/>
      <c r="I384" s="16"/>
      <c r="J384" s="16"/>
    </row>
    <row r="385">
      <c r="G385" s="16"/>
      <c r="H385" s="16"/>
      <c r="I385" s="16"/>
      <c r="J385" s="16"/>
    </row>
    <row r="386">
      <c r="G386" s="16"/>
      <c r="H386" s="16"/>
      <c r="I386" s="16"/>
      <c r="J386" s="16"/>
    </row>
    <row r="387">
      <c r="G387" s="16"/>
      <c r="H387" s="16"/>
      <c r="I387" s="16"/>
      <c r="J387" s="16"/>
    </row>
    <row r="388">
      <c r="G388" s="16"/>
      <c r="H388" s="16"/>
      <c r="I388" s="16"/>
      <c r="J388" s="16"/>
    </row>
    <row r="389">
      <c r="G389" s="16"/>
      <c r="H389" s="16"/>
      <c r="I389" s="16"/>
      <c r="J389" s="16"/>
    </row>
    <row r="390">
      <c r="G390" s="16"/>
      <c r="H390" s="16"/>
      <c r="I390" s="16"/>
      <c r="J390" s="16"/>
    </row>
    <row r="391">
      <c r="G391" s="16"/>
      <c r="H391" s="16"/>
      <c r="I391" s="16"/>
      <c r="J391" s="16"/>
    </row>
    <row r="392">
      <c r="G392" s="16"/>
      <c r="H392" s="16"/>
      <c r="I392" s="16"/>
      <c r="J392" s="16"/>
    </row>
    <row r="393">
      <c r="G393" s="16"/>
      <c r="H393" s="16"/>
      <c r="I393" s="16"/>
      <c r="J393" s="16"/>
    </row>
    <row r="394">
      <c r="G394" s="16"/>
      <c r="H394" s="16"/>
      <c r="I394" s="16"/>
      <c r="J394" s="16"/>
    </row>
    <row r="395">
      <c r="G395" s="16"/>
      <c r="H395" s="16"/>
      <c r="I395" s="16"/>
      <c r="J395" s="16"/>
    </row>
    <row r="396">
      <c r="G396" s="16"/>
      <c r="H396" s="16"/>
      <c r="I396" s="16"/>
      <c r="J396" s="16"/>
    </row>
    <row r="397">
      <c r="G397" s="16"/>
      <c r="H397" s="16"/>
      <c r="I397" s="16"/>
      <c r="J397" s="16"/>
    </row>
    <row r="398">
      <c r="G398" s="16"/>
      <c r="H398" s="16"/>
      <c r="I398" s="16"/>
      <c r="J398" s="16"/>
    </row>
    <row r="399">
      <c r="G399" s="16"/>
      <c r="H399" s="16"/>
      <c r="I399" s="16"/>
      <c r="J399" s="16"/>
    </row>
    <row r="400">
      <c r="G400" s="16"/>
      <c r="H400" s="16"/>
      <c r="I400" s="16"/>
      <c r="J400" s="16"/>
    </row>
    <row r="401">
      <c r="G401" s="16"/>
      <c r="H401" s="16"/>
      <c r="I401" s="16"/>
      <c r="J401" s="16"/>
    </row>
    <row r="402">
      <c r="G402" s="16"/>
      <c r="H402" s="16"/>
      <c r="I402" s="16"/>
      <c r="J402" s="16"/>
    </row>
    <row r="403">
      <c r="G403" s="16"/>
      <c r="H403" s="16"/>
      <c r="I403" s="16"/>
      <c r="J403" s="16"/>
    </row>
    <row r="404">
      <c r="G404" s="16"/>
      <c r="H404" s="16"/>
      <c r="I404" s="16"/>
      <c r="J404" s="16"/>
    </row>
    <row r="405">
      <c r="G405" s="16"/>
      <c r="H405" s="16"/>
      <c r="I405" s="16"/>
      <c r="J405" s="16"/>
    </row>
    <row r="406">
      <c r="G406" s="16"/>
      <c r="H406" s="16"/>
      <c r="I406" s="16"/>
      <c r="J406" s="16"/>
    </row>
    <row r="407">
      <c r="G407" s="16"/>
      <c r="H407" s="16"/>
      <c r="I407" s="16"/>
      <c r="J407" s="16"/>
    </row>
    <row r="408">
      <c r="G408" s="16"/>
      <c r="H408" s="16"/>
      <c r="I408" s="16"/>
      <c r="J408" s="16"/>
    </row>
    <row r="409">
      <c r="G409" s="16"/>
      <c r="H409" s="16"/>
      <c r="I409" s="16"/>
      <c r="J409" s="16"/>
    </row>
    <row r="410">
      <c r="G410" s="16"/>
      <c r="H410" s="16"/>
      <c r="I410" s="16"/>
      <c r="J410" s="16"/>
    </row>
    <row r="411">
      <c r="G411" s="16"/>
      <c r="H411" s="16"/>
      <c r="I411" s="16"/>
      <c r="J411" s="16"/>
    </row>
    <row r="412">
      <c r="G412" s="16"/>
      <c r="H412" s="16"/>
      <c r="I412" s="16"/>
      <c r="J412" s="16"/>
    </row>
    <row r="413">
      <c r="G413" s="16"/>
      <c r="H413" s="16"/>
      <c r="I413" s="16"/>
      <c r="J413" s="16"/>
    </row>
    <row r="414">
      <c r="G414" s="16"/>
      <c r="H414" s="16"/>
      <c r="I414" s="16"/>
      <c r="J414" s="16"/>
    </row>
    <row r="415">
      <c r="G415" s="16"/>
      <c r="H415" s="16"/>
      <c r="I415" s="16"/>
      <c r="J415" s="16"/>
    </row>
    <row r="416">
      <c r="G416" s="16"/>
      <c r="H416" s="16"/>
      <c r="I416" s="16"/>
      <c r="J416" s="16"/>
    </row>
    <row r="417">
      <c r="G417" s="16"/>
      <c r="H417" s="16"/>
      <c r="I417" s="16"/>
      <c r="J417" s="16"/>
    </row>
    <row r="418">
      <c r="G418" s="16"/>
      <c r="H418" s="16"/>
      <c r="I418" s="16"/>
      <c r="J418" s="16"/>
    </row>
    <row r="419">
      <c r="G419" s="16"/>
      <c r="H419" s="16"/>
      <c r="I419" s="16"/>
      <c r="J419" s="16"/>
    </row>
    <row r="420">
      <c r="G420" s="16"/>
      <c r="H420" s="16"/>
      <c r="I420" s="16"/>
      <c r="J420" s="16"/>
    </row>
    <row r="421">
      <c r="G421" s="16"/>
      <c r="H421" s="16"/>
      <c r="I421" s="16"/>
      <c r="J421" s="16"/>
    </row>
    <row r="422">
      <c r="G422" s="16"/>
      <c r="H422" s="16"/>
      <c r="I422" s="16"/>
      <c r="J422" s="16"/>
    </row>
    <row r="423">
      <c r="G423" s="16"/>
      <c r="H423" s="16"/>
      <c r="I423" s="16"/>
      <c r="J423" s="16"/>
    </row>
    <row r="424">
      <c r="G424" s="16"/>
      <c r="H424" s="16"/>
      <c r="I424" s="16"/>
      <c r="J424" s="16"/>
    </row>
    <row r="425">
      <c r="G425" s="16"/>
      <c r="H425" s="16"/>
      <c r="I425" s="16"/>
      <c r="J425" s="16"/>
    </row>
    <row r="426">
      <c r="G426" s="16"/>
      <c r="H426" s="16"/>
      <c r="I426" s="16"/>
      <c r="J426" s="16"/>
    </row>
    <row r="427">
      <c r="G427" s="16"/>
      <c r="H427" s="16"/>
      <c r="I427" s="16"/>
      <c r="J427" s="16"/>
    </row>
    <row r="428">
      <c r="G428" s="16"/>
      <c r="H428" s="16"/>
      <c r="I428" s="16"/>
      <c r="J428" s="16"/>
    </row>
    <row r="429">
      <c r="G429" s="16"/>
      <c r="H429" s="16"/>
      <c r="I429" s="16"/>
      <c r="J429" s="16"/>
    </row>
    <row r="430">
      <c r="G430" s="16"/>
      <c r="H430" s="16"/>
      <c r="I430" s="16"/>
      <c r="J430" s="16"/>
    </row>
    <row r="431">
      <c r="G431" s="16"/>
      <c r="H431" s="16"/>
      <c r="I431" s="16"/>
      <c r="J431" s="16"/>
    </row>
    <row r="432">
      <c r="G432" s="16"/>
      <c r="H432" s="16"/>
      <c r="I432" s="16"/>
      <c r="J432" s="16"/>
    </row>
    <row r="433">
      <c r="G433" s="16"/>
      <c r="H433" s="16"/>
      <c r="I433" s="16"/>
      <c r="J433" s="16"/>
    </row>
    <row r="434">
      <c r="G434" s="16"/>
      <c r="H434" s="16"/>
      <c r="I434" s="16"/>
      <c r="J434" s="16"/>
    </row>
    <row r="435">
      <c r="G435" s="16"/>
      <c r="H435" s="16"/>
      <c r="I435" s="16"/>
      <c r="J435" s="16"/>
    </row>
    <row r="436">
      <c r="G436" s="16"/>
      <c r="H436" s="16"/>
      <c r="I436" s="16"/>
      <c r="J436" s="16"/>
    </row>
    <row r="437">
      <c r="G437" s="16"/>
      <c r="H437" s="16"/>
      <c r="I437" s="16"/>
      <c r="J437" s="16"/>
    </row>
    <row r="438">
      <c r="G438" s="16"/>
      <c r="H438" s="16"/>
      <c r="I438" s="16"/>
      <c r="J438" s="16"/>
    </row>
    <row r="439">
      <c r="G439" s="16"/>
      <c r="H439" s="16"/>
      <c r="I439" s="16"/>
      <c r="J439" s="16"/>
    </row>
    <row r="440">
      <c r="G440" s="16"/>
      <c r="H440" s="16"/>
      <c r="I440" s="16"/>
      <c r="J440" s="16"/>
    </row>
    <row r="441">
      <c r="G441" s="16"/>
      <c r="H441" s="16"/>
      <c r="I441" s="16"/>
      <c r="J441" s="16"/>
    </row>
    <row r="442">
      <c r="G442" s="16"/>
      <c r="H442" s="16"/>
      <c r="I442" s="16"/>
      <c r="J442" s="16"/>
    </row>
    <row r="443">
      <c r="G443" s="16"/>
      <c r="H443" s="16"/>
      <c r="I443" s="16"/>
      <c r="J443" s="16"/>
    </row>
    <row r="444">
      <c r="G444" s="16"/>
      <c r="H444" s="16"/>
      <c r="I444" s="16"/>
      <c r="J444" s="16"/>
    </row>
    <row r="445">
      <c r="G445" s="16"/>
      <c r="H445" s="16"/>
      <c r="I445" s="16"/>
      <c r="J445" s="16"/>
    </row>
    <row r="446">
      <c r="G446" s="16"/>
      <c r="H446" s="16"/>
      <c r="I446" s="16"/>
      <c r="J446" s="16"/>
    </row>
    <row r="447">
      <c r="G447" s="16"/>
      <c r="H447" s="16"/>
      <c r="I447" s="16"/>
      <c r="J447" s="16"/>
    </row>
    <row r="448">
      <c r="G448" s="16"/>
      <c r="H448" s="16"/>
      <c r="I448" s="16"/>
      <c r="J448" s="16"/>
    </row>
    <row r="449">
      <c r="G449" s="16"/>
      <c r="H449" s="16"/>
      <c r="I449" s="16"/>
      <c r="J449" s="16"/>
    </row>
    <row r="450">
      <c r="G450" s="16"/>
      <c r="H450" s="16"/>
      <c r="I450" s="16"/>
      <c r="J450" s="16"/>
    </row>
    <row r="451">
      <c r="G451" s="16"/>
      <c r="H451" s="16"/>
      <c r="I451" s="16"/>
      <c r="J451" s="16"/>
    </row>
    <row r="452">
      <c r="G452" s="16"/>
      <c r="H452" s="16"/>
      <c r="I452" s="16"/>
      <c r="J452" s="16"/>
    </row>
    <row r="453">
      <c r="G453" s="16"/>
      <c r="H453" s="16"/>
      <c r="I453" s="16"/>
      <c r="J453" s="16"/>
    </row>
    <row r="454">
      <c r="G454" s="16"/>
      <c r="H454" s="16"/>
      <c r="I454" s="16"/>
      <c r="J454" s="16"/>
    </row>
    <row r="455">
      <c r="G455" s="16"/>
      <c r="H455" s="16"/>
      <c r="I455" s="16"/>
      <c r="J455" s="16"/>
    </row>
    <row r="456">
      <c r="G456" s="16"/>
      <c r="H456" s="16"/>
      <c r="I456" s="16"/>
      <c r="J456" s="16"/>
    </row>
    <row r="457">
      <c r="G457" s="16"/>
      <c r="H457" s="16"/>
      <c r="I457" s="16"/>
      <c r="J457" s="16"/>
    </row>
    <row r="458">
      <c r="G458" s="16"/>
      <c r="H458" s="16"/>
      <c r="I458" s="16"/>
      <c r="J458" s="16"/>
    </row>
    <row r="459">
      <c r="G459" s="16"/>
      <c r="H459" s="16"/>
      <c r="I459" s="16"/>
      <c r="J459" s="16"/>
    </row>
    <row r="460">
      <c r="G460" s="16"/>
      <c r="H460" s="16"/>
      <c r="I460" s="16"/>
      <c r="J460" s="16"/>
    </row>
    <row r="461">
      <c r="G461" s="16"/>
      <c r="H461" s="16"/>
      <c r="I461" s="16"/>
      <c r="J461" s="16"/>
    </row>
    <row r="462">
      <c r="G462" s="16"/>
      <c r="H462" s="16"/>
      <c r="I462" s="16"/>
      <c r="J462" s="16"/>
    </row>
    <row r="463">
      <c r="G463" s="16"/>
      <c r="H463" s="16"/>
      <c r="I463" s="16"/>
      <c r="J463" s="16"/>
    </row>
    <row r="464">
      <c r="G464" s="16"/>
      <c r="H464" s="16"/>
      <c r="I464" s="16"/>
      <c r="J464" s="16"/>
    </row>
    <row r="465">
      <c r="G465" s="16"/>
      <c r="H465" s="16"/>
      <c r="I465" s="16"/>
      <c r="J465" s="16"/>
    </row>
    <row r="466">
      <c r="G466" s="16"/>
      <c r="H466" s="16"/>
      <c r="I466" s="16"/>
      <c r="J466" s="16"/>
    </row>
    <row r="467">
      <c r="G467" s="16"/>
      <c r="H467" s="16"/>
      <c r="I467" s="16"/>
      <c r="J467" s="16"/>
    </row>
    <row r="468">
      <c r="G468" s="16"/>
      <c r="H468" s="16"/>
      <c r="I468" s="16"/>
      <c r="J468" s="16"/>
    </row>
    <row r="469">
      <c r="G469" s="16"/>
      <c r="H469" s="16"/>
      <c r="I469" s="16"/>
      <c r="J469" s="16"/>
    </row>
    <row r="470">
      <c r="G470" s="16"/>
      <c r="H470" s="16"/>
      <c r="I470" s="16"/>
      <c r="J470" s="16"/>
    </row>
    <row r="471">
      <c r="G471" s="16"/>
      <c r="H471" s="16"/>
      <c r="I471" s="16"/>
      <c r="J471" s="16"/>
    </row>
    <row r="472">
      <c r="G472" s="16"/>
      <c r="H472" s="16"/>
      <c r="I472" s="16"/>
      <c r="J472" s="16"/>
    </row>
    <row r="473">
      <c r="G473" s="16"/>
      <c r="H473" s="16"/>
      <c r="I473" s="16"/>
      <c r="J473" s="16"/>
    </row>
    <row r="474">
      <c r="G474" s="16"/>
      <c r="H474" s="16"/>
      <c r="I474" s="16"/>
      <c r="J474" s="16"/>
    </row>
    <row r="475">
      <c r="G475" s="16"/>
      <c r="H475" s="16"/>
      <c r="I475" s="16"/>
      <c r="J475" s="16"/>
    </row>
    <row r="476">
      <c r="G476" s="16"/>
      <c r="H476" s="16"/>
      <c r="I476" s="16"/>
      <c r="J476" s="16"/>
    </row>
    <row r="477">
      <c r="G477" s="16"/>
      <c r="H477" s="16"/>
      <c r="I477" s="16"/>
      <c r="J477" s="16"/>
    </row>
    <row r="478">
      <c r="G478" s="16"/>
      <c r="H478" s="16"/>
      <c r="I478" s="16"/>
      <c r="J478" s="16"/>
    </row>
    <row r="479">
      <c r="G479" s="16"/>
      <c r="H479" s="16"/>
      <c r="I479" s="16"/>
      <c r="J479" s="16"/>
    </row>
    <row r="480">
      <c r="G480" s="16"/>
      <c r="H480" s="16"/>
      <c r="I480" s="16"/>
      <c r="J480" s="16"/>
    </row>
    <row r="481">
      <c r="G481" s="16"/>
      <c r="H481" s="16"/>
      <c r="I481" s="16"/>
      <c r="J481" s="16"/>
    </row>
    <row r="482">
      <c r="G482" s="16"/>
      <c r="H482" s="16"/>
      <c r="I482" s="16"/>
      <c r="J482" s="16"/>
    </row>
    <row r="483">
      <c r="G483" s="16"/>
      <c r="H483" s="16"/>
      <c r="I483" s="16"/>
      <c r="J483" s="16"/>
    </row>
    <row r="484">
      <c r="G484" s="16"/>
      <c r="H484" s="16"/>
      <c r="I484" s="16"/>
      <c r="J484" s="16"/>
    </row>
    <row r="485">
      <c r="G485" s="16"/>
      <c r="H485" s="16"/>
      <c r="I485" s="16"/>
      <c r="J485" s="16"/>
    </row>
    <row r="486">
      <c r="G486" s="16"/>
      <c r="H486" s="16"/>
      <c r="I486" s="16"/>
      <c r="J486" s="16"/>
    </row>
    <row r="487">
      <c r="G487" s="16"/>
      <c r="H487" s="16"/>
      <c r="I487" s="16"/>
      <c r="J487" s="16"/>
    </row>
    <row r="488">
      <c r="G488" s="16"/>
      <c r="H488" s="16"/>
      <c r="I488" s="16"/>
      <c r="J488" s="16"/>
    </row>
    <row r="489">
      <c r="G489" s="16"/>
      <c r="H489" s="16"/>
      <c r="I489" s="16"/>
      <c r="J489" s="16"/>
    </row>
    <row r="490">
      <c r="G490" s="16"/>
      <c r="H490" s="16"/>
      <c r="I490" s="16"/>
      <c r="J490" s="16"/>
    </row>
    <row r="491">
      <c r="G491" s="16"/>
      <c r="H491" s="16"/>
      <c r="I491" s="16"/>
      <c r="J491" s="16"/>
    </row>
    <row r="492">
      <c r="G492" s="16"/>
      <c r="H492" s="16"/>
      <c r="I492" s="16"/>
      <c r="J492" s="16"/>
    </row>
    <row r="493">
      <c r="G493" s="16"/>
      <c r="H493" s="16"/>
      <c r="I493" s="16"/>
      <c r="J493" s="16"/>
    </row>
    <row r="494">
      <c r="G494" s="16"/>
      <c r="H494" s="16"/>
      <c r="I494" s="16"/>
      <c r="J494" s="16"/>
    </row>
    <row r="495">
      <c r="G495" s="16"/>
      <c r="H495" s="16"/>
      <c r="I495" s="16"/>
      <c r="J495" s="16"/>
    </row>
    <row r="496">
      <c r="G496" s="16"/>
      <c r="H496" s="16"/>
      <c r="I496" s="16"/>
      <c r="J496" s="16"/>
    </row>
    <row r="497">
      <c r="G497" s="16"/>
      <c r="H497" s="16"/>
      <c r="I497" s="16"/>
      <c r="J497" s="16"/>
    </row>
    <row r="498">
      <c r="G498" s="16"/>
      <c r="H498" s="16"/>
      <c r="I498" s="16"/>
      <c r="J498" s="16"/>
    </row>
    <row r="499">
      <c r="G499" s="16"/>
      <c r="H499" s="16"/>
      <c r="I499" s="16"/>
      <c r="J499" s="16"/>
    </row>
    <row r="500">
      <c r="G500" s="16"/>
      <c r="H500" s="16"/>
      <c r="I500" s="16"/>
      <c r="J500" s="16"/>
    </row>
    <row r="501">
      <c r="G501" s="16"/>
      <c r="H501" s="16"/>
      <c r="I501" s="16"/>
      <c r="J501" s="16"/>
    </row>
    <row r="502">
      <c r="G502" s="16"/>
      <c r="H502" s="16"/>
      <c r="I502" s="16"/>
      <c r="J502" s="16"/>
    </row>
    <row r="503">
      <c r="G503" s="16"/>
      <c r="H503" s="16"/>
      <c r="I503" s="16"/>
      <c r="J503" s="16"/>
    </row>
    <row r="504">
      <c r="G504" s="16"/>
      <c r="H504" s="16"/>
      <c r="I504" s="16"/>
      <c r="J504" s="16"/>
    </row>
    <row r="505">
      <c r="G505" s="16"/>
      <c r="H505" s="16"/>
      <c r="I505" s="16"/>
      <c r="J505" s="16"/>
    </row>
    <row r="506">
      <c r="G506" s="16"/>
      <c r="H506" s="16"/>
      <c r="I506" s="16"/>
      <c r="J506" s="16"/>
    </row>
    <row r="507">
      <c r="G507" s="16"/>
      <c r="H507" s="16"/>
      <c r="I507" s="16"/>
      <c r="J507" s="16"/>
    </row>
    <row r="508">
      <c r="G508" s="16"/>
      <c r="H508" s="16"/>
      <c r="I508" s="16"/>
      <c r="J508" s="16"/>
    </row>
    <row r="509">
      <c r="G509" s="16"/>
      <c r="H509" s="16"/>
      <c r="I509" s="16"/>
      <c r="J509" s="16"/>
    </row>
    <row r="510">
      <c r="G510" s="16"/>
      <c r="H510" s="16"/>
      <c r="I510" s="16"/>
      <c r="J510" s="16"/>
    </row>
    <row r="511">
      <c r="G511" s="16"/>
      <c r="H511" s="16"/>
      <c r="I511" s="16"/>
      <c r="J511" s="16"/>
    </row>
    <row r="512">
      <c r="G512" s="16"/>
      <c r="H512" s="16"/>
      <c r="I512" s="16"/>
      <c r="J512" s="16"/>
    </row>
    <row r="513">
      <c r="G513" s="16"/>
      <c r="H513" s="16"/>
      <c r="I513" s="16"/>
      <c r="J513" s="16"/>
    </row>
    <row r="514">
      <c r="G514" s="16"/>
      <c r="H514" s="16"/>
      <c r="I514" s="16"/>
      <c r="J514" s="16"/>
    </row>
    <row r="515">
      <c r="G515" s="16"/>
      <c r="H515" s="16"/>
      <c r="I515" s="16"/>
      <c r="J515" s="16"/>
    </row>
    <row r="516">
      <c r="G516" s="16"/>
      <c r="H516" s="16"/>
      <c r="I516" s="16"/>
      <c r="J516" s="16"/>
    </row>
    <row r="517">
      <c r="G517" s="16"/>
      <c r="H517" s="16"/>
      <c r="I517" s="16"/>
      <c r="J517" s="16"/>
    </row>
    <row r="518">
      <c r="G518" s="16"/>
      <c r="H518" s="16"/>
      <c r="I518" s="16"/>
      <c r="J518" s="16"/>
    </row>
    <row r="519">
      <c r="G519" s="16"/>
      <c r="H519" s="16"/>
      <c r="I519" s="16"/>
      <c r="J519" s="16"/>
    </row>
    <row r="520">
      <c r="G520" s="16"/>
      <c r="H520" s="16"/>
      <c r="I520" s="16"/>
      <c r="J520" s="16"/>
    </row>
    <row r="521">
      <c r="G521" s="16"/>
      <c r="H521" s="16"/>
      <c r="I521" s="16"/>
      <c r="J521" s="16"/>
    </row>
    <row r="522">
      <c r="G522" s="16"/>
      <c r="H522" s="16"/>
      <c r="I522" s="16"/>
      <c r="J522" s="16"/>
    </row>
    <row r="523">
      <c r="G523" s="16"/>
      <c r="H523" s="16"/>
      <c r="I523" s="16"/>
      <c r="J523" s="16"/>
    </row>
    <row r="524">
      <c r="G524" s="16"/>
      <c r="H524" s="16"/>
      <c r="I524" s="16"/>
      <c r="J524" s="16"/>
    </row>
    <row r="525">
      <c r="G525" s="16"/>
      <c r="H525" s="16"/>
      <c r="I525" s="16"/>
      <c r="J525" s="16"/>
    </row>
    <row r="526">
      <c r="G526" s="16"/>
      <c r="H526" s="16"/>
      <c r="I526" s="16"/>
      <c r="J526" s="16"/>
    </row>
    <row r="527">
      <c r="G527" s="16"/>
      <c r="H527" s="16"/>
      <c r="I527" s="16"/>
      <c r="J527" s="16"/>
    </row>
    <row r="528">
      <c r="G528" s="16"/>
      <c r="H528" s="16"/>
      <c r="I528" s="16"/>
      <c r="J528" s="16"/>
    </row>
    <row r="529">
      <c r="G529" s="16"/>
      <c r="H529" s="16"/>
      <c r="I529" s="16"/>
      <c r="J529" s="16"/>
    </row>
    <row r="530">
      <c r="G530" s="16"/>
      <c r="H530" s="16"/>
      <c r="I530" s="16"/>
      <c r="J530" s="16"/>
    </row>
    <row r="531">
      <c r="G531" s="16"/>
      <c r="H531" s="16"/>
      <c r="I531" s="16"/>
      <c r="J531" s="16"/>
    </row>
    <row r="532">
      <c r="G532" s="16"/>
      <c r="H532" s="16"/>
      <c r="I532" s="16"/>
      <c r="J532" s="16"/>
    </row>
    <row r="533">
      <c r="G533" s="16"/>
      <c r="H533" s="16"/>
      <c r="I533" s="16"/>
      <c r="J533" s="16"/>
    </row>
    <row r="534">
      <c r="G534" s="16"/>
      <c r="H534" s="16"/>
      <c r="I534" s="16"/>
      <c r="J534" s="16"/>
    </row>
    <row r="535">
      <c r="G535" s="16"/>
      <c r="H535" s="16"/>
      <c r="I535" s="16"/>
      <c r="J535" s="16"/>
    </row>
    <row r="536">
      <c r="G536" s="16"/>
      <c r="H536" s="16"/>
      <c r="I536" s="16"/>
      <c r="J536" s="16"/>
    </row>
    <row r="537">
      <c r="G537" s="16"/>
      <c r="H537" s="16"/>
      <c r="I537" s="16"/>
      <c r="J537" s="16"/>
    </row>
    <row r="538">
      <c r="G538" s="16"/>
      <c r="H538" s="16"/>
      <c r="I538" s="16"/>
      <c r="J538" s="16"/>
    </row>
    <row r="539">
      <c r="G539" s="16"/>
      <c r="H539" s="16"/>
      <c r="I539" s="16"/>
      <c r="J539" s="16"/>
    </row>
    <row r="540">
      <c r="G540" s="16"/>
      <c r="H540" s="16"/>
      <c r="I540" s="16"/>
      <c r="J540" s="16"/>
    </row>
    <row r="541">
      <c r="G541" s="16"/>
      <c r="H541" s="16"/>
      <c r="I541" s="16"/>
      <c r="J541" s="16"/>
    </row>
    <row r="542">
      <c r="G542" s="16"/>
      <c r="H542" s="16"/>
      <c r="I542" s="16"/>
      <c r="J542" s="16"/>
    </row>
    <row r="543">
      <c r="G543" s="16"/>
      <c r="H543" s="16"/>
      <c r="I543" s="16"/>
      <c r="J543" s="16"/>
    </row>
    <row r="544">
      <c r="G544" s="16"/>
      <c r="H544" s="16"/>
      <c r="I544" s="16"/>
      <c r="J544" s="16"/>
    </row>
    <row r="545">
      <c r="G545" s="16"/>
      <c r="H545" s="16"/>
      <c r="I545" s="16"/>
      <c r="J545" s="16"/>
    </row>
    <row r="546">
      <c r="G546" s="16"/>
      <c r="H546" s="16"/>
      <c r="I546" s="16"/>
      <c r="J546" s="16"/>
    </row>
    <row r="547">
      <c r="G547" s="16"/>
      <c r="H547" s="16"/>
      <c r="I547" s="16"/>
      <c r="J547" s="16"/>
    </row>
    <row r="548">
      <c r="G548" s="16"/>
      <c r="H548" s="16"/>
      <c r="I548" s="16"/>
      <c r="J548" s="16"/>
    </row>
    <row r="549">
      <c r="G549" s="16"/>
      <c r="H549" s="16"/>
      <c r="I549" s="16"/>
      <c r="J549" s="16"/>
    </row>
    <row r="550">
      <c r="G550" s="16"/>
      <c r="H550" s="16"/>
      <c r="I550" s="16"/>
      <c r="J550" s="16"/>
    </row>
    <row r="551">
      <c r="G551" s="16"/>
      <c r="H551" s="16"/>
      <c r="I551" s="16"/>
      <c r="J551" s="16"/>
    </row>
    <row r="552">
      <c r="G552" s="16"/>
      <c r="H552" s="16"/>
      <c r="I552" s="16"/>
      <c r="J552" s="16"/>
    </row>
    <row r="553">
      <c r="G553" s="16"/>
      <c r="H553" s="16"/>
      <c r="I553" s="16"/>
      <c r="J553" s="16"/>
    </row>
    <row r="554">
      <c r="G554" s="16"/>
      <c r="H554" s="16"/>
      <c r="I554" s="16"/>
      <c r="J554" s="16"/>
    </row>
    <row r="555">
      <c r="G555" s="16"/>
      <c r="H555" s="16"/>
      <c r="I555" s="16"/>
      <c r="J555" s="16"/>
    </row>
    <row r="556">
      <c r="G556" s="16"/>
      <c r="H556" s="16"/>
      <c r="I556" s="16"/>
      <c r="J556" s="16"/>
    </row>
    <row r="557">
      <c r="G557" s="16"/>
      <c r="H557" s="16"/>
      <c r="I557" s="16"/>
      <c r="J557" s="16"/>
    </row>
    <row r="558">
      <c r="G558" s="16"/>
      <c r="H558" s="16"/>
      <c r="I558" s="16"/>
      <c r="J558" s="16"/>
    </row>
    <row r="559">
      <c r="G559" s="16"/>
      <c r="H559" s="16"/>
      <c r="I559" s="16"/>
      <c r="J559" s="16"/>
    </row>
    <row r="560">
      <c r="G560" s="16"/>
      <c r="H560" s="16"/>
      <c r="I560" s="16"/>
      <c r="J560" s="16"/>
    </row>
    <row r="561">
      <c r="G561" s="16"/>
      <c r="H561" s="16"/>
      <c r="I561" s="16"/>
      <c r="J561" s="16"/>
    </row>
    <row r="562">
      <c r="G562" s="16"/>
      <c r="H562" s="16"/>
      <c r="I562" s="16"/>
      <c r="J562" s="16"/>
    </row>
    <row r="563">
      <c r="G563" s="16"/>
      <c r="H563" s="16"/>
      <c r="I563" s="16"/>
      <c r="J563" s="16"/>
    </row>
    <row r="564">
      <c r="G564" s="16"/>
      <c r="H564" s="16"/>
      <c r="I564" s="16"/>
      <c r="J564" s="16"/>
    </row>
    <row r="565">
      <c r="G565" s="16"/>
      <c r="H565" s="16"/>
      <c r="I565" s="16"/>
      <c r="J565" s="16"/>
    </row>
    <row r="566">
      <c r="G566" s="16"/>
      <c r="H566" s="16"/>
      <c r="I566" s="16"/>
      <c r="J566" s="16"/>
    </row>
    <row r="567">
      <c r="G567" s="16"/>
      <c r="H567" s="16"/>
      <c r="I567" s="16"/>
      <c r="J567" s="16"/>
    </row>
    <row r="568">
      <c r="G568" s="16"/>
      <c r="H568" s="16"/>
      <c r="I568" s="16"/>
      <c r="J568" s="16"/>
    </row>
    <row r="569">
      <c r="G569" s="16"/>
      <c r="H569" s="16"/>
      <c r="I569" s="16"/>
      <c r="J569" s="16"/>
    </row>
    <row r="570">
      <c r="G570" s="16"/>
      <c r="H570" s="16"/>
      <c r="I570" s="16"/>
      <c r="J570" s="16"/>
    </row>
    <row r="571">
      <c r="G571" s="16"/>
      <c r="H571" s="16"/>
      <c r="I571" s="16"/>
      <c r="J571" s="16"/>
    </row>
    <row r="572">
      <c r="G572" s="16"/>
      <c r="H572" s="16"/>
      <c r="I572" s="16"/>
      <c r="J572" s="16"/>
    </row>
    <row r="573">
      <c r="G573" s="16"/>
      <c r="H573" s="16"/>
      <c r="I573" s="16"/>
      <c r="J573" s="16"/>
    </row>
    <row r="574">
      <c r="G574" s="16"/>
      <c r="H574" s="16"/>
      <c r="I574" s="16"/>
      <c r="J574" s="16"/>
    </row>
    <row r="575">
      <c r="G575" s="16"/>
      <c r="H575" s="16"/>
      <c r="I575" s="16"/>
      <c r="J575" s="16"/>
    </row>
    <row r="576">
      <c r="G576" s="16"/>
      <c r="H576" s="16"/>
      <c r="I576" s="16"/>
      <c r="J576" s="16"/>
    </row>
    <row r="577">
      <c r="G577" s="16"/>
      <c r="H577" s="16"/>
      <c r="I577" s="16"/>
      <c r="J577" s="16"/>
    </row>
    <row r="578">
      <c r="G578" s="16"/>
      <c r="H578" s="16"/>
      <c r="I578" s="16"/>
      <c r="J578" s="16"/>
    </row>
    <row r="579">
      <c r="G579" s="16"/>
      <c r="H579" s="16"/>
      <c r="I579" s="16"/>
      <c r="J579" s="16"/>
    </row>
    <row r="580">
      <c r="G580" s="16"/>
      <c r="H580" s="16"/>
      <c r="I580" s="16"/>
      <c r="J580" s="16"/>
    </row>
    <row r="581">
      <c r="G581" s="16"/>
      <c r="H581" s="16"/>
      <c r="I581" s="16"/>
      <c r="J581" s="16"/>
    </row>
    <row r="582">
      <c r="G582" s="16"/>
      <c r="H582" s="16"/>
      <c r="I582" s="16"/>
      <c r="J582" s="16"/>
    </row>
    <row r="583">
      <c r="G583" s="16"/>
      <c r="H583" s="16"/>
      <c r="I583" s="16"/>
      <c r="J583" s="16"/>
    </row>
    <row r="584">
      <c r="G584" s="16"/>
      <c r="H584" s="16"/>
      <c r="I584" s="16"/>
      <c r="J584" s="16"/>
    </row>
    <row r="585">
      <c r="G585" s="16"/>
      <c r="H585" s="16"/>
      <c r="I585" s="16"/>
      <c r="J585" s="16"/>
    </row>
    <row r="586">
      <c r="G586" s="16"/>
      <c r="H586" s="16"/>
      <c r="I586" s="16"/>
      <c r="J586" s="16"/>
    </row>
    <row r="587">
      <c r="G587" s="16"/>
      <c r="H587" s="16"/>
      <c r="I587" s="16"/>
      <c r="J587" s="16"/>
    </row>
    <row r="588">
      <c r="G588" s="16"/>
      <c r="H588" s="16"/>
      <c r="I588" s="16"/>
      <c r="J588" s="16"/>
    </row>
    <row r="589">
      <c r="G589" s="16"/>
      <c r="H589" s="16"/>
      <c r="I589" s="16"/>
      <c r="J589" s="16"/>
    </row>
    <row r="590">
      <c r="G590" s="16"/>
      <c r="H590" s="16"/>
      <c r="I590" s="16"/>
      <c r="J590" s="16"/>
    </row>
    <row r="591">
      <c r="G591" s="16"/>
      <c r="H591" s="16"/>
      <c r="I591" s="16"/>
      <c r="J591" s="16"/>
    </row>
    <row r="592">
      <c r="G592" s="16"/>
      <c r="H592" s="16"/>
      <c r="I592" s="16"/>
      <c r="J592" s="16"/>
    </row>
    <row r="593">
      <c r="G593" s="16"/>
      <c r="H593" s="16"/>
      <c r="I593" s="16"/>
      <c r="J593" s="16"/>
    </row>
    <row r="594">
      <c r="G594" s="16"/>
      <c r="H594" s="16"/>
      <c r="I594" s="16"/>
      <c r="J594" s="16"/>
    </row>
    <row r="595">
      <c r="G595" s="16"/>
      <c r="H595" s="16"/>
      <c r="I595" s="16"/>
      <c r="J595" s="16"/>
    </row>
    <row r="596">
      <c r="G596" s="16"/>
      <c r="H596" s="16"/>
      <c r="I596" s="16"/>
      <c r="J596" s="16"/>
    </row>
    <row r="597">
      <c r="G597" s="16"/>
      <c r="H597" s="16"/>
      <c r="I597" s="16"/>
      <c r="J597" s="16"/>
    </row>
    <row r="598">
      <c r="G598" s="16"/>
      <c r="H598" s="16"/>
      <c r="I598" s="16"/>
      <c r="J598" s="16"/>
    </row>
    <row r="599">
      <c r="G599" s="16"/>
      <c r="H599" s="16"/>
      <c r="I599" s="16"/>
      <c r="J599" s="16"/>
    </row>
    <row r="600">
      <c r="G600" s="16"/>
      <c r="H600" s="16"/>
      <c r="I600" s="16"/>
      <c r="J600" s="16"/>
    </row>
    <row r="601">
      <c r="G601" s="16"/>
      <c r="H601" s="16"/>
      <c r="I601" s="16"/>
      <c r="J601" s="16"/>
    </row>
    <row r="602">
      <c r="G602" s="16"/>
      <c r="H602" s="16"/>
      <c r="I602" s="16"/>
      <c r="J602" s="16"/>
    </row>
    <row r="603">
      <c r="G603" s="16"/>
      <c r="H603" s="16"/>
      <c r="I603" s="16"/>
      <c r="J603" s="16"/>
    </row>
    <row r="604">
      <c r="G604" s="16"/>
      <c r="H604" s="16"/>
      <c r="I604" s="16"/>
      <c r="J604" s="16"/>
    </row>
    <row r="605">
      <c r="G605" s="16"/>
      <c r="H605" s="16"/>
      <c r="I605" s="16"/>
      <c r="J605" s="16"/>
    </row>
    <row r="606">
      <c r="G606" s="16"/>
      <c r="H606" s="16"/>
      <c r="I606" s="16"/>
      <c r="J606" s="16"/>
    </row>
    <row r="607">
      <c r="G607" s="16"/>
      <c r="H607" s="16"/>
      <c r="I607" s="16"/>
      <c r="J607" s="16"/>
    </row>
    <row r="608">
      <c r="G608" s="16"/>
      <c r="H608" s="16"/>
      <c r="I608" s="16"/>
      <c r="J608" s="16"/>
    </row>
    <row r="609">
      <c r="G609" s="16"/>
      <c r="H609" s="16"/>
      <c r="I609" s="16"/>
      <c r="J609" s="16"/>
    </row>
    <row r="610">
      <c r="G610" s="16"/>
      <c r="H610" s="16"/>
      <c r="I610" s="16"/>
      <c r="J610" s="16"/>
    </row>
    <row r="611">
      <c r="G611" s="16"/>
      <c r="H611" s="16"/>
      <c r="I611" s="16"/>
      <c r="J611" s="16"/>
    </row>
    <row r="612">
      <c r="G612" s="16"/>
      <c r="H612" s="16"/>
      <c r="I612" s="16"/>
      <c r="J612" s="16"/>
    </row>
    <row r="613">
      <c r="G613" s="16"/>
      <c r="H613" s="16"/>
      <c r="I613" s="16"/>
      <c r="J613" s="16"/>
    </row>
    <row r="614">
      <c r="G614" s="16"/>
      <c r="H614" s="16"/>
      <c r="I614" s="16"/>
      <c r="J614" s="16"/>
    </row>
    <row r="615">
      <c r="G615" s="16"/>
      <c r="H615" s="16"/>
      <c r="I615" s="16"/>
      <c r="J615" s="16"/>
    </row>
    <row r="616">
      <c r="G616" s="16"/>
      <c r="H616" s="16"/>
      <c r="I616" s="16"/>
      <c r="J616" s="16"/>
    </row>
    <row r="617">
      <c r="G617" s="16"/>
      <c r="H617" s="16"/>
      <c r="I617" s="16"/>
      <c r="J617" s="16"/>
    </row>
    <row r="618">
      <c r="G618" s="16"/>
      <c r="H618" s="16"/>
      <c r="I618" s="16"/>
      <c r="J618" s="16"/>
    </row>
    <row r="619">
      <c r="G619" s="16"/>
      <c r="H619" s="16"/>
      <c r="I619" s="16"/>
      <c r="J619" s="16"/>
    </row>
    <row r="620">
      <c r="G620" s="16"/>
      <c r="H620" s="16"/>
      <c r="I620" s="16"/>
      <c r="J620" s="16"/>
    </row>
    <row r="621">
      <c r="G621" s="16"/>
      <c r="H621" s="16"/>
      <c r="I621" s="16"/>
      <c r="J621" s="16"/>
    </row>
    <row r="622">
      <c r="G622" s="16"/>
      <c r="H622" s="16"/>
      <c r="I622" s="16"/>
      <c r="J622" s="16"/>
    </row>
    <row r="623">
      <c r="G623" s="16"/>
      <c r="H623" s="16"/>
      <c r="I623" s="16"/>
      <c r="J623" s="16"/>
    </row>
    <row r="624">
      <c r="G624" s="16"/>
      <c r="H624" s="16"/>
      <c r="I624" s="16"/>
      <c r="J624" s="16"/>
    </row>
    <row r="625">
      <c r="G625" s="16"/>
      <c r="H625" s="16"/>
      <c r="I625" s="16"/>
      <c r="J625" s="16"/>
    </row>
    <row r="626">
      <c r="G626" s="16"/>
      <c r="H626" s="16"/>
      <c r="I626" s="16"/>
      <c r="J626" s="16"/>
    </row>
    <row r="627">
      <c r="G627" s="16"/>
      <c r="H627" s="16"/>
      <c r="I627" s="16"/>
      <c r="J627" s="16"/>
    </row>
    <row r="628">
      <c r="G628" s="16"/>
      <c r="H628" s="16"/>
      <c r="I628" s="16"/>
      <c r="J628" s="16"/>
    </row>
    <row r="629">
      <c r="G629" s="16"/>
      <c r="H629" s="16"/>
      <c r="I629" s="16"/>
      <c r="J629" s="16"/>
    </row>
    <row r="630">
      <c r="G630" s="16"/>
      <c r="H630" s="16"/>
      <c r="I630" s="16"/>
      <c r="J630" s="16"/>
    </row>
    <row r="631">
      <c r="G631" s="16"/>
      <c r="H631" s="16"/>
      <c r="I631" s="16"/>
      <c r="J631" s="16"/>
    </row>
    <row r="632">
      <c r="G632" s="16"/>
      <c r="H632" s="16"/>
      <c r="I632" s="16"/>
      <c r="J632" s="16"/>
    </row>
    <row r="633">
      <c r="G633" s="16"/>
      <c r="H633" s="16"/>
      <c r="I633" s="16"/>
      <c r="J633" s="16"/>
    </row>
    <row r="634">
      <c r="G634" s="16"/>
      <c r="H634" s="16"/>
      <c r="I634" s="16"/>
      <c r="J634" s="16"/>
    </row>
    <row r="635">
      <c r="G635" s="16"/>
      <c r="H635" s="16"/>
      <c r="I635" s="16"/>
      <c r="J635" s="16"/>
    </row>
    <row r="636">
      <c r="G636" s="16"/>
      <c r="H636" s="16"/>
      <c r="I636" s="16"/>
      <c r="J636" s="16"/>
    </row>
    <row r="637">
      <c r="G637" s="16"/>
      <c r="H637" s="16"/>
      <c r="I637" s="16"/>
      <c r="J637" s="16"/>
    </row>
    <row r="638">
      <c r="G638" s="16"/>
      <c r="H638" s="16"/>
      <c r="I638" s="16"/>
      <c r="J638" s="16"/>
    </row>
    <row r="639">
      <c r="G639" s="16"/>
      <c r="H639" s="16"/>
      <c r="I639" s="16"/>
      <c r="J639" s="16"/>
    </row>
    <row r="640">
      <c r="G640" s="16"/>
      <c r="H640" s="16"/>
      <c r="I640" s="16"/>
      <c r="J640" s="16"/>
    </row>
    <row r="641">
      <c r="G641" s="16"/>
      <c r="H641" s="16"/>
      <c r="I641" s="16"/>
      <c r="J641" s="16"/>
    </row>
    <row r="642">
      <c r="G642" s="16"/>
      <c r="H642" s="16"/>
      <c r="I642" s="16"/>
      <c r="J642" s="16"/>
    </row>
    <row r="643">
      <c r="G643" s="16"/>
      <c r="H643" s="16"/>
      <c r="I643" s="16"/>
      <c r="J643" s="16"/>
    </row>
    <row r="644">
      <c r="G644" s="16"/>
      <c r="H644" s="16"/>
      <c r="I644" s="16"/>
      <c r="J644" s="16"/>
    </row>
    <row r="645">
      <c r="G645" s="16"/>
      <c r="H645" s="16"/>
      <c r="I645" s="16"/>
      <c r="J645" s="16"/>
    </row>
    <row r="646">
      <c r="G646" s="16"/>
      <c r="H646" s="16"/>
      <c r="I646" s="16"/>
      <c r="J646" s="16"/>
    </row>
    <row r="647">
      <c r="G647" s="16"/>
      <c r="H647" s="16"/>
      <c r="I647" s="16"/>
      <c r="J647" s="16"/>
    </row>
    <row r="648">
      <c r="G648" s="16"/>
      <c r="H648" s="16"/>
      <c r="I648" s="16"/>
      <c r="J648" s="16"/>
    </row>
    <row r="649">
      <c r="G649" s="16"/>
      <c r="H649" s="16"/>
      <c r="I649" s="16"/>
      <c r="J649" s="16"/>
    </row>
    <row r="650">
      <c r="G650" s="16"/>
      <c r="H650" s="16"/>
      <c r="I650" s="16"/>
      <c r="J650" s="16"/>
    </row>
    <row r="651">
      <c r="G651" s="16"/>
      <c r="H651" s="16"/>
      <c r="I651" s="16"/>
      <c r="J651" s="16"/>
    </row>
    <row r="652">
      <c r="G652" s="16"/>
      <c r="H652" s="16"/>
      <c r="I652" s="16"/>
      <c r="J652" s="16"/>
    </row>
    <row r="653">
      <c r="G653" s="16"/>
      <c r="H653" s="16"/>
      <c r="I653" s="16"/>
      <c r="J653" s="16"/>
    </row>
    <row r="654">
      <c r="G654" s="16"/>
      <c r="H654" s="16"/>
      <c r="I654" s="16"/>
      <c r="J654" s="16"/>
    </row>
    <row r="655">
      <c r="G655" s="16"/>
      <c r="H655" s="16"/>
      <c r="I655" s="16"/>
      <c r="J655" s="16"/>
    </row>
    <row r="656">
      <c r="G656" s="16"/>
      <c r="H656" s="16"/>
      <c r="I656" s="16"/>
      <c r="J656" s="16"/>
    </row>
    <row r="657">
      <c r="G657" s="16"/>
      <c r="H657" s="16"/>
      <c r="I657" s="16"/>
      <c r="J657" s="16"/>
    </row>
    <row r="658">
      <c r="G658" s="16"/>
      <c r="H658" s="16"/>
      <c r="I658" s="16"/>
      <c r="J658" s="16"/>
    </row>
    <row r="659">
      <c r="G659" s="16"/>
      <c r="H659" s="16"/>
      <c r="I659" s="16"/>
      <c r="J659" s="16"/>
    </row>
    <row r="660">
      <c r="G660" s="16"/>
      <c r="H660" s="16"/>
      <c r="I660" s="16"/>
      <c r="J660" s="16"/>
    </row>
    <row r="661">
      <c r="G661" s="16"/>
      <c r="H661" s="16"/>
      <c r="I661" s="16"/>
      <c r="J661" s="16"/>
    </row>
    <row r="662">
      <c r="G662" s="16"/>
      <c r="H662" s="16"/>
      <c r="I662" s="16"/>
      <c r="J662" s="16"/>
    </row>
    <row r="663">
      <c r="G663" s="16"/>
      <c r="H663" s="16"/>
      <c r="I663" s="16"/>
      <c r="J663" s="16"/>
    </row>
    <row r="664">
      <c r="G664" s="16"/>
      <c r="H664" s="16"/>
      <c r="I664" s="16"/>
      <c r="J664" s="16"/>
    </row>
    <row r="665">
      <c r="G665" s="16"/>
      <c r="H665" s="16"/>
      <c r="I665" s="16"/>
      <c r="J665" s="16"/>
    </row>
    <row r="666">
      <c r="G666" s="16"/>
      <c r="H666" s="16"/>
      <c r="I666" s="16"/>
      <c r="J666" s="16"/>
    </row>
    <row r="667">
      <c r="G667" s="16"/>
      <c r="H667" s="16"/>
      <c r="I667" s="16"/>
      <c r="J667" s="16"/>
    </row>
    <row r="668">
      <c r="G668" s="16"/>
      <c r="H668" s="16"/>
      <c r="I668" s="16"/>
      <c r="J668" s="16"/>
    </row>
    <row r="669">
      <c r="G669" s="16"/>
      <c r="H669" s="16"/>
      <c r="I669" s="16"/>
      <c r="J669" s="16"/>
    </row>
    <row r="670">
      <c r="G670" s="16"/>
      <c r="H670" s="16"/>
      <c r="I670" s="16"/>
      <c r="J670" s="16"/>
    </row>
    <row r="671">
      <c r="G671" s="16"/>
      <c r="H671" s="16"/>
      <c r="I671" s="16"/>
      <c r="J671" s="16"/>
    </row>
    <row r="672">
      <c r="G672" s="16"/>
      <c r="H672" s="16"/>
      <c r="I672" s="16"/>
      <c r="J672" s="16"/>
    </row>
    <row r="673">
      <c r="G673" s="16"/>
      <c r="H673" s="16"/>
      <c r="I673" s="16"/>
      <c r="J673" s="16"/>
    </row>
    <row r="674">
      <c r="G674" s="16"/>
      <c r="H674" s="16"/>
      <c r="I674" s="16"/>
      <c r="J674" s="16"/>
    </row>
    <row r="675">
      <c r="G675" s="16"/>
      <c r="H675" s="16"/>
      <c r="I675" s="16"/>
      <c r="J675" s="16"/>
    </row>
    <row r="676">
      <c r="G676" s="16"/>
      <c r="H676" s="16"/>
      <c r="I676" s="16"/>
      <c r="J676" s="16"/>
    </row>
    <row r="677">
      <c r="G677" s="16"/>
      <c r="H677" s="16"/>
      <c r="I677" s="16"/>
      <c r="J677" s="16"/>
    </row>
    <row r="678">
      <c r="G678" s="16"/>
      <c r="H678" s="16"/>
      <c r="I678" s="16"/>
      <c r="J678" s="16"/>
    </row>
    <row r="679">
      <c r="G679" s="16"/>
      <c r="H679" s="16"/>
      <c r="I679" s="16"/>
      <c r="J679" s="16"/>
    </row>
    <row r="680">
      <c r="G680" s="16"/>
      <c r="H680" s="16"/>
      <c r="I680" s="16"/>
      <c r="J680" s="16"/>
    </row>
    <row r="681">
      <c r="G681" s="16"/>
      <c r="H681" s="16"/>
      <c r="I681" s="16"/>
      <c r="J681" s="16"/>
    </row>
    <row r="682">
      <c r="G682" s="16"/>
      <c r="H682" s="16"/>
      <c r="I682" s="16"/>
      <c r="J682" s="16"/>
    </row>
    <row r="683">
      <c r="G683" s="16"/>
      <c r="H683" s="16"/>
      <c r="I683" s="16"/>
      <c r="J683" s="16"/>
    </row>
    <row r="684">
      <c r="G684" s="16"/>
      <c r="H684" s="16"/>
      <c r="I684" s="16"/>
      <c r="J684" s="16"/>
    </row>
    <row r="685">
      <c r="G685" s="16"/>
      <c r="H685" s="16"/>
      <c r="I685" s="16"/>
      <c r="J685" s="16"/>
    </row>
    <row r="686">
      <c r="G686" s="16"/>
      <c r="H686" s="16"/>
      <c r="I686" s="16"/>
      <c r="J686" s="16"/>
    </row>
    <row r="687">
      <c r="G687" s="16"/>
      <c r="H687" s="16"/>
      <c r="I687" s="16"/>
      <c r="J687" s="16"/>
    </row>
    <row r="688">
      <c r="G688" s="16"/>
      <c r="H688" s="16"/>
      <c r="I688" s="16"/>
      <c r="J688" s="16"/>
    </row>
    <row r="689">
      <c r="G689" s="16"/>
      <c r="H689" s="16"/>
      <c r="I689" s="16"/>
      <c r="J689" s="16"/>
    </row>
    <row r="690">
      <c r="G690" s="16"/>
      <c r="H690" s="16"/>
      <c r="I690" s="16"/>
      <c r="J690" s="16"/>
    </row>
    <row r="691">
      <c r="G691" s="16"/>
      <c r="H691" s="16"/>
      <c r="I691" s="16"/>
      <c r="J691" s="16"/>
    </row>
    <row r="692">
      <c r="G692" s="16"/>
      <c r="H692" s="16"/>
      <c r="I692" s="16"/>
      <c r="J692" s="16"/>
    </row>
    <row r="693">
      <c r="G693" s="16"/>
      <c r="H693" s="16"/>
      <c r="I693" s="16"/>
      <c r="J693" s="16"/>
    </row>
    <row r="694">
      <c r="G694" s="16"/>
      <c r="H694" s="16"/>
      <c r="I694" s="16"/>
      <c r="J694" s="16"/>
    </row>
    <row r="695">
      <c r="G695" s="16"/>
      <c r="H695" s="16"/>
      <c r="I695" s="16"/>
      <c r="J695" s="16"/>
    </row>
    <row r="696">
      <c r="G696" s="16"/>
      <c r="H696" s="16"/>
      <c r="I696" s="16"/>
      <c r="J696" s="16"/>
    </row>
    <row r="697">
      <c r="G697" s="16"/>
      <c r="H697" s="16"/>
      <c r="I697" s="16"/>
      <c r="J697" s="16"/>
    </row>
    <row r="698">
      <c r="G698" s="16"/>
      <c r="H698" s="16"/>
      <c r="I698" s="16"/>
      <c r="J698" s="16"/>
    </row>
    <row r="699">
      <c r="G699" s="16"/>
      <c r="H699" s="16"/>
      <c r="I699" s="16"/>
      <c r="J699" s="16"/>
    </row>
    <row r="700">
      <c r="G700" s="16"/>
      <c r="H700" s="16"/>
      <c r="I700" s="16"/>
      <c r="J700" s="16"/>
    </row>
    <row r="701">
      <c r="G701" s="16"/>
      <c r="H701" s="16"/>
      <c r="I701" s="16"/>
      <c r="J701" s="16"/>
    </row>
    <row r="702">
      <c r="G702" s="16"/>
      <c r="H702" s="16"/>
      <c r="I702" s="16"/>
      <c r="J702" s="16"/>
    </row>
    <row r="703">
      <c r="G703" s="16"/>
      <c r="H703" s="16"/>
      <c r="I703" s="16"/>
      <c r="J703" s="16"/>
    </row>
    <row r="704">
      <c r="G704" s="16"/>
      <c r="H704" s="16"/>
      <c r="I704" s="16"/>
      <c r="J704" s="16"/>
    </row>
    <row r="705">
      <c r="G705" s="16"/>
      <c r="H705" s="16"/>
      <c r="I705" s="16"/>
      <c r="J705" s="16"/>
    </row>
    <row r="706">
      <c r="G706" s="16"/>
      <c r="H706" s="16"/>
      <c r="I706" s="16"/>
      <c r="J706" s="16"/>
    </row>
    <row r="707">
      <c r="G707" s="16"/>
      <c r="H707" s="16"/>
      <c r="I707" s="16"/>
      <c r="J707" s="16"/>
    </row>
    <row r="708">
      <c r="G708" s="16"/>
      <c r="H708" s="16"/>
      <c r="I708" s="16"/>
      <c r="J708" s="16"/>
    </row>
    <row r="709">
      <c r="G709" s="16"/>
      <c r="H709" s="16"/>
      <c r="I709" s="16"/>
      <c r="J709" s="16"/>
    </row>
    <row r="710">
      <c r="G710" s="16"/>
      <c r="H710" s="16"/>
      <c r="I710" s="16"/>
      <c r="J710" s="16"/>
    </row>
    <row r="711">
      <c r="G711" s="16"/>
      <c r="H711" s="16"/>
      <c r="I711" s="16"/>
      <c r="J711" s="16"/>
    </row>
    <row r="712">
      <c r="G712" s="16"/>
      <c r="H712" s="16"/>
      <c r="I712" s="16"/>
      <c r="J712" s="16"/>
    </row>
    <row r="713">
      <c r="G713" s="16"/>
      <c r="H713" s="16"/>
      <c r="I713" s="16"/>
      <c r="J713" s="16"/>
    </row>
    <row r="714">
      <c r="G714" s="16"/>
      <c r="H714" s="16"/>
      <c r="I714" s="16"/>
      <c r="J714" s="16"/>
    </row>
    <row r="715">
      <c r="G715" s="16"/>
      <c r="H715" s="16"/>
      <c r="I715" s="16"/>
      <c r="J715" s="16"/>
    </row>
    <row r="716">
      <c r="G716" s="16"/>
      <c r="H716" s="16"/>
      <c r="I716" s="16"/>
      <c r="J716" s="16"/>
    </row>
    <row r="717">
      <c r="G717" s="16"/>
      <c r="H717" s="16"/>
      <c r="I717" s="16"/>
      <c r="J717" s="16"/>
    </row>
    <row r="718">
      <c r="G718" s="16"/>
      <c r="H718" s="16"/>
      <c r="I718" s="16"/>
      <c r="J718" s="16"/>
    </row>
    <row r="719">
      <c r="G719" s="16"/>
      <c r="H719" s="16"/>
      <c r="I719" s="16"/>
      <c r="J719" s="16"/>
    </row>
    <row r="720">
      <c r="G720" s="16"/>
      <c r="H720" s="16"/>
      <c r="I720" s="16"/>
      <c r="J720" s="16"/>
    </row>
    <row r="721">
      <c r="G721" s="16"/>
      <c r="H721" s="16"/>
      <c r="I721" s="16"/>
      <c r="J721" s="16"/>
    </row>
    <row r="722">
      <c r="G722" s="16"/>
      <c r="H722" s="16"/>
      <c r="I722" s="16"/>
      <c r="J722" s="16"/>
    </row>
    <row r="723">
      <c r="G723" s="16"/>
      <c r="H723" s="16"/>
      <c r="I723" s="16"/>
      <c r="J723" s="16"/>
    </row>
    <row r="724">
      <c r="G724" s="16"/>
      <c r="H724" s="16"/>
      <c r="I724" s="16"/>
      <c r="J724" s="16"/>
    </row>
    <row r="725">
      <c r="G725" s="16"/>
      <c r="H725" s="16"/>
      <c r="I725" s="16"/>
      <c r="J725" s="16"/>
    </row>
    <row r="726">
      <c r="G726" s="16"/>
      <c r="H726" s="16"/>
      <c r="I726" s="16"/>
      <c r="J726" s="16"/>
    </row>
    <row r="727">
      <c r="G727" s="16"/>
      <c r="H727" s="16"/>
      <c r="I727" s="16"/>
      <c r="J727" s="16"/>
    </row>
    <row r="728">
      <c r="G728" s="16"/>
      <c r="H728" s="16"/>
      <c r="I728" s="16"/>
      <c r="J728" s="16"/>
    </row>
    <row r="729">
      <c r="G729" s="16"/>
      <c r="H729" s="16"/>
      <c r="I729" s="16"/>
      <c r="J729" s="16"/>
    </row>
    <row r="730">
      <c r="G730" s="16"/>
      <c r="H730" s="16"/>
      <c r="I730" s="16"/>
      <c r="J730" s="16"/>
    </row>
    <row r="731">
      <c r="G731" s="16"/>
      <c r="H731" s="16"/>
      <c r="I731" s="16"/>
      <c r="J731" s="16"/>
    </row>
    <row r="732">
      <c r="G732" s="16"/>
      <c r="H732" s="16"/>
      <c r="I732" s="16"/>
      <c r="J732" s="16"/>
    </row>
    <row r="733">
      <c r="G733" s="16"/>
      <c r="H733" s="16"/>
      <c r="I733" s="16"/>
      <c r="J733" s="16"/>
    </row>
    <row r="734">
      <c r="G734" s="16"/>
      <c r="H734" s="16"/>
      <c r="I734" s="16"/>
      <c r="J734" s="16"/>
    </row>
    <row r="735">
      <c r="G735" s="16"/>
      <c r="H735" s="16"/>
      <c r="I735" s="16"/>
      <c r="J735" s="16"/>
    </row>
    <row r="736">
      <c r="G736" s="16"/>
      <c r="H736" s="16"/>
      <c r="I736" s="16"/>
      <c r="J736" s="16"/>
    </row>
    <row r="737">
      <c r="G737" s="16"/>
      <c r="H737" s="16"/>
      <c r="I737" s="16"/>
      <c r="J737" s="16"/>
    </row>
    <row r="738">
      <c r="G738" s="16"/>
      <c r="H738" s="16"/>
      <c r="I738" s="16"/>
      <c r="J738" s="16"/>
    </row>
    <row r="739">
      <c r="G739" s="16"/>
      <c r="H739" s="16"/>
      <c r="I739" s="16"/>
      <c r="J739" s="16"/>
    </row>
    <row r="740">
      <c r="G740" s="16"/>
      <c r="H740" s="16"/>
      <c r="I740" s="16"/>
      <c r="J740" s="16"/>
    </row>
    <row r="741">
      <c r="G741" s="16"/>
      <c r="H741" s="16"/>
      <c r="I741" s="16"/>
      <c r="J741" s="16"/>
    </row>
    <row r="742">
      <c r="G742" s="16"/>
      <c r="H742" s="16"/>
      <c r="I742" s="16"/>
      <c r="J742" s="16"/>
    </row>
    <row r="743">
      <c r="G743" s="16"/>
      <c r="H743" s="16"/>
      <c r="I743" s="16"/>
      <c r="J743" s="16"/>
    </row>
    <row r="744">
      <c r="G744" s="16"/>
      <c r="H744" s="16"/>
      <c r="I744" s="16"/>
      <c r="J744" s="16"/>
    </row>
    <row r="745">
      <c r="G745" s="16"/>
      <c r="H745" s="16"/>
      <c r="I745" s="16"/>
      <c r="J745" s="16"/>
    </row>
    <row r="746">
      <c r="G746" s="16"/>
      <c r="H746" s="16"/>
      <c r="I746" s="16"/>
      <c r="J746" s="16"/>
    </row>
    <row r="747">
      <c r="G747" s="16"/>
      <c r="H747" s="16"/>
      <c r="I747" s="16"/>
      <c r="J747" s="16"/>
    </row>
    <row r="748">
      <c r="G748" s="16"/>
      <c r="H748" s="16"/>
      <c r="I748" s="16"/>
      <c r="J748" s="16"/>
    </row>
    <row r="749">
      <c r="G749" s="16"/>
      <c r="H749" s="16"/>
      <c r="I749" s="16"/>
      <c r="J749" s="16"/>
    </row>
    <row r="750">
      <c r="G750" s="16"/>
      <c r="H750" s="16"/>
      <c r="I750" s="16"/>
      <c r="J750" s="16"/>
    </row>
    <row r="751">
      <c r="G751" s="16"/>
      <c r="H751" s="16"/>
      <c r="I751" s="16"/>
      <c r="J751" s="16"/>
    </row>
    <row r="752">
      <c r="G752" s="16"/>
      <c r="H752" s="16"/>
      <c r="I752" s="16"/>
      <c r="J752" s="16"/>
    </row>
    <row r="753">
      <c r="G753" s="16"/>
      <c r="H753" s="16"/>
      <c r="I753" s="16"/>
      <c r="J753" s="16"/>
    </row>
    <row r="754">
      <c r="G754" s="16"/>
      <c r="H754" s="16"/>
      <c r="I754" s="16"/>
      <c r="J754" s="16"/>
    </row>
    <row r="755">
      <c r="G755" s="16"/>
      <c r="H755" s="16"/>
      <c r="I755" s="16"/>
      <c r="J755" s="16"/>
    </row>
    <row r="756">
      <c r="G756" s="16"/>
      <c r="H756" s="16"/>
      <c r="I756" s="16"/>
      <c r="J756" s="16"/>
    </row>
    <row r="757">
      <c r="G757" s="16"/>
      <c r="H757" s="16"/>
      <c r="I757" s="16"/>
      <c r="J757" s="16"/>
    </row>
    <row r="758">
      <c r="G758" s="16"/>
      <c r="H758" s="16"/>
      <c r="I758" s="16"/>
      <c r="J758" s="16"/>
    </row>
    <row r="759">
      <c r="G759" s="16"/>
      <c r="H759" s="16"/>
      <c r="I759" s="16"/>
      <c r="J759" s="16"/>
    </row>
    <row r="760">
      <c r="G760" s="16"/>
      <c r="H760" s="16"/>
      <c r="I760" s="16"/>
      <c r="J760" s="16"/>
    </row>
    <row r="761">
      <c r="G761" s="16"/>
      <c r="H761" s="16"/>
      <c r="I761" s="16"/>
      <c r="J761" s="16"/>
    </row>
    <row r="762">
      <c r="G762" s="16"/>
      <c r="H762" s="16"/>
      <c r="I762" s="16"/>
      <c r="J762" s="16"/>
    </row>
    <row r="763">
      <c r="G763" s="16"/>
      <c r="H763" s="16"/>
      <c r="I763" s="16"/>
      <c r="J763" s="16"/>
    </row>
    <row r="764">
      <c r="G764" s="16"/>
      <c r="H764" s="16"/>
      <c r="I764" s="16"/>
      <c r="J764" s="16"/>
    </row>
    <row r="765">
      <c r="G765" s="16"/>
      <c r="H765" s="16"/>
      <c r="I765" s="16"/>
      <c r="J765" s="16"/>
    </row>
    <row r="766">
      <c r="G766" s="16"/>
      <c r="H766" s="16"/>
      <c r="I766" s="16"/>
      <c r="J766" s="16"/>
    </row>
    <row r="767">
      <c r="G767" s="16"/>
      <c r="H767" s="16"/>
      <c r="I767" s="16"/>
      <c r="J767" s="16"/>
    </row>
    <row r="768">
      <c r="G768" s="16"/>
      <c r="H768" s="16"/>
      <c r="I768" s="16"/>
      <c r="J768" s="16"/>
    </row>
    <row r="769">
      <c r="G769" s="16"/>
      <c r="H769" s="16"/>
      <c r="I769" s="16"/>
      <c r="J769" s="16"/>
    </row>
    <row r="770">
      <c r="G770" s="16"/>
      <c r="H770" s="16"/>
      <c r="I770" s="16"/>
      <c r="J770" s="16"/>
    </row>
    <row r="771">
      <c r="G771" s="16"/>
      <c r="H771" s="16"/>
      <c r="I771" s="16"/>
      <c r="J771" s="16"/>
    </row>
    <row r="772">
      <c r="G772" s="16"/>
      <c r="H772" s="16"/>
      <c r="I772" s="16"/>
      <c r="J772" s="16"/>
    </row>
    <row r="773">
      <c r="G773" s="16"/>
      <c r="H773" s="16"/>
      <c r="I773" s="16"/>
      <c r="J773" s="16"/>
    </row>
    <row r="774">
      <c r="G774" s="16"/>
      <c r="H774" s="16"/>
      <c r="I774" s="16"/>
      <c r="J774" s="16"/>
    </row>
    <row r="775">
      <c r="G775" s="16"/>
      <c r="H775" s="16"/>
      <c r="I775" s="16"/>
      <c r="J775" s="16"/>
    </row>
    <row r="776">
      <c r="G776" s="16"/>
      <c r="H776" s="16"/>
      <c r="I776" s="16"/>
      <c r="J776" s="16"/>
    </row>
    <row r="777">
      <c r="G777" s="16"/>
      <c r="H777" s="16"/>
      <c r="I777" s="16"/>
      <c r="J777" s="16"/>
    </row>
    <row r="778">
      <c r="G778" s="16"/>
      <c r="H778" s="16"/>
      <c r="I778" s="16"/>
      <c r="J778" s="16"/>
    </row>
    <row r="779">
      <c r="G779" s="16"/>
      <c r="H779" s="16"/>
      <c r="I779" s="16"/>
      <c r="J779" s="16"/>
    </row>
    <row r="780">
      <c r="G780" s="16"/>
      <c r="H780" s="16"/>
      <c r="I780" s="16"/>
      <c r="J780" s="16"/>
    </row>
    <row r="781">
      <c r="G781" s="16"/>
      <c r="H781" s="16"/>
      <c r="I781" s="16"/>
      <c r="J781" s="16"/>
    </row>
    <row r="782">
      <c r="G782" s="16"/>
      <c r="H782" s="16"/>
      <c r="I782" s="16"/>
      <c r="J782" s="16"/>
    </row>
    <row r="783">
      <c r="G783" s="16"/>
      <c r="H783" s="16"/>
      <c r="I783" s="16"/>
      <c r="J783" s="16"/>
    </row>
    <row r="784">
      <c r="G784" s="16"/>
      <c r="H784" s="16"/>
      <c r="I784" s="16"/>
      <c r="J784" s="16"/>
    </row>
    <row r="785">
      <c r="G785" s="16"/>
      <c r="H785" s="16"/>
      <c r="I785" s="16"/>
      <c r="J785" s="16"/>
    </row>
    <row r="786">
      <c r="G786" s="16"/>
      <c r="H786" s="16"/>
      <c r="I786" s="16"/>
      <c r="J786" s="16"/>
    </row>
    <row r="787">
      <c r="G787" s="16"/>
      <c r="H787" s="16"/>
      <c r="I787" s="16"/>
      <c r="J787" s="16"/>
    </row>
    <row r="788">
      <c r="G788" s="16"/>
      <c r="H788" s="16"/>
      <c r="I788" s="16"/>
      <c r="J788" s="16"/>
    </row>
    <row r="789">
      <c r="G789" s="16"/>
      <c r="H789" s="16"/>
      <c r="I789" s="16"/>
      <c r="J789" s="16"/>
    </row>
    <row r="790">
      <c r="G790" s="16"/>
      <c r="H790" s="16"/>
      <c r="I790" s="16"/>
      <c r="J790" s="16"/>
    </row>
    <row r="791">
      <c r="G791" s="16"/>
      <c r="H791" s="16"/>
      <c r="I791" s="16"/>
      <c r="J791" s="16"/>
    </row>
    <row r="792">
      <c r="G792" s="16"/>
      <c r="H792" s="16"/>
      <c r="I792" s="16"/>
      <c r="J792" s="16"/>
    </row>
    <row r="793">
      <c r="G793" s="16"/>
      <c r="H793" s="16"/>
      <c r="I793" s="16"/>
      <c r="J793" s="16"/>
    </row>
    <row r="794">
      <c r="G794" s="16"/>
      <c r="H794" s="16"/>
      <c r="I794" s="16"/>
      <c r="J794" s="16"/>
    </row>
    <row r="795">
      <c r="G795" s="16"/>
      <c r="H795" s="16"/>
      <c r="I795" s="16"/>
      <c r="J795" s="16"/>
    </row>
    <row r="796">
      <c r="G796" s="16"/>
      <c r="H796" s="16"/>
      <c r="I796" s="16"/>
      <c r="J796" s="16"/>
    </row>
    <row r="797">
      <c r="G797" s="16"/>
      <c r="H797" s="16"/>
      <c r="I797" s="16"/>
      <c r="J797" s="16"/>
    </row>
    <row r="798">
      <c r="G798" s="16"/>
      <c r="H798" s="16"/>
      <c r="I798" s="16"/>
      <c r="J798" s="16"/>
    </row>
    <row r="799">
      <c r="G799" s="16"/>
      <c r="H799" s="16"/>
      <c r="I799" s="16"/>
      <c r="J799" s="16"/>
    </row>
    <row r="800">
      <c r="G800" s="16"/>
      <c r="H800" s="16"/>
      <c r="I800" s="16"/>
      <c r="J800" s="16"/>
    </row>
    <row r="801">
      <c r="G801" s="16"/>
      <c r="H801" s="16"/>
      <c r="I801" s="16"/>
      <c r="J801" s="16"/>
    </row>
    <row r="802">
      <c r="G802" s="16"/>
      <c r="H802" s="16"/>
      <c r="I802" s="16"/>
      <c r="J802" s="16"/>
    </row>
    <row r="803">
      <c r="G803" s="16"/>
      <c r="H803" s="16"/>
      <c r="I803" s="16"/>
      <c r="J803" s="16"/>
    </row>
    <row r="804">
      <c r="G804" s="16"/>
      <c r="H804" s="16"/>
      <c r="I804" s="16"/>
      <c r="J804" s="16"/>
    </row>
    <row r="805">
      <c r="G805" s="16"/>
      <c r="H805" s="16"/>
      <c r="I805" s="16"/>
      <c r="J805" s="16"/>
    </row>
    <row r="806">
      <c r="G806" s="16"/>
      <c r="H806" s="16"/>
      <c r="I806" s="16"/>
      <c r="J806" s="16"/>
    </row>
    <row r="807">
      <c r="G807" s="16"/>
      <c r="H807" s="16"/>
      <c r="I807" s="16"/>
      <c r="J807" s="16"/>
    </row>
    <row r="808">
      <c r="G808" s="16"/>
      <c r="H808" s="16"/>
      <c r="I808" s="16"/>
      <c r="J808" s="16"/>
    </row>
    <row r="809">
      <c r="G809" s="16"/>
      <c r="H809" s="16"/>
      <c r="I809" s="16"/>
      <c r="J809" s="16"/>
    </row>
    <row r="810">
      <c r="G810" s="16"/>
      <c r="H810" s="16"/>
      <c r="I810" s="16"/>
      <c r="J810" s="16"/>
    </row>
    <row r="811">
      <c r="G811" s="16"/>
      <c r="H811" s="16"/>
      <c r="I811" s="16"/>
      <c r="J811" s="16"/>
    </row>
    <row r="812">
      <c r="G812" s="16"/>
      <c r="H812" s="16"/>
      <c r="I812" s="16"/>
      <c r="J812" s="16"/>
    </row>
    <row r="813">
      <c r="G813" s="16"/>
      <c r="H813" s="16"/>
      <c r="I813" s="16"/>
      <c r="J813" s="16"/>
    </row>
    <row r="814">
      <c r="G814" s="16"/>
      <c r="H814" s="16"/>
      <c r="I814" s="16"/>
      <c r="J814" s="16"/>
    </row>
    <row r="815">
      <c r="G815" s="16"/>
      <c r="H815" s="16"/>
      <c r="I815" s="16"/>
      <c r="J815" s="16"/>
    </row>
    <row r="816">
      <c r="G816" s="16"/>
      <c r="H816" s="16"/>
      <c r="I816" s="16"/>
      <c r="J816" s="16"/>
    </row>
    <row r="817">
      <c r="G817" s="16"/>
      <c r="H817" s="16"/>
      <c r="I817" s="16"/>
      <c r="J817" s="16"/>
    </row>
    <row r="818">
      <c r="G818" s="16"/>
      <c r="H818" s="16"/>
      <c r="I818" s="16"/>
      <c r="J818" s="16"/>
    </row>
    <row r="819">
      <c r="G819" s="16"/>
      <c r="H819" s="16"/>
      <c r="I819" s="16"/>
      <c r="J819" s="16"/>
    </row>
    <row r="820">
      <c r="G820" s="16"/>
      <c r="H820" s="16"/>
      <c r="I820" s="16"/>
      <c r="J820" s="16"/>
    </row>
    <row r="821">
      <c r="G821" s="16"/>
      <c r="H821" s="16"/>
      <c r="I821" s="16"/>
      <c r="J821" s="16"/>
    </row>
    <row r="822">
      <c r="G822" s="16"/>
      <c r="H822" s="16"/>
      <c r="I822" s="16"/>
      <c r="J822" s="16"/>
    </row>
    <row r="823">
      <c r="G823" s="16"/>
      <c r="H823" s="16"/>
      <c r="I823" s="16"/>
      <c r="J823" s="16"/>
    </row>
    <row r="824">
      <c r="G824" s="16"/>
      <c r="H824" s="16"/>
      <c r="I824" s="16"/>
      <c r="J824" s="16"/>
    </row>
    <row r="825">
      <c r="G825" s="16"/>
      <c r="H825" s="16"/>
      <c r="I825" s="16"/>
      <c r="J825" s="16"/>
    </row>
    <row r="826">
      <c r="G826" s="16"/>
      <c r="H826" s="16"/>
      <c r="I826" s="16"/>
      <c r="J826" s="16"/>
    </row>
    <row r="827">
      <c r="G827" s="16"/>
      <c r="H827" s="16"/>
      <c r="I827" s="16"/>
      <c r="J827" s="16"/>
    </row>
    <row r="828">
      <c r="G828" s="16"/>
      <c r="H828" s="16"/>
      <c r="I828" s="16"/>
      <c r="J828" s="16"/>
    </row>
    <row r="829">
      <c r="G829" s="16"/>
      <c r="H829" s="16"/>
      <c r="I829" s="16"/>
      <c r="J829" s="16"/>
    </row>
    <row r="830">
      <c r="G830" s="16"/>
      <c r="H830" s="16"/>
      <c r="I830" s="16"/>
      <c r="J830" s="16"/>
    </row>
    <row r="831">
      <c r="G831" s="16"/>
      <c r="H831" s="16"/>
      <c r="I831" s="16"/>
      <c r="J831" s="16"/>
    </row>
    <row r="832">
      <c r="G832" s="16"/>
      <c r="H832" s="16"/>
      <c r="I832" s="16"/>
      <c r="J832" s="16"/>
    </row>
    <row r="833">
      <c r="G833" s="16"/>
      <c r="H833" s="16"/>
      <c r="I833" s="16"/>
      <c r="J833" s="16"/>
    </row>
    <row r="834">
      <c r="G834" s="16"/>
      <c r="H834" s="16"/>
      <c r="I834" s="16"/>
      <c r="J834" s="16"/>
    </row>
    <row r="835">
      <c r="G835" s="16"/>
      <c r="H835" s="16"/>
      <c r="I835" s="16"/>
      <c r="J835" s="16"/>
    </row>
    <row r="836">
      <c r="G836" s="16"/>
      <c r="H836" s="16"/>
      <c r="I836" s="16"/>
      <c r="J836" s="16"/>
    </row>
    <row r="837">
      <c r="G837" s="16"/>
      <c r="H837" s="16"/>
      <c r="I837" s="16"/>
      <c r="J837" s="16"/>
    </row>
    <row r="838">
      <c r="G838" s="16"/>
      <c r="H838" s="16"/>
      <c r="I838" s="16"/>
      <c r="J838" s="16"/>
    </row>
    <row r="839">
      <c r="G839" s="16"/>
      <c r="H839" s="16"/>
      <c r="I839" s="16"/>
      <c r="J839" s="16"/>
    </row>
    <row r="840">
      <c r="G840" s="16"/>
      <c r="H840" s="16"/>
      <c r="I840" s="16"/>
      <c r="J840" s="16"/>
    </row>
    <row r="841">
      <c r="G841" s="16"/>
      <c r="H841" s="16"/>
      <c r="I841" s="16"/>
      <c r="J841" s="16"/>
    </row>
    <row r="842">
      <c r="G842" s="16"/>
      <c r="H842" s="16"/>
      <c r="I842" s="16"/>
      <c r="J842" s="16"/>
    </row>
    <row r="843">
      <c r="G843" s="16"/>
      <c r="H843" s="16"/>
      <c r="I843" s="16"/>
      <c r="J843" s="16"/>
    </row>
    <row r="844">
      <c r="G844" s="16"/>
      <c r="H844" s="16"/>
      <c r="I844" s="16"/>
      <c r="J844" s="16"/>
    </row>
    <row r="845">
      <c r="G845" s="16"/>
      <c r="H845" s="16"/>
      <c r="I845" s="16"/>
      <c r="J845" s="16"/>
    </row>
    <row r="846">
      <c r="G846" s="16"/>
      <c r="H846" s="16"/>
      <c r="I846" s="16"/>
      <c r="J846" s="16"/>
    </row>
    <row r="847">
      <c r="G847" s="16"/>
      <c r="H847" s="16"/>
      <c r="I847" s="16"/>
      <c r="J847" s="16"/>
    </row>
    <row r="848">
      <c r="G848" s="16"/>
      <c r="H848" s="16"/>
      <c r="I848" s="16"/>
      <c r="J848" s="16"/>
    </row>
    <row r="849">
      <c r="G849" s="16"/>
      <c r="H849" s="16"/>
      <c r="I849" s="16"/>
      <c r="J849" s="16"/>
    </row>
    <row r="850">
      <c r="G850" s="16"/>
      <c r="H850" s="16"/>
      <c r="I850" s="16"/>
      <c r="J850" s="16"/>
    </row>
    <row r="851">
      <c r="G851" s="16"/>
      <c r="H851" s="16"/>
      <c r="I851" s="16"/>
      <c r="J851" s="16"/>
    </row>
    <row r="852">
      <c r="G852" s="16"/>
      <c r="H852" s="16"/>
      <c r="I852" s="16"/>
      <c r="J852" s="16"/>
    </row>
    <row r="853">
      <c r="G853" s="16"/>
      <c r="H853" s="16"/>
      <c r="I853" s="16"/>
      <c r="J853" s="16"/>
    </row>
    <row r="854">
      <c r="G854" s="16"/>
      <c r="H854" s="16"/>
      <c r="I854" s="16"/>
      <c r="J854" s="16"/>
    </row>
    <row r="855">
      <c r="G855" s="16"/>
      <c r="H855" s="16"/>
      <c r="I855" s="16"/>
      <c r="J855" s="16"/>
    </row>
    <row r="856">
      <c r="G856" s="16"/>
      <c r="H856" s="16"/>
      <c r="I856" s="16"/>
      <c r="J856" s="16"/>
    </row>
    <row r="857">
      <c r="G857" s="16"/>
      <c r="H857" s="16"/>
      <c r="I857" s="16"/>
      <c r="J857" s="16"/>
    </row>
    <row r="858">
      <c r="G858" s="16"/>
      <c r="H858" s="16"/>
      <c r="I858" s="16"/>
      <c r="J858" s="16"/>
    </row>
    <row r="859">
      <c r="G859" s="16"/>
      <c r="H859" s="16"/>
      <c r="I859" s="16"/>
      <c r="J859" s="16"/>
    </row>
    <row r="860">
      <c r="G860" s="16"/>
      <c r="H860" s="16"/>
      <c r="I860" s="16"/>
      <c r="J860" s="16"/>
    </row>
    <row r="861">
      <c r="G861" s="16"/>
      <c r="H861" s="16"/>
      <c r="I861" s="16"/>
      <c r="J861" s="16"/>
    </row>
    <row r="862">
      <c r="G862" s="16"/>
      <c r="H862" s="16"/>
      <c r="I862" s="16"/>
      <c r="J862" s="16"/>
    </row>
    <row r="863">
      <c r="G863" s="16"/>
      <c r="H863" s="16"/>
      <c r="I863" s="16"/>
      <c r="J863" s="16"/>
    </row>
    <row r="864">
      <c r="G864" s="16"/>
      <c r="H864" s="16"/>
      <c r="I864" s="16"/>
      <c r="J864" s="16"/>
    </row>
    <row r="865">
      <c r="G865" s="16"/>
      <c r="H865" s="16"/>
      <c r="I865" s="16"/>
      <c r="J865" s="16"/>
    </row>
    <row r="866">
      <c r="G866" s="16"/>
      <c r="H866" s="16"/>
      <c r="I866" s="16"/>
      <c r="J866" s="16"/>
    </row>
    <row r="867">
      <c r="G867" s="16"/>
      <c r="H867" s="16"/>
      <c r="I867" s="16"/>
      <c r="J867" s="16"/>
    </row>
    <row r="868">
      <c r="G868" s="16"/>
      <c r="H868" s="16"/>
      <c r="I868" s="16"/>
      <c r="J868" s="16"/>
    </row>
    <row r="869">
      <c r="G869" s="16"/>
      <c r="H869" s="16"/>
      <c r="I869" s="16"/>
      <c r="J869" s="16"/>
    </row>
    <row r="870">
      <c r="G870" s="16"/>
      <c r="H870" s="16"/>
      <c r="I870" s="16"/>
      <c r="J870" s="16"/>
    </row>
    <row r="871">
      <c r="G871" s="16"/>
      <c r="H871" s="16"/>
      <c r="I871" s="16"/>
      <c r="J871" s="16"/>
    </row>
    <row r="872">
      <c r="G872" s="16"/>
      <c r="H872" s="16"/>
      <c r="I872" s="16"/>
      <c r="J872" s="16"/>
    </row>
    <row r="873">
      <c r="G873" s="16"/>
      <c r="H873" s="16"/>
      <c r="I873" s="16"/>
      <c r="J873" s="16"/>
    </row>
    <row r="874">
      <c r="G874" s="16"/>
      <c r="H874" s="16"/>
      <c r="I874" s="16"/>
      <c r="J874" s="16"/>
    </row>
    <row r="875">
      <c r="G875" s="16"/>
      <c r="H875" s="16"/>
      <c r="I875" s="16"/>
      <c r="J875" s="16"/>
    </row>
    <row r="876">
      <c r="G876" s="16"/>
      <c r="H876" s="16"/>
      <c r="I876" s="16"/>
      <c r="J876" s="16"/>
    </row>
    <row r="877">
      <c r="G877" s="16"/>
      <c r="H877" s="16"/>
      <c r="I877" s="16"/>
      <c r="J877" s="16"/>
    </row>
    <row r="878">
      <c r="G878" s="16"/>
      <c r="H878" s="16"/>
      <c r="I878" s="16"/>
      <c r="J878" s="16"/>
    </row>
    <row r="879">
      <c r="G879" s="16"/>
      <c r="H879" s="16"/>
      <c r="I879" s="16"/>
      <c r="J879" s="16"/>
    </row>
    <row r="880">
      <c r="G880" s="16"/>
      <c r="H880" s="16"/>
      <c r="I880" s="16"/>
      <c r="J880" s="16"/>
    </row>
    <row r="881">
      <c r="G881" s="16"/>
      <c r="H881" s="16"/>
      <c r="I881" s="16"/>
      <c r="J881" s="16"/>
    </row>
    <row r="882">
      <c r="G882" s="16"/>
      <c r="H882" s="16"/>
      <c r="I882" s="16"/>
      <c r="J882" s="16"/>
    </row>
    <row r="883">
      <c r="G883" s="16"/>
      <c r="H883" s="16"/>
      <c r="I883" s="16"/>
      <c r="J883" s="16"/>
    </row>
    <row r="884">
      <c r="G884" s="16"/>
      <c r="H884" s="16"/>
      <c r="I884" s="16"/>
      <c r="J884" s="16"/>
    </row>
    <row r="885">
      <c r="G885" s="16"/>
      <c r="H885" s="16"/>
      <c r="I885" s="16"/>
      <c r="J885" s="16"/>
    </row>
    <row r="886">
      <c r="G886" s="16"/>
      <c r="H886" s="16"/>
      <c r="I886" s="16"/>
      <c r="J886" s="16"/>
    </row>
    <row r="887">
      <c r="G887" s="16"/>
      <c r="H887" s="16"/>
      <c r="I887" s="16"/>
      <c r="J887" s="16"/>
    </row>
    <row r="888">
      <c r="G888" s="16"/>
      <c r="H888" s="16"/>
      <c r="I888" s="16"/>
      <c r="J888" s="16"/>
    </row>
    <row r="889">
      <c r="G889" s="16"/>
      <c r="H889" s="16"/>
      <c r="I889" s="16"/>
      <c r="J889" s="16"/>
    </row>
    <row r="890">
      <c r="G890" s="16"/>
      <c r="H890" s="16"/>
      <c r="I890" s="16"/>
      <c r="J890" s="16"/>
    </row>
    <row r="891">
      <c r="G891" s="16"/>
      <c r="H891" s="16"/>
      <c r="I891" s="16"/>
      <c r="J891" s="16"/>
    </row>
    <row r="892">
      <c r="G892" s="16"/>
      <c r="H892" s="16"/>
      <c r="I892" s="16"/>
      <c r="J892" s="16"/>
    </row>
    <row r="893">
      <c r="G893" s="16"/>
      <c r="H893" s="16"/>
      <c r="I893" s="16"/>
      <c r="J893" s="16"/>
    </row>
    <row r="894">
      <c r="G894" s="16"/>
      <c r="H894" s="16"/>
      <c r="I894" s="16"/>
      <c r="J894" s="16"/>
    </row>
    <row r="895">
      <c r="G895" s="16"/>
      <c r="H895" s="16"/>
      <c r="I895" s="16"/>
      <c r="J895" s="16"/>
    </row>
    <row r="896">
      <c r="G896" s="16"/>
      <c r="H896" s="16"/>
      <c r="I896" s="16"/>
      <c r="J896" s="16"/>
    </row>
    <row r="897">
      <c r="G897" s="16"/>
      <c r="H897" s="16"/>
      <c r="I897" s="16"/>
      <c r="J897" s="16"/>
    </row>
    <row r="898">
      <c r="G898" s="16"/>
      <c r="H898" s="16"/>
      <c r="I898" s="16"/>
      <c r="J898" s="16"/>
    </row>
    <row r="899">
      <c r="G899" s="16"/>
      <c r="H899" s="16"/>
      <c r="I899" s="16"/>
      <c r="J899" s="16"/>
    </row>
    <row r="900">
      <c r="G900" s="16"/>
      <c r="H900" s="16"/>
      <c r="I900" s="16"/>
      <c r="J900" s="16"/>
    </row>
    <row r="901">
      <c r="G901" s="16"/>
      <c r="H901" s="16"/>
      <c r="I901" s="16"/>
      <c r="J901" s="16"/>
    </row>
    <row r="902">
      <c r="G902" s="16"/>
      <c r="H902" s="16"/>
      <c r="I902" s="16"/>
      <c r="J902" s="16"/>
    </row>
    <row r="903">
      <c r="G903" s="16"/>
      <c r="H903" s="16"/>
      <c r="I903" s="16"/>
      <c r="J903" s="16"/>
    </row>
    <row r="904">
      <c r="G904" s="16"/>
      <c r="H904" s="16"/>
      <c r="I904" s="16"/>
      <c r="J904" s="16"/>
    </row>
    <row r="905">
      <c r="G905" s="16"/>
      <c r="H905" s="16"/>
      <c r="I905" s="16"/>
      <c r="J905" s="16"/>
    </row>
    <row r="906">
      <c r="G906" s="16"/>
      <c r="H906" s="16"/>
      <c r="I906" s="16"/>
      <c r="J906" s="16"/>
    </row>
    <row r="907">
      <c r="G907" s="16"/>
      <c r="H907" s="16"/>
      <c r="I907" s="16"/>
      <c r="J907" s="16"/>
    </row>
    <row r="908">
      <c r="G908" s="16"/>
      <c r="H908" s="16"/>
      <c r="I908" s="16"/>
      <c r="J908" s="16"/>
    </row>
    <row r="909">
      <c r="G909" s="16"/>
      <c r="H909" s="16"/>
      <c r="I909" s="16"/>
      <c r="J909" s="16"/>
    </row>
    <row r="910">
      <c r="G910" s="16"/>
      <c r="H910" s="16"/>
      <c r="I910" s="16"/>
      <c r="J910" s="16"/>
    </row>
    <row r="911">
      <c r="G911" s="16"/>
      <c r="H911" s="16"/>
      <c r="I911" s="16"/>
      <c r="J911" s="16"/>
    </row>
    <row r="912">
      <c r="G912" s="16"/>
      <c r="H912" s="16"/>
      <c r="I912" s="16"/>
      <c r="J912" s="16"/>
    </row>
    <row r="913">
      <c r="G913" s="16"/>
      <c r="H913" s="16"/>
      <c r="I913" s="16"/>
      <c r="J913" s="16"/>
    </row>
    <row r="914">
      <c r="G914" s="16"/>
      <c r="H914" s="16"/>
      <c r="I914" s="16"/>
      <c r="J914" s="16"/>
    </row>
    <row r="915">
      <c r="G915" s="16"/>
      <c r="H915" s="16"/>
      <c r="I915" s="16"/>
      <c r="J915" s="16"/>
    </row>
    <row r="916">
      <c r="G916" s="16"/>
      <c r="H916" s="16"/>
      <c r="I916" s="16"/>
      <c r="J916" s="16"/>
    </row>
    <row r="917">
      <c r="G917" s="16"/>
      <c r="H917" s="16"/>
      <c r="I917" s="16"/>
      <c r="J917" s="16"/>
    </row>
    <row r="918">
      <c r="G918" s="16"/>
      <c r="H918" s="16"/>
      <c r="I918" s="16"/>
      <c r="J918" s="16"/>
    </row>
    <row r="919">
      <c r="G919" s="16"/>
      <c r="H919" s="16"/>
      <c r="I919" s="16"/>
      <c r="J919" s="16"/>
    </row>
    <row r="920">
      <c r="G920" s="16"/>
      <c r="H920" s="16"/>
      <c r="I920" s="16"/>
      <c r="J920" s="16"/>
    </row>
    <row r="921">
      <c r="G921" s="16"/>
      <c r="H921" s="16"/>
      <c r="I921" s="16"/>
      <c r="J921" s="16"/>
    </row>
    <row r="922">
      <c r="G922" s="16"/>
      <c r="H922" s="16"/>
      <c r="I922" s="16"/>
      <c r="J922" s="16"/>
    </row>
    <row r="923">
      <c r="G923" s="16"/>
      <c r="H923" s="16"/>
      <c r="I923" s="16"/>
      <c r="J923" s="16"/>
    </row>
    <row r="924">
      <c r="G924" s="16"/>
      <c r="H924" s="16"/>
      <c r="I924" s="16"/>
      <c r="J924" s="16"/>
    </row>
    <row r="925">
      <c r="G925" s="16"/>
      <c r="H925" s="16"/>
      <c r="I925" s="16"/>
      <c r="J925" s="16"/>
    </row>
    <row r="926">
      <c r="G926" s="16"/>
      <c r="H926" s="16"/>
      <c r="I926" s="16"/>
      <c r="J926" s="16"/>
    </row>
    <row r="927">
      <c r="G927" s="16"/>
      <c r="H927" s="16"/>
      <c r="I927" s="16"/>
      <c r="J927" s="16"/>
    </row>
    <row r="928">
      <c r="G928" s="16"/>
      <c r="H928" s="16"/>
      <c r="I928" s="16"/>
      <c r="J928" s="16"/>
    </row>
    <row r="929">
      <c r="G929" s="16"/>
      <c r="H929" s="16"/>
      <c r="I929" s="16"/>
      <c r="J929" s="16"/>
    </row>
    <row r="930">
      <c r="G930" s="16"/>
      <c r="H930" s="16"/>
      <c r="I930" s="16"/>
      <c r="J930" s="16"/>
    </row>
    <row r="931">
      <c r="G931" s="16"/>
      <c r="H931" s="16"/>
      <c r="I931" s="16"/>
      <c r="J931" s="16"/>
    </row>
    <row r="932">
      <c r="G932" s="16"/>
      <c r="H932" s="16"/>
      <c r="I932" s="16"/>
      <c r="J932" s="16"/>
    </row>
    <row r="933">
      <c r="G933" s="16"/>
      <c r="H933" s="16"/>
      <c r="I933" s="16"/>
      <c r="J933" s="16"/>
    </row>
    <row r="934">
      <c r="G934" s="16"/>
      <c r="H934" s="16"/>
      <c r="I934" s="16"/>
      <c r="J934" s="16"/>
    </row>
    <row r="935">
      <c r="G935" s="16"/>
      <c r="H935" s="16"/>
      <c r="I935" s="16"/>
      <c r="J935" s="16"/>
    </row>
    <row r="936">
      <c r="G936" s="16"/>
      <c r="H936" s="16"/>
      <c r="I936" s="16"/>
      <c r="J936" s="16"/>
    </row>
    <row r="937">
      <c r="G937" s="16"/>
      <c r="H937" s="16"/>
      <c r="I937" s="16"/>
      <c r="J937" s="16"/>
    </row>
    <row r="938">
      <c r="G938" s="16"/>
      <c r="H938" s="16"/>
      <c r="I938" s="16"/>
      <c r="J938" s="16"/>
    </row>
    <row r="939">
      <c r="G939" s="16"/>
      <c r="H939" s="16"/>
      <c r="I939" s="16"/>
      <c r="J939" s="16"/>
    </row>
    <row r="940">
      <c r="G940" s="16"/>
      <c r="H940" s="16"/>
      <c r="I940" s="16"/>
      <c r="J940" s="16"/>
    </row>
    <row r="941">
      <c r="G941" s="16"/>
      <c r="H941" s="16"/>
      <c r="I941" s="16"/>
      <c r="J941" s="16"/>
    </row>
    <row r="942">
      <c r="G942" s="16"/>
      <c r="H942" s="16"/>
      <c r="I942" s="16"/>
      <c r="J942" s="16"/>
    </row>
    <row r="943">
      <c r="G943" s="16"/>
      <c r="H943" s="16"/>
      <c r="I943" s="16"/>
      <c r="J943" s="16"/>
    </row>
    <row r="944">
      <c r="G944" s="16"/>
      <c r="H944" s="16"/>
      <c r="I944" s="16"/>
      <c r="J944" s="16"/>
    </row>
    <row r="945">
      <c r="G945" s="16"/>
      <c r="H945" s="16"/>
      <c r="I945" s="16"/>
      <c r="J945" s="16"/>
    </row>
    <row r="946">
      <c r="G946" s="16"/>
      <c r="H946" s="16"/>
      <c r="I946" s="16"/>
      <c r="J946" s="16"/>
    </row>
    <row r="947">
      <c r="G947" s="16"/>
      <c r="H947" s="16"/>
      <c r="I947" s="16"/>
      <c r="J947" s="16"/>
    </row>
    <row r="948">
      <c r="G948" s="16"/>
      <c r="H948" s="16"/>
      <c r="I948" s="16"/>
      <c r="J948" s="16"/>
    </row>
    <row r="949">
      <c r="G949" s="16"/>
      <c r="H949" s="16"/>
      <c r="I949" s="16"/>
      <c r="J949" s="16"/>
    </row>
    <row r="950">
      <c r="G950" s="16"/>
      <c r="H950" s="16"/>
      <c r="I950" s="16"/>
      <c r="J950" s="16"/>
    </row>
    <row r="951">
      <c r="G951" s="16"/>
      <c r="H951" s="16"/>
      <c r="I951" s="16"/>
      <c r="J951" s="16"/>
    </row>
    <row r="952">
      <c r="G952" s="16"/>
      <c r="H952" s="16"/>
      <c r="I952" s="16"/>
      <c r="J952" s="16"/>
    </row>
    <row r="953">
      <c r="G953" s="16"/>
      <c r="H953" s="16"/>
      <c r="I953" s="16"/>
      <c r="J953" s="16"/>
    </row>
    <row r="954">
      <c r="G954" s="16"/>
      <c r="H954" s="16"/>
      <c r="I954" s="16"/>
      <c r="J954" s="16"/>
    </row>
    <row r="955">
      <c r="G955" s="16"/>
      <c r="H955" s="16"/>
      <c r="I955" s="16"/>
      <c r="J955" s="16"/>
    </row>
    <row r="956">
      <c r="G956" s="16"/>
      <c r="H956" s="16"/>
      <c r="I956" s="16"/>
      <c r="J956" s="16"/>
    </row>
    <row r="957">
      <c r="G957" s="16"/>
      <c r="H957" s="16"/>
      <c r="I957" s="16"/>
      <c r="J957" s="16"/>
    </row>
    <row r="958">
      <c r="G958" s="16"/>
      <c r="H958" s="16"/>
      <c r="I958" s="16"/>
      <c r="J958" s="16"/>
    </row>
    <row r="959">
      <c r="G959" s="16"/>
      <c r="H959" s="16"/>
      <c r="I959" s="16"/>
      <c r="J959" s="16"/>
    </row>
    <row r="960">
      <c r="G960" s="16"/>
      <c r="H960" s="16"/>
      <c r="I960" s="16"/>
      <c r="J960" s="16"/>
    </row>
    <row r="961">
      <c r="G961" s="16"/>
      <c r="H961" s="16"/>
      <c r="I961" s="16"/>
      <c r="J961" s="16"/>
    </row>
    <row r="962">
      <c r="G962" s="16"/>
      <c r="H962" s="16"/>
      <c r="I962" s="16"/>
      <c r="J962" s="16"/>
    </row>
    <row r="963">
      <c r="G963" s="16"/>
      <c r="H963" s="16"/>
      <c r="I963" s="16"/>
      <c r="J963" s="16"/>
    </row>
    <row r="964">
      <c r="G964" s="16"/>
      <c r="H964" s="16"/>
      <c r="I964" s="16"/>
      <c r="J964" s="16"/>
    </row>
    <row r="965">
      <c r="G965" s="16"/>
      <c r="H965" s="16"/>
      <c r="I965" s="16"/>
      <c r="J965" s="16"/>
    </row>
    <row r="966">
      <c r="G966" s="16"/>
      <c r="H966" s="16"/>
      <c r="I966" s="16"/>
      <c r="J966" s="16"/>
    </row>
    <row r="967">
      <c r="G967" s="16"/>
      <c r="H967" s="16"/>
      <c r="I967" s="16"/>
      <c r="J967" s="16"/>
    </row>
    <row r="968">
      <c r="G968" s="16"/>
      <c r="H968" s="16"/>
      <c r="I968" s="16"/>
      <c r="J968" s="16"/>
    </row>
    <row r="969">
      <c r="G969" s="16"/>
      <c r="H969" s="16"/>
      <c r="I969" s="16"/>
      <c r="J969" s="16"/>
    </row>
    <row r="970">
      <c r="G970" s="16"/>
      <c r="H970" s="16"/>
      <c r="I970" s="16"/>
      <c r="J970" s="16"/>
    </row>
    <row r="971">
      <c r="G971" s="16"/>
      <c r="H971" s="16"/>
      <c r="I971" s="16"/>
      <c r="J971" s="16"/>
    </row>
    <row r="972">
      <c r="G972" s="16"/>
      <c r="H972" s="16"/>
      <c r="I972" s="16"/>
      <c r="J972" s="16"/>
    </row>
    <row r="973">
      <c r="G973" s="16"/>
      <c r="H973" s="16"/>
      <c r="I973" s="16"/>
      <c r="J973" s="16"/>
    </row>
    <row r="974">
      <c r="G974" s="16"/>
      <c r="H974" s="16"/>
      <c r="I974" s="16"/>
      <c r="J974" s="16"/>
    </row>
    <row r="975">
      <c r="G975" s="16"/>
      <c r="H975" s="16"/>
      <c r="I975" s="16"/>
      <c r="J975" s="16"/>
    </row>
    <row r="976">
      <c r="G976" s="16"/>
      <c r="H976" s="16"/>
      <c r="I976" s="16"/>
      <c r="J976" s="16"/>
    </row>
    <row r="977">
      <c r="G977" s="16"/>
      <c r="H977" s="16"/>
      <c r="I977" s="16"/>
      <c r="J977" s="16"/>
    </row>
    <row r="978">
      <c r="G978" s="16"/>
      <c r="H978" s="16"/>
      <c r="I978" s="16"/>
      <c r="J978" s="16"/>
    </row>
    <row r="979">
      <c r="G979" s="16"/>
      <c r="H979" s="16"/>
      <c r="I979" s="16"/>
      <c r="J979" s="16"/>
    </row>
    <row r="980">
      <c r="G980" s="16"/>
      <c r="H980" s="16"/>
      <c r="I980" s="16"/>
      <c r="J980" s="16"/>
    </row>
    <row r="981">
      <c r="G981" s="16"/>
      <c r="H981" s="16"/>
      <c r="I981" s="16"/>
      <c r="J981" s="16"/>
    </row>
    <row r="982">
      <c r="G982" s="16"/>
      <c r="H982" s="16"/>
      <c r="I982" s="16"/>
      <c r="J982" s="16"/>
    </row>
    <row r="983">
      <c r="G983" s="16"/>
      <c r="H983" s="16"/>
      <c r="I983" s="16"/>
      <c r="J983" s="16"/>
    </row>
    <row r="984">
      <c r="G984" s="16"/>
      <c r="H984" s="16"/>
      <c r="I984" s="16"/>
      <c r="J984" s="16"/>
    </row>
    <row r="985">
      <c r="G985" s="16"/>
      <c r="H985" s="16"/>
      <c r="I985" s="16"/>
      <c r="J985" s="16"/>
    </row>
    <row r="986">
      <c r="G986" s="16"/>
      <c r="H986" s="16"/>
      <c r="I986" s="16"/>
      <c r="J986" s="16"/>
    </row>
    <row r="987">
      <c r="G987" s="16"/>
      <c r="H987" s="16"/>
      <c r="I987" s="16"/>
      <c r="J987" s="16"/>
    </row>
    <row r="988">
      <c r="G988" s="16"/>
      <c r="H988" s="16"/>
      <c r="I988" s="16"/>
      <c r="J988" s="16"/>
    </row>
    <row r="989">
      <c r="G989" s="16"/>
      <c r="H989" s="16"/>
      <c r="I989" s="16"/>
      <c r="J989" s="16"/>
    </row>
    <row r="990">
      <c r="G990" s="16"/>
      <c r="H990" s="16"/>
      <c r="I990" s="16"/>
      <c r="J990" s="16"/>
    </row>
    <row r="991">
      <c r="G991" s="16"/>
      <c r="H991" s="16"/>
      <c r="I991" s="16"/>
      <c r="J991" s="16"/>
    </row>
    <row r="992">
      <c r="G992" s="16"/>
      <c r="H992" s="16"/>
      <c r="I992" s="16"/>
      <c r="J992" s="16"/>
    </row>
    <row r="993">
      <c r="G993" s="16"/>
      <c r="H993" s="16"/>
      <c r="I993" s="16"/>
      <c r="J993" s="16"/>
    </row>
    <row r="994">
      <c r="G994" s="16"/>
      <c r="H994" s="16"/>
      <c r="I994" s="16"/>
      <c r="J994" s="16"/>
    </row>
    <row r="995">
      <c r="G995" s="16"/>
      <c r="H995" s="16"/>
      <c r="I995" s="16"/>
      <c r="J995" s="16"/>
    </row>
    <row r="996">
      <c r="G996" s="16"/>
      <c r="H996" s="16"/>
      <c r="I996" s="16"/>
      <c r="J996" s="16"/>
    </row>
    <row r="997">
      <c r="G997" s="16"/>
      <c r="H997" s="16"/>
      <c r="I997" s="16"/>
      <c r="J997" s="16"/>
    </row>
    <row r="998">
      <c r="G998" s="16"/>
      <c r="H998" s="16"/>
      <c r="I998" s="16"/>
      <c r="J998" s="16"/>
    </row>
    <row r="999">
      <c r="G999" s="16"/>
      <c r="H999" s="16"/>
      <c r="I999" s="16"/>
      <c r="J999" s="16"/>
    </row>
    <row r="1000">
      <c r="G1000" s="16"/>
      <c r="H1000" s="16"/>
      <c r="I1000" s="16"/>
      <c r="J1000" s="16"/>
    </row>
  </sheetData>
  <printOptions gridLines="1" horizontalCentered="1"/>
  <pageMargins bottom="0.75" footer="0.0" header="0.0" left="0.7" right="0.7" top="0.75"/>
  <pageSetup cellComments="atEnd" orientation="portrait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3" width="11.0"/>
    <col customWidth="1" min="4" max="4" width="25.25"/>
    <col hidden="1" min="9" max="9" width="12.63"/>
    <col customWidth="1" hidden="1" min="10" max="10" width="14.25"/>
    <col customWidth="1" min="11" max="11" width="14.25"/>
    <col customWidth="1" min="16" max="16" width="18.25"/>
    <col customWidth="1" min="20" max="20" width="18.13"/>
  </cols>
  <sheetData>
    <row r="1">
      <c r="A1" s="2" t="s">
        <v>1250</v>
      </c>
      <c r="B1" s="17" t="s">
        <v>1251</v>
      </c>
      <c r="C1" s="17" t="s">
        <v>1252</v>
      </c>
      <c r="D1" s="5" t="s">
        <v>919</v>
      </c>
      <c r="E1" s="5" t="s">
        <v>920</v>
      </c>
      <c r="F1" s="5" t="s">
        <v>921</v>
      </c>
      <c r="G1" s="5" t="s">
        <v>922</v>
      </c>
      <c r="H1" s="5" t="s">
        <v>923</v>
      </c>
      <c r="I1" s="2" t="s">
        <v>1253</v>
      </c>
      <c r="J1" s="2" t="s">
        <v>1254</v>
      </c>
      <c r="K1" s="17" t="s">
        <v>925</v>
      </c>
      <c r="L1" s="18" t="s">
        <v>926</v>
      </c>
      <c r="M1" s="17" t="s">
        <v>927</v>
      </c>
      <c r="N1" s="2"/>
      <c r="P1" s="2" t="s">
        <v>1255</v>
      </c>
      <c r="R1" s="2" t="s">
        <v>1250</v>
      </c>
      <c r="T1" s="2" t="s">
        <v>926</v>
      </c>
      <c r="V1" s="2" t="s">
        <v>1250</v>
      </c>
      <c r="Z1" s="2" t="s">
        <v>1250</v>
      </c>
      <c r="AA1" s="2" t="s">
        <v>4</v>
      </c>
    </row>
    <row r="2">
      <c r="A2" s="19" t="str">
        <f>vlookup(D2,'Player Codes'!A:D,4,)</f>
        <v>0167</v>
      </c>
      <c r="B2" s="20">
        <f t="shared" ref="B2:B301" si="1">(301-C2)/300*0.3</f>
        <v>0.3</v>
      </c>
      <c r="C2" s="5">
        <v>1.0</v>
      </c>
      <c r="D2" s="5" t="s">
        <v>251</v>
      </c>
      <c r="E2" s="5" t="s">
        <v>928</v>
      </c>
      <c r="F2" s="5" t="s">
        <v>929</v>
      </c>
      <c r="G2" s="5">
        <v>13.0</v>
      </c>
      <c r="H2" s="5">
        <v>372.5</v>
      </c>
      <c r="I2" s="21">
        <f>vlookup(A2,'ESPN FF Rankings'!$C$2:$H$201,2,false)</f>
        <v>38</v>
      </c>
      <c r="J2" s="5">
        <f t="shared" ref="J2:J301" si="2">MEDIAN(C2,I2)</f>
        <v>19.5</v>
      </c>
      <c r="K2" s="21">
        <f>vlookup(A2,'VORP SCORE'!$A$2:$I$301,9,)</f>
        <v>1</v>
      </c>
      <c r="L2" s="22">
        <f>vlookup(A2,'Risk Score'!$A$4:$H$350,8,)</f>
        <v>3</v>
      </c>
      <c r="M2" s="21">
        <f>vlookup(A2,FLEX!$D$2:$F$305,3,)</f>
        <v>1</v>
      </c>
      <c r="N2" s="21"/>
      <c r="P2" s="5" t="s">
        <v>95</v>
      </c>
      <c r="Q2" s="5">
        <v>183.1</v>
      </c>
      <c r="R2" s="19" t="str">
        <f>vlookup(P2,'Player Codes'!A:D,4,)</f>
        <v>0174</v>
      </c>
      <c r="T2" s="5" t="s">
        <v>93</v>
      </c>
      <c r="U2" s="3">
        <v>4.0</v>
      </c>
      <c r="V2" s="19" t="str">
        <f>vlookup(T2,'Player Codes'!A:D,4,)</f>
        <v>0001</v>
      </c>
      <c r="W2" s="3"/>
      <c r="X2" s="5" t="s">
        <v>93</v>
      </c>
      <c r="Y2" s="3">
        <v>4.0</v>
      </c>
      <c r="Z2" s="1" t="s">
        <v>1256</v>
      </c>
      <c r="AA2" s="5" t="s">
        <v>93</v>
      </c>
    </row>
    <row r="3">
      <c r="A3" s="19" t="str">
        <f>vlookup(D3,'Player Codes'!A:D,4,)</f>
        <v>0140</v>
      </c>
      <c r="B3" s="20">
        <f t="shared" si="1"/>
        <v>0.299</v>
      </c>
      <c r="C3" s="5">
        <v>2.0</v>
      </c>
      <c r="D3" s="5" t="s">
        <v>264</v>
      </c>
      <c r="E3" s="5" t="s">
        <v>930</v>
      </c>
      <c r="F3" s="5" t="s">
        <v>931</v>
      </c>
      <c r="G3" s="5">
        <v>10.0</v>
      </c>
      <c r="H3" s="5">
        <v>369.0</v>
      </c>
      <c r="I3" s="21">
        <f>vlookup(A3,'ESPN FF Rankings'!$C$2:$H$201,2,false)</f>
        <v>42</v>
      </c>
      <c r="J3" s="5">
        <f t="shared" si="2"/>
        <v>22</v>
      </c>
      <c r="K3" s="21">
        <f>vlookup(A3,'VORP SCORE'!$A$2:$I$301,9,)</f>
        <v>2</v>
      </c>
      <c r="L3" s="22">
        <f>vlookup(A3,'Risk Score'!$A$4:$H$350,8,)</f>
        <v>3</v>
      </c>
      <c r="M3" s="21">
        <f>vlookup(A3,FLEX!$D$2:$F$305,3,)</f>
        <v>1</v>
      </c>
      <c r="N3" s="21"/>
      <c r="P3" s="5" t="s">
        <v>67</v>
      </c>
      <c r="Q3" s="5">
        <v>174.4</v>
      </c>
      <c r="R3" s="19" t="str">
        <f>vlookup(P3,'Player Codes'!A:D,4,)</f>
        <v>0132</v>
      </c>
      <c r="T3" s="5" t="s">
        <v>465</v>
      </c>
      <c r="U3" s="3">
        <v>5.0</v>
      </c>
      <c r="V3" s="19" t="str">
        <f>vlookup(T3,'Player Codes'!A:D,4,)</f>
        <v>0004</v>
      </c>
      <c r="W3" s="3"/>
      <c r="X3" s="5" t="s">
        <v>309</v>
      </c>
      <c r="Y3" s="3">
        <v>3.0</v>
      </c>
      <c r="Z3" s="1" t="s">
        <v>1257</v>
      </c>
      <c r="AA3" s="5" t="s">
        <v>59</v>
      </c>
    </row>
    <row r="4">
      <c r="A4" s="19" t="str">
        <f>vlookup(D4,'Player Codes'!A:D,4,)</f>
        <v>0235</v>
      </c>
      <c r="B4" s="20">
        <f t="shared" si="1"/>
        <v>0.298</v>
      </c>
      <c r="C4" s="5">
        <v>3.0</v>
      </c>
      <c r="D4" s="5" t="s">
        <v>267</v>
      </c>
      <c r="E4" s="5" t="s">
        <v>932</v>
      </c>
      <c r="F4" s="5" t="s">
        <v>933</v>
      </c>
      <c r="G4" s="5">
        <v>10.0</v>
      </c>
      <c r="H4" s="5">
        <v>361.0</v>
      </c>
      <c r="I4" s="21">
        <f>vlookup(A4,'ESPN FF Rankings'!$C$2:$H$201,2,false)</f>
        <v>30</v>
      </c>
      <c r="J4" s="5">
        <f t="shared" si="2"/>
        <v>16.5</v>
      </c>
      <c r="K4" s="21">
        <f>vlookup(A4,'VORP SCORE'!$A$2:$I$301,9,)</f>
        <v>3</v>
      </c>
      <c r="L4" s="22">
        <f>vlookup(A4,'Risk Score'!$A$4:$H$350,8,)</f>
        <v>3</v>
      </c>
      <c r="M4" s="21">
        <f>vlookup(A4,FLEX!$D$2:$F$305,3,)</f>
        <v>1</v>
      </c>
      <c r="N4" s="21"/>
      <c r="P4" s="5" t="s">
        <v>14</v>
      </c>
      <c r="Q4" s="5">
        <v>165.9</v>
      </c>
      <c r="R4" s="19" t="str">
        <f>vlookup(P4,'Player Codes'!A:D,4,)</f>
        <v>0055</v>
      </c>
      <c r="T4" s="5" t="s">
        <v>721</v>
      </c>
      <c r="U4" s="3">
        <v>3.0</v>
      </c>
      <c r="V4" s="19" t="str">
        <f>vlookup(T4,'Player Codes'!A:D,4,)</f>
        <v>0006</v>
      </c>
      <c r="W4" s="3"/>
      <c r="X4" s="5" t="s">
        <v>59</v>
      </c>
      <c r="Y4" s="3">
        <v>5.0</v>
      </c>
      <c r="Z4" s="1" t="s">
        <v>1258</v>
      </c>
      <c r="AA4" s="5" t="s">
        <v>196</v>
      </c>
    </row>
    <row r="5">
      <c r="A5" s="19" t="str">
        <f>vlookup(D5,'Player Codes'!A:D,4,)</f>
        <v>0159</v>
      </c>
      <c r="B5" s="20">
        <f t="shared" si="1"/>
        <v>0.297</v>
      </c>
      <c r="C5" s="5">
        <v>4.0</v>
      </c>
      <c r="D5" s="5" t="s">
        <v>207</v>
      </c>
      <c r="E5" s="5" t="s">
        <v>934</v>
      </c>
      <c r="F5" s="5" t="s">
        <v>935</v>
      </c>
      <c r="G5" s="5">
        <v>7.0</v>
      </c>
      <c r="H5" s="5">
        <v>345.7</v>
      </c>
      <c r="I5" s="21">
        <f>vlookup(A5,'ESPN FF Rankings'!$C$2:$H$201,2,false)</f>
        <v>59</v>
      </c>
      <c r="J5" s="5">
        <f t="shared" si="2"/>
        <v>31.5</v>
      </c>
      <c r="K5" s="21">
        <f>vlookup(A5,'VORP SCORE'!$A$2:$I$301,9,)</f>
        <v>4</v>
      </c>
      <c r="L5" s="22">
        <f>vlookup(A5,'Risk Score'!$A$4:$H$350,8,)</f>
        <v>4</v>
      </c>
      <c r="M5" s="21">
        <f>vlookup(A5,FLEX!$D$2:$F$305,3,)</f>
        <v>1</v>
      </c>
      <c r="N5" s="21"/>
      <c r="P5" s="5" t="s">
        <v>18</v>
      </c>
      <c r="Q5" s="5">
        <v>157.3</v>
      </c>
      <c r="R5" s="19" t="str">
        <f>vlookup(P5,'Player Codes'!A:D,4,)</f>
        <v>0018</v>
      </c>
      <c r="T5" s="5" t="s">
        <v>361</v>
      </c>
      <c r="U5" s="3">
        <v>4.0</v>
      </c>
      <c r="V5" s="19" t="str">
        <f>vlookup(T5,'Player Codes'!A:D,4,)</f>
        <v>0008</v>
      </c>
      <c r="W5" s="3"/>
      <c r="X5" s="5" t="s">
        <v>196</v>
      </c>
      <c r="Y5" s="3">
        <v>5.0</v>
      </c>
      <c r="Z5" s="1" t="s">
        <v>1259</v>
      </c>
      <c r="AA5" s="5" t="s">
        <v>465</v>
      </c>
    </row>
    <row r="6">
      <c r="A6" s="19" t="str">
        <f>vlookup(D6,'Player Codes'!A:D,4,)</f>
        <v>0195</v>
      </c>
      <c r="B6" s="20">
        <f t="shared" si="1"/>
        <v>0.296</v>
      </c>
      <c r="C6" s="5">
        <v>5.0</v>
      </c>
      <c r="D6" s="5" t="s">
        <v>211</v>
      </c>
      <c r="E6" s="5" t="s">
        <v>936</v>
      </c>
      <c r="F6" s="5" t="s">
        <v>1007</v>
      </c>
      <c r="G6" s="5">
        <v>13.0</v>
      </c>
      <c r="H6" s="5">
        <v>325.4</v>
      </c>
      <c r="I6" s="21">
        <f>vlookup(A6,'ESPN FF Rankings'!$C$2:$H$201,2,false)</f>
        <v>56</v>
      </c>
      <c r="J6" s="5">
        <f t="shared" si="2"/>
        <v>30.5</v>
      </c>
      <c r="K6" s="21">
        <f>vlookup(A6,'VORP SCORE'!$A$2:$I$301,9,)</f>
        <v>5</v>
      </c>
      <c r="L6" s="22">
        <f>vlookup(A6,'Risk Score'!$A$4:$H$350,8,)</f>
        <v>4</v>
      </c>
      <c r="M6" s="21">
        <f>vlookup(A6,FLEX!$D$2:$F$305,3,)</f>
        <v>1</v>
      </c>
      <c r="N6" s="21"/>
      <c r="P6" s="5" t="s">
        <v>26</v>
      </c>
      <c r="Q6" s="5">
        <v>132.6</v>
      </c>
      <c r="R6" s="19" t="str">
        <f>vlookup(P6,'Player Codes'!A:D,4,)</f>
        <v>0259</v>
      </c>
      <c r="T6" s="2" t="s">
        <v>856</v>
      </c>
      <c r="U6" s="3">
        <v>5.0</v>
      </c>
      <c r="V6" s="19" t="str">
        <f>vlookup(T6,'Player Codes'!A:D,4,)</f>
        <v>0009</v>
      </c>
      <c r="W6" s="3"/>
      <c r="X6" s="5" t="s">
        <v>465</v>
      </c>
      <c r="Y6" s="3">
        <v>5.0</v>
      </c>
      <c r="Z6" s="1" t="s">
        <v>1260</v>
      </c>
      <c r="AA6" s="5" t="s">
        <v>1261</v>
      </c>
    </row>
    <row r="7">
      <c r="A7" s="19" t="str">
        <f>vlookup(D7,'Player Codes'!A:D,4,)</f>
        <v>0173</v>
      </c>
      <c r="B7" s="20">
        <f t="shared" si="1"/>
        <v>0.295</v>
      </c>
      <c r="C7" s="5">
        <v>6.0</v>
      </c>
      <c r="D7" s="5" t="s">
        <v>219</v>
      </c>
      <c r="E7" s="5" t="s">
        <v>937</v>
      </c>
      <c r="F7" s="5" t="s">
        <v>938</v>
      </c>
      <c r="G7" s="5">
        <v>5.0</v>
      </c>
      <c r="H7" s="5">
        <v>314.0</v>
      </c>
      <c r="I7" s="21">
        <f>vlookup(A7,'ESPN FF Rankings'!$C$2:$H$201,2,false)</f>
        <v>78</v>
      </c>
      <c r="J7" s="5">
        <f t="shared" si="2"/>
        <v>42</v>
      </c>
      <c r="K7" s="21">
        <f>vlookup(A7,'VORP SCORE'!$A$2:$I$301,9,)</f>
        <v>6</v>
      </c>
      <c r="L7" s="22">
        <f>vlookup(A7,'Risk Score'!$A$4:$H$350,8,)</f>
        <v>4</v>
      </c>
      <c r="M7" s="21">
        <f>vlookup(A7,FLEX!$D$2:$F$305,3,)</f>
        <v>1</v>
      </c>
      <c r="N7" s="21"/>
      <c r="P7" s="5" t="s">
        <v>71</v>
      </c>
      <c r="Q7" s="5">
        <v>173.70000000000002</v>
      </c>
      <c r="R7" s="19" t="str">
        <f>vlookup(P7,'Player Codes'!A:D,4,)</f>
        <v>0063</v>
      </c>
      <c r="T7" s="5" t="s">
        <v>182</v>
      </c>
      <c r="U7" s="3">
        <v>4.0</v>
      </c>
      <c r="V7" s="19" t="str">
        <f>vlookup(T7,'Player Codes'!A:D,4,)</f>
        <v>0011</v>
      </c>
      <c r="W7" s="3"/>
      <c r="X7" s="2" t="s">
        <v>1262</v>
      </c>
      <c r="Y7" s="3">
        <v>4.0</v>
      </c>
      <c r="Z7" s="1" t="s">
        <v>1263</v>
      </c>
      <c r="AA7" s="5" t="s">
        <v>721</v>
      </c>
    </row>
    <row r="8">
      <c r="A8" s="19" t="str">
        <f>vlookup(D8,'Player Codes'!A:D,4,)</f>
        <v>0172</v>
      </c>
      <c r="B8" s="20">
        <f t="shared" si="1"/>
        <v>0.294</v>
      </c>
      <c r="C8" s="5">
        <v>7.0</v>
      </c>
      <c r="D8" s="2" t="s">
        <v>222</v>
      </c>
      <c r="E8" s="5" t="s">
        <v>939</v>
      </c>
      <c r="F8" s="5" t="s">
        <v>940</v>
      </c>
      <c r="G8" s="5">
        <v>13.0</v>
      </c>
      <c r="H8" s="5">
        <v>311.8</v>
      </c>
      <c r="I8" s="21">
        <f>vlookup(A8,'ESPN FF Rankings'!$C$2:$H$201,2,false)</f>
        <v>67</v>
      </c>
      <c r="J8" s="5">
        <f t="shared" si="2"/>
        <v>37</v>
      </c>
      <c r="K8" s="21">
        <f>vlookup(A8,'VORP SCORE'!$A$2:$I$301,9,)</f>
        <v>7</v>
      </c>
      <c r="L8" s="22">
        <f>vlookup(A8,'Risk Score'!$A$4:$H$350,8,)</f>
        <v>4</v>
      </c>
      <c r="M8" s="21">
        <f>vlookup(A8,FLEX!$D$2:$F$305,3,)</f>
        <v>1</v>
      </c>
      <c r="N8" s="21"/>
      <c r="P8" s="5" t="s">
        <v>47</v>
      </c>
      <c r="Q8" s="5">
        <v>146.9</v>
      </c>
      <c r="R8" s="19" t="str">
        <f>vlookup(P8,'Player Codes'!A:D,4,)</f>
        <v>0021</v>
      </c>
      <c r="T8" s="5" t="s">
        <v>175</v>
      </c>
      <c r="U8" s="3">
        <v>3.0</v>
      </c>
      <c r="V8" s="19" t="str">
        <f>vlookup(T8,'Player Codes'!A:D,4,)</f>
        <v>0012</v>
      </c>
      <c r="W8" s="3"/>
      <c r="X8" s="2" t="s">
        <v>1264</v>
      </c>
      <c r="Y8" s="3">
        <v>3.0</v>
      </c>
      <c r="Z8" s="1" t="s">
        <v>1265</v>
      </c>
      <c r="AA8" s="5" t="s">
        <v>135</v>
      </c>
    </row>
    <row r="9">
      <c r="A9" s="19" t="str">
        <f>vlookup(D9,'Player Codes'!A:D,4,)</f>
        <v>0277</v>
      </c>
      <c r="B9" s="20">
        <f t="shared" si="1"/>
        <v>0.293</v>
      </c>
      <c r="C9" s="5">
        <v>8.0</v>
      </c>
      <c r="D9" s="5" t="s">
        <v>303</v>
      </c>
      <c r="E9" s="5" t="s">
        <v>941</v>
      </c>
      <c r="F9" s="5" t="s">
        <v>942</v>
      </c>
      <c r="G9" s="5">
        <v>9.0</v>
      </c>
      <c r="H9" s="5">
        <v>301.4</v>
      </c>
      <c r="I9" s="21">
        <f>vlookup(A9,'ESPN FF Rankings'!$C$2:$H$201,2,false)</f>
        <v>74</v>
      </c>
      <c r="J9" s="5">
        <f t="shared" si="2"/>
        <v>41</v>
      </c>
      <c r="K9" s="21">
        <f>vlookup(A9,'VORP SCORE'!$A$2:$I$301,9,)</f>
        <v>8</v>
      </c>
      <c r="L9" s="22">
        <f>vlookup(A9,'Risk Score'!$A$4:$H$350,8,)</f>
        <v>2</v>
      </c>
      <c r="M9" s="21">
        <f>vlookup(A9,FLEX!$D$2:$F$305,3,)</f>
        <v>1</v>
      </c>
      <c r="N9" s="21"/>
      <c r="P9" s="5" t="s">
        <v>192</v>
      </c>
      <c r="Q9" s="5">
        <v>160.5</v>
      </c>
      <c r="R9" s="19" t="str">
        <f>vlookup(P9,'Player Codes'!A:D,4,)</f>
        <v>0276</v>
      </c>
      <c r="T9" s="5" t="s">
        <v>376</v>
      </c>
      <c r="U9" s="3">
        <v>4.0</v>
      </c>
      <c r="V9" s="19" t="str">
        <f>vlookup(T9,'Player Codes'!A:D,4,)</f>
        <v>0022</v>
      </c>
      <c r="W9" s="3"/>
      <c r="X9" s="5" t="s">
        <v>721</v>
      </c>
      <c r="Y9" s="3">
        <v>3.0</v>
      </c>
      <c r="Z9" s="1" t="s">
        <v>1266</v>
      </c>
      <c r="AA9" s="5" t="s">
        <v>361</v>
      </c>
    </row>
    <row r="10">
      <c r="A10" s="19" t="str">
        <f>vlookup(D10,'Player Codes'!A:D,4,)</f>
        <v>0090</v>
      </c>
      <c r="B10" s="20">
        <f t="shared" si="1"/>
        <v>0.292</v>
      </c>
      <c r="C10" s="5">
        <v>9.0</v>
      </c>
      <c r="D10" s="5" t="s">
        <v>275</v>
      </c>
      <c r="E10" s="5" t="s">
        <v>943</v>
      </c>
      <c r="F10" s="5" t="s">
        <v>944</v>
      </c>
      <c r="G10" s="5">
        <v>5.0</v>
      </c>
      <c r="H10" s="5">
        <v>293.2</v>
      </c>
      <c r="I10" s="21">
        <f>vlookup(A10,'ESPN FF Rankings'!$C$2:$H$201,2,false)</f>
        <v>84</v>
      </c>
      <c r="J10" s="5">
        <f t="shared" si="2"/>
        <v>46.5</v>
      </c>
      <c r="K10" s="21">
        <f>vlookup(A10,'VORP SCORE'!$A$2:$I$301,9,)</f>
        <v>9</v>
      </c>
      <c r="L10" s="22">
        <f>vlookup(A10,'Risk Score'!$A$4:$H$350,8,)</f>
        <v>3</v>
      </c>
      <c r="M10" s="21">
        <f>vlookup(A10,FLEX!$D$2:$F$305,3,)</f>
        <v>1</v>
      </c>
      <c r="N10" s="21"/>
      <c r="P10" s="5" t="s">
        <v>31</v>
      </c>
      <c r="Q10" s="5">
        <v>175.8</v>
      </c>
      <c r="R10" s="19" t="str">
        <f>vlookup(P10,'Player Codes'!A:D,4,)</f>
        <v>0291</v>
      </c>
      <c r="T10" s="5" t="s">
        <v>279</v>
      </c>
      <c r="U10" s="3">
        <v>3.0</v>
      </c>
      <c r="V10" s="19" t="str">
        <f>vlookup(T10,'Player Codes'!A:D,4,)</f>
        <v>0023</v>
      </c>
      <c r="W10" s="3"/>
      <c r="X10" s="5" t="s">
        <v>135</v>
      </c>
      <c r="Y10" s="3">
        <v>3.0</v>
      </c>
      <c r="Z10" s="1" t="s">
        <v>1267</v>
      </c>
      <c r="AA10" s="5" t="s">
        <v>856</v>
      </c>
    </row>
    <row r="11">
      <c r="A11" s="19" t="str">
        <f>vlookup(D11,'Player Codes'!A:D,4,)</f>
        <v>0112</v>
      </c>
      <c r="B11" s="20">
        <f t="shared" si="1"/>
        <v>0.291</v>
      </c>
      <c r="C11" s="5">
        <v>10.0</v>
      </c>
      <c r="D11" s="5" t="s">
        <v>227</v>
      </c>
      <c r="E11" s="5" t="s">
        <v>945</v>
      </c>
      <c r="F11" s="5" t="s">
        <v>946</v>
      </c>
      <c r="G11" s="5">
        <v>5.0</v>
      </c>
      <c r="H11" s="5">
        <v>285.9</v>
      </c>
      <c r="I11" s="21">
        <f>vlookup(A11,'ESPN FF Rankings'!$C$2:$H$201,2,false)</f>
        <v>122</v>
      </c>
      <c r="J11" s="5">
        <f t="shared" si="2"/>
        <v>66</v>
      </c>
      <c r="K11" s="21">
        <f>vlookup(A11,'VORP SCORE'!$A$2:$I$301,9,)</f>
        <v>10</v>
      </c>
      <c r="L11" s="22">
        <f>vlookup(A11,'Risk Score'!$A$4:$H$350,8,)</f>
        <v>4</v>
      </c>
      <c r="M11" s="21">
        <f>vlookup(A11,FLEX!$D$2:$F$305,3,)</f>
        <v>1</v>
      </c>
      <c r="N11" s="21"/>
      <c r="P11" s="5" t="s">
        <v>51</v>
      </c>
      <c r="Q11" s="5">
        <v>117.6</v>
      </c>
      <c r="R11" s="19" t="str">
        <f>vlookup(P11,'Player Codes'!A:D,4,)</f>
        <v>0164</v>
      </c>
      <c r="T11" s="5" t="s">
        <v>1268</v>
      </c>
      <c r="U11" s="3">
        <v>3.0</v>
      </c>
      <c r="V11" s="23">
        <v>0.0</v>
      </c>
      <c r="W11" s="3"/>
      <c r="X11" s="5" t="s">
        <v>361</v>
      </c>
      <c r="Y11" s="3">
        <v>4.0</v>
      </c>
      <c r="Z11" s="1" t="s">
        <v>1269</v>
      </c>
      <c r="AA11" s="5" t="s">
        <v>205</v>
      </c>
    </row>
    <row r="12">
      <c r="A12" s="19" t="str">
        <f>vlookup(D12,'Player Codes'!A:D,4,)</f>
        <v>0077</v>
      </c>
      <c r="B12" s="20">
        <f t="shared" si="1"/>
        <v>0.29</v>
      </c>
      <c r="C12" s="5">
        <v>11.0</v>
      </c>
      <c r="D12" s="5" t="s">
        <v>173</v>
      </c>
      <c r="E12" s="5" t="s">
        <v>947</v>
      </c>
      <c r="F12" s="5" t="s">
        <v>948</v>
      </c>
      <c r="G12" s="5">
        <v>13.0</v>
      </c>
      <c r="H12" s="5">
        <v>284.1</v>
      </c>
      <c r="I12" s="21">
        <f>vlookup(A12,'ESPN FF Rankings'!$C$2:$H$201,2,false)</f>
        <v>110</v>
      </c>
      <c r="J12" s="5">
        <f t="shared" si="2"/>
        <v>60.5</v>
      </c>
      <c r="K12" s="21">
        <f>vlookup(A12,'VORP SCORE'!$A$2:$I$301,9,)</f>
        <v>11</v>
      </c>
      <c r="L12" s="22">
        <f>vlookup(A12,'Risk Score'!$A$4:$H$350,8,)</f>
        <v>5</v>
      </c>
      <c r="M12" s="21">
        <f>vlookup(A12,FLEX!$D$2:$F$305,3,)</f>
        <v>1</v>
      </c>
      <c r="N12" s="21"/>
      <c r="P12" s="5" t="s">
        <v>39</v>
      </c>
      <c r="Q12" s="5">
        <v>133.2</v>
      </c>
      <c r="R12" s="19" t="str">
        <f>vlookup(P12,'Player Codes'!A:D,4,)</f>
        <v>0089</v>
      </c>
      <c r="T12" s="5" t="s">
        <v>1270</v>
      </c>
      <c r="U12" s="3">
        <v>5.0</v>
      </c>
      <c r="V12" s="23">
        <v>0.0</v>
      </c>
      <c r="W12" s="3"/>
      <c r="X12" s="5" t="s">
        <v>1271</v>
      </c>
      <c r="Y12" s="3">
        <v>5.0</v>
      </c>
      <c r="Z12" s="1" t="s">
        <v>1272</v>
      </c>
      <c r="AA12" s="5" t="s">
        <v>182</v>
      </c>
    </row>
    <row r="13">
      <c r="A13" s="19" t="str">
        <f>vlookup(D13,'Player Codes'!A:D,4,)</f>
        <v>0068</v>
      </c>
      <c r="B13" s="20">
        <f t="shared" si="1"/>
        <v>0.289</v>
      </c>
      <c r="C13" s="5">
        <v>12.0</v>
      </c>
      <c r="D13" s="5" t="s">
        <v>229</v>
      </c>
      <c r="E13" s="5" t="s">
        <v>951</v>
      </c>
      <c r="F13" s="5" t="s">
        <v>952</v>
      </c>
      <c r="G13" s="5">
        <v>7.0</v>
      </c>
      <c r="H13" s="5">
        <v>278.0</v>
      </c>
      <c r="I13" s="21">
        <f>vlookup(A13,'ESPN FF Rankings'!$C$2:$H$201,2,false)</f>
        <v>92</v>
      </c>
      <c r="J13" s="5">
        <f t="shared" si="2"/>
        <v>52</v>
      </c>
      <c r="K13" s="21">
        <f>vlookup(A13,'VORP SCORE'!$A$2:$I$301,9,)</f>
        <v>12</v>
      </c>
      <c r="L13" s="22">
        <f>vlookup(A13,'Risk Score'!$A$4:$H$350,8,)</f>
        <v>4</v>
      </c>
      <c r="M13" s="21">
        <f>vlookup(A13,FLEX!$D$2:$F$305,3,)</f>
        <v>1</v>
      </c>
      <c r="N13" s="21"/>
      <c r="P13" s="5" t="s">
        <v>35</v>
      </c>
      <c r="Q13" s="5">
        <v>137.8</v>
      </c>
      <c r="R13" s="19" t="str">
        <f>vlookup(P13,'Player Codes'!A:D,4,)</f>
        <v>0274</v>
      </c>
      <c r="T13" s="2" t="s">
        <v>1273</v>
      </c>
      <c r="U13" s="3">
        <v>3.0</v>
      </c>
      <c r="V13" s="23">
        <v>0.0</v>
      </c>
      <c r="W13" s="3"/>
      <c r="X13" s="5" t="s">
        <v>205</v>
      </c>
      <c r="Y13" s="3">
        <v>5.0</v>
      </c>
      <c r="Z13" s="1" t="s">
        <v>1274</v>
      </c>
      <c r="AA13" s="5" t="s">
        <v>175</v>
      </c>
    </row>
    <row r="14">
      <c r="A14" s="19" t="str">
        <f>vlookup(D14,'Player Codes'!A:D,4,)</f>
        <v>0280</v>
      </c>
      <c r="B14" s="20">
        <f t="shared" si="1"/>
        <v>0.288</v>
      </c>
      <c r="C14" s="5">
        <v>13.0</v>
      </c>
      <c r="D14" s="5" t="s">
        <v>231</v>
      </c>
      <c r="E14" s="5" t="s">
        <v>955</v>
      </c>
      <c r="F14" s="5" t="s">
        <v>954</v>
      </c>
      <c r="G14" s="5">
        <v>10.0</v>
      </c>
      <c r="H14" s="5">
        <v>274.5</v>
      </c>
      <c r="I14" s="21">
        <f>vlookup(A14,'ESPN FF Rankings'!$C$2:$H$201,2,false)</f>
        <v>98</v>
      </c>
      <c r="J14" s="5">
        <f t="shared" si="2"/>
        <v>55.5</v>
      </c>
      <c r="K14" s="21">
        <f>vlookup(A14,'VORP SCORE'!$A$2:$I$301,9,)</f>
        <v>13</v>
      </c>
      <c r="L14" s="22">
        <f>vlookup(A14,'Risk Score'!$A$4:$H$350,8,)</f>
        <v>4</v>
      </c>
      <c r="M14" s="21">
        <f>vlookup(A14,FLEX!$D$2:$F$305,3,)</f>
        <v>1</v>
      </c>
      <c r="N14" s="21"/>
      <c r="P14" s="5" t="s">
        <v>43</v>
      </c>
      <c r="Q14" s="5">
        <v>126.5</v>
      </c>
      <c r="R14" s="19" t="str">
        <f>vlookup(P14,'Player Codes'!A:D,4,)</f>
        <v>0168</v>
      </c>
      <c r="T14" s="5" t="s">
        <v>1275</v>
      </c>
      <c r="U14" s="3">
        <v>2.0</v>
      </c>
      <c r="V14" s="23">
        <v>0.0</v>
      </c>
      <c r="W14" s="3"/>
      <c r="X14" s="5" t="s">
        <v>182</v>
      </c>
      <c r="Y14" s="3">
        <v>4.0</v>
      </c>
      <c r="Z14" s="1" t="s">
        <v>1276</v>
      </c>
      <c r="AA14" s="5" t="s">
        <v>686</v>
      </c>
    </row>
    <row r="15">
      <c r="A15" s="19" t="str">
        <f>vlookup(D15,'Player Codes'!A:D,4,)</f>
        <v>0190</v>
      </c>
      <c r="B15" s="20">
        <f t="shared" si="1"/>
        <v>0.287</v>
      </c>
      <c r="C15" s="5">
        <v>14.0</v>
      </c>
      <c r="D15" s="5" t="s">
        <v>237</v>
      </c>
      <c r="E15" s="5" t="s">
        <v>959</v>
      </c>
      <c r="F15" s="5" t="s">
        <v>950</v>
      </c>
      <c r="G15" s="5">
        <v>13.0</v>
      </c>
      <c r="H15" s="5">
        <v>271.8</v>
      </c>
      <c r="I15" s="21">
        <f>vlookup(A15,'ESPN FF Rankings'!$C$2:$H$201,2,false)</f>
        <v>100</v>
      </c>
      <c r="J15" s="5">
        <f t="shared" si="2"/>
        <v>57</v>
      </c>
      <c r="K15" s="21">
        <f>vlookup(A15,'VORP SCORE'!$A$2:$I$301,9,)</f>
        <v>14</v>
      </c>
      <c r="L15" s="22">
        <f>vlookup(A15,'Risk Score'!$A$4:$H$350,8,)</f>
        <v>4</v>
      </c>
      <c r="M15" s="21">
        <f>vlookup(A15,FLEX!$D$2:$F$305,3,)</f>
        <v>1</v>
      </c>
      <c r="N15" s="21"/>
      <c r="P15" s="5" t="s">
        <v>89</v>
      </c>
      <c r="Q15" s="5">
        <v>160.0</v>
      </c>
      <c r="R15" s="19" t="str">
        <f>vlookup(P15,'Player Codes'!A:D,4,)</f>
        <v>0263</v>
      </c>
      <c r="T15" s="5" t="s">
        <v>152</v>
      </c>
      <c r="U15" s="3">
        <v>4.0</v>
      </c>
      <c r="V15" s="19" t="str">
        <f>vlookup(T15,'Player Codes'!A:D,4,)</f>
        <v>0037</v>
      </c>
      <c r="W15" s="3"/>
      <c r="X15" s="5" t="s">
        <v>1277</v>
      </c>
      <c r="Y15" s="3">
        <v>3.0</v>
      </c>
      <c r="Z15" s="1" t="s">
        <v>1278</v>
      </c>
      <c r="AA15" s="2" t="s">
        <v>288</v>
      </c>
    </row>
    <row r="16">
      <c r="A16" s="19" t="str">
        <f>vlookup(D16,'Player Codes'!A:D,4,)</f>
        <v>0014</v>
      </c>
      <c r="B16" s="20">
        <f t="shared" si="1"/>
        <v>0.286</v>
      </c>
      <c r="C16" s="5">
        <v>15.0</v>
      </c>
      <c r="D16" s="2" t="s">
        <v>288</v>
      </c>
      <c r="E16" s="5" t="s">
        <v>960</v>
      </c>
      <c r="F16" s="5" t="s">
        <v>961</v>
      </c>
      <c r="G16" s="5">
        <v>11.0</v>
      </c>
      <c r="H16" s="5">
        <v>267.6</v>
      </c>
      <c r="I16" s="21">
        <f>vlookup(A16,'ESPN FF Rankings'!$C$2:$H$201,2,false)</f>
        <v>128</v>
      </c>
      <c r="J16" s="5">
        <f t="shared" si="2"/>
        <v>71.5</v>
      </c>
      <c r="K16" s="21">
        <f>vlookup(A16,'VORP SCORE'!$A$2:$I$301,9,)</f>
        <v>15</v>
      </c>
      <c r="L16" s="22">
        <f>vlookup(A16,'Risk Score'!$A$4:$H$350,8,)</f>
        <v>3</v>
      </c>
      <c r="M16" s="21">
        <f>vlookup(A16,FLEX!$D$2:$F$305,3,)</f>
        <v>1</v>
      </c>
      <c r="N16" s="21"/>
      <c r="P16" s="5" t="s">
        <v>22</v>
      </c>
      <c r="Q16" s="5">
        <v>140.1</v>
      </c>
      <c r="R16" s="19" t="str">
        <f>vlookup(P16,'Player Codes'!A:D,4,)</f>
        <v>0228</v>
      </c>
      <c r="T16" s="5" t="s">
        <v>888</v>
      </c>
      <c r="U16" s="3">
        <v>2.0</v>
      </c>
      <c r="V16" s="19" t="str">
        <f>vlookup(T16,'Player Codes'!A:D,4,)</f>
        <v>0041</v>
      </c>
      <c r="W16" s="3"/>
      <c r="X16" s="5" t="s">
        <v>175</v>
      </c>
      <c r="Y16" s="3">
        <v>3.0</v>
      </c>
      <c r="Z16" s="1" t="s">
        <v>1279</v>
      </c>
      <c r="AA16" s="5" t="s">
        <v>295</v>
      </c>
    </row>
    <row r="17">
      <c r="A17" s="19" t="str">
        <f>vlookup(D17,'Player Codes'!A:D,4,)</f>
        <v>0146</v>
      </c>
      <c r="B17" s="20">
        <f t="shared" si="1"/>
        <v>0.285</v>
      </c>
      <c r="C17" s="5">
        <v>16.0</v>
      </c>
      <c r="D17" s="5" t="s">
        <v>290</v>
      </c>
      <c r="E17" s="5" t="s">
        <v>964</v>
      </c>
      <c r="F17" s="5" t="s">
        <v>965</v>
      </c>
      <c r="G17" s="5">
        <v>9.0</v>
      </c>
      <c r="H17" s="5">
        <v>264.1</v>
      </c>
      <c r="I17" s="21">
        <f>vlookup(A17,'ESPN FF Rankings'!$C$2:$H$201,2,false)</f>
        <v>132</v>
      </c>
      <c r="J17" s="5">
        <f t="shared" si="2"/>
        <v>74</v>
      </c>
      <c r="K17" s="21">
        <f>vlookup(A17,'VORP SCORE'!$A$2:$I$301,9,)</f>
        <v>16</v>
      </c>
      <c r="L17" s="22">
        <f>vlookup(A17,'Risk Score'!$A$4:$H$350,8,)</f>
        <v>3</v>
      </c>
      <c r="M17" s="21">
        <f>vlookup(A17,FLEX!$D$2:$F$305,3,)</f>
        <v>1</v>
      </c>
      <c r="N17" s="21"/>
      <c r="P17" s="5" t="s">
        <v>86</v>
      </c>
      <c r="Q17" s="5">
        <v>143.3</v>
      </c>
      <c r="R17" s="19" t="str">
        <f>vlookup(P17,'Player Codes'!A:D,4,)</f>
        <v>0081</v>
      </c>
      <c r="T17" s="5" t="s">
        <v>1280</v>
      </c>
      <c r="U17" s="3">
        <v>3.0</v>
      </c>
      <c r="V17" s="23">
        <v>0.0</v>
      </c>
      <c r="W17" s="3"/>
      <c r="X17" s="5" t="s">
        <v>1281</v>
      </c>
      <c r="Y17" s="3">
        <v>5.0</v>
      </c>
      <c r="Z17" s="1" t="s">
        <v>1282</v>
      </c>
      <c r="AA17" s="5" t="s">
        <v>1283</v>
      </c>
    </row>
    <row r="18">
      <c r="A18" s="19" t="str">
        <f>vlookup(D18,'Player Codes'!A:D,4,)</f>
        <v>0003</v>
      </c>
      <c r="B18" s="20">
        <f t="shared" si="1"/>
        <v>0.284</v>
      </c>
      <c r="C18" s="5">
        <v>17.0</v>
      </c>
      <c r="D18" s="5" t="s">
        <v>196</v>
      </c>
      <c r="E18" s="5" t="s">
        <v>966</v>
      </c>
      <c r="F18" s="5" t="s">
        <v>967</v>
      </c>
      <c r="G18" s="5">
        <v>7.0</v>
      </c>
      <c r="H18" s="5">
        <v>261.3</v>
      </c>
      <c r="I18" s="21">
        <f>vlookup(A18,'ESPN FF Rankings'!$C$2:$H$201,2,false)</f>
        <v>106</v>
      </c>
      <c r="J18" s="5">
        <f t="shared" si="2"/>
        <v>61.5</v>
      </c>
      <c r="K18" s="21">
        <f>vlookup(A18,'VORP SCORE'!$A$2:$I$301,9,)</f>
        <v>17</v>
      </c>
      <c r="L18" s="22">
        <f>vlookup(A18,'Risk Score'!$A$4:$H$350,8,)</f>
        <v>5</v>
      </c>
      <c r="M18" s="21">
        <f>vlookup(A18,FLEX!$D$2:$F$305,3,)</f>
        <v>1</v>
      </c>
      <c r="N18" s="21"/>
      <c r="P18" s="5" t="s">
        <v>159</v>
      </c>
      <c r="Q18" s="5">
        <v>80.9</v>
      </c>
      <c r="R18" s="19" t="str">
        <f>vlookup(P18,'Player Codes'!A:D,4,)</f>
        <v>0275</v>
      </c>
      <c r="T18" s="5" t="s">
        <v>106</v>
      </c>
      <c r="U18" s="3">
        <v>4.0</v>
      </c>
      <c r="V18" s="19" t="str">
        <f>vlookup(T18,'Player Codes'!A:D,4,)</f>
        <v>0042</v>
      </c>
      <c r="W18" s="3"/>
      <c r="X18" s="2" t="s">
        <v>288</v>
      </c>
      <c r="Y18" s="3">
        <v>3.0</v>
      </c>
      <c r="Z18" s="1" t="s">
        <v>1284</v>
      </c>
      <c r="AA18" s="5" t="s">
        <v>1285</v>
      </c>
    </row>
    <row r="19">
      <c r="A19" s="19" t="str">
        <f>vlookup(D19,'Player Codes'!A:D,4,)</f>
        <v>0174</v>
      </c>
      <c r="B19" s="20">
        <f t="shared" si="1"/>
        <v>0.283</v>
      </c>
      <c r="C19" s="5">
        <v>18.0</v>
      </c>
      <c r="D19" s="5" t="s">
        <v>95</v>
      </c>
      <c r="E19" s="5" t="s">
        <v>949</v>
      </c>
      <c r="F19" s="5" t="s">
        <v>950</v>
      </c>
      <c r="G19" s="5">
        <v>13.0</v>
      </c>
      <c r="H19" s="5">
        <v>252.7</v>
      </c>
      <c r="I19" s="21">
        <f>vlookup(A19,'ESPN FF Rankings'!$C$2:$H$201,2,false)</f>
        <v>1</v>
      </c>
      <c r="J19" s="5">
        <f t="shared" si="2"/>
        <v>9.5</v>
      </c>
      <c r="K19" s="21">
        <f>vlookup(A19,'VORP SCORE'!$A$2:$I$301,9,)</f>
        <v>18</v>
      </c>
      <c r="L19" s="22">
        <f>vlookup(A19,'Risk Score'!$A$4:$H$350,8,)</f>
        <v>3</v>
      </c>
      <c r="M19" s="21">
        <f>vlookup(A19,FLEX!$D$2:$F$305,3,)</f>
        <v>3</v>
      </c>
      <c r="N19" s="21"/>
      <c r="P19" s="5" t="s">
        <v>106</v>
      </c>
      <c r="Q19" s="5">
        <v>144.9</v>
      </c>
      <c r="R19" s="19" t="str">
        <f>vlookup(P19,'Player Codes'!A:D,4,)</f>
        <v>0042</v>
      </c>
      <c r="T19" s="5" t="s">
        <v>828</v>
      </c>
      <c r="U19" s="3">
        <v>3.0</v>
      </c>
      <c r="V19" s="19" t="str">
        <f>vlookup(T19,'Player Codes'!A:D,4,)</f>
        <v>0045</v>
      </c>
      <c r="W19" s="3"/>
      <c r="X19" s="5" t="s">
        <v>295</v>
      </c>
      <c r="Y19" s="3">
        <v>4.0</v>
      </c>
      <c r="Z19" s="1" t="s">
        <v>1286</v>
      </c>
      <c r="AA19" s="5" t="s">
        <v>18</v>
      </c>
    </row>
    <row r="20">
      <c r="A20" s="19" t="str">
        <f>vlookup(D20,'Player Codes'!A:D,4,)</f>
        <v>0055</v>
      </c>
      <c r="B20" s="20">
        <f t="shared" si="1"/>
        <v>0.282</v>
      </c>
      <c r="C20" s="5">
        <v>19.0</v>
      </c>
      <c r="D20" s="5" t="s">
        <v>14</v>
      </c>
      <c r="E20" s="5" t="s">
        <v>962</v>
      </c>
      <c r="F20" s="5" t="s">
        <v>963</v>
      </c>
      <c r="G20" s="5">
        <v>9.0</v>
      </c>
      <c r="H20" s="5">
        <v>246.9</v>
      </c>
      <c r="I20" s="21">
        <f>vlookup(A20,'ESPN FF Rankings'!$C$2:$H$201,2,false)</f>
        <v>3</v>
      </c>
      <c r="J20" s="5">
        <f t="shared" si="2"/>
        <v>11</v>
      </c>
      <c r="K20" s="21">
        <f>vlookup(A20,'VORP SCORE'!$A$2:$I$301,9,)</f>
        <v>19</v>
      </c>
      <c r="L20" s="22">
        <f>vlookup(A20,'Risk Score'!$A$4:$H$350,8,)</f>
        <v>5</v>
      </c>
      <c r="M20" s="21">
        <f>vlookup(A20,FLEX!$D$2:$F$305,3,)</f>
        <v>4</v>
      </c>
      <c r="N20" s="21"/>
      <c r="P20" s="5" t="s">
        <v>149</v>
      </c>
      <c r="Q20" s="5">
        <v>151.6</v>
      </c>
      <c r="R20" s="19" t="str">
        <f>vlookup(P20,'Player Codes'!A:D,4,)</f>
        <v>0111</v>
      </c>
      <c r="T20" s="5" t="s">
        <v>801</v>
      </c>
      <c r="U20" s="3">
        <v>4.0</v>
      </c>
      <c r="V20" s="19" t="str">
        <f>vlookup(T20,'Player Codes'!A:D,4,)</f>
        <v>0049</v>
      </c>
      <c r="W20" s="3"/>
      <c r="X20" s="5" t="s">
        <v>18</v>
      </c>
      <c r="Y20" s="3">
        <v>5.0</v>
      </c>
      <c r="Z20" s="1" t="s">
        <v>1287</v>
      </c>
      <c r="AA20" s="5" t="s">
        <v>564</v>
      </c>
    </row>
    <row r="21">
      <c r="A21" s="19" t="str">
        <f>vlookup(D21,'Player Codes'!A:D,4,)</f>
        <v>0291</v>
      </c>
      <c r="B21" s="20">
        <f t="shared" si="1"/>
        <v>0.281</v>
      </c>
      <c r="C21" s="5">
        <v>20.0</v>
      </c>
      <c r="D21" s="5" t="s">
        <v>31</v>
      </c>
      <c r="E21" s="5" t="s">
        <v>953</v>
      </c>
      <c r="F21" s="5" t="s">
        <v>954</v>
      </c>
      <c r="G21" s="5">
        <v>10.0</v>
      </c>
      <c r="H21" s="5">
        <v>245.4</v>
      </c>
      <c r="I21" s="21">
        <f>vlookup(A21,'ESPN FF Rankings'!$C$2:$H$201,2,false)</f>
        <v>9</v>
      </c>
      <c r="J21" s="5">
        <f t="shared" si="2"/>
        <v>14.5</v>
      </c>
      <c r="K21" s="21">
        <f>vlookup(A21,'VORP SCORE'!$A$2:$I$301,9,)</f>
        <v>20</v>
      </c>
      <c r="L21" s="22">
        <f>vlookup(A21,'Risk Score'!$A$4:$H$350,8,)</f>
        <v>5</v>
      </c>
      <c r="M21" s="21">
        <f>vlookup(A21,FLEX!$D$2:$F$305,3,)</f>
        <v>3</v>
      </c>
      <c r="N21" s="21"/>
      <c r="P21" s="5" t="s">
        <v>277</v>
      </c>
      <c r="Q21" s="5">
        <v>104.19999999999999</v>
      </c>
      <c r="R21" s="19" t="str">
        <f>vlookup(P21,'Player Codes'!A:D,4,)</f>
        <v>0202</v>
      </c>
      <c r="T21" s="5" t="s">
        <v>1288</v>
      </c>
      <c r="U21" s="3">
        <v>3.0</v>
      </c>
      <c r="V21" s="23">
        <v>0.0</v>
      </c>
      <c r="W21" s="3"/>
      <c r="X21" s="2" t="s">
        <v>1289</v>
      </c>
      <c r="Y21" s="3">
        <v>3.0</v>
      </c>
      <c r="Z21" s="1" t="s">
        <v>1290</v>
      </c>
      <c r="AA21" s="5" t="s">
        <v>1291</v>
      </c>
    </row>
    <row r="22">
      <c r="A22" s="19" t="str">
        <f>vlookup(D22,'Player Codes'!A:D,4,)</f>
        <v>0253</v>
      </c>
      <c r="B22" s="20">
        <f t="shared" si="1"/>
        <v>0.28</v>
      </c>
      <c r="C22" s="5">
        <v>21.0</v>
      </c>
      <c r="D22" s="5" t="s">
        <v>199</v>
      </c>
      <c r="E22" s="5" t="s">
        <v>975</v>
      </c>
      <c r="F22" s="5" t="s">
        <v>976</v>
      </c>
      <c r="G22" s="5">
        <v>9.0</v>
      </c>
      <c r="H22" s="5">
        <v>244.5</v>
      </c>
      <c r="I22" s="21">
        <f>vlookup(A22,'ESPN FF Rankings'!$C$2:$H$201,2,false)</f>
        <v>119</v>
      </c>
      <c r="J22" s="5">
        <f t="shared" si="2"/>
        <v>70</v>
      </c>
      <c r="K22" s="21">
        <f>vlookup(A22,'VORP SCORE'!$A$2:$I$301,9,)</f>
        <v>21</v>
      </c>
      <c r="L22" s="22">
        <f>vlookup(A22,'Risk Score'!$A$4:$H$350,8,)</f>
        <v>5</v>
      </c>
      <c r="M22" s="21">
        <f>vlookup(A22,FLEX!$D$2:$F$305,3,)</f>
        <v>1</v>
      </c>
      <c r="N22" s="21"/>
      <c r="P22" s="5" t="s">
        <v>55</v>
      </c>
      <c r="Q22" s="5">
        <v>84.5</v>
      </c>
      <c r="R22" s="19" t="str">
        <f>vlookup(P22,'Player Codes'!A:D,4,)</f>
        <v>0160</v>
      </c>
      <c r="T22" s="5" t="s">
        <v>166</v>
      </c>
      <c r="U22" s="3">
        <v>5.0</v>
      </c>
      <c r="V22" s="19" t="str">
        <f>vlookup(T22,'Player Codes'!A:D,4,)</f>
        <v>0052</v>
      </c>
      <c r="W22" s="3"/>
      <c r="X22" s="5" t="s">
        <v>564</v>
      </c>
      <c r="Y22" s="3">
        <v>4.0</v>
      </c>
      <c r="Z22" s="1" t="s">
        <v>1292</v>
      </c>
      <c r="AA22" s="5" t="s">
        <v>47</v>
      </c>
    </row>
    <row r="23">
      <c r="A23" s="19" t="str">
        <f>vlookup(D23,'Player Codes'!A:D,4,)</f>
        <v>0132</v>
      </c>
      <c r="B23" s="20">
        <f t="shared" si="1"/>
        <v>0.279</v>
      </c>
      <c r="C23" s="5">
        <v>22.0</v>
      </c>
      <c r="D23" s="5" t="s">
        <v>67</v>
      </c>
      <c r="E23" s="5" t="s">
        <v>956</v>
      </c>
      <c r="F23" s="5" t="s">
        <v>935</v>
      </c>
      <c r="G23" s="5">
        <v>7.0</v>
      </c>
      <c r="H23" s="5">
        <v>244.0</v>
      </c>
      <c r="I23" s="21">
        <f>vlookup(A23,'ESPN FF Rankings'!$C$2:$H$201,2,false)</f>
        <v>2</v>
      </c>
      <c r="J23" s="5">
        <f t="shared" si="2"/>
        <v>12</v>
      </c>
      <c r="K23" s="21">
        <f>vlookup(A23,'VORP SCORE'!$A$2:$I$301,9,)</f>
        <v>22</v>
      </c>
      <c r="L23" s="22">
        <f>vlookup(A23,'Risk Score'!$A$4:$H$350,8,)</f>
        <v>4</v>
      </c>
      <c r="M23" s="21">
        <f>vlookup(A23,FLEX!$D$2:$F$305,3,)</f>
        <v>3</v>
      </c>
      <c r="N23" s="21"/>
      <c r="P23" s="5" t="s">
        <v>93</v>
      </c>
      <c r="Q23" s="5">
        <v>152.5</v>
      </c>
      <c r="R23" s="19" t="str">
        <f>vlookup(P23,'Player Codes'!A:D,4,)</f>
        <v>0001</v>
      </c>
      <c r="T23" s="5" t="s">
        <v>121</v>
      </c>
      <c r="U23" s="3">
        <v>4.0</v>
      </c>
      <c r="V23" s="19" t="str">
        <f>vlookup(T23,'Player Codes'!A:D,4,)</f>
        <v>0053</v>
      </c>
      <c r="W23" s="3"/>
      <c r="X23" s="5" t="s">
        <v>47</v>
      </c>
      <c r="Y23" s="3">
        <v>3.0</v>
      </c>
      <c r="Z23" s="1" t="s">
        <v>1293</v>
      </c>
      <c r="AA23" s="5" t="s">
        <v>376</v>
      </c>
    </row>
    <row r="24">
      <c r="A24" s="19" t="str">
        <f>vlookup(D24,'Player Codes'!A:D,4,)</f>
        <v>0063</v>
      </c>
      <c r="B24" s="20">
        <f t="shared" si="1"/>
        <v>0.278</v>
      </c>
      <c r="C24" s="5">
        <v>23.0</v>
      </c>
      <c r="D24" s="5" t="s">
        <v>71</v>
      </c>
      <c r="E24" s="5" t="s">
        <v>957</v>
      </c>
      <c r="F24" s="5" t="s">
        <v>958</v>
      </c>
      <c r="G24" s="5">
        <v>10.0</v>
      </c>
      <c r="H24" s="5">
        <v>243.3</v>
      </c>
      <c r="I24" s="21">
        <f>vlookup(A24,'ESPN FF Rankings'!$C$2:$H$201,2,false)</f>
        <v>6</v>
      </c>
      <c r="J24" s="5">
        <f t="shared" si="2"/>
        <v>14.5</v>
      </c>
      <c r="K24" s="21">
        <f>vlookup(A24,'VORP SCORE'!$A$2:$I$301,9,)</f>
        <v>23</v>
      </c>
      <c r="L24" s="22">
        <f>vlookup(A24,'Risk Score'!$A$4:$H$350,8,)</f>
        <v>4</v>
      </c>
      <c r="M24" s="21">
        <f>vlookup(A24,FLEX!$D$2:$F$305,3,)</f>
        <v>3</v>
      </c>
      <c r="N24" s="21"/>
      <c r="P24" s="5" t="s">
        <v>59</v>
      </c>
      <c r="Q24" s="5">
        <v>82.0</v>
      </c>
      <c r="R24" s="19" t="str">
        <f>vlookup(P24,'Player Codes'!A:D,4,)</f>
        <v>0002</v>
      </c>
      <c r="T24" s="5" t="s">
        <v>243</v>
      </c>
      <c r="U24" s="3">
        <v>4.0</v>
      </c>
      <c r="V24" s="19" t="str">
        <f>vlookup(T24,'Player Codes'!A:D,4,)</f>
        <v>0054</v>
      </c>
      <c r="W24" s="3"/>
      <c r="X24" s="5" t="s">
        <v>1294</v>
      </c>
      <c r="Y24" s="3">
        <v>4.0</v>
      </c>
      <c r="Z24" s="1" t="s">
        <v>1295</v>
      </c>
      <c r="AA24" s="5" t="s">
        <v>279</v>
      </c>
    </row>
    <row r="25">
      <c r="A25" s="19" t="str">
        <f>vlookup(D25,'Player Codes'!A:D,4,)</f>
        <v>0088</v>
      </c>
      <c r="B25" s="20">
        <f t="shared" si="1"/>
        <v>0.277</v>
      </c>
      <c r="C25" s="5">
        <v>24.0</v>
      </c>
      <c r="D25" s="5" t="s">
        <v>269</v>
      </c>
      <c r="E25" s="5" t="s">
        <v>982</v>
      </c>
      <c r="F25" s="5" t="s">
        <v>983</v>
      </c>
      <c r="G25" s="5">
        <v>11.0</v>
      </c>
      <c r="H25" s="5">
        <v>238.4</v>
      </c>
      <c r="I25" s="21">
        <f>vlookup(A25,'ESPN FF Rankings'!$C$2:$H$201,2,false)</f>
        <v>168</v>
      </c>
      <c r="J25" s="5">
        <f t="shared" si="2"/>
        <v>96</v>
      </c>
      <c r="K25" s="21">
        <f>vlookup(A25,'VORP SCORE'!$A$2:$I$301,9,)</f>
        <v>24</v>
      </c>
      <c r="L25" s="22">
        <f>vlookup(A25,'Risk Score'!$A$4:$H$350,8,)</f>
        <v>4</v>
      </c>
      <c r="M25" s="21">
        <f>vlookup(A25,FLEX!$D$2:$F$305,3,)</f>
        <v>1</v>
      </c>
      <c r="N25" s="21"/>
      <c r="P25" s="5" t="s">
        <v>75</v>
      </c>
      <c r="Q25" s="5">
        <v>97.0</v>
      </c>
      <c r="R25" s="19" t="str">
        <f>vlookup(P25,'Player Codes'!A:D,4,)</f>
        <v>0223</v>
      </c>
      <c r="T25" s="5" t="s">
        <v>169</v>
      </c>
      <c r="U25" s="3">
        <v>4.0</v>
      </c>
      <c r="V25" s="19" t="str">
        <f>vlookup(T25,'Player Codes'!A:D,4,)</f>
        <v>0056</v>
      </c>
      <c r="W25" s="3"/>
      <c r="X25" s="5" t="s">
        <v>376</v>
      </c>
      <c r="Y25" s="3">
        <v>4.0</v>
      </c>
      <c r="Z25" s="1" t="s">
        <v>1296</v>
      </c>
      <c r="AA25" s="5" t="s">
        <v>577</v>
      </c>
    </row>
    <row r="26">
      <c r="A26" s="19" t="str">
        <f>vlookup(D26,'Player Codes'!A:D,4,)</f>
        <v>0187</v>
      </c>
      <c r="B26" s="20">
        <f t="shared" si="1"/>
        <v>0.276</v>
      </c>
      <c r="C26" s="5">
        <v>25.0</v>
      </c>
      <c r="D26" s="5" t="s">
        <v>334</v>
      </c>
      <c r="E26" s="5" t="s">
        <v>984</v>
      </c>
      <c r="F26" s="5" t="s">
        <v>985</v>
      </c>
      <c r="G26" s="5">
        <v>6.0</v>
      </c>
      <c r="H26" s="5">
        <v>238.3</v>
      </c>
      <c r="I26" s="21">
        <f>vlookup(A26,'ESPN FF Rankings'!$C$2:$H$201,2,false)</f>
        <v>165</v>
      </c>
      <c r="J26" s="5">
        <f t="shared" si="2"/>
        <v>95</v>
      </c>
      <c r="K26" s="21">
        <f>vlookup(A26,'VORP SCORE'!$A$2:$I$301,9,)</f>
        <v>25</v>
      </c>
      <c r="L26" s="22">
        <f>vlookup(A26,'Risk Score'!$A$4:$H$350,8,)</f>
        <v>2</v>
      </c>
      <c r="M26" s="21">
        <f>vlookup(A26,FLEX!$D$2:$F$305,3,)</f>
        <v>1</v>
      </c>
      <c r="N26" s="21"/>
      <c r="P26" s="5" t="s">
        <v>63</v>
      </c>
      <c r="Q26" s="5">
        <v>104.1</v>
      </c>
      <c r="R26" s="19" t="str">
        <f>vlookup(P26,'Player Codes'!A:D,4,)</f>
        <v>0246</v>
      </c>
      <c r="T26" s="5" t="s">
        <v>1297</v>
      </c>
      <c r="U26" s="3">
        <v>4.0</v>
      </c>
      <c r="V26" s="23">
        <v>0.0</v>
      </c>
      <c r="W26" s="3"/>
      <c r="X26" s="5" t="s">
        <v>279</v>
      </c>
      <c r="Y26" s="3">
        <v>3.0</v>
      </c>
      <c r="Z26" s="1" t="s">
        <v>1298</v>
      </c>
      <c r="AA26" s="5" t="s">
        <v>597</v>
      </c>
    </row>
    <row r="27">
      <c r="A27" s="19" t="str">
        <f>vlookup(D27,'Player Codes'!A:D,4,)</f>
        <v>0018</v>
      </c>
      <c r="B27" s="20">
        <f t="shared" si="1"/>
        <v>0.276</v>
      </c>
      <c r="C27" s="5">
        <v>25.0</v>
      </c>
      <c r="D27" s="5" t="s">
        <v>18</v>
      </c>
      <c r="E27" s="5" t="s">
        <v>970</v>
      </c>
      <c r="F27" s="5" t="s">
        <v>938</v>
      </c>
      <c r="G27" s="5">
        <v>5.0</v>
      </c>
      <c r="H27" s="5">
        <v>238.3</v>
      </c>
      <c r="I27" s="21">
        <f>vlookup(A27,'ESPN FF Rankings'!$C$2:$H$201,2,false)</f>
        <v>4</v>
      </c>
      <c r="J27" s="5">
        <f t="shared" si="2"/>
        <v>14.5</v>
      </c>
      <c r="K27" s="21">
        <f>vlookup(A27,'VORP SCORE'!$A$2:$I$301,9,)</f>
        <v>26</v>
      </c>
      <c r="L27" s="22">
        <f>vlookup(A27,'Risk Score'!$A$4:$H$350,8,)</f>
        <v>5</v>
      </c>
      <c r="M27" s="21">
        <f>vlookup(A27,FLEX!$D$2:$F$305,3,)</f>
        <v>4</v>
      </c>
      <c r="N27" s="21"/>
      <c r="P27" s="5" t="s">
        <v>349</v>
      </c>
      <c r="Q27" s="5">
        <v>75.19999999999999</v>
      </c>
      <c r="R27" s="19" t="str">
        <f>vlookup(P27,'Player Codes'!A:D,4,)</f>
        <v>0264</v>
      </c>
      <c r="T27" s="5" t="s">
        <v>71</v>
      </c>
      <c r="U27" s="3">
        <v>4.0</v>
      </c>
      <c r="V27" s="19" t="str">
        <f>vlookup(T27,'Player Codes'!A:D,4,)</f>
        <v>0063</v>
      </c>
      <c r="W27" s="3"/>
      <c r="X27" s="5" t="s">
        <v>1268</v>
      </c>
      <c r="Y27" s="3">
        <v>3.0</v>
      </c>
      <c r="Z27" s="1" t="s">
        <v>1299</v>
      </c>
      <c r="AA27" s="5" t="s">
        <v>79</v>
      </c>
    </row>
    <row r="28">
      <c r="A28" s="19" t="str">
        <f>vlookup(D28,'Player Codes'!A:D,4,)</f>
        <v>0166</v>
      </c>
      <c r="B28" s="20">
        <f t="shared" si="1"/>
        <v>0.274</v>
      </c>
      <c r="C28" s="5">
        <v>27.0</v>
      </c>
      <c r="D28" s="5" t="s">
        <v>344</v>
      </c>
      <c r="E28" s="5" t="s">
        <v>987</v>
      </c>
      <c r="F28" s="5" t="s">
        <v>988</v>
      </c>
      <c r="G28" s="5">
        <v>6.0</v>
      </c>
      <c r="H28" s="5">
        <v>234.5</v>
      </c>
      <c r="I28" s="21">
        <f>vlookup(A28,'ESPN FF Rankings'!$C$2:$H$201,2,false)</f>
        <v>170</v>
      </c>
      <c r="J28" s="5">
        <f t="shared" si="2"/>
        <v>98.5</v>
      </c>
      <c r="K28" s="21">
        <f>vlookup(A28,'VORP SCORE'!$A$2:$I$301,9,)</f>
        <v>27</v>
      </c>
      <c r="L28" s="22">
        <f>vlookup(A28,'Risk Score'!$A$4:$H$350,8,)</f>
        <v>2</v>
      </c>
      <c r="M28" s="21">
        <f>vlookup(A28,FLEX!$D$2:$F$305,3,)</f>
        <v>1</v>
      </c>
      <c r="N28" s="21"/>
      <c r="P28" s="5" t="s">
        <v>175</v>
      </c>
      <c r="Q28" s="5">
        <v>144.3</v>
      </c>
      <c r="R28" s="19" t="str">
        <f>vlookup(P28,'Player Codes'!A:D,4,)</f>
        <v>0012</v>
      </c>
      <c r="T28" s="5" t="s">
        <v>355</v>
      </c>
      <c r="U28" s="3">
        <v>4.0</v>
      </c>
      <c r="V28" s="19" t="str">
        <f>vlookup(T28,'Player Codes'!A:D,4,)</f>
        <v>0065</v>
      </c>
      <c r="W28" s="3"/>
      <c r="X28" s="5" t="s">
        <v>79</v>
      </c>
      <c r="Y28" s="3">
        <v>4.0</v>
      </c>
      <c r="Z28" s="1" t="s">
        <v>1300</v>
      </c>
      <c r="AA28" s="5" t="s">
        <v>633</v>
      </c>
    </row>
    <row r="29">
      <c r="A29" s="19" t="str">
        <f>vlookup(D29,'Player Codes'!A:D,4,)</f>
        <v>0032</v>
      </c>
      <c r="B29" s="20">
        <f t="shared" si="1"/>
        <v>0.273</v>
      </c>
      <c r="C29" s="5">
        <v>28.0</v>
      </c>
      <c r="D29" s="5" t="s">
        <v>346</v>
      </c>
      <c r="E29" s="5" t="s">
        <v>991</v>
      </c>
      <c r="F29" s="5" t="s">
        <v>992</v>
      </c>
      <c r="G29" s="5">
        <v>7.0</v>
      </c>
      <c r="H29" s="5">
        <v>232.0</v>
      </c>
      <c r="I29" s="21">
        <f>vlookup(A29,'ESPN FF Rankings'!$C$2:$H$201,2,false)</f>
        <v>192</v>
      </c>
      <c r="J29" s="5">
        <f t="shared" si="2"/>
        <v>110</v>
      </c>
      <c r="K29" s="21">
        <f>vlookup(A29,'VORP SCORE'!$A$2:$I$301,9,)</f>
        <v>28</v>
      </c>
      <c r="L29" s="22">
        <f>vlookup(A29,'Risk Score'!$A$4:$H$350,8,)</f>
        <v>2</v>
      </c>
      <c r="M29" s="21">
        <f>vlookup(A29,FLEX!$D$2:$F$305,3,)</f>
        <v>1</v>
      </c>
      <c r="N29" s="21"/>
      <c r="P29" s="5" t="s">
        <v>113</v>
      </c>
      <c r="Q29" s="5">
        <v>96.19999999999999</v>
      </c>
      <c r="R29" s="19" t="str">
        <f>vlookup(P29,'Player Codes'!A:D,4,)</f>
        <v>0135</v>
      </c>
      <c r="T29" s="5" t="s">
        <v>482</v>
      </c>
      <c r="U29" s="3">
        <v>5.0</v>
      </c>
      <c r="V29" s="19" t="str">
        <f>vlookup(T29,'Player Codes'!A:D,4,)</f>
        <v>0066</v>
      </c>
      <c r="W29" s="3"/>
      <c r="X29" s="2" t="s">
        <v>1301</v>
      </c>
      <c r="Y29" s="3">
        <v>2.0</v>
      </c>
      <c r="Z29" s="1" t="s">
        <v>1302</v>
      </c>
      <c r="AA29" s="5" t="s">
        <v>298</v>
      </c>
    </row>
    <row r="30">
      <c r="A30" s="19" t="str">
        <f>vlookup(D30,'Player Codes'!A:D,4,)</f>
        <v>0030</v>
      </c>
      <c r="B30" s="20">
        <f t="shared" si="1"/>
        <v>0.272</v>
      </c>
      <c r="C30" s="5">
        <v>29.0</v>
      </c>
      <c r="D30" s="5" t="s">
        <v>306</v>
      </c>
      <c r="E30" s="5" t="s">
        <v>995</v>
      </c>
      <c r="F30" s="5" t="s">
        <v>996</v>
      </c>
      <c r="G30" s="5">
        <v>7.0</v>
      </c>
      <c r="H30" s="5">
        <v>230.4</v>
      </c>
      <c r="I30" s="21">
        <f>vlookup(A30,'ESPN FF Rankings'!$C$2:$H$201,2,false)</f>
        <v>185</v>
      </c>
      <c r="J30" s="5">
        <f t="shared" si="2"/>
        <v>107</v>
      </c>
      <c r="K30" s="21">
        <f>vlookup(A30,'VORP SCORE'!$A$2:$I$301,9,)</f>
        <v>29</v>
      </c>
      <c r="L30" s="22">
        <f>vlookup(A30,'Risk Score'!$A$4:$H$350,8,)</f>
        <v>3</v>
      </c>
      <c r="M30" s="21">
        <f>vlookup(A30,FLEX!$D$2:$F$305,3,)</f>
        <v>1</v>
      </c>
      <c r="N30" s="21"/>
      <c r="P30" s="5" t="s">
        <v>202</v>
      </c>
      <c r="Q30" s="5">
        <v>125.20000000000002</v>
      </c>
      <c r="R30" s="19" t="str">
        <f>vlookup(P30,'Player Codes'!A:D,4,)</f>
        <v>0152</v>
      </c>
      <c r="T30" s="5" t="s">
        <v>1303</v>
      </c>
      <c r="U30" s="3">
        <v>5.0</v>
      </c>
      <c r="V30" s="23">
        <v>0.0</v>
      </c>
      <c r="W30" s="3"/>
      <c r="X30" s="5" t="s">
        <v>1270</v>
      </c>
      <c r="Y30" s="3">
        <v>5.0</v>
      </c>
      <c r="Z30" s="1" t="s">
        <v>1304</v>
      </c>
      <c r="AA30" s="5" t="s">
        <v>382</v>
      </c>
    </row>
    <row r="31">
      <c r="A31" s="19" t="str">
        <f>vlookup(D31,'Player Codes'!A:D,4,)</f>
        <v>0263</v>
      </c>
      <c r="B31" s="20">
        <f t="shared" si="1"/>
        <v>0.271</v>
      </c>
      <c r="C31" s="5">
        <v>30.0</v>
      </c>
      <c r="D31" s="5" t="s">
        <v>89</v>
      </c>
      <c r="E31" s="5" t="s">
        <v>969</v>
      </c>
      <c r="F31" s="5" t="s">
        <v>929</v>
      </c>
      <c r="G31" s="5">
        <v>13.0</v>
      </c>
      <c r="H31" s="5">
        <v>229.6</v>
      </c>
      <c r="I31" s="21">
        <f>vlookup(A31,'ESPN FF Rankings'!$C$2:$H$201,2,false)</f>
        <v>14</v>
      </c>
      <c r="J31" s="5">
        <f t="shared" si="2"/>
        <v>22</v>
      </c>
      <c r="K31" s="21">
        <f>vlookup(A31,'VORP SCORE'!$A$2:$I$301,9,)</f>
        <v>30</v>
      </c>
      <c r="L31" s="22">
        <f>vlookup(A31,'Risk Score'!$A$4:$H$350,8,)</f>
        <v>4</v>
      </c>
      <c r="M31" s="21">
        <f>vlookup(A31,FLEX!$D$2:$F$305,3,)</f>
        <v>3</v>
      </c>
      <c r="N31" s="21"/>
      <c r="P31" s="5" t="s">
        <v>267</v>
      </c>
      <c r="Q31" s="5">
        <v>261.7</v>
      </c>
      <c r="R31" s="19" t="str">
        <f>vlookup(P31,'Player Codes'!A:D,4,)</f>
        <v>0235</v>
      </c>
      <c r="T31" s="5" t="s">
        <v>188</v>
      </c>
      <c r="U31" s="3">
        <v>4.0</v>
      </c>
      <c r="V31" s="19" t="str">
        <f>vlookup(T31,'Player Codes'!A:D,4,)</f>
        <v>0100</v>
      </c>
      <c r="W31" s="3"/>
      <c r="X31" s="2" t="s">
        <v>1305</v>
      </c>
      <c r="Y31" s="3">
        <v>3.0</v>
      </c>
      <c r="Z31" s="1" t="s">
        <v>1306</v>
      </c>
      <c r="AA31" s="5" t="s">
        <v>306</v>
      </c>
    </row>
    <row r="32">
      <c r="A32" s="19" t="str">
        <f>vlookup(D32,'Player Codes'!A:D,4,)</f>
        <v>0276</v>
      </c>
      <c r="B32" s="20">
        <f t="shared" si="1"/>
        <v>0.27</v>
      </c>
      <c r="C32" s="5">
        <v>31.0</v>
      </c>
      <c r="D32" s="5" t="s">
        <v>192</v>
      </c>
      <c r="E32" s="5" t="s">
        <v>968</v>
      </c>
      <c r="F32" s="5" t="s">
        <v>933</v>
      </c>
      <c r="G32" s="5">
        <v>10.0</v>
      </c>
      <c r="H32" s="5">
        <v>227.9</v>
      </c>
      <c r="I32" s="21">
        <f>vlookup(A32,'ESPN FF Rankings'!$C$2:$H$201,2,false)</f>
        <v>8</v>
      </c>
      <c r="J32" s="5">
        <f t="shared" si="2"/>
        <v>19.5</v>
      </c>
      <c r="K32" s="21">
        <f>vlookup(A32,'VORP SCORE'!$A$2:$I$301,9,)</f>
        <v>31</v>
      </c>
      <c r="L32" s="22">
        <f>vlookup(A32,'Risk Score'!$A$4:$H$350,8,)</f>
        <v>4</v>
      </c>
      <c r="M32" s="21">
        <f>vlookup(A32,FLEX!$D$2:$F$305,3,)</f>
        <v>2</v>
      </c>
      <c r="N32" s="21"/>
      <c r="P32" s="5" t="s">
        <v>128</v>
      </c>
      <c r="Q32" s="5">
        <v>87.9</v>
      </c>
      <c r="R32" s="19" t="str">
        <f>vlookup(P32,'Player Codes'!A:D,4,)</f>
        <v>0186</v>
      </c>
      <c r="T32" s="5" t="s">
        <v>209</v>
      </c>
      <c r="U32" s="3">
        <v>3.0</v>
      </c>
      <c r="V32" s="19" t="str">
        <f>vlookup(T32,'Player Codes'!A:D,4,)</f>
        <v>0101</v>
      </c>
      <c r="W32" s="3"/>
      <c r="X32" s="5" t="s">
        <v>298</v>
      </c>
      <c r="Y32" s="3">
        <v>3.0</v>
      </c>
      <c r="Z32" s="1" t="s">
        <v>1307</v>
      </c>
      <c r="AA32" s="5" t="s">
        <v>1308</v>
      </c>
    </row>
    <row r="33">
      <c r="A33" s="19" t="str">
        <f>vlookup(D33,'Player Codes'!A:D,4,)</f>
        <v>0021</v>
      </c>
      <c r="B33" s="20">
        <f t="shared" si="1"/>
        <v>0.27</v>
      </c>
      <c r="C33" s="5">
        <v>31.0</v>
      </c>
      <c r="D33" s="5" t="s">
        <v>47</v>
      </c>
      <c r="E33" s="5" t="s">
        <v>973</v>
      </c>
      <c r="F33" s="5" t="s">
        <v>974</v>
      </c>
      <c r="G33" s="5">
        <v>11.0</v>
      </c>
      <c r="H33" s="5">
        <v>227.9</v>
      </c>
      <c r="I33" s="21">
        <f>vlookup(A33,'ESPN FF Rankings'!$C$2:$H$201,2,false)</f>
        <v>7</v>
      </c>
      <c r="J33" s="5">
        <f t="shared" si="2"/>
        <v>19</v>
      </c>
      <c r="K33" s="21">
        <f>vlookup(A33,'VORP SCORE'!$A$2:$I$301,9,)</f>
        <v>32</v>
      </c>
      <c r="L33" s="22">
        <f>vlookup(A33,'Risk Score'!$A$4:$H$350,8,)</f>
        <v>3</v>
      </c>
      <c r="M33" s="21">
        <f>vlookup(A33,FLEX!$D$2:$F$305,3,)</f>
        <v>4</v>
      </c>
      <c r="N33" s="21"/>
      <c r="P33" s="5" t="s">
        <v>131</v>
      </c>
      <c r="Q33" s="5">
        <v>129.9</v>
      </c>
      <c r="R33" s="19" t="str">
        <f>vlookup(P33,'Player Codes'!A:D,4,)</f>
        <v>0270</v>
      </c>
      <c r="T33" s="5" t="s">
        <v>1309</v>
      </c>
      <c r="U33" s="3">
        <v>5.0</v>
      </c>
      <c r="V33" s="23">
        <v>0.0</v>
      </c>
      <c r="W33" s="3"/>
      <c r="X33" s="5" t="s">
        <v>382</v>
      </c>
      <c r="Y33" s="3">
        <v>2.0</v>
      </c>
      <c r="Z33" s="1" t="s">
        <v>1310</v>
      </c>
      <c r="AA33" s="5" t="s">
        <v>346</v>
      </c>
    </row>
    <row r="34">
      <c r="A34" s="19" t="str">
        <f>vlookup(D34,'Player Codes'!A:D,4,)</f>
        <v>0210</v>
      </c>
      <c r="B34" s="20">
        <f t="shared" si="1"/>
        <v>0.268</v>
      </c>
      <c r="C34" s="5">
        <v>33.0</v>
      </c>
      <c r="D34" s="5" t="s">
        <v>239</v>
      </c>
      <c r="E34" s="5" t="s">
        <v>998</v>
      </c>
      <c r="F34" s="5" t="s">
        <v>958</v>
      </c>
      <c r="G34" s="5">
        <v>10.0</v>
      </c>
      <c r="H34" s="5">
        <v>227.7</v>
      </c>
      <c r="I34" s="21">
        <f>vlookup(A34,'ESPN FF Rankings'!$C$2:$H$201,2,false)</f>
        <v>133</v>
      </c>
      <c r="J34" s="5">
        <f t="shared" si="2"/>
        <v>83</v>
      </c>
      <c r="K34" s="21">
        <f>vlookup(A34,'VORP SCORE'!$A$2:$I$301,9,)</f>
        <v>33</v>
      </c>
      <c r="L34" s="22">
        <f>vlookup(A34,'Risk Score'!$A$4:$H$350,8,)</f>
        <v>5</v>
      </c>
      <c r="M34" s="21">
        <f>vlookup(A34,FLEX!$D$2:$F$305,3,)</f>
        <v>1</v>
      </c>
      <c r="N34" s="21"/>
      <c r="P34" s="5" t="s">
        <v>163</v>
      </c>
      <c r="Q34" s="5">
        <v>79.80000000000001</v>
      </c>
      <c r="R34" s="19" t="str">
        <f>vlookup(P34,'Player Codes'!A:D,4,)</f>
        <v>0074</v>
      </c>
      <c r="T34" s="5" t="s">
        <v>1311</v>
      </c>
      <c r="U34" s="3">
        <v>4.0</v>
      </c>
      <c r="V34" s="23">
        <v>0.0</v>
      </c>
      <c r="W34" s="3"/>
      <c r="X34" s="2" t="s">
        <v>1273</v>
      </c>
      <c r="Y34" s="3">
        <v>3.0</v>
      </c>
      <c r="Z34" s="1" t="s">
        <v>1312</v>
      </c>
      <c r="AA34" s="5" t="s">
        <v>869</v>
      </c>
    </row>
    <row r="35">
      <c r="A35" s="19" t="str">
        <f>vlookup(D35,'Player Codes'!A:D,4,)</f>
        <v>0158</v>
      </c>
      <c r="B35" s="20">
        <f t="shared" si="1"/>
        <v>0.267</v>
      </c>
      <c r="C35" s="5">
        <v>34.0</v>
      </c>
      <c r="D35" s="5" t="s">
        <v>194</v>
      </c>
      <c r="E35" s="5" t="s">
        <v>1002</v>
      </c>
      <c r="F35" s="5" t="s">
        <v>980</v>
      </c>
      <c r="G35" s="5">
        <v>13.0</v>
      </c>
      <c r="H35" s="5">
        <v>222.7</v>
      </c>
      <c r="I35" s="21">
        <f>vlookup(A35,'ESPN FF Rankings'!$C$2:$H$201,2,false)</f>
        <v>196</v>
      </c>
      <c r="J35" s="5">
        <f t="shared" si="2"/>
        <v>115</v>
      </c>
      <c r="K35" s="21">
        <f>vlookup(A35,'VORP SCORE'!$A$2:$I$301,9,)</f>
        <v>34</v>
      </c>
      <c r="L35" s="22">
        <f>vlookup(A35,'Risk Score'!$A$4:$H$350,8,)</f>
        <v>6</v>
      </c>
      <c r="M35" s="21">
        <f>vlookup(A35,FLEX!$D$2:$F$305,3,)</f>
        <v>1</v>
      </c>
      <c r="N35" s="21"/>
      <c r="P35" s="5" t="s">
        <v>146</v>
      </c>
      <c r="Q35" s="5">
        <v>119.1</v>
      </c>
      <c r="R35" s="19" t="str">
        <f>vlookup(P35,'Player Codes'!A:D,4,)</f>
        <v>0096</v>
      </c>
      <c r="T35" s="5" t="s">
        <v>1313</v>
      </c>
      <c r="U35" s="3">
        <v>3.0</v>
      </c>
      <c r="V35" s="23">
        <v>0.0</v>
      </c>
      <c r="W35" s="3"/>
      <c r="X35" s="5" t="s">
        <v>306</v>
      </c>
      <c r="Y35" s="3">
        <v>3.0</v>
      </c>
      <c r="Z35" s="1" t="s">
        <v>1314</v>
      </c>
      <c r="AA35" s="5" t="s">
        <v>617</v>
      </c>
    </row>
    <row r="36">
      <c r="A36" s="19" t="str">
        <f>vlookup(D36,'Player Codes'!A:D,4,)</f>
        <v>0001</v>
      </c>
      <c r="B36" s="20">
        <f t="shared" si="1"/>
        <v>0.266</v>
      </c>
      <c r="C36" s="5">
        <v>35.0</v>
      </c>
      <c r="D36" s="5" t="s">
        <v>93</v>
      </c>
      <c r="E36" s="5" t="s">
        <v>971</v>
      </c>
      <c r="F36" s="5" t="s">
        <v>931</v>
      </c>
      <c r="G36" s="5">
        <v>10.0</v>
      </c>
      <c r="H36" s="5">
        <v>222.1</v>
      </c>
      <c r="I36" s="21">
        <f>vlookup(A36,'ESPN FF Rankings'!$C$2:$H$201,2,false)</f>
        <v>22</v>
      </c>
      <c r="J36" s="5">
        <f t="shared" si="2"/>
        <v>28.5</v>
      </c>
      <c r="K36" s="21">
        <f>vlookup(A36,'VORP SCORE'!$A$2:$I$301,9,)</f>
        <v>35</v>
      </c>
      <c r="L36" s="22">
        <f>vlookup(A36,'Risk Score'!$A$4:$H$350,8,)</f>
        <v>4</v>
      </c>
      <c r="M36" s="21">
        <f>vlookup(A36,FLEX!$D$2:$F$305,3,)</f>
        <v>3</v>
      </c>
      <c r="N36" s="21"/>
      <c r="P36" s="5" t="s">
        <v>98</v>
      </c>
      <c r="Q36" s="5">
        <v>66.5</v>
      </c>
      <c r="R36" s="19" t="str">
        <f>vlookup(P36,'Player Codes'!A:D,4,)</f>
        <v>0143</v>
      </c>
      <c r="T36" s="5" t="s">
        <v>702</v>
      </c>
      <c r="U36" s="3">
        <v>5.0</v>
      </c>
      <c r="V36" s="19" t="str">
        <f>vlookup(T36,'Player Codes'!A:D,4,)</f>
        <v>0078</v>
      </c>
      <c r="W36" s="3"/>
      <c r="X36" s="2" t="s">
        <v>1315</v>
      </c>
      <c r="Y36" s="3">
        <v>3.0</v>
      </c>
      <c r="Z36" s="1" t="s">
        <v>1316</v>
      </c>
      <c r="AA36" s="5" t="s">
        <v>699</v>
      </c>
    </row>
    <row r="37">
      <c r="A37" s="19" t="str">
        <f>vlookup(D37,'Player Codes'!A:D,4,)</f>
        <v>0255</v>
      </c>
      <c r="B37" s="20">
        <f t="shared" si="1"/>
        <v>0.265</v>
      </c>
      <c r="C37" s="5">
        <v>36.0</v>
      </c>
      <c r="D37" s="5" t="s">
        <v>322</v>
      </c>
      <c r="E37" s="5" t="s">
        <v>1150</v>
      </c>
      <c r="F37" s="5" t="s">
        <v>1016</v>
      </c>
      <c r="G37" s="5">
        <v>14.0</v>
      </c>
      <c r="H37" s="5">
        <v>221.7</v>
      </c>
      <c r="I37" s="23">
        <v>0.0</v>
      </c>
      <c r="J37" s="5">
        <f t="shared" si="2"/>
        <v>18</v>
      </c>
      <c r="K37" s="21">
        <f>vlookup(A37,'VORP SCORE'!$A$2:$I$301,9,)</f>
        <v>36</v>
      </c>
      <c r="L37" s="22">
        <f>vlookup(A37,'Risk Score'!$A$4:$H$350,8,)</f>
        <v>3</v>
      </c>
      <c r="M37" s="21">
        <f>vlookup(A37,FLEX!$D$2:$F$305,3,)</f>
        <v>1</v>
      </c>
      <c r="N37" s="21"/>
      <c r="P37" s="2" t="s">
        <v>209</v>
      </c>
      <c r="Q37" s="5">
        <v>124.70000000000002</v>
      </c>
      <c r="R37" s="19" t="str">
        <f>vlookup(P37,'Player Codes'!A:D,4,)</f>
        <v>0101</v>
      </c>
      <c r="T37" s="5" t="s">
        <v>571</v>
      </c>
      <c r="U37" s="3">
        <v>4.0</v>
      </c>
      <c r="V37" s="19" t="str">
        <f>vlookup(T37,'Player Codes'!A:D,4,)</f>
        <v>0079</v>
      </c>
      <c r="W37" s="3"/>
      <c r="X37" s="5" t="s">
        <v>346</v>
      </c>
      <c r="Y37" s="3">
        <v>2.0</v>
      </c>
      <c r="Z37" s="1" t="s">
        <v>1317</v>
      </c>
      <c r="AA37" s="5" t="s">
        <v>748</v>
      </c>
    </row>
    <row r="38">
      <c r="A38" s="19" t="str">
        <f>vlookup(D38,'Player Codes'!A:D,4,)</f>
        <v>0111</v>
      </c>
      <c r="B38" s="20">
        <f t="shared" si="1"/>
        <v>0.264</v>
      </c>
      <c r="C38" s="5">
        <v>37.0</v>
      </c>
      <c r="D38" s="5" t="s">
        <v>149</v>
      </c>
      <c r="E38" s="5" t="s">
        <v>972</v>
      </c>
      <c r="F38" s="5" t="s">
        <v>967</v>
      </c>
      <c r="G38" s="5">
        <v>7.0</v>
      </c>
      <c r="H38" s="5">
        <v>221.2</v>
      </c>
      <c r="I38" s="21">
        <f>vlookup(A38,'ESPN FF Rankings'!$C$2:$H$201,2,false)</f>
        <v>19</v>
      </c>
      <c r="J38" s="5">
        <f t="shared" si="2"/>
        <v>28</v>
      </c>
      <c r="K38" s="21">
        <f>vlookup(A38,'VORP SCORE'!$A$2:$I$301,9,)</f>
        <v>37</v>
      </c>
      <c r="L38" s="22">
        <f>vlookup(A38,'Risk Score'!$A$4:$H$350,8,)</f>
        <v>3</v>
      </c>
      <c r="M38" s="21">
        <f>vlookup(A38,FLEX!$D$2:$F$305,3,)</f>
        <v>3</v>
      </c>
      <c r="N38" s="21"/>
      <c r="P38" s="5" t="s">
        <v>254</v>
      </c>
      <c r="Q38" s="5">
        <v>52.5</v>
      </c>
      <c r="R38" s="19" t="str">
        <f>vlookup(P38,'Player Codes'!A:D,4,)</f>
        <v>0240</v>
      </c>
      <c r="T38" s="5" t="s">
        <v>86</v>
      </c>
      <c r="U38" s="3">
        <v>5.0</v>
      </c>
      <c r="V38" s="19" t="str">
        <f>vlookup(T38,'Player Codes'!A:D,4,)</f>
        <v>0081</v>
      </c>
      <c r="W38" s="3"/>
      <c r="X38" s="2" t="s">
        <v>1318</v>
      </c>
      <c r="Y38" s="3">
        <v>5.0</v>
      </c>
      <c r="Z38" s="1" t="s">
        <v>1319</v>
      </c>
      <c r="AA38" s="5" t="s">
        <v>152</v>
      </c>
    </row>
    <row r="39">
      <c r="A39" s="19" t="str">
        <f>vlookup(D39,'Player Codes'!A:D,4,)</f>
        <v>0228</v>
      </c>
      <c r="B39" s="20">
        <f t="shared" si="1"/>
        <v>0.263</v>
      </c>
      <c r="C39" s="5">
        <v>38.0</v>
      </c>
      <c r="D39" s="5" t="s">
        <v>22</v>
      </c>
      <c r="E39" s="5" t="s">
        <v>981</v>
      </c>
      <c r="F39" s="5" t="s">
        <v>944</v>
      </c>
      <c r="G39" s="5">
        <v>5.0</v>
      </c>
      <c r="H39" s="5">
        <v>221.1</v>
      </c>
      <c r="I39" s="21">
        <f>vlookup(A39,'ESPN FF Rankings'!$C$2:$H$201,2,false)</f>
        <v>15</v>
      </c>
      <c r="J39" s="5">
        <f t="shared" si="2"/>
        <v>26.5</v>
      </c>
      <c r="K39" s="21">
        <f>vlookup(A39,'VORP SCORE'!$A$2:$I$301,9,)</f>
        <v>38</v>
      </c>
      <c r="L39" s="22">
        <f>vlookup(A39,'Risk Score'!$A$4:$H$350,8,)</f>
        <v>5</v>
      </c>
      <c r="M39" s="21">
        <f>vlookup(A39,FLEX!$D$2:$F$305,3,)</f>
        <v>4</v>
      </c>
      <c r="N39" s="21"/>
      <c r="P39" s="5" t="s">
        <v>251</v>
      </c>
      <c r="Q39" s="5">
        <v>273.2</v>
      </c>
      <c r="R39" s="19" t="str">
        <f>vlookup(P39,'Player Codes'!A:D,4,)</f>
        <v>0167</v>
      </c>
      <c r="T39" s="5" t="s">
        <v>102</v>
      </c>
      <c r="U39" s="3">
        <v>6.0</v>
      </c>
      <c r="V39" s="19" t="str">
        <f>vlookup(T39,'Player Codes'!A:D,4,)</f>
        <v>0085</v>
      </c>
      <c r="W39" s="3"/>
      <c r="X39" s="2" t="s">
        <v>869</v>
      </c>
      <c r="Y39" s="3">
        <v>3.0</v>
      </c>
      <c r="Z39" s="1" t="s">
        <v>1320</v>
      </c>
      <c r="AA39" s="5" t="s">
        <v>235</v>
      </c>
    </row>
    <row r="40">
      <c r="A40" s="19" t="str">
        <f>vlookup(D40,'Player Codes'!A:D,4,)</f>
        <v>0274</v>
      </c>
      <c r="B40" s="20">
        <f t="shared" si="1"/>
        <v>0.262</v>
      </c>
      <c r="C40" s="5">
        <v>39.0</v>
      </c>
      <c r="D40" s="5" t="s">
        <v>35</v>
      </c>
      <c r="E40" s="5" t="s">
        <v>986</v>
      </c>
      <c r="F40" s="5" t="s">
        <v>952</v>
      </c>
      <c r="G40" s="5">
        <v>7.0</v>
      </c>
      <c r="H40" s="5">
        <v>218.8</v>
      </c>
      <c r="I40" s="21">
        <f>vlookup(A40,'ESPN FF Rankings'!$C$2:$H$201,2,false)</f>
        <v>12</v>
      </c>
      <c r="J40" s="5">
        <f t="shared" si="2"/>
        <v>25.5</v>
      </c>
      <c r="K40" s="21">
        <f>vlookup(A40,'VORP SCORE'!$A$2:$I$301,9,)</f>
        <v>39</v>
      </c>
      <c r="L40" s="22">
        <f>vlookup(A40,'Risk Score'!$A$4:$H$350,8,)</f>
        <v>4</v>
      </c>
      <c r="M40" s="21">
        <f>vlookup(A40,FLEX!$D$2:$F$305,3,)</f>
        <v>4</v>
      </c>
      <c r="N40" s="21"/>
      <c r="P40" s="5" t="s">
        <v>121</v>
      </c>
      <c r="Q40" s="5">
        <v>132.6</v>
      </c>
      <c r="R40" s="19" t="str">
        <f>vlookup(P40,'Player Codes'!A:D,4,)</f>
        <v>0053</v>
      </c>
      <c r="T40" s="5" t="s">
        <v>117</v>
      </c>
      <c r="U40" s="3">
        <v>5.0</v>
      </c>
      <c r="V40" s="19" t="str">
        <f>vlookup(T40,'Player Codes'!A:D,4,)</f>
        <v>0086</v>
      </c>
      <c r="W40" s="3"/>
      <c r="X40" s="5" t="s">
        <v>1275</v>
      </c>
      <c r="Y40" s="3">
        <v>2.0</v>
      </c>
      <c r="Z40" s="1" t="s">
        <v>1321</v>
      </c>
      <c r="AA40" s="5" t="s">
        <v>522</v>
      </c>
    </row>
    <row r="41">
      <c r="A41" s="19" t="str">
        <f>vlookup(D41,'Player Codes'!A:D,4,)</f>
        <v>0200</v>
      </c>
      <c r="B41" s="20">
        <f t="shared" si="1"/>
        <v>0.261</v>
      </c>
      <c r="C41" s="5">
        <v>40.0</v>
      </c>
      <c r="D41" s="5" t="s">
        <v>331</v>
      </c>
      <c r="E41" s="5" t="s">
        <v>1151</v>
      </c>
      <c r="F41" s="5" t="s">
        <v>1009</v>
      </c>
      <c r="G41" s="5">
        <v>11.0</v>
      </c>
      <c r="H41" s="5">
        <v>217.5</v>
      </c>
      <c r="I41" s="23">
        <v>0.0</v>
      </c>
      <c r="J41" s="5">
        <f t="shared" si="2"/>
        <v>20</v>
      </c>
      <c r="K41" s="21">
        <f>vlookup(A41,'VORP SCORE'!$A$2:$I$301,9,)</f>
        <v>40</v>
      </c>
      <c r="L41" s="22">
        <f>vlookup(A41,'Risk Score'!$A$4:$H$350,8,)</f>
        <v>3</v>
      </c>
      <c r="M41" s="21">
        <f>vlookup(A41,FLEX!$D$2:$F$305,3,)</f>
        <v>1</v>
      </c>
      <c r="N41" s="21"/>
      <c r="P41" s="5" t="s">
        <v>139</v>
      </c>
      <c r="Q41" s="5">
        <v>94.0</v>
      </c>
      <c r="R41" s="19" t="str">
        <f>vlookup(P41,'Player Codes'!A:D,4,)</f>
        <v>0182</v>
      </c>
      <c r="T41" s="5" t="s">
        <v>1322</v>
      </c>
      <c r="U41" s="3">
        <v>2.0</v>
      </c>
      <c r="V41" s="23">
        <v>0.0</v>
      </c>
      <c r="W41" s="3"/>
      <c r="X41" s="5" t="s">
        <v>152</v>
      </c>
      <c r="Y41" s="3">
        <v>4.0</v>
      </c>
      <c r="Z41" s="1" t="s">
        <v>1323</v>
      </c>
      <c r="AA41" s="5" t="s">
        <v>1324</v>
      </c>
    </row>
    <row r="42">
      <c r="A42" s="19" t="str">
        <f>vlookup(D42,'Player Codes'!A:D,4,)</f>
        <v>0091</v>
      </c>
      <c r="B42" s="20">
        <f t="shared" si="1"/>
        <v>0.261</v>
      </c>
      <c r="C42" s="5">
        <v>40.0</v>
      </c>
      <c r="D42" s="5" t="s">
        <v>364</v>
      </c>
      <c r="E42" s="5" t="s">
        <v>1151</v>
      </c>
      <c r="F42" s="5" t="s">
        <v>974</v>
      </c>
      <c r="G42" s="5">
        <v>11.0</v>
      </c>
      <c r="H42" s="5">
        <v>217.5</v>
      </c>
      <c r="I42" s="23">
        <v>0.0</v>
      </c>
      <c r="J42" s="5">
        <f t="shared" si="2"/>
        <v>20</v>
      </c>
      <c r="K42" s="21">
        <f>vlookup(A42,'VORP SCORE'!$A$2:$I$301,9,)</f>
        <v>41</v>
      </c>
      <c r="L42" s="22">
        <f>vlookup(A42,'Risk Score'!$A$4:$H$350,8,)</f>
        <v>2</v>
      </c>
      <c r="M42" s="21">
        <f>vlookup(A42,FLEX!$D$2:$F$305,3,)</f>
        <v>1</v>
      </c>
      <c r="N42" s="21"/>
      <c r="P42" s="5" t="s">
        <v>117</v>
      </c>
      <c r="Q42" s="5">
        <v>100.30000000000001</v>
      </c>
      <c r="R42" s="19" t="str">
        <f>vlookup(P42,'Player Codes'!A:D,4,)</f>
        <v>0086</v>
      </c>
      <c r="T42" s="5" t="s">
        <v>1325</v>
      </c>
      <c r="U42" s="3">
        <v>3.0</v>
      </c>
      <c r="V42" s="23">
        <v>0.0</v>
      </c>
      <c r="W42" s="3"/>
      <c r="X42" s="5" t="s">
        <v>235</v>
      </c>
      <c r="Y42" s="3">
        <v>3.0</v>
      </c>
      <c r="Z42" s="1" t="s">
        <v>1326</v>
      </c>
      <c r="AA42" s="5" t="s">
        <v>888</v>
      </c>
    </row>
    <row r="43">
      <c r="A43" s="19" t="str">
        <f>vlookup(D43,'Player Codes'!A:D,4,)</f>
        <v>0042</v>
      </c>
      <c r="B43" s="20">
        <f t="shared" si="1"/>
        <v>0.259</v>
      </c>
      <c r="C43" s="5">
        <v>42.0</v>
      </c>
      <c r="D43" s="5" t="s">
        <v>106</v>
      </c>
      <c r="E43" s="5" t="s">
        <v>977</v>
      </c>
      <c r="F43" s="5" t="s">
        <v>952</v>
      </c>
      <c r="G43" s="5">
        <v>7.0</v>
      </c>
      <c r="H43" s="5">
        <v>214.5</v>
      </c>
      <c r="I43" s="21">
        <f>vlookup(A43,'ESPN FF Rankings'!$C$2:$H$201,2,false)</f>
        <v>18</v>
      </c>
      <c r="J43" s="5">
        <f t="shared" si="2"/>
        <v>30</v>
      </c>
      <c r="K43" s="21">
        <f>vlookup(A43,'VORP SCORE'!$A$2:$I$301,9,)</f>
        <v>42</v>
      </c>
      <c r="L43" s="22">
        <f>vlookup(A43,'Risk Score'!$A$4:$H$350,8,)</f>
        <v>4</v>
      </c>
      <c r="M43" s="21">
        <f>vlookup(A43,FLEX!$D$2:$F$305,3,)</f>
        <v>3</v>
      </c>
      <c r="N43" s="21"/>
      <c r="P43" s="5" t="s">
        <v>264</v>
      </c>
      <c r="Q43" s="5">
        <v>269.7</v>
      </c>
      <c r="R43" s="19" t="str">
        <f>vlookup(P43,'Player Codes'!A:D,4,)</f>
        <v>0140</v>
      </c>
      <c r="T43" s="5" t="s">
        <v>494</v>
      </c>
      <c r="U43" s="3">
        <v>5.0</v>
      </c>
      <c r="V43" s="19" t="str">
        <f>vlookup(T43,'Player Codes'!A:D,4,)</f>
        <v>0093</v>
      </c>
      <c r="W43" s="3"/>
      <c r="X43" s="5" t="s">
        <v>1327</v>
      </c>
      <c r="Y43" s="3">
        <v>5.0</v>
      </c>
      <c r="Z43" s="1" t="s">
        <v>1328</v>
      </c>
      <c r="AA43" s="5" t="s">
        <v>106</v>
      </c>
    </row>
    <row r="44">
      <c r="A44" s="19" t="str">
        <f>vlookup(D44,'Player Codes'!A:D,4,)</f>
        <v>0089</v>
      </c>
      <c r="B44" s="20">
        <f t="shared" si="1"/>
        <v>0.258</v>
      </c>
      <c r="C44" s="5">
        <v>43.0</v>
      </c>
      <c r="D44" s="5" t="s">
        <v>39</v>
      </c>
      <c r="E44" s="5" t="s">
        <v>989</v>
      </c>
      <c r="F44" s="5" t="s">
        <v>990</v>
      </c>
      <c r="G44" s="5">
        <v>7.0</v>
      </c>
      <c r="H44" s="5">
        <v>214.2</v>
      </c>
      <c r="I44" s="21">
        <f>vlookup(A44,'ESPN FF Rankings'!$C$2:$H$201,2,false)</f>
        <v>11</v>
      </c>
      <c r="J44" s="5">
        <f t="shared" si="2"/>
        <v>27</v>
      </c>
      <c r="K44" s="21">
        <f>vlookup(A44,'VORP SCORE'!$A$2:$I$301,9,)</f>
        <v>43</v>
      </c>
      <c r="L44" s="22">
        <f>vlookup(A44,'Risk Score'!$A$4:$H$350,8,)</f>
        <v>4</v>
      </c>
      <c r="M44" s="21">
        <f>vlookup(A44,FLEX!$D$2:$F$305,3,)</f>
        <v>4</v>
      </c>
      <c r="N44" s="21"/>
      <c r="P44" s="5" t="s">
        <v>152</v>
      </c>
      <c r="Q44" s="5">
        <v>112.20000000000002</v>
      </c>
      <c r="R44" s="19" t="str">
        <f>vlookup(P44,'Player Codes'!A:D,4,)</f>
        <v>0037</v>
      </c>
      <c r="T44" s="5" t="s">
        <v>1329</v>
      </c>
      <c r="U44" s="3">
        <v>2.0</v>
      </c>
      <c r="V44" s="23">
        <v>0.0</v>
      </c>
      <c r="W44" s="3"/>
      <c r="X44" s="5" t="s">
        <v>888</v>
      </c>
      <c r="Y44" s="3">
        <v>2.0</v>
      </c>
      <c r="Z44" s="1" t="s">
        <v>1330</v>
      </c>
      <c r="AA44" s="5" t="s">
        <v>840</v>
      </c>
    </row>
    <row r="45">
      <c r="A45" s="19" t="str">
        <f>vlookup(D45,'Player Codes'!A:D,4,)</f>
        <v>0012</v>
      </c>
      <c r="B45" s="20">
        <f t="shared" si="1"/>
        <v>0.257</v>
      </c>
      <c r="C45" s="5">
        <v>44.0</v>
      </c>
      <c r="D45" s="5" t="s">
        <v>175</v>
      </c>
      <c r="E45" s="5" t="s">
        <v>978</v>
      </c>
      <c r="F45" s="5" t="s">
        <v>965</v>
      </c>
      <c r="G45" s="5">
        <v>9.0</v>
      </c>
      <c r="H45" s="5">
        <v>213.9</v>
      </c>
      <c r="I45" s="21">
        <f>vlookup(A45,'ESPN FF Rankings'!$C$2:$H$201,2,false)</f>
        <v>27</v>
      </c>
      <c r="J45" s="5">
        <f t="shared" si="2"/>
        <v>35.5</v>
      </c>
      <c r="K45" s="21">
        <f>vlookup(A45,'VORP SCORE'!$A$2:$I$301,9,)</f>
        <v>44</v>
      </c>
      <c r="L45" s="22">
        <f>vlookup(A45,'Risk Score'!$A$4:$H$350,8,)</f>
        <v>3</v>
      </c>
      <c r="M45" s="21">
        <f>vlookup(A45,FLEX!$D$2:$F$305,3,)</f>
        <v>3</v>
      </c>
      <c r="N45" s="21"/>
      <c r="P45" s="5" t="s">
        <v>325</v>
      </c>
      <c r="Q45" s="5">
        <v>71.79999999999998</v>
      </c>
      <c r="R45" s="19" t="str">
        <f>vlookup(P45,'Player Codes'!A:D,4,)</f>
        <v>0080</v>
      </c>
      <c r="T45" s="5" t="s">
        <v>146</v>
      </c>
      <c r="U45" s="3">
        <v>4.0</v>
      </c>
      <c r="V45" s="19" t="str">
        <f>vlookup(T45,'Player Codes'!A:D,4,)</f>
        <v>0096</v>
      </c>
      <c r="W45" s="3"/>
      <c r="X45" s="5" t="s">
        <v>1280</v>
      </c>
      <c r="Y45" s="3">
        <v>3.0</v>
      </c>
      <c r="Z45" s="1" t="s">
        <v>1331</v>
      </c>
      <c r="AA45" s="5" t="s">
        <v>771</v>
      </c>
    </row>
    <row r="46">
      <c r="A46" s="19" t="str">
        <f>vlookup(D46,'Player Codes'!A:D,4,)</f>
        <v>0259</v>
      </c>
      <c r="B46" s="20">
        <f t="shared" si="1"/>
        <v>0.256</v>
      </c>
      <c r="C46" s="5">
        <v>45.0</v>
      </c>
      <c r="D46" s="5" t="s">
        <v>26</v>
      </c>
      <c r="E46" s="5" t="s">
        <v>993</v>
      </c>
      <c r="F46" s="5" t="s">
        <v>948</v>
      </c>
      <c r="G46" s="5">
        <v>13.0</v>
      </c>
      <c r="H46" s="5">
        <v>213.6</v>
      </c>
      <c r="I46" s="21">
        <f>vlookup(A46,'ESPN FF Rankings'!$C$2:$H$201,2,false)</f>
        <v>5</v>
      </c>
      <c r="J46" s="5">
        <f t="shared" si="2"/>
        <v>25</v>
      </c>
      <c r="K46" s="21">
        <f>vlookup(A46,'VORP SCORE'!$A$2:$I$301,9,)</f>
        <v>45</v>
      </c>
      <c r="L46" s="22">
        <f>vlookup(A46,'Risk Score'!$A$4:$H$350,8,)</f>
        <v>5</v>
      </c>
      <c r="M46" s="21">
        <f>vlookup(A46,FLEX!$D$2:$F$305,3,)</f>
        <v>4</v>
      </c>
      <c r="N46" s="21"/>
      <c r="P46" s="5" t="s">
        <v>182</v>
      </c>
      <c r="Q46" s="5">
        <v>100.0</v>
      </c>
      <c r="R46" s="19" t="str">
        <f>vlookup(P46,'Player Codes'!A:D,4,)</f>
        <v>0011</v>
      </c>
      <c r="T46" s="5" t="s">
        <v>257</v>
      </c>
      <c r="U46" s="3">
        <v>4.0</v>
      </c>
      <c r="V46" s="19" t="str">
        <f>vlookup(T46,'Player Codes'!A:D,4,)</f>
        <v>0098</v>
      </c>
      <c r="W46" s="3"/>
      <c r="X46" s="5" t="s">
        <v>106</v>
      </c>
      <c r="Y46" s="3">
        <v>4.0</v>
      </c>
      <c r="Z46" s="1" t="s">
        <v>1332</v>
      </c>
      <c r="AA46" s="5" t="s">
        <v>828</v>
      </c>
    </row>
    <row r="47">
      <c r="A47" s="19" t="str">
        <f>vlookup(D47,'Player Codes'!A:D,4,)</f>
        <v>0029</v>
      </c>
      <c r="B47" s="20">
        <f t="shared" si="1"/>
        <v>0.255</v>
      </c>
      <c r="C47" s="5">
        <v>46.0</v>
      </c>
      <c r="D47" s="5" t="s">
        <v>382</v>
      </c>
      <c r="E47" s="5" t="s">
        <v>1152</v>
      </c>
      <c r="F47" s="5" t="s">
        <v>963</v>
      </c>
      <c r="G47" s="5">
        <v>9.0</v>
      </c>
      <c r="H47" s="5">
        <v>213.5</v>
      </c>
      <c r="I47" s="23">
        <v>0.0</v>
      </c>
      <c r="J47" s="5">
        <f t="shared" si="2"/>
        <v>23</v>
      </c>
      <c r="K47" s="21">
        <f>vlookup(A47,'VORP SCORE'!$A$2:$I$301,9,)</f>
        <v>46</v>
      </c>
      <c r="L47" s="22">
        <f>vlookup(A47,'Risk Score'!$A$4:$H$350,8,)</f>
        <v>2</v>
      </c>
      <c r="M47" s="21">
        <f>vlookup(A47,FLEX!$D$2:$F$305,3,)</f>
        <v>1</v>
      </c>
      <c r="N47" s="21"/>
      <c r="P47" s="5" t="s">
        <v>79</v>
      </c>
      <c r="Q47" s="5">
        <v>91.19999999999999</v>
      </c>
      <c r="R47" s="19" t="str">
        <f>vlookup(P47,'Player Codes'!A:D,4,)</f>
        <v>0026</v>
      </c>
      <c r="T47" s="5" t="s">
        <v>649</v>
      </c>
      <c r="U47" s="3">
        <v>3.0</v>
      </c>
      <c r="V47" s="19" t="str">
        <f>vlookup(T47,'Player Codes'!A:D,4,)</f>
        <v>0102</v>
      </c>
      <c r="W47" s="3"/>
      <c r="X47" s="5" t="s">
        <v>828</v>
      </c>
      <c r="Y47" s="3">
        <v>3.0</v>
      </c>
      <c r="Z47" s="1" t="s">
        <v>1333</v>
      </c>
      <c r="AA47" s="5" t="s">
        <v>635</v>
      </c>
    </row>
    <row r="48">
      <c r="A48" s="19" t="str">
        <f>vlookup(D48,'Player Codes'!A:D,4,)</f>
        <v>0081</v>
      </c>
      <c r="B48" s="20">
        <f t="shared" si="1"/>
        <v>0.254</v>
      </c>
      <c r="C48" s="5">
        <v>47.0</v>
      </c>
      <c r="D48" s="5" t="s">
        <v>86</v>
      </c>
      <c r="E48" s="5" t="s">
        <v>979</v>
      </c>
      <c r="F48" s="5" t="s">
        <v>980</v>
      </c>
      <c r="G48" s="5">
        <v>13.0</v>
      </c>
      <c r="H48" s="5">
        <v>212.9</v>
      </c>
      <c r="I48" s="21">
        <f>vlookup(A48,'ESPN FF Rankings'!$C$2:$H$201,2,false)</f>
        <v>16</v>
      </c>
      <c r="J48" s="5">
        <f t="shared" si="2"/>
        <v>31.5</v>
      </c>
      <c r="K48" s="21">
        <f>vlookup(A48,'VORP SCORE'!$A$2:$I$301,9,)</f>
        <v>47</v>
      </c>
      <c r="L48" s="22">
        <f>vlookup(A48,'Risk Score'!$A$4:$H$350,8,)</f>
        <v>5</v>
      </c>
      <c r="M48" s="21">
        <f>vlookup(A48,FLEX!$D$2:$F$305,3,)</f>
        <v>3</v>
      </c>
      <c r="N48" s="21"/>
      <c r="P48" s="5" t="s">
        <v>166</v>
      </c>
      <c r="Q48" s="5">
        <v>87.4</v>
      </c>
      <c r="R48" s="19" t="str">
        <f>vlookup(P48,'Player Codes'!A:D,4,)</f>
        <v>0052</v>
      </c>
      <c r="T48" s="5" t="s">
        <v>262</v>
      </c>
      <c r="U48" s="3">
        <v>3.0</v>
      </c>
      <c r="V48" s="19" t="str">
        <f>vlookup(T48,'Player Codes'!A:D,4,)</f>
        <v>0103</v>
      </c>
      <c r="W48" s="3"/>
      <c r="X48" s="2" t="s">
        <v>1334</v>
      </c>
      <c r="Y48" s="3">
        <v>5.0</v>
      </c>
      <c r="Z48" s="1" t="s">
        <v>1335</v>
      </c>
      <c r="AA48" s="5" t="s">
        <v>1336</v>
      </c>
    </row>
    <row r="49">
      <c r="A49" s="19" t="str">
        <f>vlookup(D49,'Player Codes'!A:D,4,)</f>
        <v>0168</v>
      </c>
      <c r="B49" s="20">
        <f t="shared" si="1"/>
        <v>0.253</v>
      </c>
      <c r="C49" s="5">
        <v>48.0</v>
      </c>
      <c r="D49" s="5" t="s">
        <v>43</v>
      </c>
      <c r="E49" s="5" t="s">
        <v>999</v>
      </c>
      <c r="F49" s="5" t="s">
        <v>980</v>
      </c>
      <c r="G49" s="5">
        <v>13.0</v>
      </c>
      <c r="H49" s="5">
        <v>207.5</v>
      </c>
      <c r="I49" s="21">
        <f>vlookup(A49,'ESPN FF Rankings'!$C$2:$H$201,2,false)</f>
        <v>13</v>
      </c>
      <c r="J49" s="5">
        <f t="shared" si="2"/>
        <v>30.5</v>
      </c>
      <c r="K49" s="21">
        <f>vlookup(A49,'VORP SCORE'!$A$2:$I$301,9,)</f>
        <v>48</v>
      </c>
      <c r="L49" s="22">
        <f>vlookup(A49,'Risk Score'!$A$4:$H$350,8,)</f>
        <v>4</v>
      </c>
      <c r="M49" s="21">
        <f>vlookup(A49,FLEX!$D$2:$F$305,3,)</f>
        <v>4</v>
      </c>
      <c r="N49" s="21"/>
      <c r="P49" s="5" t="s">
        <v>433</v>
      </c>
      <c r="Q49" s="5">
        <v>60.39999999999999</v>
      </c>
      <c r="R49" s="19" t="str">
        <f>vlookup(P49,'Player Codes'!A:D,4,)</f>
        <v>0191</v>
      </c>
      <c r="T49" s="5" t="s">
        <v>1337</v>
      </c>
      <c r="U49" s="3">
        <v>3.0</v>
      </c>
      <c r="V49" s="23">
        <v>0.0</v>
      </c>
      <c r="W49" s="3"/>
      <c r="X49" s="2" t="s">
        <v>646</v>
      </c>
      <c r="Y49" s="3">
        <v>2.0</v>
      </c>
      <c r="Z49" s="1" t="s">
        <v>1338</v>
      </c>
      <c r="AA49" s="5" t="s">
        <v>646</v>
      </c>
    </row>
    <row r="50">
      <c r="A50" s="19" t="str">
        <f>vlookup(D50,'Player Codes'!A:D,4,)</f>
        <v>0053</v>
      </c>
      <c r="B50" s="20">
        <f t="shared" si="1"/>
        <v>0.252</v>
      </c>
      <c r="C50" s="5">
        <v>49.0</v>
      </c>
      <c r="D50" s="5" t="s">
        <v>121</v>
      </c>
      <c r="E50" s="5" t="s">
        <v>994</v>
      </c>
      <c r="F50" s="5" t="s">
        <v>983</v>
      </c>
      <c r="G50" s="5">
        <v>11.0</v>
      </c>
      <c r="H50" s="5">
        <v>202.2</v>
      </c>
      <c r="I50" s="21">
        <f>vlookup(A50,'ESPN FF Rankings'!$C$2:$H$201,2,false)</f>
        <v>39</v>
      </c>
      <c r="J50" s="5">
        <f t="shared" si="2"/>
        <v>44</v>
      </c>
      <c r="K50" s="21">
        <f>vlookup(A50,'VORP SCORE'!$A$2:$I$301,9,)</f>
        <v>49</v>
      </c>
      <c r="L50" s="22">
        <f>vlookup(A50,'Risk Score'!$A$4:$H$350,8,)</f>
        <v>4</v>
      </c>
      <c r="M50" s="21">
        <f>vlookup(A50,FLEX!$D$2:$F$305,3,)</f>
        <v>3</v>
      </c>
      <c r="N50" s="21"/>
      <c r="P50" s="5" t="s">
        <v>102</v>
      </c>
      <c r="Q50" s="5">
        <v>87.4</v>
      </c>
      <c r="R50" s="19" t="str">
        <f>vlookup(P50,'Player Codes'!A:D,4,)</f>
        <v>0085</v>
      </c>
      <c r="T50" s="5" t="s">
        <v>313</v>
      </c>
      <c r="U50" s="3">
        <v>4.0</v>
      </c>
      <c r="V50" s="19" t="str">
        <f>vlookup(T50,'Player Codes'!A:D,4,)</f>
        <v>0106</v>
      </c>
      <c r="W50" s="3"/>
      <c r="X50" s="5" t="s">
        <v>801</v>
      </c>
      <c r="Y50" s="3">
        <v>4.0</v>
      </c>
      <c r="Z50" s="1" t="s">
        <v>1339</v>
      </c>
      <c r="AA50" s="5" t="s">
        <v>801</v>
      </c>
    </row>
    <row r="51">
      <c r="A51" s="19" t="str">
        <f>vlookup(D51,'Player Codes'!A:D,4,)</f>
        <v>0254</v>
      </c>
      <c r="B51" s="20">
        <f t="shared" si="1"/>
        <v>0.251</v>
      </c>
      <c r="C51" s="5">
        <v>50.0</v>
      </c>
      <c r="D51" s="5" t="s">
        <v>319</v>
      </c>
      <c r="E51" s="5" t="s">
        <v>1153</v>
      </c>
      <c r="F51" s="5" t="s">
        <v>990</v>
      </c>
      <c r="G51" s="5">
        <v>7.0</v>
      </c>
      <c r="H51" s="5">
        <v>200.1</v>
      </c>
      <c r="I51" s="23">
        <v>0.0</v>
      </c>
      <c r="J51" s="5">
        <f t="shared" si="2"/>
        <v>25</v>
      </c>
      <c r="K51" s="21">
        <f>vlookup(A51,'VORP SCORE'!$A$2:$I$301,9,)</f>
        <v>50</v>
      </c>
      <c r="L51" s="22">
        <f>vlookup(A51,'Risk Score'!$A$4:$H$350,8,)</f>
        <v>4</v>
      </c>
      <c r="M51" s="21">
        <f>vlookup(A51,FLEX!$D$2:$F$305,3,)</f>
        <v>1</v>
      </c>
      <c r="N51" s="21"/>
      <c r="P51" s="5" t="s">
        <v>246</v>
      </c>
      <c r="Q51" s="5">
        <v>81.9</v>
      </c>
      <c r="R51" s="19" t="str">
        <f>vlookup(P51,'Player Codes'!A:D,4,)</f>
        <v>0157</v>
      </c>
      <c r="T51" s="5" t="s">
        <v>1340</v>
      </c>
      <c r="U51" s="3">
        <v>4.0</v>
      </c>
      <c r="V51" s="23">
        <v>0.0</v>
      </c>
      <c r="W51" s="3"/>
      <c r="X51" s="5" t="s">
        <v>1288</v>
      </c>
      <c r="Y51" s="3">
        <v>3.0</v>
      </c>
      <c r="Z51" s="1" t="s">
        <v>1341</v>
      </c>
      <c r="AA51" s="5" t="s">
        <v>676</v>
      </c>
    </row>
    <row r="52">
      <c r="A52" s="19" t="str">
        <f>vlookup(D52,'Player Codes'!A:D,4,)</f>
        <v>0270</v>
      </c>
      <c r="B52" s="20">
        <f t="shared" si="1"/>
        <v>0.25</v>
      </c>
      <c r="C52" s="5">
        <v>51.0</v>
      </c>
      <c r="D52" s="5" t="s">
        <v>131</v>
      </c>
      <c r="E52" s="5" t="s">
        <v>997</v>
      </c>
      <c r="F52" s="5" t="s">
        <v>935</v>
      </c>
      <c r="G52" s="5">
        <v>7.0</v>
      </c>
      <c r="H52" s="5">
        <v>199.5</v>
      </c>
      <c r="I52" s="21">
        <f>vlookup(A52,'ESPN FF Rankings'!$C$2:$H$201,2,false)</f>
        <v>32</v>
      </c>
      <c r="J52" s="5">
        <f t="shared" si="2"/>
        <v>41.5</v>
      </c>
      <c r="K52" s="21">
        <f>vlookup(A52,'VORP SCORE'!$A$2:$I$301,9,)</f>
        <v>51</v>
      </c>
      <c r="L52" s="22">
        <f>vlookup(A52,'Risk Score'!$A$4:$H$350,8,)</f>
        <v>4</v>
      </c>
      <c r="M52" s="21">
        <f>vlookup(A52,FLEX!$D$2:$F$305,3,)</f>
        <v>3</v>
      </c>
      <c r="N52" s="21"/>
      <c r="P52" s="5" t="s">
        <v>83</v>
      </c>
      <c r="Q52" s="5">
        <v>74.5</v>
      </c>
      <c r="R52" s="19" t="str">
        <f>vlookup(P52,'Player Codes'!A:D,4,)</f>
        <v>0221</v>
      </c>
      <c r="T52" s="5" t="s">
        <v>1342</v>
      </c>
      <c r="U52" s="3">
        <v>3.0</v>
      </c>
      <c r="V52" s="23">
        <v>0.0</v>
      </c>
      <c r="W52" s="3"/>
      <c r="X52" s="5" t="s">
        <v>166</v>
      </c>
      <c r="Y52" s="3">
        <v>5.0</v>
      </c>
      <c r="Z52" s="1" t="s">
        <v>1343</v>
      </c>
      <c r="AA52" s="5" t="s">
        <v>754</v>
      </c>
    </row>
    <row r="53">
      <c r="A53" s="19" t="str">
        <f>vlookup(D53,'Player Codes'!A:D,4,)</f>
        <v>0164</v>
      </c>
      <c r="B53" s="20">
        <f t="shared" si="1"/>
        <v>0.249</v>
      </c>
      <c r="C53" s="5">
        <v>52.0</v>
      </c>
      <c r="D53" s="5" t="s">
        <v>51</v>
      </c>
      <c r="E53" s="5" t="s">
        <v>1004</v>
      </c>
      <c r="F53" s="5" t="s">
        <v>961</v>
      </c>
      <c r="G53" s="5">
        <v>11.0</v>
      </c>
      <c r="H53" s="5">
        <v>198.6</v>
      </c>
      <c r="I53" s="21">
        <f>vlookup(A53,'ESPN FF Rankings'!$C$2:$H$201,2,false)</f>
        <v>10</v>
      </c>
      <c r="J53" s="5">
        <f t="shared" si="2"/>
        <v>31</v>
      </c>
      <c r="K53" s="21">
        <f>vlookup(A53,'VORP SCORE'!$A$2:$I$301,9,)</f>
        <v>52</v>
      </c>
      <c r="L53" s="22">
        <f>vlookup(A53,'Risk Score'!$A$4:$H$350,8,)</f>
        <v>4</v>
      </c>
      <c r="M53" s="21">
        <f>vlookup(A53,FLEX!$D$2:$F$305,3,)</f>
        <v>4</v>
      </c>
      <c r="N53" s="21"/>
      <c r="P53" s="5" t="s">
        <v>135</v>
      </c>
      <c r="Q53" s="5">
        <v>84.9</v>
      </c>
      <c r="R53" s="19" t="str">
        <f>vlookup(P53,'Player Codes'!A:D,4,)</f>
        <v>0007</v>
      </c>
      <c r="T53" s="5" t="s">
        <v>149</v>
      </c>
      <c r="U53" s="3">
        <v>3.0</v>
      </c>
      <c r="V53" s="19" t="str">
        <f>vlookup(T53,'Player Codes'!A:D,4,)</f>
        <v>0111</v>
      </c>
      <c r="W53" s="3"/>
      <c r="X53" s="5" t="s">
        <v>121</v>
      </c>
      <c r="Y53" s="3">
        <v>4.0</v>
      </c>
      <c r="Z53" s="1" t="s">
        <v>1344</v>
      </c>
      <c r="AA53" s="5" t="s">
        <v>166</v>
      </c>
    </row>
    <row r="54">
      <c r="A54" s="19" t="str">
        <f>vlookup(D54,'Player Codes'!A:D,4,)</f>
        <v>0152</v>
      </c>
      <c r="B54" s="20">
        <f t="shared" si="1"/>
        <v>0.248</v>
      </c>
      <c r="C54" s="5">
        <v>53.0</v>
      </c>
      <c r="D54" s="5" t="s">
        <v>202</v>
      </c>
      <c r="E54" s="5" t="s">
        <v>1000</v>
      </c>
      <c r="F54" s="5" t="s">
        <v>954</v>
      </c>
      <c r="G54" s="5">
        <v>10.0</v>
      </c>
      <c r="H54" s="5">
        <v>194.8</v>
      </c>
      <c r="I54" s="21">
        <f>vlookup(A54,'ESPN FF Rankings'!$C$2:$H$201,2,false)</f>
        <v>29</v>
      </c>
      <c r="J54" s="5">
        <f t="shared" si="2"/>
        <v>41</v>
      </c>
      <c r="K54" s="21">
        <f>vlookup(A54,'VORP SCORE'!$A$2:$I$301,9,)</f>
        <v>53</v>
      </c>
      <c r="L54" s="22">
        <f>vlookup(A54,'Risk Score'!$A$4:$H$350,8,)</f>
        <v>3</v>
      </c>
      <c r="M54" s="21">
        <f>vlookup(A54,FLEX!$D$2:$F$305,3,)</f>
        <v>3</v>
      </c>
      <c r="N54" s="21"/>
      <c r="P54" s="2" t="s">
        <v>188</v>
      </c>
      <c r="Q54" s="5">
        <v>99.6</v>
      </c>
      <c r="R54" s="19" t="str">
        <f>vlookup(P54,'Player Codes'!A:D,4,)</f>
        <v>0100</v>
      </c>
      <c r="T54" s="5" t="s">
        <v>292</v>
      </c>
      <c r="U54" s="3">
        <v>3.0</v>
      </c>
      <c r="V54" s="19" t="str">
        <f>vlookup(T54,'Player Codes'!A:D,4,)</f>
        <v>0114</v>
      </c>
      <c r="W54" s="3"/>
      <c r="X54" s="5" t="s">
        <v>243</v>
      </c>
      <c r="Y54" s="3">
        <v>4.0</v>
      </c>
      <c r="Z54" s="1" t="s">
        <v>1345</v>
      </c>
      <c r="AA54" s="5" t="s">
        <v>121</v>
      </c>
    </row>
    <row r="55">
      <c r="A55" s="19" t="str">
        <f>vlookup(D55,'Player Codes'!A:D,4,)</f>
        <v>0101</v>
      </c>
      <c r="B55" s="20">
        <f t="shared" si="1"/>
        <v>0.247</v>
      </c>
      <c r="C55" s="5">
        <v>54.0</v>
      </c>
      <c r="D55" s="2" t="s">
        <v>209</v>
      </c>
      <c r="E55" s="5" t="s">
        <v>1001</v>
      </c>
      <c r="F55" s="5" t="s">
        <v>946</v>
      </c>
      <c r="G55" s="5">
        <v>5.0</v>
      </c>
      <c r="H55" s="5">
        <v>194.3</v>
      </c>
      <c r="I55" s="21">
        <f>vlookup(A55,'ESPN FF Rankings'!$C$2:$H$201,2,false)</f>
        <v>36</v>
      </c>
      <c r="J55" s="5">
        <f t="shared" si="2"/>
        <v>45</v>
      </c>
      <c r="K55" s="21">
        <f>vlookup(A55,'VORP SCORE'!$A$2:$I$301,9,)</f>
        <v>54</v>
      </c>
      <c r="L55" s="22">
        <f>vlookup(A55,'Risk Score'!$A$4:$H$350,8,)</f>
        <v>3</v>
      </c>
      <c r="M55" s="21">
        <f>vlookup(A55,FLEX!$D$2:$F$305,3,)</f>
        <v>3</v>
      </c>
      <c r="N55" s="21"/>
      <c r="P55" s="5" t="s">
        <v>235</v>
      </c>
      <c r="Q55" s="5">
        <v>62.19999999999999</v>
      </c>
      <c r="R55" s="19" t="str">
        <f>vlookup(P55,'Player Codes'!A:D,4,)</f>
        <v>0038</v>
      </c>
      <c r="T55" s="5" t="s">
        <v>1346</v>
      </c>
      <c r="U55" s="3">
        <v>3.0</v>
      </c>
      <c r="V55" s="23">
        <v>0.0</v>
      </c>
      <c r="W55" s="3"/>
      <c r="X55" s="5" t="s">
        <v>14</v>
      </c>
      <c r="Y55" s="3">
        <v>5.0</v>
      </c>
      <c r="Z55" s="1" t="s">
        <v>1347</v>
      </c>
      <c r="AA55" s="5" t="s">
        <v>243</v>
      </c>
    </row>
    <row r="56">
      <c r="A56" s="19" t="str">
        <f>vlookup(D56,'Player Codes'!A:D,4,)</f>
        <v>0096</v>
      </c>
      <c r="B56" s="20">
        <f t="shared" si="1"/>
        <v>0.246</v>
      </c>
      <c r="C56" s="5">
        <v>55.0</v>
      </c>
      <c r="D56" s="5" t="s">
        <v>146</v>
      </c>
      <c r="E56" s="5" t="s">
        <v>1003</v>
      </c>
      <c r="F56" s="5" t="s">
        <v>931</v>
      </c>
      <c r="G56" s="5">
        <v>10.0</v>
      </c>
      <c r="H56" s="5">
        <v>188.7</v>
      </c>
      <c r="I56" s="21">
        <f>vlookup(A56,'ESPN FF Rankings'!$C$2:$H$201,2,false)</f>
        <v>34</v>
      </c>
      <c r="J56" s="5">
        <f t="shared" si="2"/>
        <v>44.5</v>
      </c>
      <c r="K56" s="21">
        <f>vlookup(A56,'VORP SCORE'!$A$2:$I$301,9,)</f>
        <v>55</v>
      </c>
      <c r="L56" s="22">
        <f>vlookup(A56,'Risk Score'!$A$4:$H$350,8,)</f>
        <v>4</v>
      </c>
      <c r="M56" s="21">
        <f>vlookup(A56,FLEX!$D$2:$F$305,3,)</f>
        <v>3</v>
      </c>
      <c r="N56" s="21"/>
      <c r="P56" s="5" t="s">
        <v>262</v>
      </c>
      <c r="Q56" s="5">
        <v>96.20000000000002</v>
      </c>
      <c r="R56" s="19" t="str">
        <f>vlookup(P56,'Player Codes'!A:D,4,)</f>
        <v>0103</v>
      </c>
      <c r="T56" s="5" t="s">
        <v>745</v>
      </c>
      <c r="U56" s="3">
        <v>4.0</v>
      </c>
      <c r="V56" s="19" t="str">
        <f>vlookup(T56,'Player Codes'!A:D,4,)</f>
        <v>0126</v>
      </c>
      <c r="W56" s="3"/>
      <c r="X56" s="5" t="s">
        <v>169</v>
      </c>
      <c r="Y56" s="3">
        <v>4.0</v>
      </c>
      <c r="Z56" s="1" t="s">
        <v>1348</v>
      </c>
      <c r="AA56" s="5" t="s">
        <v>14</v>
      </c>
    </row>
    <row r="57">
      <c r="A57" s="19" t="str">
        <f>vlookup(D57,'Player Codes'!A:D,4,)</f>
        <v>0246</v>
      </c>
      <c r="B57" s="20">
        <f t="shared" si="1"/>
        <v>0.245</v>
      </c>
      <c r="C57" s="5">
        <v>56.0</v>
      </c>
      <c r="D57" s="5" t="s">
        <v>63</v>
      </c>
      <c r="E57" s="5" t="s">
        <v>1008</v>
      </c>
      <c r="F57" s="5" t="s">
        <v>1009</v>
      </c>
      <c r="G57" s="5">
        <v>11.0</v>
      </c>
      <c r="H57" s="5">
        <v>185.1</v>
      </c>
      <c r="I57" s="21">
        <f>vlookup(A57,'ESPN FF Rankings'!$C$2:$H$201,2,false)</f>
        <v>25</v>
      </c>
      <c r="J57" s="5">
        <f t="shared" si="2"/>
        <v>40.5</v>
      </c>
      <c r="K57" s="21">
        <f>vlookup(A57,'VORP SCORE'!$A$2:$I$301,9,)</f>
        <v>56</v>
      </c>
      <c r="L57" s="22">
        <f>vlookup(A57,'Risk Score'!$A$4:$H$350,8,)</f>
        <v>4</v>
      </c>
      <c r="M57" s="21">
        <f>vlookup(A57,FLEX!$D$2:$F$305,3,)</f>
        <v>4</v>
      </c>
      <c r="N57" s="21"/>
      <c r="P57" s="5" t="s">
        <v>211</v>
      </c>
      <c r="Q57" s="5">
        <v>226.09999999999997</v>
      </c>
      <c r="R57" s="19" t="str">
        <f>vlookup(P57,'Player Codes'!A:D,4,)</f>
        <v>0195</v>
      </c>
      <c r="T57" s="5" t="s">
        <v>860</v>
      </c>
      <c r="U57" s="3">
        <v>2.0</v>
      </c>
      <c r="V57" s="19" t="str">
        <f>vlookup(T57,'Player Codes'!A:D,4,)</f>
        <v>0129</v>
      </c>
      <c r="W57" s="3"/>
      <c r="X57" s="5" t="s">
        <v>620</v>
      </c>
      <c r="Y57" s="3">
        <v>3.0</v>
      </c>
      <c r="Z57" s="1" t="s">
        <v>1349</v>
      </c>
      <c r="AA57" s="5" t="s">
        <v>169</v>
      </c>
    </row>
    <row r="58">
      <c r="A58" s="19" t="str">
        <f>vlookup(D58,'Player Codes'!A:D,4,)</f>
        <v>0037</v>
      </c>
      <c r="B58" s="20">
        <f t="shared" si="1"/>
        <v>0.244</v>
      </c>
      <c r="C58" s="5">
        <v>57.0</v>
      </c>
      <c r="D58" s="5" t="s">
        <v>152</v>
      </c>
      <c r="E58" s="5" t="s">
        <v>1005</v>
      </c>
      <c r="F58" s="5" t="s">
        <v>942</v>
      </c>
      <c r="G58" s="5">
        <v>9.0</v>
      </c>
      <c r="H58" s="5">
        <v>181.8</v>
      </c>
      <c r="I58" s="21">
        <f>vlookup(A58,'ESPN FF Rankings'!$C$2:$H$201,2,false)</f>
        <v>43</v>
      </c>
      <c r="J58" s="5">
        <f t="shared" si="2"/>
        <v>50</v>
      </c>
      <c r="K58" s="21">
        <f>vlookup(A58,'VORP SCORE'!$A$2:$I$301,9,)</f>
        <v>57</v>
      </c>
      <c r="L58" s="22">
        <f>vlookup(A58,'Risk Score'!$A$4:$H$350,8,)</f>
        <v>4</v>
      </c>
      <c r="M58" s="21">
        <f>vlookup(A58,FLEX!$D$2:$F$305,3,)</f>
        <v>3</v>
      </c>
      <c r="N58" s="21"/>
      <c r="P58" s="5" t="s">
        <v>169</v>
      </c>
      <c r="Q58" s="5">
        <v>103.70000000000002</v>
      </c>
      <c r="R58" s="19" t="str">
        <f>vlookup(P58,'Player Codes'!A:D,4,)</f>
        <v>0056</v>
      </c>
      <c r="T58" s="5" t="s">
        <v>1350</v>
      </c>
      <c r="U58" s="3">
        <v>4.0</v>
      </c>
      <c r="V58" s="23">
        <v>0.0</v>
      </c>
      <c r="W58" s="3"/>
      <c r="X58" s="2" t="s">
        <v>668</v>
      </c>
      <c r="Y58" s="3">
        <v>4.0</v>
      </c>
      <c r="Z58" s="1" t="s">
        <v>1351</v>
      </c>
      <c r="AA58" s="5" t="s">
        <v>620</v>
      </c>
    </row>
    <row r="59">
      <c r="A59" s="19" t="str">
        <f>vlookup(D59,'Player Codes'!A:D,4,)</f>
        <v>0223</v>
      </c>
      <c r="B59" s="20">
        <f t="shared" si="1"/>
        <v>0.243</v>
      </c>
      <c r="C59" s="5">
        <v>58.0</v>
      </c>
      <c r="D59" s="5" t="s">
        <v>75</v>
      </c>
      <c r="E59" s="5" t="s">
        <v>1014</v>
      </c>
      <c r="F59" s="5" t="s">
        <v>985</v>
      </c>
      <c r="G59" s="5">
        <v>6.0</v>
      </c>
      <c r="H59" s="5">
        <v>178.0</v>
      </c>
      <c r="I59" s="21">
        <f>vlookup(A59,'ESPN FF Rankings'!$C$2:$H$201,2,false)</f>
        <v>24</v>
      </c>
      <c r="J59" s="5">
        <f t="shared" si="2"/>
        <v>41</v>
      </c>
      <c r="K59" s="21">
        <f>vlookup(A59,'VORP SCORE'!$A$2:$I$301,9,)</f>
        <v>58</v>
      </c>
      <c r="L59" s="22">
        <f>vlookup(A59,'Risk Score'!$A$4:$H$350,8,)</f>
        <v>4</v>
      </c>
      <c r="M59" s="21">
        <f>vlookup(A59,FLEX!$D$2:$F$305,3,)</f>
        <v>4</v>
      </c>
      <c r="N59" s="21"/>
      <c r="P59" s="5" t="s">
        <v>329</v>
      </c>
      <c r="Q59" s="5">
        <v>70.4</v>
      </c>
      <c r="R59" s="19" t="str">
        <f>vlookup(P59,'Player Codes'!A:D,4,)</f>
        <v>0113</v>
      </c>
      <c r="T59" s="5" t="s">
        <v>67</v>
      </c>
      <c r="U59" s="3">
        <v>4.0</v>
      </c>
      <c r="V59" s="19" t="str">
        <f>vlookup(T59,'Player Codes'!A:D,4,)</f>
        <v>0132</v>
      </c>
      <c r="W59" s="3"/>
      <c r="X59" s="5" t="s">
        <v>1297</v>
      </c>
      <c r="Y59" s="3">
        <v>4.0</v>
      </c>
      <c r="Z59" s="1" t="s">
        <v>1352</v>
      </c>
      <c r="AA59" s="5" t="s">
        <v>1353</v>
      </c>
    </row>
    <row r="60">
      <c r="A60" s="19" t="str">
        <f>vlookup(D60,'Player Codes'!A:D,4,)</f>
        <v>0135</v>
      </c>
      <c r="B60" s="20">
        <f t="shared" si="1"/>
        <v>0.242</v>
      </c>
      <c r="C60" s="5">
        <v>59.0</v>
      </c>
      <c r="D60" s="5" t="s">
        <v>113</v>
      </c>
      <c r="E60" s="5" t="s">
        <v>1018</v>
      </c>
      <c r="F60" s="5" t="s">
        <v>965</v>
      </c>
      <c r="G60" s="5">
        <v>9.0</v>
      </c>
      <c r="H60" s="5">
        <v>177.2</v>
      </c>
      <c r="I60" s="21">
        <f>vlookup(A60,'ESPN FF Rankings'!$C$2:$H$201,2,false)</f>
        <v>28</v>
      </c>
      <c r="J60" s="5">
        <f t="shared" si="2"/>
        <v>43.5</v>
      </c>
      <c r="K60" s="21">
        <f>vlookup(A60,'VORP SCORE'!$A$2:$I$301,9,)</f>
        <v>59</v>
      </c>
      <c r="L60" s="22">
        <f>vlookup(A60,'Risk Score'!$A$4:$H$350,8,)</f>
        <v>3</v>
      </c>
      <c r="M60" s="21">
        <f>vlookup(A60,FLEX!$D$2:$F$305,3,)</f>
        <v>4</v>
      </c>
      <c r="N60" s="21"/>
      <c r="P60" s="5" t="s">
        <v>207</v>
      </c>
      <c r="Q60" s="5">
        <v>246.39999999999998</v>
      </c>
      <c r="R60" s="19" t="str">
        <f>vlookup(P60,'Player Codes'!A:D,4,)</f>
        <v>0159</v>
      </c>
      <c r="T60" s="5" t="s">
        <v>389</v>
      </c>
      <c r="U60" s="3">
        <v>3.0</v>
      </c>
      <c r="V60" s="19" t="str">
        <f>vlookup(T60,'Player Codes'!A:D,4,)</f>
        <v>0134</v>
      </c>
      <c r="W60" s="3"/>
      <c r="X60" s="2" t="s">
        <v>821</v>
      </c>
      <c r="Y60" s="3">
        <v>2.0</v>
      </c>
      <c r="Z60" s="1" t="s">
        <v>1354</v>
      </c>
      <c r="AA60" s="5" t="s">
        <v>1355</v>
      </c>
    </row>
    <row r="61">
      <c r="A61" s="19" t="str">
        <f>vlookup(D61,'Player Codes'!A:D,4,)</f>
        <v>0056</v>
      </c>
      <c r="B61" s="20">
        <f t="shared" si="1"/>
        <v>0.241</v>
      </c>
      <c r="C61" s="5">
        <v>60.0</v>
      </c>
      <c r="D61" s="5" t="s">
        <v>169</v>
      </c>
      <c r="E61" s="5" t="s">
        <v>1010</v>
      </c>
      <c r="F61" s="5" t="s">
        <v>988</v>
      </c>
      <c r="G61" s="5">
        <v>6.0</v>
      </c>
      <c r="H61" s="5">
        <v>173.3</v>
      </c>
      <c r="I61" s="21">
        <f>vlookup(A61,'ESPN FF Rankings'!$C$2:$H$201,2,false)</f>
        <v>57</v>
      </c>
      <c r="J61" s="5">
        <f t="shared" si="2"/>
        <v>58.5</v>
      </c>
      <c r="K61" s="21">
        <f>vlookup(A61,'VORP SCORE'!$A$2:$I$301,9,)</f>
        <v>60</v>
      </c>
      <c r="L61" s="22">
        <f>vlookup(A61,'Risk Score'!$A$4:$H$350,8,)</f>
        <v>4</v>
      </c>
      <c r="M61" s="21">
        <f>vlookup(A61,FLEX!$D$2:$F$305,3,)</f>
        <v>3</v>
      </c>
      <c r="N61" s="21"/>
      <c r="P61" s="5" t="s">
        <v>217</v>
      </c>
      <c r="Q61" s="5">
        <v>67.1</v>
      </c>
      <c r="R61" s="19" t="str">
        <f>vlookup(P61,'Player Codes'!A:D,4,)</f>
        <v>0131</v>
      </c>
      <c r="T61" s="5" t="s">
        <v>415</v>
      </c>
      <c r="U61" s="3">
        <v>4.0</v>
      </c>
      <c r="V61" s="19" t="str">
        <f>vlookup(T61,'Player Codes'!A:D,4,)</f>
        <v>0139</v>
      </c>
      <c r="W61" s="3"/>
      <c r="X61" s="5" t="s">
        <v>1356</v>
      </c>
      <c r="Y61" s="3">
        <v>4.0</v>
      </c>
      <c r="Z61" s="1" t="s">
        <v>1357</v>
      </c>
      <c r="AA61" s="2" t="s">
        <v>668</v>
      </c>
    </row>
    <row r="62">
      <c r="A62" s="19" t="str">
        <f>vlookup(D62,'Player Codes'!A:D,4,)</f>
        <v>0026</v>
      </c>
      <c r="B62" s="20">
        <f t="shared" si="1"/>
        <v>0.24</v>
      </c>
      <c r="C62" s="5">
        <v>61.0</v>
      </c>
      <c r="D62" s="5" t="s">
        <v>79</v>
      </c>
      <c r="E62" s="5" t="s">
        <v>1020</v>
      </c>
      <c r="F62" s="5" t="s">
        <v>967</v>
      </c>
      <c r="G62" s="5">
        <v>7.0</v>
      </c>
      <c r="H62" s="5">
        <v>172.2</v>
      </c>
      <c r="I62" s="21">
        <f>vlookup(A62,'ESPN FF Rankings'!$C$2:$H$201,2,false)</f>
        <v>46</v>
      </c>
      <c r="J62" s="5">
        <f t="shared" si="2"/>
        <v>53.5</v>
      </c>
      <c r="K62" s="21">
        <f>vlookup(A62,'VORP SCORE'!$A$2:$I$301,9,)</f>
        <v>61</v>
      </c>
      <c r="L62" s="22">
        <f>vlookup(A62,'Risk Score'!$A$4:$H$350,8,)</f>
        <v>4</v>
      </c>
      <c r="M62" s="21">
        <f>vlookup(A62,FLEX!$D$2:$F$305,3,)</f>
        <v>4</v>
      </c>
      <c r="N62" s="21"/>
      <c r="P62" s="5" t="s">
        <v>205</v>
      </c>
      <c r="Q62" s="5">
        <v>51.400000000000006</v>
      </c>
      <c r="R62" s="19" t="str">
        <f>vlookup(P62,'Player Codes'!A:D,4,)</f>
        <v>0010</v>
      </c>
      <c r="T62" s="5" t="s">
        <v>1358</v>
      </c>
      <c r="U62" s="3">
        <v>2.0</v>
      </c>
      <c r="V62" s="23">
        <v>0.0</v>
      </c>
      <c r="W62" s="3"/>
      <c r="X62" s="5" t="s">
        <v>71</v>
      </c>
      <c r="Y62" s="3">
        <v>4.0</v>
      </c>
      <c r="Z62" s="1" t="s">
        <v>1359</v>
      </c>
      <c r="AA62" s="5" t="s">
        <v>821</v>
      </c>
    </row>
    <row r="63">
      <c r="A63" s="19" t="str">
        <f>vlookup(D63,'Player Codes'!A:D,4,)</f>
        <v>0202</v>
      </c>
      <c r="B63" s="20">
        <f t="shared" si="1"/>
        <v>0.239</v>
      </c>
      <c r="C63" s="5">
        <v>62.0</v>
      </c>
      <c r="D63" s="5" t="s">
        <v>277</v>
      </c>
      <c r="E63" s="5" t="s">
        <v>1006</v>
      </c>
      <c r="F63" s="5" t="s">
        <v>1007</v>
      </c>
      <c r="G63" s="5">
        <v>13.0</v>
      </c>
      <c r="H63" s="5">
        <v>171.6</v>
      </c>
      <c r="I63" s="21">
        <f>vlookup(A63,'ESPN FF Rankings'!$C$2:$H$201,2,false)</f>
        <v>20</v>
      </c>
      <c r="J63" s="5">
        <f t="shared" si="2"/>
        <v>41</v>
      </c>
      <c r="K63" s="21">
        <f>vlookup(A63,'VORP SCORE'!$A$2:$I$301,9,)</f>
        <v>62</v>
      </c>
      <c r="L63" s="22">
        <f>vlookup(A63,'Risk Score'!$A$4:$H$350,8,)</f>
        <v>4</v>
      </c>
      <c r="M63" s="21">
        <f>vlookup(A63,FLEX!$D$2:$F$305,3,)</f>
        <v>2</v>
      </c>
      <c r="N63" s="21"/>
      <c r="P63" s="5" t="s">
        <v>260</v>
      </c>
      <c r="Q63" s="5">
        <v>59.19999999999999</v>
      </c>
      <c r="R63" s="19" t="str">
        <f>vlookup(P63,'Player Codes'!A:D,4,)</f>
        <v>0149</v>
      </c>
      <c r="T63" s="5" t="s">
        <v>779</v>
      </c>
      <c r="U63" s="3">
        <v>2.0</v>
      </c>
      <c r="V63" s="19" t="str">
        <f>vlookup(T63,'Player Codes'!A:D,4,)</f>
        <v>0141</v>
      </c>
      <c r="W63" s="3"/>
      <c r="X63" s="5" t="s">
        <v>567</v>
      </c>
      <c r="Y63" s="3">
        <v>6.0</v>
      </c>
      <c r="Z63" s="1" t="s">
        <v>1360</v>
      </c>
      <c r="AA63" s="5" t="s">
        <v>908</v>
      </c>
    </row>
    <row r="64">
      <c r="A64" s="19" t="str">
        <f>vlookup(D64,'Player Codes'!A:D,4,)</f>
        <v>0086</v>
      </c>
      <c r="B64" s="20">
        <f t="shared" si="1"/>
        <v>0.238</v>
      </c>
      <c r="C64" s="5">
        <v>63.0</v>
      </c>
      <c r="D64" s="5" t="s">
        <v>117</v>
      </c>
      <c r="E64" s="5" t="s">
        <v>1011</v>
      </c>
      <c r="F64" s="5" t="s">
        <v>963</v>
      </c>
      <c r="G64" s="5">
        <v>9.0</v>
      </c>
      <c r="H64" s="5">
        <v>169.9</v>
      </c>
      <c r="I64" s="21">
        <f>vlookup(A64,'ESPN FF Rankings'!$C$2:$H$201,2,false)</f>
        <v>41</v>
      </c>
      <c r="J64" s="5">
        <f t="shared" si="2"/>
        <v>52</v>
      </c>
      <c r="K64" s="21">
        <f>vlookup(A64,'VORP SCORE'!$A$2:$I$301,9,)</f>
        <v>63</v>
      </c>
      <c r="L64" s="22">
        <f>vlookup(A64,'Risk Score'!$A$4:$H$350,8,)</f>
        <v>5</v>
      </c>
      <c r="M64" s="21">
        <f>vlookup(A64,FLEX!$D$2:$F$305,3,)</f>
        <v>3</v>
      </c>
      <c r="N64" s="21"/>
      <c r="P64" s="5" t="s">
        <v>249</v>
      </c>
      <c r="Q64" s="5">
        <v>59.80000000000001</v>
      </c>
      <c r="R64" s="19" t="str">
        <f>vlookup(P64,'Player Codes'!A:D,4,)</f>
        <v>0144</v>
      </c>
      <c r="T64" s="5" t="s">
        <v>545</v>
      </c>
      <c r="U64" s="3">
        <v>3.0</v>
      </c>
      <c r="V64" s="19" t="str">
        <f>vlookup(T64,'Player Codes'!A:D,4,)</f>
        <v>0145</v>
      </c>
      <c r="W64" s="3"/>
      <c r="X64" s="5" t="s">
        <v>355</v>
      </c>
      <c r="Y64" s="3">
        <v>4.0</v>
      </c>
      <c r="Z64" s="1" t="s">
        <v>1361</v>
      </c>
      <c r="AA64" s="5" t="s">
        <v>71</v>
      </c>
    </row>
    <row r="65">
      <c r="A65" s="19" t="str">
        <f>vlookup(D65,'Player Codes'!A:D,4,)</f>
        <v>0011</v>
      </c>
      <c r="B65" s="20">
        <f t="shared" si="1"/>
        <v>0.237</v>
      </c>
      <c r="C65" s="5">
        <v>64.0</v>
      </c>
      <c r="D65" s="5" t="s">
        <v>182</v>
      </c>
      <c r="E65" s="5" t="s">
        <v>1012</v>
      </c>
      <c r="F65" s="5" t="s">
        <v>944</v>
      </c>
      <c r="G65" s="5">
        <v>5.0</v>
      </c>
      <c r="H65" s="5">
        <v>169.6</v>
      </c>
      <c r="I65" s="21">
        <f>vlookup(A65,'ESPN FF Rankings'!$C$2:$H$201,2,false)</f>
        <v>45</v>
      </c>
      <c r="J65" s="5">
        <f t="shared" si="2"/>
        <v>54.5</v>
      </c>
      <c r="K65" s="21">
        <f>vlookup(A65,'VORP SCORE'!$A$2:$I$301,9,)</f>
        <v>64</v>
      </c>
      <c r="L65" s="22">
        <f>vlookup(A65,'Risk Score'!$A$4:$H$350,8,)</f>
        <v>4</v>
      </c>
      <c r="M65" s="21">
        <f>vlookup(A65,FLEX!$D$2:$F$305,3,)</f>
        <v>3</v>
      </c>
      <c r="N65" s="21"/>
      <c r="P65" s="5" t="s">
        <v>411</v>
      </c>
      <c r="Q65" s="5">
        <v>54.89999999999999</v>
      </c>
      <c r="R65" s="19" t="str">
        <f>vlookup(P65,'Player Codes'!A:D,4,)</f>
        <v>0070</v>
      </c>
      <c r="T65" s="5" t="s">
        <v>1362</v>
      </c>
      <c r="U65" s="3">
        <v>5.0</v>
      </c>
      <c r="V65" s="23">
        <v>0.0</v>
      </c>
      <c r="W65" s="3"/>
      <c r="X65" s="5" t="s">
        <v>482</v>
      </c>
      <c r="Y65" s="3">
        <v>5.0</v>
      </c>
      <c r="Z65" s="1" t="s">
        <v>1363</v>
      </c>
      <c r="AA65" s="5" t="s">
        <v>567</v>
      </c>
    </row>
    <row r="66">
      <c r="A66" s="19" t="str">
        <f>vlookup(D66,'Player Codes'!A:D,4,)</f>
        <v>0100</v>
      </c>
      <c r="B66" s="20">
        <f t="shared" si="1"/>
        <v>0.236</v>
      </c>
      <c r="C66" s="5">
        <v>65.0</v>
      </c>
      <c r="D66" s="2" t="s">
        <v>188</v>
      </c>
      <c r="E66" s="5" t="s">
        <v>1013</v>
      </c>
      <c r="F66" s="5" t="s">
        <v>940</v>
      </c>
      <c r="G66" s="5">
        <v>13.0</v>
      </c>
      <c r="H66" s="5">
        <v>169.2</v>
      </c>
      <c r="I66" s="21">
        <f>vlookup(A66,'ESPN FF Rankings'!$C$2:$H$201,2,false)</f>
        <v>53</v>
      </c>
      <c r="J66" s="5">
        <f t="shared" si="2"/>
        <v>59</v>
      </c>
      <c r="K66" s="21">
        <f>vlookup(A66,'VORP SCORE'!$A$2:$I$301,9,)</f>
        <v>65</v>
      </c>
      <c r="L66" s="22">
        <f>vlookup(A66,'Risk Score'!$A$4:$H$350,8,)</f>
        <v>4</v>
      </c>
      <c r="M66" s="21">
        <f>vlookup(A66,FLEX!$D$2:$F$305,3,)</f>
        <v>3</v>
      </c>
      <c r="N66" s="21"/>
      <c r="P66" s="5" t="s">
        <v>142</v>
      </c>
      <c r="Q66" s="5">
        <v>67.6</v>
      </c>
      <c r="R66" s="19" t="str">
        <f>vlookup(P66,'Player Codes'!A:D,4,)</f>
        <v>0130</v>
      </c>
      <c r="T66" s="5" t="s">
        <v>1364</v>
      </c>
      <c r="U66" s="3">
        <v>5.0</v>
      </c>
      <c r="V66" s="23">
        <v>0.0</v>
      </c>
      <c r="W66" s="3"/>
      <c r="X66" s="5" t="s">
        <v>1303</v>
      </c>
      <c r="Y66" s="3">
        <v>5.0</v>
      </c>
      <c r="Z66" s="1" t="s">
        <v>1365</v>
      </c>
      <c r="AA66" s="5" t="s">
        <v>355</v>
      </c>
    </row>
    <row r="67">
      <c r="A67" s="19" t="str">
        <f>vlookup(D67,'Player Codes'!A:D,4,)</f>
        <v>0186</v>
      </c>
      <c r="B67" s="20">
        <f t="shared" si="1"/>
        <v>0.235</v>
      </c>
      <c r="C67" s="5">
        <v>66.0</v>
      </c>
      <c r="D67" s="5" t="s">
        <v>128</v>
      </c>
      <c r="E67" s="5" t="s">
        <v>1022</v>
      </c>
      <c r="F67" s="5" t="s">
        <v>946</v>
      </c>
      <c r="G67" s="5">
        <v>5.0</v>
      </c>
      <c r="H67" s="5">
        <v>168.9</v>
      </c>
      <c r="I67" s="21">
        <f>vlookup(A67,'ESPN FF Rankings'!$C$2:$H$201,2,false)</f>
        <v>31</v>
      </c>
      <c r="J67" s="5">
        <f t="shared" si="2"/>
        <v>48.5</v>
      </c>
      <c r="K67" s="21">
        <f>vlookup(A67,'VORP SCORE'!$A$2:$I$301,9,)</f>
        <v>66</v>
      </c>
      <c r="L67" s="24">
        <v>3.0</v>
      </c>
      <c r="M67" s="21">
        <f>vlookup(A67,FLEX!$D$2:$F$305,3,)</f>
        <v>4</v>
      </c>
      <c r="N67" s="21"/>
      <c r="P67" s="5" t="s">
        <v>185</v>
      </c>
      <c r="Q67" s="5">
        <v>82.6</v>
      </c>
      <c r="R67" s="19" t="str">
        <f>vlookup(P67,'Player Codes'!A:D,4,)</f>
        <v>0218</v>
      </c>
      <c r="T67" s="5" t="s">
        <v>1366</v>
      </c>
      <c r="U67" s="3">
        <v>3.0</v>
      </c>
      <c r="V67" s="23">
        <v>0.0</v>
      </c>
      <c r="W67" s="3"/>
      <c r="X67" s="5" t="s">
        <v>188</v>
      </c>
      <c r="Y67" s="3">
        <v>4.0</v>
      </c>
      <c r="Z67" s="1" t="s">
        <v>1367</v>
      </c>
      <c r="AA67" s="5" t="s">
        <v>482</v>
      </c>
    </row>
    <row r="68">
      <c r="A68" s="19" t="str">
        <f>vlookup(D68,'Player Codes'!A:D,4,)</f>
        <v>0193</v>
      </c>
      <c r="B68" s="20">
        <f t="shared" si="1"/>
        <v>0.234</v>
      </c>
      <c r="C68" s="5">
        <v>67.0</v>
      </c>
      <c r="D68" s="5" t="s">
        <v>352</v>
      </c>
      <c r="E68" s="5" t="s">
        <v>1046</v>
      </c>
      <c r="F68" s="5" t="s">
        <v>1040</v>
      </c>
      <c r="G68" s="5">
        <v>14.0</v>
      </c>
      <c r="H68" s="5">
        <v>168.5</v>
      </c>
      <c r="I68" s="21">
        <f>vlookup(A68,'ESPN FF Rankings'!$C$2:$H$201,2,false)</f>
        <v>140</v>
      </c>
      <c r="J68" s="5">
        <f t="shared" si="2"/>
        <v>103.5</v>
      </c>
      <c r="K68" s="21">
        <f>vlookup(A68,'VORP SCORE'!$A$2:$I$301,9,)</f>
        <v>67</v>
      </c>
      <c r="L68" s="22">
        <f>vlookup(A68,'Risk Score'!$A$4:$H$350,8,)</f>
        <v>4</v>
      </c>
      <c r="M68" s="21">
        <f>vlookup(A68,FLEX!$D$2:$F$305,3,)</f>
        <v>1</v>
      </c>
      <c r="N68" s="21"/>
      <c r="P68" s="2" t="s">
        <v>222</v>
      </c>
      <c r="Q68" s="5">
        <v>212.5</v>
      </c>
      <c r="R68" s="19" t="str">
        <f>vlookup(P68,'Player Codes'!A:D,4,)</f>
        <v>0172</v>
      </c>
      <c r="T68" s="5" t="s">
        <v>403</v>
      </c>
      <c r="U68" s="3">
        <v>3.0</v>
      </c>
      <c r="V68" s="19" t="str">
        <f>vlookup(T68,'Player Codes'!A:D,4,)</f>
        <v>0150</v>
      </c>
      <c r="W68" s="3"/>
      <c r="X68" s="5" t="s">
        <v>209</v>
      </c>
      <c r="Y68" s="3">
        <v>3.0</v>
      </c>
      <c r="Z68" s="1" t="s">
        <v>1368</v>
      </c>
      <c r="AA68" s="5" t="s">
        <v>272</v>
      </c>
    </row>
    <row r="69">
      <c r="A69" s="19" t="str">
        <f>vlookup(D69,'Player Codes'!A:D,4,)</f>
        <v>0273</v>
      </c>
      <c r="B69" s="20">
        <f t="shared" si="1"/>
        <v>0.233</v>
      </c>
      <c r="C69" s="5">
        <v>68.0</v>
      </c>
      <c r="D69" s="5" t="s">
        <v>124</v>
      </c>
      <c r="E69" s="5" t="s">
        <v>1015</v>
      </c>
      <c r="F69" s="5" t="s">
        <v>1016</v>
      </c>
      <c r="G69" s="5">
        <v>14.0</v>
      </c>
      <c r="H69" s="5">
        <v>166.0</v>
      </c>
      <c r="I69" s="21">
        <f>vlookup(A69,'ESPN FF Rankings'!$C$2:$H$201,2,false)</f>
        <v>68</v>
      </c>
      <c r="J69" s="5">
        <f t="shared" si="2"/>
        <v>68</v>
      </c>
      <c r="K69" s="21">
        <f>vlookup(A69,'VORP SCORE'!$A$2:$I$301,9,)</f>
        <v>68</v>
      </c>
      <c r="L69" s="22">
        <f>vlookup(A69,'Risk Score'!$A$4:$H$350,8,)</f>
        <v>5</v>
      </c>
      <c r="M69" s="21">
        <f>vlookup(A69,FLEX!$D$2:$F$305,3,)</f>
        <v>3</v>
      </c>
      <c r="N69" s="21"/>
      <c r="P69" s="5" t="s">
        <v>124</v>
      </c>
      <c r="Q69" s="5">
        <v>96.4</v>
      </c>
      <c r="R69" s="19" t="str">
        <f>vlookup(P69,'Player Codes'!A:D,4,)</f>
        <v>0273</v>
      </c>
      <c r="T69" s="5" t="s">
        <v>680</v>
      </c>
      <c r="U69" s="3">
        <v>4.0</v>
      </c>
      <c r="V69" s="19" t="str">
        <f>vlookup(T69,'Player Codes'!A:D,4,)</f>
        <v>0151</v>
      </c>
      <c r="W69" s="3"/>
      <c r="X69" s="5" t="s">
        <v>272</v>
      </c>
      <c r="Y69" s="3">
        <v>4.0</v>
      </c>
      <c r="Z69" s="1" t="s">
        <v>1369</v>
      </c>
      <c r="AA69" s="5" t="s">
        <v>229</v>
      </c>
    </row>
    <row r="70">
      <c r="A70" s="19" t="str">
        <f>vlookup(D70,'Player Codes'!A:D,4,)</f>
        <v>0007</v>
      </c>
      <c r="B70" s="20">
        <f t="shared" si="1"/>
        <v>0.232</v>
      </c>
      <c r="C70" s="5">
        <v>69.0</v>
      </c>
      <c r="D70" s="5" t="s">
        <v>135</v>
      </c>
      <c r="E70" s="5" t="s">
        <v>1026</v>
      </c>
      <c r="F70" s="5" t="s">
        <v>950</v>
      </c>
      <c r="G70" s="5">
        <v>13.0</v>
      </c>
      <c r="H70" s="5">
        <v>165.9</v>
      </c>
      <c r="I70" s="21">
        <f>vlookup(A70,'ESPN FF Rankings'!$C$2:$H$201,2,false)</f>
        <v>52</v>
      </c>
      <c r="J70" s="5">
        <f t="shared" si="2"/>
        <v>60.5</v>
      </c>
      <c r="K70" s="21">
        <f>vlookup(A70,'VORP SCORE'!$A$2:$I$301,9,)</f>
        <v>69</v>
      </c>
      <c r="L70" s="22">
        <f>vlookup(A70,'Risk Score'!$A$4:$H$350,8,)</f>
        <v>3</v>
      </c>
      <c r="M70" s="21">
        <f>vlookup(A70,FLEX!$D$2:$F$305,3,)</f>
        <v>4</v>
      </c>
      <c r="N70" s="21"/>
      <c r="P70" s="5" t="s">
        <v>257</v>
      </c>
      <c r="Q70" s="5">
        <v>79.80000000000001</v>
      </c>
      <c r="R70" s="19" t="str">
        <f>vlookup(P70,'Player Codes'!A:D,4,)</f>
        <v>0098</v>
      </c>
      <c r="T70" s="5" t="s">
        <v>202</v>
      </c>
      <c r="U70" s="3">
        <v>3.0</v>
      </c>
      <c r="V70" s="19" t="str">
        <f>vlookup(T70,'Player Codes'!A:D,4,)</f>
        <v>0152</v>
      </c>
      <c r="W70" s="3"/>
      <c r="X70" s="2" t="s">
        <v>1370</v>
      </c>
      <c r="Y70" s="3">
        <v>3.0</v>
      </c>
      <c r="Z70" s="1" t="s">
        <v>1371</v>
      </c>
      <c r="AA70" s="5" t="s">
        <v>1372</v>
      </c>
    </row>
    <row r="71">
      <c r="A71" s="19" t="str">
        <f>vlookup(D71,'Player Codes'!A:D,4,)</f>
        <v>0103</v>
      </c>
      <c r="B71" s="20">
        <f t="shared" si="1"/>
        <v>0.231</v>
      </c>
      <c r="C71" s="5">
        <v>70.0</v>
      </c>
      <c r="D71" s="5" t="s">
        <v>262</v>
      </c>
      <c r="E71" s="5" t="s">
        <v>1017</v>
      </c>
      <c r="F71" s="5" t="s">
        <v>974</v>
      </c>
      <c r="G71" s="5">
        <v>11.0</v>
      </c>
      <c r="H71" s="5">
        <v>165.8</v>
      </c>
      <c r="I71" s="21">
        <f>vlookup(A71,'ESPN FF Rankings'!$C$2:$H$201,2,false)</f>
        <v>55</v>
      </c>
      <c r="J71" s="5">
        <f t="shared" si="2"/>
        <v>62.5</v>
      </c>
      <c r="K71" s="21">
        <f>vlookup(A71,'VORP SCORE'!$A$2:$I$301,9,)</f>
        <v>70</v>
      </c>
      <c r="L71" s="22">
        <f>vlookup(A71,'Risk Score'!$A$4:$H$350,8,)</f>
        <v>3</v>
      </c>
      <c r="M71" s="21">
        <f>vlookup(A71,FLEX!$D$2:$F$305,3,)</f>
        <v>3</v>
      </c>
      <c r="N71" s="21"/>
      <c r="P71" s="5" t="s">
        <v>272</v>
      </c>
      <c r="Q71" s="5">
        <v>50.0</v>
      </c>
      <c r="R71" s="19" t="str">
        <f>vlookup(P71,'Player Codes'!A:D,4,)</f>
        <v>0067</v>
      </c>
      <c r="T71" s="5" t="s">
        <v>246</v>
      </c>
      <c r="U71" s="3">
        <v>4.0</v>
      </c>
      <c r="V71" s="19" t="str">
        <f>vlookup(T71,'Player Codes'!A:D,4,)</f>
        <v>0157</v>
      </c>
      <c r="W71" s="3"/>
      <c r="X71" s="5" t="s">
        <v>1309</v>
      </c>
      <c r="Y71" s="3">
        <v>5.0</v>
      </c>
      <c r="Z71" s="1" t="s">
        <v>1373</v>
      </c>
      <c r="AA71" s="5" t="s">
        <v>411</v>
      </c>
    </row>
    <row r="72">
      <c r="A72" s="19" t="str">
        <f>vlookup(D72,'Player Codes'!A:D,4,)</f>
        <v>0160</v>
      </c>
      <c r="B72" s="20">
        <f t="shared" si="1"/>
        <v>0.23</v>
      </c>
      <c r="C72" s="5">
        <v>71.0</v>
      </c>
      <c r="D72" s="5" t="s">
        <v>55</v>
      </c>
      <c r="E72" s="5" t="s">
        <v>1027</v>
      </c>
      <c r="F72" s="5" t="s">
        <v>935</v>
      </c>
      <c r="G72" s="5">
        <v>7.0</v>
      </c>
      <c r="H72" s="5">
        <v>165.5</v>
      </c>
      <c r="I72" s="21">
        <f>vlookup(A72,'ESPN FF Rankings'!$C$2:$H$201,2,false)</f>
        <v>21</v>
      </c>
      <c r="J72" s="5">
        <f t="shared" si="2"/>
        <v>46</v>
      </c>
      <c r="K72" s="21">
        <f>vlookup(A72,'VORP SCORE'!$A$2:$I$301,9,)</f>
        <v>71</v>
      </c>
      <c r="L72" s="22">
        <f>vlookup(A72,'Risk Score'!$A$4:$H$350,8,)</f>
        <v>5</v>
      </c>
      <c r="M72" s="21">
        <f>vlookup(A72,FLEX!$D$2:$F$305,3,)</f>
        <v>4</v>
      </c>
      <c r="N72" s="21"/>
      <c r="P72" s="5" t="s">
        <v>285</v>
      </c>
      <c r="Q72" s="5">
        <v>82.9</v>
      </c>
      <c r="R72" s="19" t="str">
        <f>vlookup(P72,'Player Codes'!A:D,4,)</f>
        <v>0215</v>
      </c>
      <c r="T72" s="5" t="s">
        <v>1374</v>
      </c>
      <c r="U72" s="3">
        <v>4.0</v>
      </c>
      <c r="V72" s="23">
        <v>0.0</v>
      </c>
      <c r="W72" s="3"/>
      <c r="X72" s="5" t="s">
        <v>229</v>
      </c>
      <c r="Y72" s="3">
        <v>4.0</v>
      </c>
      <c r="Z72" s="1" t="s">
        <v>1375</v>
      </c>
      <c r="AA72" s="5" t="s">
        <v>768</v>
      </c>
    </row>
    <row r="73">
      <c r="A73" s="19" t="str">
        <f>vlookup(D73,'Player Codes'!A:D,4,)</f>
        <v>0182</v>
      </c>
      <c r="B73" s="20">
        <f t="shared" si="1"/>
        <v>0.229</v>
      </c>
      <c r="C73" s="5">
        <v>72.0</v>
      </c>
      <c r="D73" s="5" t="s">
        <v>139</v>
      </c>
      <c r="E73" s="5" t="s">
        <v>1019</v>
      </c>
      <c r="F73" s="5" t="s">
        <v>938</v>
      </c>
      <c r="G73" s="5">
        <v>5.0</v>
      </c>
      <c r="H73" s="5">
        <v>163.6</v>
      </c>
      <c r="I73" s="21">
        <f>vlookup(A73,'ESPN FF Rankings'!$C$2:$H$201,2,false)</f>
        <v>40</v>
      </c>
      <c r="J73" s="5">
        <f t="shared" si="2"/>
        <v>56</v>
      </c>
      <c r="K73" s="21">
        <f>vlookup(A73,'VORP SCORE'!$A$2:$I$301,9,)</f>
        <v>72</v>
      </c>
      <c r="L73" s="22">
        <f>vlookup(A73,'Risk Score'!$A$4:$H$350,8,)</f>
        <v>5</v>
      </c>
      <c r="M73" s="21">
        <f>vlookup(A73,FLEX!$D$2:$F$305,3,)</f>
        <v>3</v>
      </c>
      <c r="N73" s="21"/>
      <c r="P73" s="5" t="s">
        <v>179</v>
      </c>
      <c r="Q73" s="5">
        <v>84.5</v>
      </c>
      <c r="R73" s="19" t="str">
        <f>vlookup(P73,'Player Codes'!A:D,4,)</f>
        <v>0289</v>
      </c>
      <c r="T73" s="5" t="s">
        <v>539</v>
      </c>
      <c r="U73" s="3">
        <v>2.0</v>
      </c>
      <c r="V73" s="19" t="str">
        <f>vlookup(T73,'Player Codes'!A:D,4,)</f>
        <v>0163</v>
      </c>
      <c r="W73" s="3"/>
      <c r="X73" s="2" t="s">
        <v>411</v>
      </c>
      <c r="Y73" s="3">
        <v>5.0</v>
      </c>
      <c r="Z73" s="1" t="s">
        <v>1376</v>
      </c>
      <c r="AA73" s="5" t="s">
        <v>603</v>
      </c>
    </row>
    <row r="74">
      <c r="A74" s="19" t="str">
        <f>vlookup(D74,'Player Codes'!A:D,4,)</f>
        <v>0002</v>
      </c>
      <c r="B74" s="20">
        <f t="shared" si="1"/>
        <v>0.228</v>
      </c>
      <c r="C74" s="5">
        <v>73.0</v>
      </c>
      <c r="D74" s="5" t="s">
        <v>59</v>
      </c>
      <c r="E74" s="5" t="s">
        <v>1032</v>
      </c>
      <c r="F74" s="5" t="s">
        <v>988</v>
      </c>
      <c r="G74" s="5">
        <v>6.0</v>
      </c>
      <c r="H74" s="5">
        <v>163.0</v>
      </c>
      <c r="I74" s="21">
        <f>vlookup(A74,'ESPN FF Rankings'!$C$2:$H$201,2,false)</f>
        <v>23</v>
      </c>
      <c r="J74" s="5">
        <f t="shared" si="2"/>
        <v>48</v>
      </c>
      <c r="K74" s="21">
        <f>vlookup(A74,'VORP SCORE'!$A$2:$I$301,9,)</f>
        <v>73</v>
      </c>
      <c r="L74" s="22">
        <f>vlookup(A74,'Risk Score'!$A$4:$H$350,8,)</f>
        <v>5</v>
      </c>
      <c r="M74" s="21">
        <f>vlookup(A74,FLEX!$D$2:$F$305,3,)</f>
        <v>4</v>
      </c>
      <c r="N74" s="21"/>
      <c r="P74" s="5" t="s">
        <v>109</v>
      </c>
      <c r="Q74" s="5">
        <v>63.400000000000006</v>
      </c>
      <c r="R74" s="19" t="str">
        <f>vlookup(P74,'Player Codes'!A:D,4,)</f>
        <v>0082</v>
      </c>
      <c r="T74" s="5" t="s">
        <v>317</v>
      </c>
      <c r="U74" s="3">
        <v>3.0</v>
      </c>
      <c r="V74" s="19" t="str">
        <f>vlookup(T74,'Player Codes'!A:D,4,)</f>
        <v>0165</v>
      </c>
      <c r="W74" s="3"/>
      <c r="X74" s="2" t="s">
        <v>768</v>
      </c>
      <c r="Y74" s="3">
        <v>2.0</v>
      </c>
      <c r="Z74" s="1" t="s">
        <v>1377</v>
      </c>
      <c r="AA74" s="5" t="s">
        <v>283</v>
      </c>
    </row>
    <row r="75">
      <c r="A75" s="19" t="str">
        <f>vlookup(D75,'Player Codes'!A:D,4,)</f>
        <v>0275</v>
      </c>
      <c r="B75" s="20">
        <f t="shared" si="1"/>
        <v>0.227</v>
      </c>
      <c r="C75" s="5">
        <v>74.0</v>
      </c>
      <c r="D75" s="5" t="s">
        <v>159</v>
      </c>
      <c r="E75" s="5" t="s">
        <v>1035</v>
      </c>
      <c r="F75" s="5" t="s">
        <v>942</v>
      </c>
      <c r="G75" s="5">
        <v>9.0</v>
      </c>
      <c r="H75" s="5">
        <v>161.9</v>
      </c>
      <c r="I75" s="21">
        <f>vlookup(A75,'ESPN FF Rankings'!$C$2:$H$201,2,false)</f>
        <v>17</v>
      </c>
      <c r="J75" s="5">
        <f t="shared" si="2"/>
        <v>45.5</v>
      </c>
      <c r="K75" s="21">
        <f>vlookup(A75,'VORP SCORE'!$A$2:$I$301,9,)</f>
        <v>74</v>
      </c>
      <c r="L75" s="25" t="str">
        <f>vlookup(A75,'Risk Score'!$A$4:$H$350,8,)</f>
        <v>#N/A</v>
      </c>
      <c r="M75" s="21">
        <f>vlookup(A75,FLEX!$D$2:$F$305,3,)</f>
        <v>4</v>
      </c>
      <c r="N75" s="21"/>
      <c r="P75" s="5" t="s">
        <v>303</v>
      </c>
      <c r="Q75" s="5">
        <v>202.09999999999997</v>
      </c>
      <c r="R75" s="19" t="str">
        <f>vlookup(P75,'Player Codes'!A:D,4,)</f>
        <v>0277</v>
      </c>
      <c r="T75" s="5" t="s">
        <v>1378</v>
      </c>
      <c r="U75" s="3">
        <v>3.0</v>
      </c>
      <c r="V75" s="23">
        <v>0.0</v>
      </c>
      <c r="W75" s="3"/>
      <c r="X75" s="2" t="s">
        <v>603</v>
      </c>
      <c r="Y75" s="3">
        <v>4.0</v>
      </c>
      <c r="Z75" s="1" t="s">
        <v>1379</v>
      </c>
      <c r="AA75" s="5" t="s">
        <v>163</v>
      </c>
    </row>
    <row r="76">
      <c r="A76" s="19" t="str">
        <f>vlookup(D76,'Player Codes'!A:D,4,)</f>
        <v>0074</v>
      </c>
      <c r="B76" s="20">
        <f t="shared" si="1"/>
        <v>0.226</v>
      </c>
      <c r="C76" s="5">
        <v>75.0</v>
      </c>
      <c r="D76" s="5" t="s">
        <v>163</v>
      </c>
      <c r="E76" s="5" t="s">
        <v>1037</v>
      </c>
      <c r="F76" s="5" t="s">
        <v>992</v>
      </c>
      <c r="G76" s="5">
        <v>7.0</v>
      </c>
      <c r="H76" s="5">
        <v>160.8</v>
      </c>
      <c r="I76" s="21">
        <f>vlookup(A76,'ESPN FF Rankings'!$C$2:$H$201,2,false)</f>
        <v>33</v>
      </c>
      <c r="J76" s="5">
        <f t="shared" si="2"/>
        <v>54</v>
      </c>
      <c r="K76" s="21">
        <f>vlookup(A76,'VORP SCORE'!$A$2:$I$301,9,)</f>
        <v>75</v>
      </c>
      <c r="L76" s="22">
        <f>vlookup(A76,'Risk Score'!$A$4:$H$350,8,)</f>
        <v>3</v>
      </c>
      <c r="M76" s="21">
        <f>vlookup(A76,FLEX!$D$2:$F$305,3,)</f>
        <v>4</v>
      </c>
      <c r="N76" s="21"/>
      <c r="P76" s="5" t="s">
        <v>155</v>
      </c>
      <c r="Q76" s="5">
        <v>89.70000000000002</v>
      </c>
      <c r="R76" s="19" t="str">
        <f>vlookup(P76,'Player Codes'!A:D,4,)</f>
        <v>0220</v>
      </c>
      <c r="T76" s="5" t="s">
        <v>1380</v>
      </c>
      <c r="U76" s="3">
        <v>3.0</v>
      </c>
      <c r="V76" s="23">
        <v>0.0</v>
      </c>
      <c r="W76" s="3"/>
      <c r="X76" s="5" t="s">
        <v>283</v>
      </c>
      <c r="Y76" s="3">
        <v>5.0</v>
      </c>
      <c r="Z76" s="1" t="s">
        <v>1381</v>
      </c>
      <c r="AA76" s="5" t="s">
        <v>478</v>
      </c>
    </row>
    <row r="77">
      <c r="A77" s="19" t="str">
        <f>vlookup(D77,'Player Codes'!A:D,4,)</f>
        <v>0220</v>
      </c>
      <c r="B77" s="20">
        <f t="shared" si="1"/>
        <v>0.225</v>
      </c>
      <c r="C77" s="5">
        <v>76.0</v>
      </c>
      <c r="D77" s="5" t="s">
        <v>155</v>
      </c>
      <c r="E77" s="5" t="s">
        <v>1021</v>
      </c>
      <c r="F77" s="5" t="s">
        <v>938</v>
      </c>
      <c r="G77" s="5">
        <v>5.0</v>
      </c>
      <c r="H77" s="5">
        <v>159.3</v>
      </c>
      <c r="I77" s="21">
        <f>vlookup(A77,'ESPN FF Rankings'!$C$2:$H$201,2,false)</f>
        <v>75</v>
      </c>
      <c r="J77" s="5">
        <f t="shared" si="2"/>
        <v>75.5</v>
      </c>
      <c r="K77" s="21">
        <f>vlookup(A77,'VORP SCORE'!$A$2:$I$301,9,)</f>
        <v>76</v>
      </c>
      <c r="L77" s="22">
        <f>vlookup(A77,'Risk Score'!$A$4:$H$350,8,)</f>
        <v>5</v>
      </c>
      <c r="M77" s="21">
        <f>vlookup(A77,FLEX!$D$2:$F$305,3,)</f>
        <v>3</v>
      </c>
      <c r="N77" s="21"/>
      <c r="P77" s="5" t="s">
        <v>279</v>
      </c>
      <c r="Q77" s="5">
        <v>87.30000000000001</v>
      </c>
      <c r="R77" s="19" t="str">
        <f>vlookup(P77,'Player Codes'!A:D,4,)</f>
        <v>0023</v>
      </c>
      <c r="T77" s="2" t="s">
        <v>817</v>
      </c>
      <c r="U77" s="3">
        <v>3.0</v>
      </c>
      <c r="V77" s="19" t="str">
        <f>vlookup(T77,'Player Codes'!A:D,4,)</f>
        <v>0169</v>
      </c>
      <c r="W77" s="3"/>
      <c r="X77" s="5" t="s">
        <v>163</v>
      </c>
      <c r="Y77" s="3">
        <v>3.0</v>
      </c>
      <c r="Z77" s="1" t="s">
        <v>1382</v>
      </c>
      <c r="AA77" s="5" t="s">
        <v>600</v>
      </c>
    </row>
    <row r="78">
      <c r="A78" s="19" t="str">
        <f>vlookup(D78,'Player Codes'!A:D,4,)</f>
        <v>0085</v>
      </c>
      <c r="B78" s="20">
        <f t="shared" si="1"/>
        <v>0.224</v>
      </c>
      <c r="C78" s="5">
        <v>77.0</v>
      </c>
      <c r="D78" s="5" t="s">
        <v>102</v>
      </c>
      <c r="E78" s="5" t="s">
        <v>1023</v>
      </c>
      <c r="F78" s="5" t="s">
        <v>990</v>
      </c>
      <c r="G78" s="5">
        <v>7.0</v>
      </c>
      <c r="H78" s="5">
        <v>157.0</v>
      </c>
      <c r="I78" s="21">
        <f>vlookup(A78,'ESPN FF Rankings'!$C$2:$H$201,2,false)</f>
        <v>49</v>
      </c>
      <c r="J78" s="5">
        <f t="shared" si="2"/>
        <v>63</v>
      </c>
      <c r="K78" s="21">
        <f>vlookup(A78,'VORP SCORE'!$A$2:$I$301,9,)</f>
        <v>77</v>
      </c>
      <c r="L78" s="22">
        <f>vlookup(A78,'Risk Score'!$A$4:$H$350,8,)</f>
        <v>6</v>
      </c>
      <c r="M78" s="21">
        <f>vlookup(A78,FLEX!$D$2:$F$305,3,)</f>
        <v>3</v>
      </c>
      <c r="N78" s="21"/>
      <c r="P78" s="5" t="s">
        <v>243</v>
      </c>
      <c r="Q78" s="5">
        <v>82.4</v>
      </c>
      <c r="R78" s="19" t="str">
        <f>vlookup(P78,'Player Codes'!A:D,4,)</f>
        <v>0054</v>
      </c>
      <c r="T78" s="5" t="s">
        <v>358</v>
      </c>
      <c r="U78" s="3">
        <v>5.0</v>
      </c>
      <c r="V78" s="19" t="str">
        <f>vlookup(T78,'Player Codes'!A:D,4,)</f>
        <v>0171</v>
      </c>
      <c r="W78" s="3"/>
      <c r="X78" s="5" t="s">
        <v>478</v>
      </c>
      <c r="Y78" s="3">
        <v>5.0</v>
      </c>
      <c r="Z78" s="1" t="s">
        <v>1383</v>
      </c>
      <c r="AA78" s="5" t="s">
        <v>173</v>
      </c>
    </row>
    <row r="79">
      <c r="A79" s="19" t="str">
        <f>vlookup(D79,'Player Codes'!A:D,4,)</f>
        <v>0052</v>
      </c>
      <c r="B79" s="20">
        <f t="shared" si="1"/>
        <v>0.224</v>
      </c>
      <c r="C79" s="5">
        <v>77.0</v>
      </c>
      <c r="D79" s="5" t="s">
        <v>166</v>
      </c>
      <c r="E79" s="5" t="s">
        <v>1023</v>
      </c>
      <c r="F79" s="5" t="s">
        <v>1024</v>
      </c>
      <c r="G79" s="5">
        <v>5.0</v>
      </c>
      <c r="H79" s="5">
        <v>157.0</v>
      </c>
      <c r="I79" s="21">
        <f>vlookup(A79,'ESPN FF Rankings'!$C$2:$H$201,2,false)</f>
        <v>47</v>
      </c>
      <c r="J79" s="5">
        <f t="shared" si="2"/>
        <v>62</v>
      </c>
      <c r="K79" s="21">
        <f>vlookup(A79,'VORP SCORE'!$A$2:$I$301,9,)</f>
        <v>78</v>
      </c>
      <c r="L79" s="22">
        <f>vlookup(A79,'Risk Score'!$A$4:$H$350,8,)</f>
        <v>5</v>
      </c>
      <c r="M79" s="21">
        <f>vlookup(A79,FLEX!$D$2:$F$305,3,)</f>
        <v>3</v>
      </c>
      <c r="N79" s="21"/>
      <c r="P79" s="5" t="s">
        <v>219</v>
      </c>
      <c r="Q79" s="5">
        <v>214.7</v>
      </c>
      <c r="R79" s="19" t="str">
        <f>vlookup(P79,'Player Codes'!A:D,4,)</f>
        <v>0173</v>
      </c>
      <c r="T79" s="5" t="s">
        <v>95</v>
      </c>
      <c r="U79" s="3">
        <v>3.0</v>
      </c>
      <c r="V79" s="19" t="str">
        <f>vlookup(T79,'Player Codes'!A:D,4,)</f>
        <v>0174</v>
      </c>
      <c r="W79" s="3"/>
      <c r="X79" s="5" t="s">
        <v>1384</v>
      </c>
      <c r="Y79" s="3">
        <v>6.0</v>
      </c>
      <c r="Z79" s="1" t="s">
        <v>1385</v>
      </c>
      <c r="AA79" s="5" t="s">
        <v>702</v>
      </c>
    </row>
    <row r="80">
      <c r="A80" s="19" t="str">
        <f>vlookup(D80,'Player Codes'!A:D,4,)</f>
        <v>0023</v>
      </c>
      <c r="B80" s="20">
        <f t="shared" si="1"/>
        <v>0.222</v>
      </c>
      <c r="C80" s="5">
        <v>79.0</v>
      </c>
      <c r="D80" s="5" t="s">
        <v>279</v>
      </c>
      <c r="E80" s="5" t="s">
        <v>1025</v>
      </c>
      <c r="F80" s="5" t="s">
        <v>963</v>
      </c>
      <c r="G80" s="5">
        <v>9.0</v>
      </c>
      <c r="H80" s="5">
        <v>156.9</v>
      </c>
      <c r="I80" s="21">
        <f>vlookup(A80,'ESPN FF Rankings'!$C$2:$H$201,2,false)</f>
        <v>76</v>
      </c>
      <c r="J80" s="5">
        <f t="shared" si="2"/>
        <v>77.5</v>
      </c>
      <c r="K80" s="21">
        <f>vlookup(A80,'VORP SCORE'!$A$2:$I$301,9,)</f>
        <v>79</v>
      </c>
      <c r="L80" s="22">
        <f>vlookup(A80,'Risk Score'!$A$4:$H$350,8,)</f>
        <v>3</v>
      </c>
      <c r="M80" s="21">
        <f>vlookup(A80,FLEX!$D$2:$F$305,3,)</f>
        <v>3</v>
      </c>
      <c r="N80" s="21"/>
      <c r="P80" s="5" t="s">
        <v>283</v>
      </c>
      <c r="Q80" s="5">
        <v>42.599999999999994</v>
      </c>
      <c r="R80" s="19" t="str">
        <f>vlookup(P80,'Player Codes'!A:D,4,)</f>
        <v>0073</v>
      </c>
      <c r="T80" s="5" t="s">
        <v>1386</v>
      </c>
      <c r="U80" s="3">
        <v>3.0</v>
      </c>
      <c r="V80" s="23">
        <v>0.0</v>
      </c>
      <c r="W80" s="3"/>
      <c r="X80" s="2" t="s">
        <v>1387</v>
      </c>
      <c r="Y80" s="3">
        <v>3.0</v>
      </c>
      <c r="Z80" s="1" t="s">
        <v>1388</v>
      </c>
      <c r="AA80" s="5" t="s">
        <v>571</v>
      </c>
    </row>
    <row r="81">
      <c r="A81" s="19" t="str">
        <f>vlookup(D81,'Player Codes'!A:D,4,)</f>
        <v>0221</v>
      </c>
      <c r="B81" s="20">
        <f t="shared" si="1"/>
        <v>0.221</v>
      </c>
      <c r="C81" s="5">
        <v>80.0</v>
      </c>
      <c r="D81" s="5" t="s">
        <v>83</v>
      </c>
      <c r="E81" s="5" t="s">
        <v>1042</v>
      </c>
      <c r="F81" s="5" t="s">
        <v>996</v>
      </c>
      <c r="G81" s="5">
        <v>7.0</v>
      </c>
      <c r="H81" s="5">
        <v>155.5</v>
      </c>
      <c r="I81" s="21">
        <f>vlookup(A81,'ESPN FF Rankings'!$C$2:$H$201,2,false)</f>
        <v>51</v>
      </c>
      <c r="J81" s="5">
        <f t="shared" si="2"/>
        <v>65.5</v>
      </c>
      <c r="K81" s="21">
        <f>vlookup(A81,'VORP SCORE'!$A$2:$I$301,9,)</f>
        <v>80</v>
      </c>
      <c r="L81" s="22">
        <f>vlookup(A81,'Risk Score'!$A$4:$H$350,8,)</f>
        <v>5</v>
      </c>
      <c r="M81" s="21">
        <f>vlookup(A81,FLEX!$D$2:$F$305,3,)</f>
        <v>4</v>
      </c>
      <c r="N81" s="21"/>
      <c r="P81" s="5" t="s">
        <v>507</v>
      </c>
      <c r="Q81" s="5">
        <v>46.5</v>
      </c>
      <c r="R81" s="19" t="str">
        <f>vlookup(P81,'Player Codes'!A:D,4,)</f>
        <v>0107</v>
      </c>
      <c r="T81" s="5" t="s">
        <v>1389</v>
      </c>
      <c r="U81" s="3">
        <v>3.0</v>
      </c>
      <c r="V81" s="23">
        <v>0.0</v>
      </c>
      <c r="W81" s="3"/>
      <c r="X81" s="5" t="s">
        <v>173</v>
      </c>
      <c r="Y81" s="3">
        <v>5.0</v>
      </c>
      <c r="Z81" s="1" t="s">
        <v>1390</v>
      </c>
      <c r="AA81" s="5" t="s">
        <v>325</v>
      </c>
    </row>
    <row r="82">
      <c r="A82" s="19" t="str">
        <f>vlookup(D82,'Player Codes'!A:D,4,)</f>
        <v>0289</v>
      </c>
      <c r="B82" s="20">
        <f t="shared" si="1"/>
        <v>0.22</v>
      </c>
      <c r="C82" s="5">
        <v>81.0</v>
      </c>
      <c r="D82" s="5" t="s">
        <v>179</v>
      </c>
      <c r="E82" s="5" t="s">
        <v>1028</v>
      </c>
      <c r="F82" s="5" t="s">
        <v>946</v>
      </c>
      <c r="G82" s="5">
        <v>5.0</v>
      </c>
      <c r="H82" s="5">
        <v>154.1</v>
      </c>
      <c r="I82" s="21">
        <f>vlookup(A82,'ESPN FF Rankings'!$C$2:$H$201,2,false)</f>
        <v>72</v>
      </c>
      <c r="J82" s="5">
        <f t="shared" si="2"/>
        <v>76.5</v>
      </c>
      <c r="K82" s="21">
        <f>vlookup(A82,'VORP SCORE'!$A$2:$I$301,9,)</f>
        <v>81</v>
      </c>
      <c r="L82" s="22">
        <f>vlookup(A82,'Risk Score'!$A$4:$H$350,8,)</f>
        <v>5</v>
      </c>
      <c r="M82" s="21">
        <f>vlookup(A82,FLEX!$D$2:$F$305,3,)</f>
        <v>3</v>
      </c>
      <c r="N82" s="21"/>
      <c r="P82" s="2" t="s">
        <v>309</v>
      </c>
      <c r="Q82" s="5">
        <v>49.599999999999994</v>
      </c>
      <c r="R82" s="19" t="str">
        <f>vlookup(P82,'Player Codes'!A:D,4,)</f>
        <v>0005</v>
      </c>
      <c r="T82" s="5" t="s">
        <v>536</v>
      </c>
      <c r="U82" s="3">
        <v>4.0</v>
      </c>
      <c r="V82" s="19" t="str">
        <f>vlookup(T82,'Player Codes'!A:D,4,)</f>
        <v>0177</v>
      </c>
      <c r="W82" s="3"/>
      <c r="X82" s="5" t="s">
        <v>1311</v>
      </c>
      <c r="Y82" s="3">
        <v>4.0</v>
      </c>
      <c r="Z82" s="1" t="s">
        <v>1391</v>
      </c>
      <c r="AA82" s="5" t="s">
        <v>86</v>
      </c>
    </row>
    <row r="83">
      <c r="A83" s="19" t="str">
        <f>vlookup(D83,'Player Codes'!A:D,4,)</f>
        <v>0215</v>
      </c>
      <c r="B83" s="20">
        <f t="shared" si="1"/>
        <v>0.219</v>
      </c>
      <c r="C83" s="5">
        <v>82.0</v>
      </c>
      <c r="D83" s="5" t="s">
        <v>285</v>
      </c>
      <c r="E83" s="5" t="s">
        <v>1029</v>
      </c>
      <c r="F83" s="5" t="s">
        <v>961</v>
      </c>
      <c r="G83" s="5">
        <v>11.0</v>
      </c>
      <c r="H83" s="5">
        <v>152.5</v>
      </c>
      <c r="I83" s="21">
        <f>vlookup(A83,'ESPN FF Rankings'!$C$2:$H$201,2,false)</f>
        <v>71</v>
      </c>
      <c r="J83" s="5">
        <f t="shared" si="2"/>
        <v>76.5</v>
      </c>
      <c r="K83" s="21">
        <f>vlookup(A83,'VORP SCORE'!$A$2:$I$301,9,)</f>
        <v>82</v>
      </c>
      <c r="L83" s="25" t="str">
        <f>vlookup(A83,'Risk Score'!$A$4:$H$350,8,)</f>
        <v>#N/A</v>
      </c>
      <c r="M83" s="21">
        <f>vlookup(A83,FLEX!$D$2:$F$305,3,)</f>
        <v>3</v>
      </c>
      <c r="N83" s="21"/>
      <c r="P83" s="2" t="s">
        <v>298</v>
      </c>
      <c r="Q83" s="5">
        <v>52.599999999999994</v>
      </c>
      <c r="R83" s="19" t="str">
        <f>vlookup(P83,'Player Codes'!A:D,4,)</f>
        <v>0028</v>
      </c>
      <c r="T83" s="5" t="s">
        <v>386</v>
      </c>
      <c r="U83" s="3">
        <v>4.0</v>
      </c>
      <c r="V83" s="19" t="str">
        <f>vlookup(T83,'Player Codes'!A:D,4,)</f>
        <v>0179</v>
      </c>
      <c r="W83" s="3"/>
      <c r="X83" s="5" t="s">
        <v>1313</v>
      </c>
      <c r="Y83" s="3">
        <v>3.0</v>
      </c>
      <c r="Z83" s="1" t="s">
        <v>1392</v>
      </c>
      <c r="AA83" s="5" t="s">
        <v>109</v>
      </c>
    </row>
    <row r="84">
      <c r="A84" s="19" t="str">
        <f>vlookup(D84,'Player Codes'!A:D,4,)</f>
        <v>0218</v>
      </c>
      <c r="B84" s="20">
        <f t="shared" si="1"/>
        <v>0.218</v>
      </c>
      <c r="C84" s="5">
        <v>83.0</v>
      </c>
      <c r="D84" s="5" t="s">
        <v>185</v>
      </c>
      <c r="E84" s="5" t="s">
        <v>1030</v>
      </c>
      <c r="F84" s="5" t="s">
        <v>1024</v>
      </c>
      <c r="G84" s="5">
        <v>5.0</v>
      </c>
      <c r="H84" s="5">
        <v>152.2</v>
      </c>
      <c r="I84" s="21">
        <f>vlookup(A84,'ESPN FF Rankings'!$C$2:$H$201,2,false)</f>
        <v>66</v>
      </c>
      <c r="J84" s="5">
        <f t="shared" si="2"/>
        <v>74.5</v>
      </c>
      <c r="K84" s="21">
        <f>vlookup(A84,'VORP SCORE'!$A$2:$I$301,9,)</f>
        <v>83</v>
      </c>
      <c r="L84" s="22">
        <f>vlookup(A84,'Risk Score'!$A$4:$H$350,8,)</f>
        <v>5</v>
      </c>
      <c r="M84" s="21">
        <f>vlookup(A84,FLEX!$D$2:$F$305,3,)</f>
        <v>3</v>
      </c>
      <c r="N84" s="21"/>
      <c r="P84" s="5" t="s">
        <v>214</v>
      </c>
      <c r="Q84" s="5">
        <v>77.4</v>
      </c>
      <c r="R84" s="19" t="str">
        <f>vlookup(P84,'Player Codes'!A:D,4,)</f>
        <v>0204</v>
      </c>
      <c r="T84" s="5" t="s">
        <v>1393</v>
      </c>
      <c r="U84" s="3">
        <v>3.0</v>
      </c>
      <c r="V84" s="23">
        <v>0.0</v>
      </c>
      <c r="W84" s="3"/>
      <c r="X84" s="5" t="s">
        <v>702</v>
      </c>
      <c r="Y84" s="3">
        <v>5.0</v>
      </c>
      <c r="Z84" s="1" t="s">
        <v>1394</v>
      </c>
      <c r="AA84" s="5" t="s">
        <v>580</v>
      </c>
    </row>
    <row r="85">
      <c r="A85" s="19" t="str">
        <f>vlookup(D85,'Player Codes'!A:D,4,)</f>
        <v>0054</v>
      </c>
      <c r="B85" s="20">
        <f t="shared" si="1"/>
        <v>0.217</v>
      </c>
      <c r="C85" s="5">
        <v>84.0</v>
      </c>
      <c r="D85" s="5" t="s">
        <v>243</v>
      </c>
      <c r="E85" s="5" t="s">
        <v>1031</v>
      </c>
      <c r="F85" s="5" t="s">
        <v>942</v>
      </c>
      <c r="G85" s="5">
        <v>9.0</v>
      </c>
      <c r="H85" s="5">
        <v>152.0</v>
      </c>
      <c r="I85" s="21">
        <f>vlookup(A85,'ESPN FF Rankings'!$C$2:$H$201,2,false)</f>
        <v>77</v>
      </c>
      <c r="J85" s="5">
        <f t="shared" si="2"/>
        <v>80.5</v>
      </c>
      <c r="K85" s="21">
        <f>vlookup(A85,'VORP SCORE'!$A$2:$I$301,9,)</f>
        <v>84</v>
      </c>
      <c r="L85" s="22">
        <f>vlookup(A85,'Risk Score'!$A$4:$H$350,8,)</f>
        <v>4</v>
      </c>
      <c r="M85" s="21">
        <f>vlookup(A85,FLEX!$D$2:$F$305,3,)</f>
        <v>3</v>
      </c>
      <c r="N85" s="21"/>
      <c r="P85" s="5" t="s">
        <v>275</v>
      </c>
      <c r="Q85" s="5">
        <v>193.89999999999998</v>
      </c>
      <c r="R85" s="19" t="str">
        <f>vlookup(P85,'Player Codes'!A:D,4,)</f>
        <v>0090</v>
      </c>
      <c r="T85" s="5" t="s">
        <v>1395</v>
      </c>
      <c r="U85" s="3">
        <v>4.0</v>
      </c>
      <c r="V85" s="23">
        <v>0.0</v>
      </c>
      <c r="W85" s="3"/>
      <c r="X85" s="5" t="s">
        <v>571</v>
      </c>
      <c r="Y85" s="3">
        <v>4.0</v>
      </c>
      <c r="Z85" s="1" t="s">
        <v>1396</v>
      </c>
      <c r="AA85" s="5" t="s">
        <v>814</v>
      </c>
    </row>
    <row r="86">
      <c r="A86" s="19" t="str">
        <f>vlookup(D86,'Player Codes'!A:D,4,)</f>
        <v>0114</v>
      </c>
      <c r="B86" s="20">
        <f t="shared" si="1"/>
        <v>0.216</v>
      </c>
      <c r="C86" s="5">
        <v>85.0</v>
      </c>
      <c r="D86" s="5" t="s">
        <v>292</v>
      </c>
      <c r="E86" s="5" t="s">
        <v>1033</v>
      </c>
      <c r="F86" s="5" t="s">
        <v>985</v>
      </c>
      <c r="G86" s="5">
        <v>6.0</v>
      </c>
      <c r="H86" s="5">
        <v>151.6</v>
      </c>
      <c r="I86" s="21">
        <f>vlookup(A86,'ESPN FF Rankings'!$C$2:$H$201,2,false)</f>
        <v>87</v>
      </c>
      <c r="J86" s="5">
        <f t="shared" si="2"/>
        <v>86</v>
      </c>
      <c r="K86" s="21">
        <f>vlookup(A86,'VORP SCORE'!$A$2:$I$301,9,)</f>
        <v>85</v>
      </c>
      <c r="L86" s="22">
        <f>vlookup(A86,'Risk Score'!$A$4:$H$350,8,)</f>
        <v>3</v>
      </c>
      <c r="M86" s="21">
        <f>vlookup(A86,FLEX!$D$2:$F$305,3,)</f>
        <v>3</v>
      </c>
      <c r="N86" s="21"/>
      <c r="P86" s="5" t="s">
        <v>389</v>
      </c>
      <c r="Q86" s="5">
        <v>60.900000000000006</v>
      </c>
      <c r="R86" s="19" t="str">
        <f>vlookup(P86,'Player Codes'!A:D,4,)</f>
        <v>0134</v>
      </c>
      <c r="T86" s="5" t="s">
        <v>139</v>
      </c>
      <c r="U86" s="3">
        <v>5.0</v>
      </c>
      <c r="V86" s="19" t="str">
        <f>vlookup(T86,'Player Codes'!A:D,4,)</f>
        <v>0182</v>
      </c>
      <c r="W86" s="3"/>
      <c r="X86" s="2" t="s">
        <v>1397</v>
      </c>
      <c r="Y86" s="3">
        <v>3.0</v>
      </c>
      <c r="Z86" s="1" t="s">
        <v>1398</v>
      </c>
      <c r="AA86" s="5" t="s">
        <v>102</v>
      </c>
    </row>
    <row r="87">
      <c r="A87" s="19" t="str">
        <f>vlookup(D87,'Player Codes'!A:D,4,)</f>
        <v>0157</v>
      </c>
      <c r="B87" s="20">
        <f t="shared" si="1"/>
        <v>0.215</v>
      </c>
      <c r="C87" s="5">
        <v>86.0</v>
      </c>
      <c r="D87" s="5" t="s">
        <v>246</v>
      </c>
      <c r="E87" s="5" t="s">
        <v>1034</v>
      </c>
      <c r="F87" s="5" t="s">
        <v>976</v>
      </c>
      <c r="G87" s="5">
        <v>9.0</v>
      </c>
      <c r="H87" s="5">
        <v>151.5</v>
      </c>
      <c r="I87" s="21">
        <f>vlookup(A87,'ESPN FF Rankings'!$C$2:$H$201,2,false)</f>
        <v>50</v>
      </c>
      <c r="J87" s="5">
        <f t="shared" si="2"/>
        <v>68</v>
      </c>
      <c r="K87" s="21">
        <f>vlookup(A87,'VORP SCORE'!$A$2:$I$301,9,)</f>
        <v>86</v>
      </c>
      <c r="L87" s="22">
        <f>vlookup(A87,'Risk Score'!$A$4:$H$350,8,)</f>
        <v>4</v>
      </c>
      <c r="M87" s="21">
        <f>vlookup(A87,FLEX!$D$2:$F$305,3,)</f>
        <v>3</v>
      </c>
      <c r="N87" s="21"/>
      <c r="P87" s="5" t="s">
        <v>295</v>
      </c>
      <c r="Q87" s="5">
        <v>48.5</v>
      </c>
      <c r="R87" s="19" t="str">
        <f>vlookup(P87,'Player Codes'!A:D,4,)</f>
        <v>0015</v>
      </c>
      <c r="T87" s="5" t="s">
        <v>810</v>
      </c>
      <c r="U87" s="3">
        <v>3.0</v>
      </c>
      <c r="V87" s="19" t="str">
        <f>vlookup(T87,'Player Codes'!A:D,4,)</f>
        <v>0184</v>
      </c>
      <c r="W87" s="3"/>
      <c r="X87" s="5" t="s">
        <v>1399</v>
      </c>
      <c r="Y87" s="3">
        <v>4.0</v>
      </c>
      <c r="Z87" s="1" t="s">
        <v>1400</v>
      </c>
      <c r="AA87" s="5" t="s">
        <v>117</v>
      </c>
    </row>
    <row r="88">
      <c r="A88" s="19" t="str">
        <f>vlookup(D88,'Player Codes'!A:D,4,)</f>
        <v>0110</v>
      </c>
      <c r="B88" s="20">
        <f t="shared" si="1"/>
        <v>0.214</v>
      </c>
      <c r="C88" s="5">
        <v>87.0</v>
      </c>
      <c r="D88" s="5" t="s">
        <v>300</v>
      </c>
      <c r="E88" s="5" t="s">
        <v>1036</v>
      </c>
      <c r="F88" s="5" t="s">
        <v>929</v>
      </c>
      <c r="G88" s="5">
        <v>13.0</v>
      </c>
      <c r="H88" s="5">
        <v>149.5</v>
      </c>
      <c r="I88" s="21">
        <f>vlookup(A88,'ESPN FF Rankings'!$C$2:$H$201,2,false)</f>
        <v>109</v>
      </c>
      <c r="J88" s="5">
        <f t="shared" si="2"/>
        <v>98</v>
      </c>
      <c r="K88" s="21">
        <f>vlookup(A88,'VORP SCORE'!$A$2:$I$301,9,)</f>
        <v>87</v>
      </c>
      <c r="L88" s="25" t="str">
        <f>vlookup(A88,'Risk Score'!$A$4:$H$350,8,)</f>
        <v>#N/A</v>
      </c>
      <c r="M88" s="21">
        <f>vlookup(A88,FLEX!$D$2:$F$305,3,)</f>
        <v>3</v>
      </c>
      <c r="N88" s="21"/>
      <c r="P88" s="5" t="s">
        <v>292</v>
      </c>
      <c r="Q88" s="5">
        <v>82.0</v>
      </c>
      <c r="R88" s="19" t="str">
        <f>vlookup(P88,'Player Codes'!A:D,4,)</f>
        <v>0114</v>
      </c>
      <c r="T88" s="5" t="s">
        <v>1401</v>
      </c>
      <c r="U88" s="3">
        <v>5.0</v>
      </c>
      <c r="V88" s="23">
        <v>0.0</v>
      </c>
      <c r="W88" s="3"/>
      <c r="X88" s="2" t="s">
        <v>325</v>
      </c>
      <c r="Y88" s="3">
        <v>5.0</v>
      </c>
      <c r="Z88" s="1" t="s">
        <v>1402</v>
      </c>
      <c r="AA88" s="5" t="s">
        <v>1403</v>
      </c>
    </row>
    <row r="89">
      <c r="A89" s="19" t="str">
        <f>vlookup(D89,'Player Codes'!A:D,4,)</f>
        <v>0098</v>
      </c>
      <c r="B89" s="20">
        <f t="shared" si="1"/>
        <v>0.213</v>
      </c>
      <c r="C89" s="5">
        <v>88.0</v>
      </c>
      <c r="D89" s="5" t="s">
        <v>257</v>
      </c>
      <c r="E89" s="5" t="s">
        <v>1038</v>
      </c>
      <c r="F89" s="5" t="s">
        <v>985</v>
      </c>
      <c r="G89" s="5">
        <v>6.0</v>
      </c>
      <c r="H89" s="5">
        <v>149.4</v>
      </c>
      <c r="I89" s="21">
        <f>vlookup(A89,'ESPN FF Rankings'!$C$2:$H$201,2,false)</f>
        <v>69</v>
      </c>
      <c r="J89" s="5">
        <f t="shared" si="2"/>
        <v>78.5</v>
      </c>
      <c r="K89" s="21">
        <f>vlookup(A89,'VORP SCORE'!$A$2:$I$301,9,)</f>
        <v>88</v>
      </c>
      <c r="L89" s="22">
        <f>vlookup(A89,'Risk Score'!$A$4:$H$350,8,)</f>
        <v>4</v>
      </c>
      <c r="M89" s="21">
        <f>vlookup(A89,FLEX!$D$2:$F$305,3,)</f>
        <v>3</v>
      </c>
      <c r="N89" s="21"/>
      <c r="P89" s="5" t="s">
        <v>400</v>
      </c>
      <c r="Q89" s="5">
        <v>17.900000000000006</v>
      </c>
      <c r="R89" s="19" t="str">
        <f>vlookup(P89,'Player Codes'!A:D,4,)</f>
        <v>0242</v>
      </c>
      <c r="T89" s="5" t="s">
        <v>655</v>
      </c>
      <c r="U89" s="3">
        <v>3.0</v>
      </c>
      <c r="V89" s="19" t="str">
        <f>vlookup(T89,'Player Codes'!A:D,4,)</f>
        <v>0189</v>
      </c>
      <c r="W89" s="3"/>
      <c r="X89" s="5" t="s">
        <v>86</v>
      </c>
      <c r="Y89" s="3">
        <v>5.0</v>
      </c>
      <c r="Z89" s="1" t="s">
        <v>1404</v>
      </c>
      <c r="AA89" s="5" t="s">
        <v>269</v>
      </c>
    </row>
    <row r="90">
      <c r="A90" s="19" t="str">
        <f>vlookup(D90,'Player Codes'!A:D,4,)</f>
        <v>0130</v>
      </c>
      <c r="B90" s="20">
        <f t="shared" si="1"/>
        <v>0.212</v>
      </c>
      <c r="C90" s="5">
        <v>89.0</v>
      </c>
      <c r="D90" s="5" t="s">
        <v>142</v>
      </c>
      <c r="E90" s="5" t="s">
        <v>1047</v>
      </c>
      <c r="F90" s="5" t="s">
        <v>933</v>
      </c>
      <c r="G90" s="5">
        <v>10.0</v>
      </c>
      <c r="H90" s="5">
        <v>148.6</v>
      </c>
      <c r="I90" s="21">
        <f>vlookup(A90,'ESPN FF Rankings'!$C$2:$H$201,2,false)</f>
        <v>65</v>
      </c>
      <c r="J90" s="5">
        <f t="shared" si="2"/>
        <v>77</v>
      </c>
      <c r="K90" s="21">
        <f>vlookup(A90,'VORP SCORE'!$A$2:$I$301,9,)</f>
        <v>89</v>
      </c>
      <c r="L90" s="22">
        <f>vlookup(A90,'Risk Score'!$A$4:$H$350,8,)</f>
        <v>4</v>
      </c>
      <c r="M90" s="21">
        <f>vlookup(A90,FLEX!$D$2:$F$305,3,)</f>
        <v>4</v>
      </c>
      <c r="N90" s="21"/>
      <c r="P90" s="5" t="s">
        <v>337</v>
      </c>
      <c r="Q90" s="5">
        <v>67.6</v>
      </c>
      <c r="R90" s="19" t="str">
        <f>vlookup(P90,'Player Codes'!A:D,4,)</f>
        <v>0279</v>
      </c>
      <c r="T90" s="5" t="s">
        <v>1405</v>
      </c>
      <c r="U90" s="3">
        <v>3.0</v>
      </c>
      <c r="V90" s="23">
        <v>0.0</v>
      </c>
      <c r="W90" s="3"/>
      <c r="X90" s="5" t="s">
        <v>109</v>
      </c>
      <c r="Y90" s="3">
        <v>5.0</v>
      </c>
      <c r="Z90" s="1" t="s">
        <v>1406</v>
      </c>
      <c r="AA90" s="5" t="s">
        <v>39</v>
      </c>
    </row>
    <row r="91">
      <c r="A91" s="19" t="str">
        <f>vlookup(D91,'Player Codes'!A:D,4,)</f>
        <v>0131</v>
      </c>
      <c r="B91" s="20">
        <f t="shared" si="1"/>
        <v>0.211</v>
      </c>
      <c r="C91" s="5">
        <v>90.0</v>
      </c>
      <c r="D91" s="5" t="s">
        <v>217</v>
      </c>
      <c r="E91" s="5" t="s">
        <v>1049</v>
      </c>
      <c r="F91" s="5" t="s">
        <v>1007</v>
      </c>
      <c r="G91" s="5">
        <v>13.0</v>
      </c>
      <c r="H91" s="5">
        <v>148.1</v>
      </c>
      <c r="I91" s="21">
        <f>vlookup(A91,'ESPN FF Rankings'!$C$2:$H$201,2,false)</f>
        <v>60</v>
      </c>
      <c r="J91" s="5">
        <f t="shared" si="2"/>
        <v>75</v>
      </c>
      <c r="K91" s="21">
        <f>vlookup(A91,'VORP SCORE'!$A$2:$I$301,9,)</f>
        <v>90</v>
      </c>
      <c r="L91" s="22">
        <f>vlookup(A91,'Risk Score'!$A$4:$H$350,8,)</f>
        <v>3</v>
      </c>
      <c r="M91" s="21">
        <f>vlookup(A91,FLEX!$D$2:$F$305,3,)</f>
        <v>4</v>
      </c>
      <c r="N91" s="21"/>
      <c r="P91" s="5" t="s">
        <v>225</v>
      </c>
      <c r="Q91" s="5">
        <v>56.19999999999999</v>
      </c>
      <c r="R91" s="19" t="str">
        <f>vlookup(P91,'Player Codes'!A:D,4,)</f>
        <v>0188</v>
      </c>
      <c r="T91" s="5" t="s">
        <v>832</v>
      </c>
      <c r="U91" s="3">
        <v>3.0</v>
      </c>
      <c r="V91" s="19" t="str">
        <f>vlookup(T91,'Player Codes'!A:D,4,)</f>
        <v>0201</v>
      </c>
      <c r="W91" s="3"/>
      <c r="X91" s="2" t="s">
        <v>580</v>
      </c>
      <c r="Y91" s="3">
        <v>4.0</v>
      </c>
      <c r="Z91" s="1" t="s">
        <v>1407</v>
      </c>
      <c r="AA91" s="5" t="s">
        <v>275</v>
      </c>
    </row>
    <row r="92">
      <c r="A92" s="19" t="str">
        <f>vlookup(D92,'Player Codes'!A:D,4,)</f>
        <v>0143</v>
      </c>
      <c r="B92" s="20">
        <f t="shared" si="1"/>
        <v>0.21</v>
      </c>
      <c r="C92" s="5">
        <v>91.0</v>
      </c>
      <c r="D92" s="5" t="s">
        <v>98</v>
      </c>
      <c r="E92" s="5" t="s">
        <v>1050</v>
      </c>
      <c r="F92" s="5" t="s">
        <v>1040</v>
      </c>
      <c r="G92" s="5">
        <v>14.0</v>
      </c>
      <c r="H92" s="5">
        <v>147.5</v>
      </c>
      <c r="I92" s="21">
        <f>vlookup(A92,'ESPN FF Rankings'!$C$2:$H$201,2,false)</f>
        <v>35</v>
      </c>
      <c r="J92" s="5">
        <f t="shared" si="2"/>
        <v>63</v>
      </c>
      <c r="K92" s="21">
        <f>vlookup(A92,'VORP SCORE'!$A$2:$I$301,9,)</f>
        <v>91</v>
      </c>
      <c r="L92" s="22">
        <f>vlookup(A92,'Risk Score'!$A$4:$H$350,8,)</f>
        <v>5</v>
      </c>
      <c r="M92" s="21">
        <f>vlookup(A92,FLEX!$D$2:$F$305,3,)</f>
        <v>4</v>
      </c>
      <c r="N92" s="21"/>
      <c r="P92" s="5" t="s">
        <v>341</v>
      </c>
      <c r="Q92" s="5">
        <v>37.400000000000006</v>
      </c>
      <c r="R92" s="19" t="str">
        <f>vlookup(P92,'Player Codes'!A:D,4,)</f>
        <v>0257</v>
      </c>
      <c r="T92" s="5" t="s">
        <v>1408</v>
      </c>
      <c r="U92" s="3">
        <v>2.0</v>
      </c>
      <c r="V92" s="23">
        <v>0.0</v>
      </c>
      <c r="W92" s="3"/>
      <c r="X92" s="5" t="s">
        <v>1409</v>
      </c>
      <c r="Y92" s="3">
        <v>2.0</v>
      </c>
      <c r="Z92" s="1" t="s">
        <v>1410</v>
      </c>
      <c r="AA92" s="5" t="s">
        <v>364</v>
      </c>
    </row>
    <row r="93">
      <c r="A93" s="19" t="str">
        <f>vlookup(D93,'Player Codes'!A:D,4,)</f>
        <v>0204</v>
      </c>
      <c r="B93" s="20">
        <f t="shared" si="1"/>
        <v>0.209</v>
      </c>
      <c r="C93" s="5">
        <v>92.0</v>
      </c>
      <c r="D93" s="5" t="s">
        <v>214</v>
      </c>
      <c r="E93" s="5" t="s">
        <v>1039</v>
      </c>
      <c r="F93" s="5" t="s">
        <v>1040</v>
      </c>
      <c r="G93" s="5">
        <v>14.0</v>
      </c>
      <c r="H93" s="5">
        <v>147.0</v>
      </c>
      <c r="I93" s="21">
        <f>vlookup(A93,'ESPN FF Rankings'!$C$2:$H$201,2,false)</f>
        <v>83</v>
      </c>
      <c r="J93" s="5">
        <f t="shared" si="2"/>
        <v>87.5</v>
      </c>
      <c r="K93" s="21">
        <f>vlookup(A93,'VORP SCORE'!$A$2:$I$301,9,)</f>
        <v>92</v>
      </c>
      <c r="L93" s="22">
        <f>vlookup(A93,'Risk Score'!$A$4:$H$350,8,)</f>
        <v>5</v>
      </c>
      <c r="M93" s="21">
        <f>vlookup(A93,FLEX!$D$2:$F$305,3,)</f>
        <v>3</v>
      </c>
      <c r="N93" s="21"/>
      <c r="P93" s="5" t="s">
        <v>229</v>
      </c>
      <c r="Q93" s="5">
        <v>178.7</v>
      </c>
      <c r="R93" s="19" t="str">
        <f>vlookup(P93,'Player Codes'!A:D,4,)</f>
        <v>0068</v>
      </c>
      <c r="T93" s="5" t="s">
        <v>718</v>
      </c>
      <c r="U93" s="3">
        <v>4.0</v>
      </c>
      <c r="V93" s="19" t="str">
        <f>vlookup(T93,'Player Codes'!A:D,4,)</f>
        <v>0203</v>
      </c>
      <c r="W93" s="3"/>
      <c r="X93" s="2" t="s">
        <v>814</v>
      </c>
      <c r="Y93" s="3">
        <v>4.0</v>
      </c>
      <c r="Z93" s="1" t="s">
        <v>1411</v>
      </c>
      <c r="AA93" s="5" t="s">
        <v>1412</v>
      </c>
    </row>
    <row r="94">
      <c r="A94" s="19" t="str">
        <f>vlookup(D94,'Player Codes'!A:D,4,)</f>
        <v>0175</v>
      </c>
      <c r="B94" s="20">
        <f t="shared" si="1"/>
        <v>0.208</v>
      </c>
      <c r="C94" s="5">
        <v>93.0</v>
      </c>
      <c r="D94" s="5" t="s">
        <v>517</v>
      </c>
      <c r="E94" s="5" t="s">
        <v>599</v>
      </c>
      <c r="F94" s="5" t="s">
        <v>1007</v>
      </c>
      <c r="G94" s="5">
        <v>13.0</v>
      </c>
      <c r="H94" s="5">
        <v>145.9</v>
      </c>
      <c r="I94" s="21">
        <f>vlookup(A94,'ESPN FF Rankings'!$C$2:$H$201,2,false)</f>
        <v>138</v>
      </c>
      <c r="J94" s="5">
        <f t="shared" si="2"/>
        <v>115.5</v>
      </c>
      <c r="K94" s="21">
        <f>vlookup(A94,'VORP SCORE'!$A$2:$I$301,9,)</f>
        <v>93</v>
      </c>
      <c r="L94" s="24">
        <v>3.0</v>
      </c>
      <c r="M94" s="21">
        <f>vlookup(A94,FLEX!$D$2:$F$305,3,)</f>
        <v>0</v>
      </c>
      <c r="N94" s="21"/>
      <c r="P94" s="5" t="s">
        <v>475</v>
      </c>
      <c r="Q94" s="5">
        <v>53.0</v>
      </c>
      <c r="R94" s="19" t="str">
        <f>vlookup(P94,'Player Codes'!A:D,4,)</f>
        <v>0234</v>
      </c>
      <c r="T94" s="5" t="s">
        <v>214</v>
      </c>
      <c r="U94" s="3">
        <v>5.0</v>
      </c>
      <c r="V94" s="19" t="str">
        <f>vlookup(T94,'Player Codes'!A:D,4,)</f>
        <v>0204</v>
      </c>
      <c r="W94" s="3"/>
      <c r="X94" s="5" t="s">
        <v>1413</v>
      </c>
      <c r="Y94" s="3">
        <v>3.0</v>
      </c>
      <c r="Z94" s="1" t="s">
        <v>1414</v>
      </c>
      <c r="AA94" s="5" t="s">
        <v>494</v>
      </c>
    </row>
    <row r="95">
      <c r="A95" s="19" t="str">
        <f>vlookup(D95,'Player Codes'!A:D,4,)</f>
        <v>0147</v>
      </c>
      <c r="B95" s="20">
        <f t="shared" si="1"/>
        <v>0.207</v>
      </c>
      <c r="C95" s="5">
        <v>94.0</v>
      </c>
      <c r="D95" s="5" t="s">
        <v>520</v>
      </c>
      <c r="E95" s="5" t="s">
        <v>1110</v>
      </c>
      <c r="F95" s="5" t="s">
        <v>946</v>
      </c>
      <c r="G95" s="5">
        <v>5.0</v>
      </c>
      <c r="H95" s="5">
        <v>144.7</v>
      </c>
      <c r="I95" s="21">
        <f>vlookup(A95,'ESPN FF Rankings'!$C$2:$H$201,2,false)</f>
        <v>194</v>
      </c>
      <c r="J95" s="5">
        <f t="shared" si="2"/>
        <v>144</v>
      </c>
      <c r="K95" s="21">
        <f>vlookup(A95,'VORP SCORE'!$A$2:$I$301,9,)</f>
        <v>94</v>
      </c>
      <c r="L95" s="24">
        <v>3.0</v>
      </c>
      <c r="M95" s="21">
        <f>vlookup(A95,FLEX!$D$2:$F$305,3,)</f>
        <v>0</v>
      </c>
      <c r="N95" s="21"/>
      <c r="P95" s="5" t="s">
        <v>580</v>
      </c>
      <c r="Q95" s="5">
        <v>36.099999999999994</v>
      </c>
      <c r="R95" s="19" t="str">
        <f>vlookup(P95,'Player Codes'!A:D,4,)</f>
        <v>0083</v>
      </c>
      <c r="T95" s="5" t="s">
        <v>1415</v>
      </c>
      <c r="U95" s="3">
        <v>6.0</v>
      </c>
      <c r="V95" s="23">
        <v>0.0</v>
      </c>
      <c r="W95" s="3"/>
      <c r="X95" s="5" t="s">
        <v>102</v>
      </c>
      <c r="Y95" s="3">
        <v>6.0</v>
      </c>
      <c r="Z95" s="1" t="s">
        <v>1416</v>
      </c>
      <c r="AA95" s="5" t="s">
        <v>513</v>
      </c>
    </row>
    <row r="96">
      <c r="A96" s="19" t="str">
        <f>vlookup(D96,'Player Codes'!A:D,4,)</f>
        <v>0082</v>
      </c>
      <c r="B96" s="20">
        <f t="shared" si="1"/>
        <v>0.206</v>
      </c>
      <c r="C96" s="5">
        <v>95.0</v>
      </c>
      <c r="D96" s="5" t="s">
        <v>109</v>
      </c>
      <c r="E96" s="5" t="s">
        <v>1052</v>
      </c>
      <c r="F96" s="5" t="s">
        <v>965</v>
      </c>
      <c r="G96" s="5">
        <v>9.0</v>
      </c>
      <c r="H96" s="5">
        <v>144.4</v>
      </c>
      <c r="I96" s="21">
        <f>vlookup(A96,'ESPN FF Rankings'!$C$2:$H$201,2,false)</f>
        <v>73</v>
      </c>
      <c r="J96" s="5">
        <f t="shared" si="2"/>
        <v>84</v>
      </c>
      <c r="K96" s="21">
        <f>vlookup(A96,'VORP SCORE'!$A$2:$I$301,9,)</f>
        <v>95</v>
      </c>
      <c r="L96" s="22">
        <f>vlookup(A96,'Risk Score'!$A$4:$H$350,8,)</f>
        <v>5</v>
      </c>
      <c r="M96" s="21">
        <f>vlookup(A96,FLEX!$D$2:$F$305,3,)</f>
        <v>4</v>
      </c>
      <c r="N96" s="21"/>
      <c r="P96" s="5" t="s">
        <v>355</v>
      </c>
      <c r="Q96" s="5">
        <v>59.20000000000002</v>
      </c>
      <c r="R96" s="19" t="str">
        <f>vlookup(P96,'Player Codes'!A:D,4,)</f>
        <v>0065</v>
      </c>
      <c r="T96" s="5" t="s">
        <v>1417</v>
      </c>
      <c r="U96" s="3">
        <v>6.0</v>
      </c>
      <c r="V96" s="23">
        <v>0.0</v>
      </c>
      <c r="W96" s="3"/>
      <c r="X96" s="5" t="s">
        <v>117</v>
      </c>
      <c r="Y96" s="3">
        <v>5.0</v>
      </c>
      <c r="Z96" s="1" t="s">
        <v>1418</v>
      </c>
      <c r="AA96" s="5" t="s">
        <v>500</v>
      </c>
    </row>
    <row r="97">
      <c r="A97" s="19" t="str">
        <f>vlookup(D97,'Player Codes'!A:D,4,)</f>
        <v>0039</v>
      </c>
      <c r="B97" s="20">
        <f t="shared" si="1"/>
        <v>0.206</v>
      </c>
      <c r="C97" s="5">
        <v>95.0</v>
      </c>
      <c r="D97" s="5" t="s">
        <v>522</v>
      </c>
      <c r="E97" s="5" t="s">
        <v>698</v>
      </c>
      <c r="F97" s="5" t="s">
        <v>938</v>
      </c>
      <c r="G97" s="5">
        <v>5.0</v>
      </c>
      <c r="H97" s="5">
        <v>144.4</v>
      </c>
      <c r="I97" s="21" t="str">
        <f>vlookup(A97,'ESPN FF Rankings'!$C$2:$H$201,2,false)</f>
        <v>#N/A</v>
      </c>
      <c r="J97" s="5" t="str">
        <f t="shared" si="2"/>
        <v>#N/A</v>
      </c>
      <c r="K97" s="21">
        <f>vlookup(A97,'VORP SCORE'!$A$2:$I$301,9,)</f>
        <v>96</v>
      </c>
      <c r="L97" s="24">
        <v>3.0</v>
      </c>
      <c r="M97" s="21">
        <f>vlookup(A97,FLEX!$D$2:$F$305,3,)</f>
        <v>0</v>
      </c>
      <c r="N97" s="21"/>
      <c r="P97" s="5" t="s">
        <v>603</v>
      </c>
      <c r="Q97" s="5">
        <v>33.8</v>
      </c>
      <c r="R97" s="19" t="str">
        <f>vlookup(P97,'Player Codes'!A:D,4,)</f>
        <v>0072</v>
      </c>
      <c r="T97" s="5" t="s">
        <v>736</v>
      </c>
      <c r="U97" s="3">
        <v>2.0</v>
      </c>
      <c r="V97" s="19" t="str">
        <f>vlookup(T97,'Player Codes'!A:D,4,)</f>
        <v>0206</v>
      </c>
      <c r="W97" s="3"/>
      <c r="X97" s="5" t="s">
        <v>1322</v>
      </c>
      <c r="Y97" s="3">
        <v>2.0</v>
      </c>
      <c r="Z97" s="1" t="s">
        <v>1419</v>
      </c>
      <c r="AA97" s="5" t="s">
        <v>146</v>
      </c>
    </row>
    <row r="98">
      <c r="A98" s="19" t="str">
        <f>vlookup(D98,'Player Codes'!A:D,4,)</f>
        <v>0122</v>
      </c>
      <c r="B98" s="20">
        <f t="shared" si="1"/>
        <v>0.204</v>
      </c>
      <c r="C98" s="5">
        <v>97.0</v>
      </c>
      <c r="D98" s="5" t="s">
        <v>533</v>
      </c>
      <c r="E98" s="5" t="s">
        <v>1113</v>
      </c>
      <c r="F98" s="5" t="s">
        <v>933</v>
      </c>
      <c r="G98" s="5">
        <v>10.0</v>
      </c>
      <c r="H98" s="5">
        <v>143.8</v>
      </c>
      <c r="I98" s="21">
        <f>vlookup(A98,'ESPN FF Rankings'!$C$2:$H$201,2,false)</f>
        <v>167</v>
      </c>
      <c r="J98" s="5">
        <f t="shared" si="2"/>
        <v>132</v>
      </c>
      <c r="K98" s="21">
        <f>vlookup(A98,'VORP SCORE'!$A$2:$I$301,9,)</f>
        <v>97</v>
      </c>
      <c r="L98" s="24">
        <v>3.0</v>
      </c>
      <c r="M98" s="21">
        <f>vlookup(A98,FLEX!$D$2:$F$305,3,)</f>
        <v>0</v>
      </c>
      <c r="N98" s="21"/>
      <c r="P98" s="5" t="s">
        <v>376</v>
      </c>
      <c r="Q98" s="5">
        <v>55.400000000000006</v>
      </c>
      <c r="R98" s="19" t="str">
        <f>vlookup(P98,'Player Codes'!A:D,4,)</f>
        <v>0022</v>
      </c>
      <c r="T98" s="5" t="s">
        <v>1420</v>
      </c>
      <c r="U98" s="3">
        <v>4.0</v>
      </c>
      <c r="V98" s="23">
        <v>0.0</v>
      </c>
      <c r="W98" s="3"/>
      <c r="X98" s="5" t="s">
        <v>1325</v>
      </c>
      <c r="Y98" s="3">
        <v>3.0</v>
      </c>
      <c r="Z98" s="1" t="s">
        <v>1421</v>
      </c>
      <c r="AA98" s="5" t="s">
        <v>764</v>
      </c>
    </row>
    <row r="99">
      <c r="A99" s="19" t="str">
        <f>vlookup(D99,'Player Codes'!A:D,4,)</f>
        <v>0038</v>
      </c>
      <c r="B99" s="20">
        <f t="shared" si="1"/>
        <v>0.203</v>
      </c>
      <c r="C99" s="5">
        <v>98.0</v>
      </c>
      <c r="D99" s="5" t="s">
        <v>235</v>
      </c>
      <c r="E99" s="5" t="s">
        <v>1053</v>
      </c>
      <c r="F99" s="5" t="s">
        <v>958</v>
      </c>
      <c r="G99" s="5">
        <v>10.0</v>
      </c>
      <c r="H99" s="5">
        <v>143.2</v>
      </c>
      <c r="I99" s="21">
        <f>vlookup(A99,'ESPN FF Rankings'!$C$2:$H$201,2,false)</f>
        <v>54</v>
      </c>
      <c r="J99" s="5">
        <f t="shared" si="2"/>
        <v>76</v>
      </c>
      <c r="K99" s="21">
        <f>vlookup(A99,'VORP SCORE'!$A$2:$I$301,9,)</f>
        <v>98</v>
      </c>
      <c r="L99" s="22">
        <f>vlookup(A99,'Risk Score'!$A$4:$H$350,8,)</f>
        <v>3</v>
      </c>
      <c r="M99" s="21">
        <f>vlookup(A99,FLEX!$D$2:$F$305,3,)</f>
        <v>4</v>
      </c>
      <c r="N99" s="21"/>
      <c r="P99" s="5" t="s">
        <v>231</v>
      </c>
      <c r="Q99" s="5">
        <v>175.2</v>
      </c>
      <c r="R99" s="19" t="str">
        <f>vlookup(P99,'Player Codes'!A:D,4,)</f>
        <v>0280</v>
      </c>
      <c r="T99" s="5" t="s">
        <v>472</v>
      </c>
      <c r="U99" s="3">
        <v>4.0</v>
      </c>
      <c r="V99" s="19" t="str">
        <f>vlookup(T99,'Player Codes'!A:D,4,)</f>
        <v>0213</v>
      </c>
      <c r="W99" s="3"/>
      <c r="X99" s="5" t="s">
        <v>269</v>
      </c>
      <c r="Y99" s="3">
        <v>4.0</v>
      </c>
      <c r="Z99" s="1" t="s">
        <v>1422</v>
      </c>
      <c r="AA99" s="5" t="s">
        <v>257</v>
      </c>
    </row>
    <row r="100">
      <c r="A100" s="19" t="str">
        <f>vlookup(D100,'Player Codes'!A:D,4,)</f>
        <v>0264</v>
      </c>
      <c r="B100" s="20">
        <f t="shared" si="1"/>
        <v>0.202</v>
      </c>
      <c r="C100" s="5">
        <v>99.0</v>
      </c>
      <c r="D100" s="5" t="s">
        <v>349</v>
      </c>
      <c r="E100" s="5" t="s">
        <v>1041</v>
      </c>
      <c r="F100" s="5" t="s">
        <v>950</v>
      </c>
      <c r="G100" s="5">
        <v>13.0</v>
      </c>
      <c r="H100" s="5">
        <v>142.6</v>
      </c>
      <c r="I100" s="21">
        <f>vlookup(A100,'ESPN FF Rankings'!$C$2:$H$201,2,false)</f>
        <v>26</v>
      </c>
      <c r="J100" s="5">
        <f t="shared" si="2"/>
        <v>62.5</v>
      </c>
      <c r="K100" s="21">
        <f>vlookup(A100,'VORP SCORE'!$A$2:$I$301,9,)</f>
        <v>99</v>
      </c>
      <c r="L100" s="22">
        <f>vlookup(A100,'Risk Score'!$A$4:$H$350,8,)</f>
        <v>4</v>
      </c>
      <c r="M100" s="21">
        <f>vlookup(A100,FLEX!$D$2:$F$305,3,)</f>
        <v>2</v>
      </c>
      <c r="N100" s="21"/>
      <c r="P100" s="5" t="s">
        <v>317</v>
      </c>
      <c r="Q100" s="5">
        <v>72.1</v>
      </c>
      <c r="R100" s="19" t="str">
        <f>vlookup(P100,'Player Codes'!A:D,4,)</f>
        <v>0165</v>
      </c>
      <c r="T100" s="5" t="s">
        <v>1423</v>
      </c>
      <c r="U100" s="3">
        <v>3.0</v>
      </c>
      <c r="V100" s="23">
        <v>0.0</v>
      </c>
      <c r="W100" s="3"/>
      <c r="X100" s="5" t="s">
        <v>39</v>
      </c>
      <c r="Y100" s="3">
        <v>4.0</v>
      </c>
      <c r="Z100" s="1" t="s">
        <v>1424</v>
      </c>
      <c r="AA100" s="5" t="s">
        <v>504</v>
      </c>
    </row>
    <row r="101">
      <c r="A101" s="19" t="str">
        <f>vlookup(D101,'Player Codes'!A:D,4,)</f>
        <v>0165</v>
      </c>
      <c r="B101" s="20">
        <f t="shared" si="1"/>
        <v>0.201</v>
      </c>
      <c r="C101" s="5">
        <v>100.0</v>
      </c>
      <c r="D101" s="5" t="s">
        <v>317</v>
      </c>
      <c r="E101" s="5" t="s">
        <v>1043</v>
      </c>
      <c r="F101" s="5" t="s">
        <v>950</v>
      </c>
      <c r="G101" s="5">
        <v>13.0</v>
      </c>
      <c r="H101" s="5">
        <v>141.7</v>
      </c>
      <c r="I101" s="21">
        <f>vlookup(A101,'ESPN FF Rankings'!$C$2:$H$201,2,false)</f>
        <v>99</v>
      </c>
      <c r="J101" s="5">
        <f t="shared" si="2"/>
        <v>99.5</v>
      </c>
      <c r="K101" s="21">
        <f>vlookup(A101,'VORP SCORE'!$A$2:$I$301,9,)</f>
        <v>100</v>
      </c>
      <c r="L101" s="22">
        <f>vlookup(A101,'Risk Score'!$A$4:$H$350,8,)</f>
        <v>3</v>
      </c>
      <c r="M101" s="21">
        <f>vlookup(A101,FLEX!$D$2:$F$305,3,)</f>
        <v>3</v>
      </c>
      <c r="N101" s="21"/>
      <c r="P101" s="5" t="s">
        <v>237</v>
      </c>
      <c r="Q101" s="5">
        <v>172.5</v>
      </c>
      <c r="R101" s="19" t="str">
        <f>vlookup(P101,'Player Codes'!A:D,4,)</f>
        <v>0190</v>
      </c>
      <c r="T101" s="5" t="s">
        <v>372</v>
      </c>
      <c r="U101" s="3">
        <v>5.0</v>
      </c>
      <c r="V101" s="19" t="str">
        <f>vlookup(T101,'Player Codes'!A:D,4,)</f>
        <v>0216</v>
      </c>
      <c r="W101" s="3"/>
      <c r="X101" s="5" t="s">
        <v>275</v>
      </c>
      <c r="Y101" s="3">
        <v>3.0</v>
      </c>
      <c r="Z101" s="1" t="s">
        <v>314</v>
      </c>
      <c r="AA101" s="5" t="s">
        <v>1425</v>
      </c>
    </row>
    <row r="102">
      <c r="A102" s="19" t="str">
        <f>vlookup(D102,'Player Codes'!A:D,4,)</f>
        <v>0120</v>
      </c>
      <c r="B102" s="20">
        <f t="shared" si="1"/>
        <v>0.2</v>
      </c>
      <c r="C102" s="5">
        <v>101.0</v>
      </c>
      <c r="D102" s="5" t="s">
        <v>541</v>
      </c>
      <c r="E102" s="5" t="s">
        <v>1154</v>
      </c>
      <c r="F102" s="5" t="s">
        <v>967</v>
      </c>
      <c r="G102" s="5">
        <v>7.0</v>
      </c>
      <c r="H102" s="5">
        <v>141.0</v>
      </c>
      <c r="I102" s="21" t="str">
        <f>vlookup(A102,'ESPN FF Rankings'!$C$2:$H$201,2,false)</f>
        <v>#N/A</v>
      </c>
      <c r="J102" s="5" t="str">
        <f t="shared" si="2"/>
        <v>#N/A</v>
      </c>
      <c r="K102" s="21">
        <f>vlookup(A102,'VORP SCORE'!$A$2:$I$301,9,)</f>
        <v>101</v>
      </c>
      <c r="L102" s="24">
        <v>3.0</v>
      </c>
      <c r="M102" s="21">
        <f>vlookup(A102,FLEX!$D$2:$F$305,3,)</f>
        <v>0</v>
      </c>
      <c r="N102" s="21"/>
      <c r="P102" s="5" t="s">
        <v>468</v>
      </c>
      <c r="Q102" s="5">
        <v>9.299999999999997</v>
      </c>
      <c r="R102" s="19" t="str">
        <f>vlookup(P102,'Player Codes'!A:D,4,)</f>
        <v>0142</v>
      </c>
      <c r="T102" s="5" t="s">
        <v>871</v>
      </c>
      <c r="U102" s="3">
        <v>2.0</v>
      </c>
      <c r="V102" s="19" t="str">
        <f>vlookup(T102,'Player Codes'!A:D,4,)</f>
        <v>0217</v>
      </c>
      <c r="W102" s="3"/>
      <c r="X102" s="5" t="s">
        <v>364</v>
      </c>
      <c r="Y102" s="3">
        <v>2.0</v>
      </c>
      <c r="Z102" s="1" t="s">
        <v>328</v>
      </c>
      <c r="AA102" s="5" t="s">
        <v>1426</v>
      </c>
    </row>
    <row r="103">
      <c r="A103" s="19" t="str">
        <f>vlookup(D103,'Player Codes'!A:D,4,)</f>
        <v>0144</v>
      </c>
      <c r="B103" s="20">
        <f t="shared" si="1"/>
        <v>0.199</v>
      </c>
      <c r="C103" s="5">
        <v>102.0</v>
      </c>
      <c r="D103" s="5" t="s">
        <v>249</v>
      </c>
      <c r="E103" s="5" t="s">
        <v>1057</v>
      </c>
      <c r="F103" s="5" t="s">
        <v>929</v>
      </c>
      <c r="G103" s="5">
        <v>13.0</v>
      </c>
      <c r="H103" s="5">
        <v>140.8</v>
      </c>
      <c r="I103" s="21">
        <f>vlookup(A103,'ESPN FF Rankings'!$C$2:$H$201,2,false)</f>
        <v>63</v>
      </c>
      <c r="J103" s="5">
        <f t="shared" si="2"/>
        <v>82.5</v>
      </c>
      <c r="K103" s="21">
        <f>vlookup(A103,'VORP SCORE'!$A$2:$I$301,9,)</f>
        <v>102</v>
      </c>
      <c r="L103" s="22">
        <f>vlookup(A103,'Risk Score'!$A$4:$H$350,8,)</f>
        <v>3</v>
      </c>
      <c r="M103" s="21">
        <f>vlookup(A103,FLEX!$D$2:$F$305,3,)</f>
        <v>4</v>
      </c>
      <c r="N103" s="21"/>
      <c r="P103" s="5" t="s">
        <v>403</v>
      </c>
      <c r="Q103" s="5">
        <v>56.7</v>
      </c>
      <c r="R103" s="19" t="str">
        <f>vlookup(P103,'Player Codes'!A:D,4,)</f>
        <v>0150</v>
      </c>
      <c r="T103" s="5" t="s">
        <v>185</v>
      </c>
      <c r="U103" s="3">
        <v>5.0</v>
      </c>
      <c r="V103" s="19" t="str">
        <f>vlookup(T103,'Player Codes'!A:D,4,)</f>
        <v>0218</v>
      </c>
      <c r="W103" s="3"/>
      <c r="X103" s="5" t="s">
        <v>494</v>
      </c>
      <c r="Y103" s="3">
        <v>5.0</v>
      </c>
      <c r="Z103" s="1" t="s">
        <v>247</v>
      </c>
      <c r="AA103" s="5" t="s">
        <v>649</v>
      </c>
    </row>
    <row r="104">
      <c r="A104" s="19" t="str">
        <f>vlookup(D104,'Player Codes'!A:D,4,)</f>
        <v>0148</v>
      </c>
      <c r="B104" s="20">
        <f t="shared" si="1"/>
        <v>0.198</v>
      </c>
      <c r="C104" s="5">
        <v>103.0</v>
      </c>
      <c r="D104" s="5" t="s">
        <v>548</v>
      </c>
      <c r="E104" s="5" t="s">
        <v>1117</v>
      </c>
      <c r="F104" s="5" t="s">
        <v>954</v>
      </c>
      <c r="G104" s="5">
        <v>10.0</v>
      </c>
      <c r="H104" s="5">
        <v>140.5</v>
      </c>
      <c r="I104" s="21">
        <f>vlookup(A104,'ESPN FF Rankings'!$C$2:$H$201,2,false)</f>
        <v>173</v>
      </c>
      <c r="J104" s="5">
        <f t="shared" si="2"/>
        <v>138</v>
      </c>
      <c r="K104" s="21">
        <f>vlookup(A104,'VORP SCORE'!$A$2:$I$301,9,)</f>
        <v>103</v>
      </c>
      <c r="L104" s="24">
        <v>3.0</v>
      </c>
      <c r="M104" s="21">
        <f>vlookup(A104,FLEX!$D$2:$F$305,3,)</f>
        <v>0</v>
      </c>
      <c r="N104" s="21"/>
      <c r="P104" s="5" t="s">
        <v>368</v>
      </c>
      <c r="Q104" s="5">
        <v>37.8</v>
      </c>
      <c r="R104" s="19" t="str">
        <f>vlookup(P104,'Player Codes'!A:D,4,)</f>
        <v>0296</v>
      </c>
      <c r="T104" s="5" t="s">
        <v>155</v>
      </c>
      <c r="U104" s="3">
        <v>5.0</v>
      </c>
      <c r="V104" s="19" t="str">
        <f>vlookup(T104,'Player Codes'!A:D,4,)</f>
        <v>0220</v>
      </c>
      <c r="W104" s="3"/>
      <c r="X104" s="2" t="s">
        <v>1427</v>
      </c>
      <c r="Y104" s="3">
        <v>3.0</v>
      </c>
      <c r="Z104" s="1" t="s">
        <v>333</v>
      </c>
      <c r="AA104" s="5" t="s">
        <v>262</v>
      </c>
    </row>
    <row r="105">
      <c r="A105" s="19" t="str">
        <f>vlookup(D105,'Player Codes'!A:D,4,)</f>
        <v>0149</v>
      </c>
      <c r="B105" s="20">
        <f t="shared" si="1"/>
        <v>0.197</v>
      </c>
      <c r="C105" s="5">
        <v>104.0</v>
      </c>
      <c r="D105" s="5" t="s">
        <v>260</v>
      </c>
      <c r="E105" s="5" t="s">
        <v>1059</v>
      </c>
      <c r="F105" s="5" t="s">
        <v>976</v>
      </c>
      <c r="G105" s="5">
        <v>9.0</v>
      </c>
      <c r="H105" s="5">
        <v>140.2</v>
      </c>
      <c r="I105" s="21">
        <f>vlookup(A105,'ESPN FF Rankings'!$C$2:$H$201,2,false)</f>
        <v>62</v>
      </c>
      <c r="J105" s="5">
        <f t="shared" si="2"/>
        <v>83</v>
      </c>
      <c r="K105" s="21">
        <f>vlookup(A105,'VORP SCORE'!$A$2:$I$301,9,)</f>
        <v>104</v>
      </c>
      <c r="L105" s="22">
        <f>vlookup(A105,'Risk Score'!$A$4:$H$350,8,)</f>
        <v>3</v>
      </c>
      <c r="M105" s="21">
        <f>vlookup(A105,FLEX!$D$2:$F$305,3,)</f>
        <v>4</v>
      </c>
      <c r="N105" s="21"/>
      <c r="P105" s="5" t="s">
        <v>372</v>
      </c>
      <c r="Q105" s="5">
        <v>47.60000000000001</v>
      </c>
      <c r="R105" s="19" t="str">
        <f>vlookup(P105,'Player Codes'!A:D,4,)</f>
        <v>0216</v>
      </c>
      <c r="T105" s="5" t="s">
        <v>1428</v>
      </c>
      <c r="U105" s="3">
        <v>4.0</v>
      </c>
      <c r="V105" s="23">
        <v>0.0</v>
      </c>
      <c r="W105" s="3"/>
      <c r="X105" s="5" t="s">
        <v>1329</v>
      </c>
      <c r="Y105" s="3">
        <v>2.0</v>
      </c>
      <c r="Z105" s="1" t="s">
        <v>258</v>
      </c>
      <c r="AA105" s="5" t="s">
        <v>657</v>
      </c>
    </row>
    <row r="106">
      <c r="A106" s="19" t="str">
        <f>vlookup(D106,'Player Codes'!A:D,4,)</f>
        <v>0108</v>
      </c>
      <c r="B106" s="20">
        <f t="shared" si="1"/>
        <v>0.196</v>
      </c>
      <c r="C106" s="5">
        <v>105.0</v>
      </c>
      <c r="D106" s="5" t="s">
        <v>554</v>
      </c>
      <c r="E106" s="5" t="s">
        <v>553</v>
      </c>
      <c r="F106" s="5" t="s">
        <v>935</v>
      </c>
      <c r="G106" s="5">
        <v>7.0</v>
      </c>
      <c r="H106" s="5">
        <v>139.8</v>
      </c>
      <c r="I106" s="21">
        <f>vlookup(A106,'ESPN FF Rankings'!$C$2:$H$201,2,false)</f>
        <v>145</v>
      </c>
      <c r="J106" s="5">
        <f t="shared" si="2"/>
        <v>125</v>
      </c>
      <c r="K106" s="21">
        <f>vlookup(A106,'VORP SCORE'!$A$2:$I$301,9,)</f>
        <v>105</v>
      </c>
      <c r="L106" s="24">
        <v>3.0</v>
      </c>
      <c r="M106" s="21" t="str">
        <f>vlookup(A106,FLEX!$D$2:$F$305,3,)</f>
        <v/>
      </c>
      <c r="N106" s="21"/>
      <c r="P106" s="5" t="s">
        <v>590</v>
      </c>
      <c r="Q106" s="5">
        <v>30.69999999999999</v>
      </c>
      <c r="R106" s="19" t="str">
        <f>vlookup(P106,'Player Codes'!A:D,4,)</f>
        <v>0288</v>
      </c>
      <c r="T106" s="5" t="s">
        <v>1429</v>
      </c>
      <c r="U106" s="3">
        <v>2.0</v>
      </c>
      <c r="V106" s="23">
        <v>0.0</v>
      </c>
      <c r="W106" s="3"/>
      <c r="X106" s="5" t="s">
        <v>513</v>
      </c>
      <c r="Y106" s="3">
        <v>3.0</v>
      </c>
      <c r="Z106" s="1" t="s">
        <v>340</v>
      </c>
      <c r="AA106" s="5" t="s">
        <v>407</v>
      </c>
    </row>
    <row r="107">
      <c r="A107" s="19" t="str">
        <f>vlookup(D107,'Player Codes'!A:D,4,)</f>
        <v>0119</v>
      </c>
      <c r="B107" s="20">
        <f t="shared" si="1"/>
        <v>0.195</v>
      </c>
      <c r="C107" s="5">
        <v>106.0</v>
      </c>
      <c r="D107" s="5" t="s">
        <v>561</v>
      </c>
      <c r="E107" s="5" t="s">
        <v>1155</v>
      </c>
      <c r="F107" s="5" t="s">
        <v>950</v>
      </c>
      <c r="G107" s="5">
        <v>13.0</v>
      </c>
      <c r="H107" s="5">
        <v>139.3</v>
      </c>
      <c r="I107" s="21" t="str">
        <f>vlookup(A107,'ESPN FF Rankings'!$C$2:$H$201,2,false)</f>
        <v>#N/A</v>
      </c>
      <c r="J107" s="5" t="str">
        <f t="shared" si="2"/>
        <v>#N/A</v>
      </c>
      <c r="K107" s="21">
        <f>vlookup(A107,'VORP SCORE'!$A$2:$I$301,9,)</f>
        <v>106</v>
      </c>
      <c r="L107" s="24">
        <v>3.0</v>
      </c>
      <c r="M107" s="21">
        <f>vlookup(A107,FLEX!$D$2:$F$305,3,)</f>
        <v>0</v>
      </c>
      <c r="N107" s="21"/>
      <c r="P107" s="5" t="s">
        <v>196</v>
      </c>
      <c r="Q107" s="5">
        <v>162.0</v>
      </c>
      <c r="R107" s="19" t="str">
        <f>vlookup(P107,'Player Codes'!A:D,4,)</f>
        <v>0003</v>
      </c>
      <c r="T107" s="5" t="s">
        <v>1430</v>
      </c>
      <c r="U107" s="3">
        <v>4.0</v>
      </c>
      <c r="V107" s="23">
        <v>0.0</v>
      </c>
      <c r="W107" s="3"/>
      <c r="X107" s="5" t="s">
        <v>146</v>
      </c>
      <c r="Y107" s="3">
        <v>4.0</v>
      </c>
      <c r="Z107" s="1" t="s">
        <v>343</v>
      </c>
      <c r="AA107" s="5" t="s">
        <v>313</v>
      </c>
    </row>
    <row r="108">
      <c r="A108" s="19" t="str">
        <f>vlookup(D108,'Player Codes'!A:D,4,)</f>
        <v>0080</v>
      </c>
      <c r="B108" s="20">
        <f t="shared" si="1"/>
        <v>0.194</v>
      </c>
      <c r="C108" s="5">
        <v>107.0</v>
      </c>
      <c r="D108" s="5" t="s">
        <v>325</v>
      </c>
      <c r="E108" s="5" t="s">
        <v>1044</v>
      </c>
      <c r="F108" s="5" t="s">
        <v>948</v>
      </c>
      <c r="G108" s="5">
        <v>13.0</v>
      </c>
      <c r="H108" s="5">
        <v>139.2</v>
      </c>
      <c r="I108" s="21">
        <f>vlookup(A108,'ESPN FF Rankings'!$C$2:$H$201,2,false)</f>
        <v>44</v>
      </c>
      <c r="J108" s="5">
        <f t="shared" si="2"/>
        <v>75.5</v>
      </c>
      <c r="K108" s="21">
        <f>vlookup(A108,'VORP SCORE'!$A$2:$I$301,9,)</f>
        <v>107</v>
      </c>
      <c r="L108" s="22">
        <f>vlookup(A108,'Risk Score'!$A$4:$H$350,8,)</f>
        <v>5</v>
      </c>
      <c r="M108" s="21">
        <f>vlookup(A108,FLEX!$D$2:$F$305,3,)</f>
        <v>2</v>
      </c>
      <c r="N108" s="21"/>
      <c r="P108" s="5" t="s">
        <v>358</v>
      </c>
      <c r="Q108" s="5">
        <v>49.2</v>
      </c>
      <c r="R108" s="19" t="str">
        <f>vlookup(P108,'Player Codes'!A:D,4,)</f>
        <v>0171</v>
      </c>
      <c r="T108" s="5" t="s">
        <v>436</v>
      </c>
      <c r="U108" s="3">
        <v>4.0</v>
      </c>
      <c r="V108" s="19" t="str">
        <f>vlookup(T108,'Player Codes'!A:D,4,)</f>
        <v>0230</v>
      </c>
      <c r="W108" s="3"/>
      <c r="X108" s="5" t="s">
        <v>257</v>
      </c>
      <c r="Y108" s="3">
        <v>4.0</v>
      </c>
      <c r="Z108" s="1" t="s">
        <v>323</v>
      </c>
      <c r="AA108" s="5" t="s">
        <v>507</v>
      </c>
    </row>
    <row r="109">
      <c r="A109" s="19" t="str">
        <f>vlookup(D109,'Player Codes'!A:D,4,)</f>
        <v>0285</v>
      </c>
      <c r="B109" s="20">
        <f t="shared" si="1"/>
        <v>0.193</v>
      </c>
      <c r="C109" s="5">
        <v>108.0</v>
      </c>
      <c r="D109" s="5" t="s">
        <v>574</v>
      </c>
      <c r="E109" s="5" t="s">
        <v>1121</v>
      </c>
      <c r="F109" s="5" t="s">
        <v>929</v>
      </c>
      <c r="G109" s="5">
        <v>13.0</v>
      </c>
      <c r="H109" s="5">
        <v>138.5</v>
      </c>
      <c r="I109" s="21">
        <f>vlookup(A109,'ESPN FF Rankings'!$C$2:$H$201,2,false)</f>
        <v>161</v>
      </c>
      <c r="J109" s="5">
        <f t="shared" si="2"/>
        <v>134.5</v>
      </c>
      <c r="K109" s="21">
        <f>vlookup(A109,'VORP SCORE'!$A$2:$I$301,9,)</f>
        <v>108</v>
      </c>
      <c r="L109" s="24">
        <v>3.0</v>
      </c>
      <c r="M109" s="21">
        <f>vlookup(A109,FLEX!$D$2:$F$305,3,)</f>
        <v>0</v>
      </c>
      <c r="N109" s="21"/>
      <c r="P109" s="5" t="s">
        <v>440</v>
      </c>
      <c r="Q109" s="5">
        <v>13.900000000000006</v>
      </c>
      <c r="R109" s="19" t="str">
        <f>vlookup(P109,'Player Codes'!A:D,4,)</f>
        <v>0154</v>
      </c>
      <c r="T109" s="5" t="s">
        <v>430</v>
      </c>
      <c r="U109" s="3">
        <v>5.0</v>
      </c>
      <c r="V109" s="19" t="str">
        <f>vlookup(T109,'Player Codes'!A:D,4,)</f>
        <v>0232</v>
      </c>
      <c r="W109" s="3"/>
      <c r="X109" s="5" t="s">
        <v>649</v>
      </c>
      <c r="Y109" s="3">
        <v>3.0</v>
      </c>
      <c r="Z109" s="1" t="s">
        <v>348</v>
      </c>
      <c r="AA109" s="5" t="s">
        <v>554</v>
      </c>
    </row>
    <row r="110">
      <c r="A110" s="19" t="str">
        <f>vlookup(D110,'Player Codes'!A:D,4,)</f>
        <v>0024</v>
      </c>
      <c r="B110" s="20">
        <f t="shared" si="1"/>
        <v>0.192</v>
      </c>
      <c r="C110" s="5">
        <v>109.0</v>
      </c>
      <c r="D110" s="5" t="s">
        <v>577</v>
      </c>
      <c r="E110" s="5" t="s">
        <v>1156</v>
      </c>
      <c r="F110" s="5" t="s">
        <v>952</v>
      </c>
      <c r="G110" s="5">
        <v>7.0</v>
      </c>
      <c r="H110" s="5">
        <v>138.1</v>
      </c>
      <c r="I110" s="21" t="str">
        <f>vlookup(A110,'ESPN FF Rankings'!$C$2:$H$201,2,false)</f>
        <v>#N/A</v>
      </c>
      <c r="J110" s="5" t="str">
        <f t="shared" si="2"/>
        <v>#N/A</v>
      </c>
      <c r="K110" s="21">
        <f>vlookup(A110,'VORP SCORE'!$A$2:$I$301,9,)</f>
        <v>109</v>
      </c>
      <c r="L110" s="24">
        <v>3.0</v>
      </c>
      <c r="M110" s="21">
        <f>vlookup(A110,FLEX!$D$2:$F$305,3,)</f>
        <v>0</v>
      </c>
      <c r="N110" s="21"/>
      <c r="P110" s="5" t="s">
        <v>300</v>
      </c>
      <c r="Q110" s="5">
        <v>79.9</v>
      </c>
      <c r="R110" s="19" t="str">
        <f>vlookup(P110,'Player Codes'!A:D,4,)</f>
        <v>0110</v>
      </c>
      <c r="T110" s="5" t="s">
        <v>1431</v>
      </c>
      <c r="U110" s="3">
        <v>3.0</v>
      </c>
      <c r="V110" s="23">
        <v>0.0</v>
      </c>
      <c r="W110" s="3"/>
      <c r="X110" s="5" t="s">
        <v>262</v>
      </c>
      <c r="Y110" s="3">
        <v>3.0</v>
      </c>
      <c r="Z110" s="1" t="s">
        <v>351</v>
      </c>
      <c r="AA110" s="5" t="s">
        <v>396</v>
      </c>
    </row>
    <row r="111">
      <c r="A111" s="19" t="str">
        <f>vlookup(D111,'Player Codes'!A:D,4,)</f>
        <v>0113</v>
      </c>
      <c r="B111" s="20">
        <f t="shared" si="1"/>
        <v>0.191</v>
      </c>
      <c r="C111" s="5">
        <v>110.0</v>
      </c>
      <c r="D111" s="5" t="s">
        <v>329</v>
      </c>
      <c r="E111" s="5" t="s">
        <v>1045</v>
      </c>
      <c r="F111" s="5" t="s">
        <v>963</v>
      </c>
      <c r="G111" s="5">
        <v>9.0</v>
      </c>
      <c r="H111" s="5">
        <v>137.8</v>
      </c>
      <c r="I111" s="21">
        <f>vlookup(A111,'ESPN FF Rankings'!$C$2:$H$201,2,false)</f>
        <v>58</v>
      </c>
      <c r="J111" s="5">
        <f t="shared" si="2"/>
        <v>84</v>
      </c>
      <c r="K111" s="21">
        <f>vlookup(A111,'VORP SCORE'!$A$2:$I$301,9,)</f>
        <v>110</v>
      </c>
      <c r="L111" s="22">
        <f>vlookup(A111,'Risk Score'!$A$4:$H$350,8,)</f>
        <v>5</v>
      </c>
      <c r="M111" s="21">
        <f>vlookup(A111,FLEX!$D$2:$F$305,3,)</f>
        <v>2</v>
      </c>
      <c r="N111" s="21"/>
      <c r="P111" s="5" t="s">
        <v>173</v>
      </c>
      <c r="Q111" s="5">
        <v>184.8</v>
      </c>
      <c r="R111" s="19" t="str">
        <f>vlookup(P111,'Player Codes'!A:D,4,)</f>
        <v>0077</v>
      </c>
      <c r="T111" s="5" t="s">
        <v>643</v>
      </c>
      <c r="U111" s="3">
        <v>4.0</v>
      </c>
      <c r="V111" s="19" t="str">
        <f>vlookup(T111,'Player Codes'!A:D,4,)</f>
        <v>0233</v>
      </c>
      <c r="W111" s="3"/>
      <c r="X111" s="5" t="s">
        <v>1432</v>
      </c>
      <c r="Y111" s="3">
        <v>3.0</v>
      </c>
      <c r="Z111" s="1" t="s">
        <v>326</v>
      </c>
      <c r="AA111" s="5" t="s">
        <v>300</v>
      </c>
    </row>
    <row r="112">
      <c r="A112" s="19" t="str">
        <f>vlookup(D112,'Player Codes'!A:D,4,)</f>
        <v>0188</v>
      </c>
      <c r="B112" s="20">
        <f t="shared" si="1"/>
        <v>0.19</v>
      </c>
      <c r="C112" s="5">
        <v>111.0</v>
      </c>
      <c r="D112" s="5" t="s">
        <v>225</v>
      </c>
      <c r="E112" s="5" t="s">
        <v>1061</v>
      </c>
      <c r="F112" s="5" t="s">
        <v>940</v>
      </c>
      <c r="G112" s="5">
        <v>13.0</v>
      </c>
      <c r="H112" s="5">
        <v>137.2</v>
      </c>
      <c r="I112" s="21">
        <f>vlookup(A112,'ESPN FF Rankings'!$C$2:$H$201,2,false)</f>
        <v>90</v>
      </c>
      <c r="J112" s="5">
        <f t="shared" si="2"/>
        <v>100.5</v>
      </c>
      <c r="K112" s="21">
        <f>vlookup(A112,'VORP SCORE'!$A$2:$I$301,9,)</f>
        <v>111</v>
      </c>
      <c r="L112" s="22">
        <f>vlookup(A112,'Risk Score'!$A$4:$H$350,8,)</f>
        <v>4</v>
      </c>
      <c r="M112" s="21">
        <f>vlookup(A112,FLEX!$D$2:$F$305,3,)</f>
        <v>4</v>
      </c>
      <c r="N112" s="21"/>
      <c r="P112" s="5" t="s">
        <v>821</v>
      </c>
      <c r="Q112" s="5">
        <v>29.799999999999997</v>
      </c>
      <c r="R112" s="19" t="str">
        <f>vlookup(P112,'Player Codes'!A:D,4,)</f>
        <v>0061</v>
      </c>
      <c r="T112" s="5" t="s">
        <v>1433</v>
      </c>
      <c r="U112" s="3">
        <v>4.0</v>
      </c>
      <c r="V112" s="23">
        <v>0.0</v>
      </c>
      <c r="W112" s="3"/>
      <c r="X112" s="2" t="s">
        <v>1434</v>
      </c>
      <c r="Y112" s="3">
        <v>3.0</v>
      </c>
      <c r="Z112" s="1" t="s">
        <v>223</v>
      </c>
      <c r="AA112" s="5" t="s">
        <v>149</v>
      </c>
    </row>
    <row r="113">
      <c r="A113" s="19" t="str">
        <f>vlookup(D113,'Player Codes'!A:D,4,)</f>
        <v>0279</v>
      </c>
      <c r="B113" s="20">
        <f t="shared" si="1"/>
        <v>0.19</v>
      </c>
      <c r="C113" s="5">
        <v>111.0</v>
      </c>
      <c r="D113" s="5" t="s">
        <v>337</v>
      </c>
      <c r="E113" s="5" t="s">
        <v>1048</v>
      </c>
      <c r="F113" s="5" t="s">
        <v>990</v>
      </c>
      <c r="G113" s="5">
        <v>7.0</v>
      </c>
      <c r="H113" s="5">
        <v>137.2</v>
      </c>
      <c r="I113" s="21">
        <f>vlookup(A113,'ESPN FF Rankings'!$C$2:$H$201,2,false)</f>
        <v>89</v>
      </c>
      <c r="J113" s="5">
        <f t="shared" si="2"/>
        <v>100</v>
      </c>
      <c r="K113" s="21">
        <f>vlookup(A113,'VORP SCORE'!$A$2:$I$301,9,)</f>
        <v>112</v>
      </c>
      <c r="L113" s="22">
        <f>vlookup(A113,'Risk Score'!$A$4:$H$350,8,)</f>
        <v>3</v>
      </c>
      <c r="M113" s="21">
        <f>vlookup(A113,FLEX!$D$2:$F$305,3,)</f>
        <v>3</v>
      </c>
      <c r="N113" s="21"/>
      <c r="P113" s="5" t="s">
        <v>705</v>
      </c>
      <c r="Q113" s="5">
        <v>24.39999999999999</v>
      </c>
      <c r="R113" s="19" t="str">
        <f>vlookup(P113,'Player Codes'!A:D,4,)</f>
        <v>0118</v>
      </c>
      <c r="T113" s="5" t="s">
        <v>380</v>
      </c>
      <c r="U113" s="3">
        <v>3.0</v>
      </c>
      <c r="V113" s="19" t="str">
        <f>vlookup(T113,'Player Codes'!A:D,4,)</f>
        <v>0239</v>
      </c>
      <c r="W113" s="3"/>
      <c r="X113" s="5" t="s">
        <v>1337</v>
      </c>
      <c r="Y113" s="3">
        <v>3.0</v>
      </c>
      <c r="Z113" s="1" t="s">
        <v>335</v>
      </c>
      <c r="AA113" s="5" t="s">
        <v>227</v>
      </c>
    </row>
    <row r="114">
      <c r="A114" s="19" t="str">
        <f>vlookup(D114,'Player Codes'!A:D,4,)</f>
        <v>0248</v>
      </c>
      <c r="B114" s="20">
        <f t="shared" si="1"/>
        <v>0.188</v>
      </c>
      <c r="C114" s="5">
        <v>113.0</v>
      </c>
      <c r="D114" s="5" t="s">
        <v>582</v>
      </c>
      <c r="E114" s="5" t="s">
        <v>1157</v>
      </c>
      <c r="F114" s="5" t="s">
        <v>965</v>
      </c>
      <c r="G114" s="5">
        <v>9.0</v>
      </c>
      <c r="H114" s="5">
        <v>137.0</v>
      </c>
      <c r="I114" s="21" t="str">
        <f>vlookup(A114,'ESPN FF Rankings'!$C$2:$H$201,2,false)</f>
        <v>#N/A</v>
      </c>
      <c r="J114" s="5" t="str">
        <f t="shared" si="2"/>
        <v>#N/A</v>
      </c>
      <c r="K114" s="21">
        <f>vlookup(A114,'VORP SCORE'!$A$2:$I$301,9,)</f>
        <v>113</v>
      </c>
      <c r="L114" s="24">
        <v>3.0</v>
      </c>
      <c r="M114" s="21">
        <f>vlookup(A114,FLEX!$D$2:$F$305,3,)</f>
        <v>0</v>
      </c>
      <c r="N114" s="21"/>
      <c r="P114" s="5" t="s">
        <v>426</v>
      </c>
      <c r="Q114" s="5">
        <v>19.0</v>
      </c>
      <c r="R114" s="19" t="str">
        <f>vlookup(P114,'Player Codes'!A:D,4,)</f>
        <v>0155</v>
      </c>
      <c r="T114" s="5" t="s">
        <v>1435</v>
      </c>
      <c r="U114" s="3">
        <v>2.0</v>
      </c>
      <c r="V114" s="23">
        <v>0.0</v>
      </c>
      <c r="W114" s="3"/>
      <c r="X114" s="5" t="s">
        <v>407</v>
      </c>
      <c r="Y114" s="3">
        <v>4.0</v>
      </c>
      <c r="Z114" s="1" t="s">
        <v>363</v>
      </c>
      <c r="AA114" s="5" t="s">
        <v>329</v>
      </c>
    </row>
    <row r="115">
      <c r="A115" s="19" t="str">
        <f>vlookup(D115,'Player Codes'!A:D,4,)</f>
        <v>0138</v>
      </c>
      <c r="B115" s="20">
        <f t="shared" si="1"/>
        <v>0.187</v>
      </c>
      <c r="C115" s="5">
        <v>114.0</v>
      </c>
      <c r="D115" s="5" t="s">
        <v>587</v>
      </c>
      <c r="E115" s="5" t="s">
        <v>1158</v>
      </c>
      <c r="F115" s="5" t="s">
        <v>963</v>
      </c>
      <c r="G115" s="5">
        <v>9.0</v>
      </c>
      <c r="H115" s="5">
        <v>136.4</v>
      </c>
      <c r="I115" s="21" t="str">
        <f>vlookup(A115,'ESPN FF Rankings'!$C$2:$H$201,2,false)</f>
        <v>#N/A</v>
      </c>
      <c r="J115" s="5" t="str">
        <f t="shared" si="2"/>
        <v>#N/A</v>
      </c>
      <c r="K115" s="21">
        <f>vlookup(A115,'VORP SCORE'!$A$2:$I$301,9,)</f>
        <v>114</v>
      </c>
      <c r="L115" s="24">
        <v>3.0</v>
      </c>
      <c r="M115" s="21">
        <f>vlookup(A115,FLEX!$D$2:$F$305,3,)</f>
        <v>0</v>
      </c>
      <c r="N115" s="21"/>
      <c r="P115" s="5" t="s">
        <v>415</v>
      </c>
      <c r="Q115" s="5">
        <v>46.400000000000006</v>
      </c>
      <c r="R115" s="19" t="str">
        <f>vlookup(P115,'Player Codes'!A:D,4,)</f>
        <v>0139</v>
      </c>
      <c r="T115" s="5" t="s">
        <v>1436</v>
      </c>
      <c r="U115" s="3">
        <v>6.0</v>
      </c>
      <c r="V115" s="23">
        <v>0.0</v>
      </c>
      <c r="W115" s="3"/>
      <c r="X115" s="5" t="s">
        <v>313</v>
      </c>
      <c r="Y115" s="3">
        <v>4.0</v>
      </c>
      <c r="Z115" s="1" t="s">
        <v>367</v>
      </c>
      <c r="AA115" s="5" t="s">
        <v>292</v>
      </c>
    </row>
    <row r="116">
      <c r="A116" s="19" t="str">
        <f>vlookup(D116,'Player Codes'!A:D,4,)</f>
        <v>0025</v>
      </c>
      <c r="B116" s="20">
        <f t="shared" si="1"/>
        <v>0.186</v>
      </c>
      <c r="C116" s="5">
        <v>115.0</v>
      </c>
      <c r="D116" s="5" t="s">
        <v>597</v>
      </c>
      <c r="E116" s="5" t="s">
        <v>1159</v>
      </c>
      <c r="F116" s="5" t="s">
        <v>942</v>
      </c>
      <c r="G116" s="5">
        <v>9.0</v>
      </c>
      <c r="H116" s="5">
        <v>136.2</v>
      </c>
      <c r="I116" s="21" t="str">
        <f>vlookup(A116,'ESPN FF Rankings'!$C$2:$H$201,2,false)</f>
        <v>#N/A</v>
      </c>
      <c r="J116" s="5" t="str">
        <f t="shared" si="2"/>
        <v>#N/A</v>
      </c>
      <c r="K116" s="21">
        <f>vlookup(A116,'VORP SCORE'!$A$2:$I$301,9,)</f>
        <v>115</v>
      </c>
      <c r="L116" s="24">
        <v>3.0</v>
      </c>
      <c r="M116" s="21">
        <f>vlookup(A116,FLEX!$D$2:$F$305,3,)</f>
        <v>0</v>
      </c>
      <c r="N116" s="21"/>
      <c r="P116" s="5" t="s">
        <v>386</v>
      </c>
      <c r="Q116" s="5">
        <v>53.60000000000001</v>
      </c>
      <c r="R116" s="19" t="str">
        <f>vlookup(P116,'Player Codes'!A:D,4,)</f>
        <v>0179</v>
      </c>
      <c r="T116" s="5" t="s">
        <v>660</v>
      </c>
      <c r="U116" s="3">
        <v>2.0</v>
      </c>
      <c r="V116" s="19" t="str">
        <f>vlookup(T116,'Player Codes'!A:D,4,)</f>
        <v>0243</v>
      </c>
      <c r="W116" s="3"/>
      <c r="X116" s="5" t="s">
        <v>1340</v>
      </c>
      <c r="Y116" s="3">
        <v>4.0</v>
      </c>
      <c r="Z116" s="1" t="s">
        <v>371</v>
      </c>
      <c r="AA116" s="5" t="s">
        <v>805</v>
      </c>
    </row>
    <row r="117">
      <c r="A117" s="19" t="str">
        <f>vlookup(D117,'Player Codes'!A:D,4,)</f>
        <v>0076</v>
      </c>
      <c r="B117" s="20">
        <f t="shared" si="1"/>
        <v>0.185</v>
      </c>
      <c r="C117" s="5">
        <v>116.0</v>
      </c>
      <c r="D117" s="5" t="s">
        <v>600</v>
      </c>
      <c r="E117" s="5" t="s">
        <v>1125</v>
      </c>
      <c r="F117" s="5" t="s">
        <v>980</v>
      </c>
      <c r="G117" s="5">
        <v>13.0</v>
      </c>
      <c r="H117" s="5">
        <v>135.7</v>
      </c>
      <c r="I117" s="21">
        <f>vlookup(A117,'ESPN FF Rankings'!$C$2:$H$201,2,false)</f>
        <v>157</v>
      </c>
      <c r="J117" s="5">
        <f t="shared" si="2"/>
        <v>136.5</v>
      </c>
      <c r="K117" s="21">
        <f>vlookup(A117,'VORP SCORE'!$A$2:$I$301,9,)</f>
        <v>116</v>
      </c>
      <c r="L117" s="24">
        <v>3.0</v>
      </c>
      <c r="M117" s="21" t="str">
        <f>vlookup(A117,FLEX!$D$2:$F$305,3,)</f>
        <v/>
      </c>
      <c r="N117" s="21"/>
      <c r="P117" s="5" t="s">
        <v>478</v>
      </c>
      <c r="Q117" s="5">
        <v>7.799999999999997</v>
      </c>
      <c r="R117" s="19" t="str">
        <f>vlookup(P117,'Player Codes'!A:D,4,)</f>
        <v>0075</v>
      </c>
      <c r="T117" s="5" t="s">
        <v>652</v>
      </c>
      <c r="U117" s="3">
        <v>2.0</v>
      </c>
      <c r="V117" s="19" t="str">
        <f>vlookup(T117,'Player Codes'!A:D,4,)</f>
        <v>0244</v>
      </c>
      <c r="W117" s="3"/>
      <c r="X117" s="2" t="s">
        <v>507</v>
      </c>
      <c r="Y117" s="3">
        <v>4.0</v>
      </c>
      <c r="Z117" s="1" t="s">
        <v>375</v>
      </c>
      <c r="AA117" s="5" t="s">
        <v>688</v>
      </c>
    </row>
    <row r="118">
      <c r="A118" s="19" t="str">
        <f>vlookup(D118,'Player Codes'!A:D,4,)</f>
        <v>0229</v>
      </c>
      <c r="B118" s="20">
        <f t="shared" si="1"/>
        <v>0.184</v>
      </c>
      <c r="C118" s="5">
        <v>117.0</v>
      </c>
      <c r="D118" s="5" t="s">
        <v>606</v>
      </c>
      <c r="E118" s="5" t="s">
        <v>1160</v>
      </c>
      <c r="F118" s="5" t="s">
        <v>1009</v>
      </c>
      <c r="G118" s="5">
        <v>11.0</v>
      </c>
      <c r="H118" s="5">
        <v>134.5</v>
      </c>
      <c r="I118" s="21" t="str">
        <f>vlookup(A118,'ESPN FF Rankings'!$C$2:$H$201,2,false)</f>
        <v>#N/A</v>
      </c>
      <c r="J118" s="5" t="str">
        <f t="shared" si="2"/>
        <v>#N/A</v>
      </c>
      <c r="K118" s="21">
        <f>vlookup(A118,'VORP SCORE'!$A$2:$I$301,9,)</f>
        <v>117</v>
      </c>
      <c r="L118" s="24">
        <v>3.0</v>
      </c>
      <c r="M118" s="21">
        <f>vlookup(A118,FLEX!$D$2:$F$305,3,)</f>
        <v>0</v>
      </c>
      <c r="N118" s="21"/>
      <c r="P118" s="5" t="s">
        <v>513</v>
      </c>
      <c r="Q118" s="5">
        <v>14.799999999999997</v>
      </c>
      <c r="R118" s="19" t="str">
        <f>vlookup(P118,'Player Codes'!A:D,4,)</f>
        <v>0094</v>
      </c>
      <c r="T118" s="5" t="s">
        <v>419</v>
      </c>
      <c r="U118" s="3">
        <v>3.0</v>
      </c>
      <c r="V118" s="19" t="str">
        <f>vlookup(T118,'Player Codes'!A:D,4,)</f>
        <v>0245</v>
      </c>
      <c r="W118" s="3"/>
      <c r="X118" s="5" t="s">
        <v>396</v>
      </c>
      <c r="Y118" s="3">
        <v>5.0</v>
      </c>
      <c r="Z118" s="1" t="s">
        <v>379</v>
      </c>
      <c r="AA118" s="5" t="s">
        <v>1437</v>
      </c>
    </row>
    <row r="119">
      <c r="A119" s="19" t="str">
        <f>vlookup(D119,'Player Codes'!A:D,4,)</f>
        <v>0106</v>
      </c>
      <c r="B119" s="20">
        <f t="shared" si="1"/>
        <v>0.183</v>
      </c>
      <c r="C119" s="5">
        <v>118.0</v>
      </c>
      <c r="D119" s="5" t="s">
        <v>313</v>
      </c>
      <c r="E119" s="5" t="s">
        <v>1051</v>
      </c>
      <c r="F119" s="5" t="s">
        <v>944</v>
      </c>
      <c r="G119" s="5">
        <v>5.0</v>
      </c>
      <c r="H119" s="5">
        <v>134.3</v>
      </c>
      <c r="I119" s="21">
        <f>vlookup(A119,'ESPN FF Rankings'!$C$2:$H$201,2,false)</f>
        <v>136</v>
      </c>
      <c r="J119" s="5">
        <f t="shared" si="2"/>
        <v>127</v>
      </c>
      <c r="K119" s="21">
        <f>vlookup(A119,'VORP SCORE'!$A$2:$I$301,9,)</f>
        <v>118</v>
      </c>
      <c r="L119" s="22">
        <f>vlookup(A119,'Risk Score'!$A$4:$H$350,8,)</f>
        <v>4</v>
      </c>
      <c r="M119" s="21">
        <f>vlookup(A119,FLEX!$D$2:$F$305,3,)</f>
        <v>3</v>
      </c>
      <c r="N119" s="21"/>
      <c r="P119" s="5" t="s">
        <v>436</v>
      </c>
      <c r="Q119" s="5">
        <v>44.30000000000001</v>
      </c>
      <c r="R119" s="19" t="str">
        <f>vlookup(P119,'Player Codes'!A:D,4,)</f>
        <v>0230</v>
      </c>
      <c r="T119" s="5" t="s">
        <v>1438</v>
      </c>
      <c r="U119" s="3">
        <v>3.0</v>
      </c>
      <c r="V119" s="23">
        <v>0.0</v>
      </c>
      <c r="W119" s="3"/>
      <c r="X119" s="2" t="s">
        <v>1439</v>
      </c>
      <c r="Y119" s="3">
        <v>3.0</v>
      </c>
      <c r="Z119" s="1" t="s">
        <v>310</v>
      </c>
      <c r="AA119" s="5" t="s">
        <v>705</v>
      </c>
    </row>
    <row r="120">
      <c r="A120" s="19" t="str">
        <f>vlookup(D120,'Player Codes'!A:D,4,)</f>
        <v>0136</v>
      </c>
      <c r="B120" s="20">
        <f t="shared" si="1"/>
        <v>0.182</v>
      </c>
      <c r="C120" s="5">
        <v>119.0</v>
      </c>
      <c r="D120" s="5" t="s">
        <v>609</v>
      </c>
      <c r="E120" s="5" t="s">
        <v>1129</v>
      </c>
      <c r="F120" s="5" t="s">
        <v>931</v>
      </c>
      <c r="G120" s="5">
        <v>10.0</v>
      </c>
      <c r="H120" s="5">
        <v>133.7</v>
      </c>
      <c r="I120" s="21">
        <f>vlookup(A120,'ESPN FF Rankings'!$C$2:$H$201,2,false)</f>
        <v>175</v>
      </c>
      <c r="J120" s="5">
        <f t="shared" si="2"/>
        <v>147</v>
      </c>
      <c r="K120" s="21">
        <f>vlookup(A120,'VORP SCORE'!$A$2:$I$301,9,)</f>
        <v>119</v>
      </c>
      <c r="L120" s="24">
        <v>3.0</v>
      </c>
      <c r="M120" s="21">
        <f>vlookup(A120,FLEX!$D$2:$F$305,3,)</f>
        <v>0</v>
      </c>
      <c r="N120" s="21"/>
      <c r="P120" s="5" t="s">
        <v>199</v>
      </c>
      <c r="Q120" s="5">
        <v>145.2</v>
      </c>
      <c r="R120" s="19" t="str">
        <f>vlookup(P120,'Player Codes'!A:D,4,)</f>
        <v>0253</v>
      </c>
      <c r="T120" s="2" t="s">
        <v>627</v>
      </c>
      <c r="U120" s="3">
        <v>5.0</v>
      </c>
      <c r="V120" s="19" t="str">
        <f>vlookup(T120,'Player Codes'!A:D,4,)</f>
        <v>0249</v>
      </c>
      <c r="W120" s="3"/>
      <c r="X120" s="5" t="s">
        <v>1342</v>
      </c>
      <c r="Y120" s="3">
        <v>3.0</v>
      </c>
      <c r="Z120" s="1" t="s">
        <v>385</v>
      </c>
      <c r="AA120" s="5" t="s">
        <v>561</v>
      </c>
    </row>
    <row r="121">
      <c r="A121" s="19" t="str">
        <f>vlookup(D121,'Player Codes'!A:D,4,)</f>
        <v>0028</v>
      </c>
      <c r="B121" s="20">
        <f t="shared" si="1"/>
        <v>0.181</v>
      </c>
      <c r="C121" s="5">
        <v>120.0</v>
      </c>
      <c r="D121" s="5" t="s">
        <v>298</v>
      </c>
      <c r="E121" s="5" t="s">
        <v>1067</v>
      </c>
      <c r="F121" s="5" t="s">
        <v>1016</v>
      </c>
      <c r="G121" s="5">
        <v>14.0</v>
      </c>
      <c r="H121" s="5">
        <v>133.6</v>
      </c>
      <c r="I121" s="21">
        <f>vlookup(A121,'ESPN FF Rankings'!$C$2:$H$201,2,false)</f>
        <v>82</v>
      </c>
      <c r="J121" s="5">
        <f t="shared" si="2"/>
        <v>101</v>
      </c>
      <c r="K121" s="21">
        <f>vlookup(A121,'VORP SCORE'!$A$2:$I$301,9,)</f>
        <v>120</v>
      </c>
      <c r="L121" s="22">
        <f>vlookup(A121,'Risk Score'!$A$4:$H$350,8,)</f>
        <v>3</v>
      </c>
      <c r="M121" s="21">
        <f>vlookup(A121,FLEX!$D$2:$F$305,3,)</f>
        <v>4</v>
      </c>
      <c r="N121" s="21"/>
      <c r="P121" s="5" t="s">
        <v>407</v>
      </c>
      <c r="Q121" s="5">
        <v>19.900000000000006</v>
      </c>
      <c r="R121" s="19" t="str">
        <f>vlookup(P121,'Player Codes'!A:D,4,)</f>
        <v>0105</v>
      </c>
      <c r="T121" s="5" t="s">
        <v>497</v>
      </c>
      <c r="U121" s="3">
        <v>2.0</v>
      </c>
      <c r="V121" s="19" t="str">
        <f>vlookup(T121,'Player Codes'!A:D,4,)</f>
        <v>0250</v>
      </c>
      <c r="W121" s="3"/>
      <c r="X121" s="5" t="s">
        <v>1440</v>
      </c>
      <c r="Y121" s="3">
        <v>3.0</v>
      </c>
      <c r="Z121" s="1" t="s">
        <v>296</v>
      </c>
      <c r="AA121" s="5" t="s">
        <v>541</v>
      </c>
    </row>
    <row r="122">
      <c r="A122" s="19" t="str">
        <f>vlookup(D122,'Player Codes'!A:D,4,)</f>
        <v>0295</v>
      </c>
      <c r="B122" s="20">
        <f t="shared" si="1"/>
        <v>0.18</v>
      </c>
      <c r="C122" s="5">
        <v>121.0</v>
      </c>
      <c r="D122" s="5" t="s">
        <v>612</v>
      </c>
      <c r="E122" s="5" t="s">
        <v>1130</v>
      </c>
      <c r="F122" s="5" t="s">
        <v>974</v>
      </c>
      <c r="G122" s="5">
        <v>11.0</v>
      </c>
      <c r="H122" s="5">
        <v>133.5</v>
      </c>
      <c r="I122" s="21">
        <f>vlookup(A122,'ESPN FF Rankings'!$C$2:$H$201,2,false)</f>
        <v>187</v>
      </c>
      <c r="J122" s="5">
        <f t="shared" si="2"/>
        <v>154</v>
      </c>
      <c r="K122" s="21">
        <f>vlookup(A122,'VORP SCORE'!$A$2:$I$301,9,)</f>
        <v>121</v>
      </c>
      <c r="L122" s="24">
        <v>3.0</v>
      </c>
      <c r="M122" s="21">
        <f>vlookup(A122,FLEX!$D$2:$F$305,3,)</f>
        <v>0</v>
      </c>
      <c r="N122" s="21"/>
      <c r="P122" s="5" t="s">
        <v>461</v>
      </c>
      <c r="Q122" s="5">
        <v>20.599999999999994</v>
      </c>
      <c r="R122" s="19" t="str">
        <f>vlookup(P122,'Player Codes'!A:D,4,)</f>
        <v>0284</v>
      </c>
      <c r="T122" s="5" t="s">
        <v>551</v>
      </c>
      <c r="U122" s="3">
        <v>4.0</v>
      </c>
      <c r="V122" s="19" t="str">
        <f>vlookup(T122,'Player Codes'!A:D,4,)</f>
        <v>0251</v>
      </c>
      <c r="W122" s="3"/>
      <c r="X122" s="5" t="s">
        <v>149</v>
      </c>
      <c r="Y122" s="3">
        <v>3.0</v>
      </c>
      <c r="Z122" s="1" t="s">
        <v>392</v>
      </c>
      <c r="AA122" s="2" t="s">
        <v>673</v>
      </c>
    </row>
    <row r="123">
      <c r="A123" s="19" t="str">
        <f>vlookup(D123,'Player Codes'!A:D,4,)</f>
        <v>0240</v>
      </c>
      <c r="B123" s="20">
        <f t="shared" si="1"/>
        <v>0.18</v>
      </c>
      <c r="C123" s="5">
        <v>121.0</v>
      </c>
      <c r="D123" s="5" t="s">
        <v>254</v>
      </c>
      <c r="E123" s="5" t="s">
        <v>1068</v>
      </c>
      <c r="F123" s="5" t="s">
        <v>1024</v>
      </c>
      <c r="G123" s="5">
        <v>5.0</v>
      </c>
      <c r="H123" s="5">
        <v>133.5</v>
      </c>
      <c r="I123" s="21">
        <f>vlookup(A123,'ESPN FF Rankings'!$C$2:$H$201,2,false)</f>
        <v>37</v>
      </c>
      <c r="J123" s="5">
        <f t="shared" si="2"/>
        <v>79</v>
      </c>
      <c r="K123" s="21">
        <f>vlookup(A123,'VORP SCORE'!$A$2:$I$301,9,)</f>
        <v>122</v>
      </c>
      <c r="L123" s="22">
        <f>vlookup(A123,'Risk Score'!$A$4:$H$350,8,)</f>
        <v>4</v>
      </c>
      <c r="M123" s="21">
        <f>vlookup(A123,FLEX!$D$2:$F$305,3,)</f>
        <v>4</v>
      </c>
      <c r="N123" s="21"/>
      <c r="P123" s="5" t="s">
        <v>227</v>
      </c>
      <c r="Q123" s="5">
        <v>186.59999999999997</v>
      </c>
      <c r="R123" s="19" t="str">
        <f>vlookup(P123,'Player Codes'!A:D,4,)</f>
        <v>0112</v>
      </c>
      <c r="T123" s="5" t="s">
        <v>1441</v>
      </c>
      <c r="U123" s="3">
        <v>4.0</v>
      </c>
      <c r="V123" s="23">
        <v>0.0</v>
      </c>
      <c r="W123" s="3"/>
      <c r="X123" s="5" t="s">
        <v>227</v>
      </c>
      <c r="Y123" s="3">
        <v>4.0</v>
      </c>
      <c r="Z123" s="1" t="s">
        <v>252</v>
      </c>
      <c r="AA123" s="5" t="s">
        <v>533</v>
      </c>
    </row>
    <row r="124">
      <c r="A124" s="19" t="str">
        <f>vlookup(D124,'Player Codes'!A:D,4,)</f>
        <v>0294</v>
      </c>
      <c r="B124" s="20">
        <f t="shared" si="1"/>
        <v>0.178</v>
      </c>
      <c r="C124" s="5">
        <v>123.0</v>
      </c>
      <c r="D124" s="5" t="s">
        <v>615</v>
      </c>
      <c r="E124" s="5" t="s">
        <v>1161</v>
      </c>
      <c r="F124" s="5" t="s">
        <v>983</v>
      </c>
      <c r="G124" s="5">
        <v>11.0</v>
      </c>
      <c r="H124" s="5">
        <v>132.6</v>
      </c>
      <c r="I124" s="21" t="str">
        <f>vlookup(A124,'ESPN FF Rankings'!$C$2:$H$201,2,false)</f>
        <v>#N/A</v>
      </c>
      <c r="J124" s="5" t="str">
        <f t="shared" si="2"/>
        <v>#N/A</v>
      </c>
      <c r="K124" s="21">
        <f>vlookup(A124,'VORP SCORE'!$A$2:$I$301,9,)</f>
        <v>123</v>
      </c>
      <c r="L124" s="24">
        <v>3.0</v>
      </c>
      <c r="M124" s="21">
        <f>vlookup(A124,FLEX!$D$2:$F$305,3,)</f>
        <v>0</v>
      </c>
      <c r="N124" s="21"/>
      <c r="P124" s="5" t="s">
        <v>646</v>
      </c>
      <c r="Q124" s="5">
        <v>43.0</v>
      </c>
      <c r="R124" s="19" t="str">
        <f>vlookup(P124,'Player Codes'!A:D,4,)</f>
        <v>0048</v>
      </c>
      <c r="T124" s="5" t="s">
        <v>1442</v>
      </c>
      <c r="U124" s="3">
        <v>5.0</v>
      </c>
      <c r="V124" s="23">
        <v>0.0</v>
      </c>
      <c r="W124" s="3"/>
      <c r="X124" s="2" t="s">
        <v>329</v>
      </c>
      <c r="Y124" s="3">
        <v>5.0</v>
      </c>
      <c r="Z124" s="1" t="s">
        <v>399</v>
      </c>
      <c r="AA124" s="5" t="s">
        <v>837</v>
      </c>
    </row>
    <row r="125">
      <c r="A125" s="19" t="str">
        <f>vlookup(D125,'Player Codes'!A:D,4,)</f>
        <v>0010</v>
      </c>
      <c r="B125" s="20">
        <f t="shared" si="1"/>
        <v>0.177</v>
      </c>
      <c r="C125" s="5">
        <v>124.0</v>
      </c>
      <c r="D125" s="5" t="s">
        <v>205</v>
      </c>
      <c r="E125" s="5" t="s">
        <v>1069</v>
      </c>
      <c r="F125" s="5" t="s">
        <v>983</v>
      </c>
      <c r="G125" s="5">
        <v>11.0</v>
      </c>
      <c r="H125" s="5">
        <v>132.4</v>
      </c>
      <c r="I125" s="21">
        <f>vlookup(A125,'ESPN FF Rankings'!$C$2:$H$201,2,false)</f>
        <v>61</v>
      </c>
      <c r="J125" s="5">
        <f t="shared" si="2"/>
        <v>92.5</v>
      </c>
      <c r="K125" s="21">
        <f>vlookup(A125,'VORP SCORE'!$A$2:$I$301,9,)</f>
        <v>124</v>
      </c>
      <c r="L125" s="22">
        <f>vlookup(A125,'Risk Score'!$A$4:$H$350,8,)</f>
        <v>5</v>
      </c>
      <c r="M125" s="21">
        <f>vlookup(A125,FLEX!$D$2:$F$305,3,)</f>
        <v>4</v>
      </c>
      <c r="N125" s="21"/>
      <c r="P125" s="5" t="s">
        <v>380</v>
      </c>
      <c r="Q125" s="5">
        <v>61.0</v>
      </c>
      <c r="R125" s="19" t="str">
        <f>vlookup(P125,'Player Codes'!A:D,4,)</f>
        <v>0239</v>
      </c>
      <c r="T125" s="5" t="s">
        <v>443</v>
      </c>
      <c r="U125" s="3">
        <v>4.0</v>
      </c>
      <c r="V125" s="19" t="str">
        <f>vlookup(T125,'Player Codes'!A:D,4,)</f>
        <v>0262</v>
      </c>
      <c r="W125" s="3"/>
      <c r="X125" s="5" t="s">
        <v>292</v>
      </c>
      <c r="Y125" s="3">
        <v>3.0</v>
      </c>
      <c r="Z125" s="1" t="s">
        <v>203</v>
      </c>
      <c r="AA125" s="5" t="s">
        <v>1443</v>
      </c>
    </row>
    <row r="126">
      <c r="A126" s="19" t="str">
        <f>vlookup(D126,'Player Codes'!A:D,4,)</f>
        <v>0034</v>
      </c>
      <c r="B126" s="20">
        <f t="shared" si="1"/>
        <v>0.177</v>
      </c>
      <c r="C126" s="5">
        <v>124.0</v>
      </c>
      <c r="D126" s="5" t="s">
        <v>617</v>
      </c>
      <c r="E126" s="5" t="s">
        <v>1162</v>
      </c>
      <c r="F126" s="5" t="s">
        <v>944</v>
      </c>
      <c r="G126" s="5">
        <v>5.0</v>
      </c>
      <c r="H126" s="5">
        <v>132.4</v>
      </c>
      <c r="I126" s="21" t="str">
        <f>vlookup(A126,'ESPN FF Rankings'!$C$2:$H$201,2,false)</f>
        <v>#N/A</v>
      </c>
      <c r="J126" s="5" t="str">
        <f t="shared" si="2"/>
        <v>#N/A</v>
      </c>
      <c r="K126" s="21">
        <f>vlookup(A126,'VORP SCORE'!$A$2:$I$301,9,)</f>
        <v>125</v>
      </c>
      <c r="L126" s="24">
        <v>3.0</v>
      </c>
      <c r="M126" s="21" t="str">
        <f>vlookup(A126,FLEX!$D$2:$F$305,3,)</f>
        <v/>
      </c>
      <c r="N126" s="21"/>
      <c r="P126" s="5" t="s">
        <v>422</v>
      </c>
      <c r="Q126" s="5">
        <v>25.299999999999997</v>
      </c>
      <c r="R126" s="19" t="str">
        <f>vlookup(P126,'Player Codes'!A:D,4,)</f>
        <v>0153</v>
      </c>
      <c r="T126" s="5" t="s">
        <v>89</v>
      </c>
      <c r="U126" s="3">
        <v>4.0</v>
      </c>
      <c r="V126" s="19" t="str">
        <f>vlookup(T126,'Player Codes'!A:D,4,)</f>
        <v>0263</v>
      </c>
      <c r="W126" s="3"/>
      <c r="X126" s="2" t="s">
        <v>805</v>
      </c>
      <c r="Y126" s="3">
        <v>3.0</v>
      </c>
      <c r="Z126" s="1" t="s">
        <v>406</v>
      </c>
      <c r="AA126" s="5" t="s">
        <v>843</v>
      </c>
    </row>
    <row r="127">
      <c r="A127" s="19" t="str">
        <f>vlookup(D127,'Player Codes'!A:D,4,)</f>
        <v>0069</v>
      </c>
      <c r="B127" s="20">
        <f t="shared" si="1"/>
        <v>0.175</v>
      </c>
      <c r="C127" s="5">
        <v>126.0</v>
      </c>
      <c r="D127" s="2" t="s">
        <v>623</v>
      </c>
      <c r="E127" s="2" t="s">
        <v>1075</v>
      </c>
      <c r="F127" s="5" t="s">
        <v>952</v>
      </c>
      <c r="G127" s="5">
        <v>7.0</v>
      </c>
      <c r="H127" s="5">
        <v>132.3</v>
      </c>
      <c r="I127" s="21">
        <f>vlookup(A127,'ESPN FF Rankings'!$C$2:$H$201,2,false)</f>
        <v>159</v>
      </c>
      <c r="J127" s="5">
        <f t="shared" si="2"/>
        <v>142.5</v>
      </c>
      <c r="K127" s="21">
        <f>vlookup(A127,'VORP SCORE'!$A$2:$I$301,9,)</f>
        <v>126</v>
      </c>
      <c r="L127" s="24">
        <v>3.0</v>
      </c>
      <c r="M127" s="21" t="str">
        <f>vlookup(A127,FLEX!$D$2:$F$305,3,)</f>
        <v/>
      </c>
      <c r="N127" s="21"/>
      <c r="P127" s="5" t="s">
        <v>419</v>
      </c>
      <c r="Q127" s="5">
        <v>52.80000000000001</v>
      </c>
      <c r="R127" s="19" t="str">
        <f>vlookup(P127,'Player Codes'!A:D,4,)</f>
        <v>0245</v>
      </c>
      <c r="T127" s="5" t="s">
        <v>1444</v>
      </c>
      <c r="U127" s="3">
        <v>4.0</v>
      </c>
      <c r="V127" s="23">
        <v>0.0</v>
      </c>
      <c r="W127" s="3"/>
      <c r="X127" s="5" t="s">
        <v>1346</v>
      </c>
      <c r="Y127" s="3">
        <v>3.0</v>
      </c>
      <c r="Z127" s="1" t="s">
        <v>410</v>
      </c>
      <c r="AA127" s="5" t="s">
        <v>745</v>
      </c>
    </row>
    <row r="128">
      <c r="A128" s="19" t="str">
        <f>vlookup(D128,'Player Codes'!A:D,4,)</f>
        <v>0027</v>
      </c>
      <c r="B128" s="20">
        <f t="shared" si="1"/>
        <v>0.174</v>
      </c>
      <c r="C128" s="5">
        <v>127.0</v>
      </c>
      <c r="D128" s="5" t="s">
        <v>633</v>
      </c>
      <c r="E128" s="5" t="s">
        <v>1163</v>
      </c>
      <c r="F128" s="5" t="s">
        <v>976</v>
      </c>
      <c r="G128" s="5">
        <v>9.0</v>
      </c>
      <c r="H128" s="5">
        <v>132.1</v>
      </c>
      <c r="I128" s="21" t="str">
        <f>vlookup(A128,'ESPN FF Rankings'!$C$2:$H$201,2,false)</f>
        <v>#N/A</v>
      </c>
      <c r="J128" s="5" t="str">
        <f t="shared" si="2"/>
        <v>#N/A</v>
      </c>
      <c r="K128" s="21">
        <f>vlookup(A128,'VORP SCORE'!$A$2:$I$301,9,)</f>
        <v>127</v>
      </c>
      <c r="L128" s="24">
        <v>3.0</v>
      </c>
      <c r="M128" s="21">
        <f>vlookup(A128,FLEX!$D$2:$F$305,3,)</f>
        <v>0</v>
      </c>
      <c r="N128" s="21"/>
      <c r="P128" s="5" t="s">
        <v>551</v>
      </c>
      <c r="Q128" s="5">
        <v>26.900000000000006</v>
      </c>
      <c r="R128" s="19" t="str">
        <f>vlookup(P128,'Player Codes'!A:D,4,)</f>
        <v>0251</v>
      </c>
      <c r="T128" s="5" t="s">
        <v>131</v>
      </c>
      <c r="U128" s="3">
        <v>4.0</v>
      </c>
      <c r="V128" s="19" t="str">
        <f>vlookup(T128,'Player Codes'!A:D,4,)</f>
        <v>0270</v>
      </c>
      <c r="W128" s="3"/>
      <c r="X128" s="2" t="s">
        <v>705</v>
      </c>
      <c r="Y128" s="3">
        <v>4.0</v>
      </c>
      <c r="Z128" s="1" t="s">
        <v>414</v>
      </c>
      <c r="AA128" s="5" t="s">
        <v>1445</v>
      </c>
    </row>
    <row r="129">
      <c r="A129" s="19" t="str">
        <f>vlookup(D129,'Player Codes'!A:D,4,)</f>
        <v>0046</v>
      </c>
      <c r="B129" s="20">
        <f t="shared" si="1"/>
        <v>0.173</v>
      </c>
      <c r="C129" s="5">
        <v>128.0</v>
      </c>
      <c r="D129" s="5" t="s">
        <v>635</v>
      </c>
      <c r="E129" s="5" t="s">
        <v>1164</v>
      </c>
      <c r="F129" s="5" t="s">
        <v>1024</v>
      </c>
      <c r="G129" s="5">
        <v>5.0</v>
      </c>
      <c r="H129" s="5">
        <v>131.4</v>
      </c>
      <c r="I129" s="21" t="str">
        <f>vlookup(A129,'ESPN FF Rankings'!$C$2:$H$201,2,false)</f>
        <v>#N/A</v>
      </c>
      <c r="J129" s="5" t="str">
        <f t="shared" si="2"/>
        <v>#N/A</v>
      </c>
      <c r="K129" s="21">
        <f>vlookup(A129,'VORP SCORE'!$A$2:$I$301,9,)</f>
        <v>128</v>
      </c>
      <c r="L129" s="24">
        <v>3.0</v>
      </c>
      <c r="M129" s="21">
        <f>vlookup(A129,FLEX!$D$2:$F$305,3,)</f>
        <v>0</v>
      </c>
      <c r="N129" s="21"/>
      <c r="P129" s="2" t="s">
        <v>288</v>
      </c>
      <c r="Q129" s="5">
        <v>168.3</v>
      </c>
      <c r="R129" s="19" t="str">
        <f>vlookup(P129,'Player Codes'!A:D,4,)</f>
        <v>0014</v>
      </c>
      <c r="T129" s="5" t="s">
        <v>1446</v>
      </c>
      <c r="U129" s="3">
        <v>4.0</v>
      </c>
      <c r="V129" s="23">
        <v>0.0</v>
      </c>
      <c r="W129" s="3"/>
      <c r="X129" s="2" t="s">
        <v>673</v>
      </c>
      <c r="Y129" s="3">
        <v>4.0</v>
      </c>
      <c r="Z129" s="1" t="s">
        <v>418</v>
      </c>
      <c r="AA129" s="5" t="s">
        <v>783</v>
      </c>
    </row>
    <row r="130">
      <c r="A130" s="19" t="str">
        <f>vlookup(D130,'Player Codes'!A:D,4,)</f>
        <v>0067</v>
      </c>
      <c r="B130" s="20">
        <f t="shared" si="1"/>
        <v>0.172</v>
      </c>
      <c r="C130" s="5">
        <v>129.0</v>
      </c>
      <c r="D130" s="5" t="s">
        <v>272</v>
      </c>
      <c r="E130" s="5" t="s">
        <v>1070</v>
      </c>
      <c r="F130" s="5" t="s">
        <v>931</v>
      </c>
      <c r="G130" s="5">
        <v>10.0</v>
      </c>
      <c r="H130" s="5">
        <v>131.0</v>
      </c>
      <c r="I130" s="21">
        <f>vlookup(A130,'ESPN FF Rankings'!$C$2:$H$201,2,false)</f>
        <v>70</v>
      </c>
      <c r="J130" s="5">
        <f t="shared" si="2"/>
        <v>99.5</v>
      </c>
      <c r="K130" s="21">
        <f>vlookup(A130,'VORP SCORE'!$A$2:$I$301,9,)</f>
        <v>129</v>
      </c>
      <c r="L130" s="22">
        <f>vlookup(A130,'Risk Score'!$A$4:$H$350,8,)</f>
        <v>4</v>
      </c>
      <c r="M130" s="21">
        <f>vlookup(A130,FLEX!$D$2:$F$305,3,)</f>
        <v>4</v>
      </c>
      <c r="N130" s="21"/>
      <c r="P130" s="5" t="s">
        <v>793</v>
      </c>
      <c r="Q130" s="5">
        <v>2.0999999999999943</v>
      </c>
      <c r="R130" s="19" t="str">
        <f>vlookup(P130,'Player Codes'!A:D,4,)</f>
        <v>0297</v>
      </c>
      <c r="T130" s="5" t="s">
        <v>124</v>
      </c>
      <c r="U130" s="3">
        <v>5.0</v>
      </c>
      <c r="V130" s="19" t="str">
        <f>vlookup(T130,'Player Codes'!A:D,4,)</f>
        <v>0273</v>
      </c>
      <c r="W130" s="3"/>
      <c r="X130" s="2" t="s">
        <v>1447</v>
      </c>
      <c r="Y130" s="3">
        <v>2.0</v>
      </c>
      <c r="Z130" s="1" t="s">
        <v>270</v>
      </c>
      <c r="AA130" s="5" t="s">
        <v>860</v>
      </c>
    </row>
    <row r="131">
      <c r="A131" s="19" t="str">
        <f>vlookup(D131,'Player Codes'!A:D,4,)</f>
        <v>0268</v>
      </c>
      <c r="B131" s="20">
        <f t="shared" si="1"/>
        <v>0.171</v>
      </c>
      <c r="C131" s="5">
        <v>130.0</v>
      </c>
      <c r="D131" s="5" t="s">
        <v>637</v>
      </c>
      <c r="E131" s="5" t="s">
        <v>1165</v>
      </c>
      <c r="F131" s="5" t="s">
        <v>958</v>
      </c>
      <c r="G131" s="5">
        <v>10.0</v>
      </c>
      <c r="H131" s="5">
        <v>130.7</v>
      </c>
      <c r="I131" s="21" t="str">
        <f>vlookup(A131,'ESPN FF Rankings'!$C$2:$H$201,2,false)</f>
        <v>#N/A</v>
      </c>
      <c r="J131" s="5" t="str">
        <f t="shared" si="2"/>
        <v>#N/A</v>
      </c>
      <c r="K131" s="21">
        <f>vlookup(A131,'VORP SCORE'!$A$2:$I$301,9,)</f>
        <v>130</v>
      </c>
      <c r="L131" s="24">
        <v>3.0</v>
      </c>
      <c r="M131" s="21">
        <f>vlookup(A131,FLEX!$D$2:$F$305,3,)</f>
        <v>0</v>
      </c>
      <c r="N131" s="21"/>
      <c r="P131" s="2" t="s">
        <v>1448</v>
      </c>
      <c r="Q131" s="2">
        <v>0.1</v>
      </c>
      <c r="R131" s="21" t="str">
        <f>vlookup(P131,'Player Codes'!A:D,4,)</f>
        <v>#N/A</v>
      </c>
      <c r="T131" s="5" t="s">
        <v>1449</v>
      </c>
      <c r="U131" s="3">
        <v>3.0</v>
      </c>
      <c r="V131" s="23">
        <v>0.0</v>
      </c>
      <c r="W131" s="3"/>
      <c r="X131" s="5" t="s">
        <v>1450</v>
      </c>
      <c r="Y131" s="3">
        <v>2.0</v>
      </c>
      <c r="Z131" s="1" t="s">
        <v>425</v>
      </c>
      <c r="AA131" s="5" t="s">
        <v>142</v>
      </c>
    </row>
    <row r="132">
      <c r="A132" s="19" t="str">
        <f>vlookup(D132,'Player Codes'!A:D,4,)</f>
        <v>0258</v>
      </c>
      <c r="B132" s="20">
        <f t="shared" si="1"/>
        <v>0.17</v>
      </c>
      <c r="C132" s="5">
        <v>131.0</v>
      </c>
      <c r="D132" s="2" t="s">
        <v>640</v>
      </c>
      <c r="E132" s="2" t="s">
        <v>1078</v>
      </c>
      <c r="F132" s="5" t="s">
        <v>963</v>
      </c>
      <c r="G132" s="5">
        <v>9.0</v>
      </c>
      <c r="H132" s="5">
        <v>130.6</v>
      </c>
      <c r="I132" s="21">
        <f>vlookup(A132,'ESPN FF Rankings'!$C$2:$H$201,2,false)</f>
        <v>149</v>
      </c>
      <c r="J132" s="5">
        <f t="shared" si="2"/>
        <v>140</v>
      </c>
      <c r="K132" s="21">
        <f>vlookup(A132,'VORP SCORE'!$A$2:$I$301,9,)</f>
        <v>131</v>
      </c>
      <c r="L132" s="24">
        <v>3.0</v>
      </c>
      <c r="M132" s="21" t="str">
        <f>vlookup(A132,FLEX!$D$2:$F$305,3,)</f>
        <v/>
      </c>
      <c r="N132" s="21"/>
      <c r="P132" s="5" t="s">
        <v>393</v>
      </c>
      <c r="Q132" s="5">
        <v>15.299999999999997</v>
      </c>
      <c r="R132" s="19" t="str">
        <f>vlookup(P132,'Player Codes'!A:D,4,)</f>
        <v>0241</v>
      </c>
      <c r="T132" s="5" t="s">
        <v>1451</v>
      </c>
      <c r="U132" s="3">
        <v>4.0</v>
      </c>
      <c r="V132" s="23">
        <v>0.0</v>
      </c>
      <c r="W132" s="3"/>
      <c r="X132" s="2" t="s">
        <v>837</v>
      </c>
      <c r="Y132" s="3">
        <v>4.0</v>
      </c>
      <c r="Z132" s="1" t="s">
        <v>429</v>
      </c>
      <c r="AA132" s="5" t="s">
        <v>217</v>
      </c>
    </row>
    <row r="133">
      <c r="A133" s="19" t="str">
        <f>vlookup(D133,'Player Codes'!A:D,4,)</f>
        <v>0005</v>
      </c>
      <c r="B133" s="20">
        <f t="shared" si="1"/>
        <v>0.17</v>
      </c>
      <c r="C133" s="5">
        <v>131.0</v>
      </c>
      <c r="D133" s="2" t="s">
        <v>309</v>
      </c>
      <c r="E133" s="5" t="s">
        <v>1071</v>
      </c>
      <c r="F133" s="5" t="s">
        <v>988</v>
      </c>
      <c r="G133" s="5">
        <v>6.0</v>
      </c>
      <c r="H133" s="5">
        <v>130.6</v>
      </c>
      <c r="I133" s="21">
        <f>vlookup(A133,'ESPN FF Rankings'!$C$2:$H$201,2,false)</f>
        <v>81</v>
      </c>
      <c r="J133" s="5">
        <f t="shared" si="2"/>
        <v>106</v>
      </c>
      <c r="K133" s="21">
        <f>vlookup(A133,'VORP SCORE'!$A$2:$I$301,9,)</f>
        <v>132</v>
      </c>
      <c r="L133" s="22">
        <f>vlookup(A133,'Risk Score'!$A$4:$H$350,8,)</f>
        <v>3</v>
      </c>
      <c r="M133" s="21">
        <f>vlookup(A133,FLEX!$D$2:$F$305,3,)</f>
        <v>4</v>
      </c>
      <c r="N133" s="21"/>
      <c r="P133" s="5" t="s">
        <v>290</v>
      </c>
      <c r="Q133" s="5">
        <v>164.8</v>
      </c>
      <c r="R133" s="19" t="str">
        <f>vlookup(P133,'Player Codes'!A:D,4,)</f>
        <v>0146</v>
      </c>
      <c r="T133" s="5" t="s">
        <v>337</v>
      </c>
      <c r="U133" s="3">
        <v>3.0</v>
      </c>
      <c r="V133" s="19" t="str">
        <f>vlookup(T133,'Player Codes'!A:D,4,)</f>
        <v>0279</v>
      </c>
      <c r="W133" s="3"/>
      <c r="X133" s="5" t="s">
        <v>1452</v>
      </c>
      <c r="Y133" s="3">
        <v>3.0</v>
      </c>
      <c r="Z133" s="1" t="s">
        <v>307</v>
      </c>
      <c r="AA133" s="5" t="s">
        <v>67</v>
      </c>
    </row>
    <row r="134">
      <c r="A134" s="19" t="str">
        <f>vlookup(D134,'Player Codes'!A:D,4,)</f>
        <v>0239</v>
      </c>
      <c r="B134" s="20">
        <f t="shared" si="1"/>
        <v>0.17</v>
      </c>
      <c r="C134" s="5">
        <v>131.0</v>
      </c>
      <c r="D134" s="5" t="s">
        <v>380</v>
      </c>
      <c r="E134" s="5" t="s">
        <v>1054</v>
      </c>
      <c r="F134" s="5" t="s">
        <v>938</v>
      </c>
      <c r="G134" s="5">
        <v>5.0</v>
      </c>
      <c r="H134" s="5">
        <v>130.6</v>
      </c>
      <c r="I134" s="21">
        <f>vlookup(A134,'ESPN FF Rankings'!$C$2:$H$201,2,false)</f>
        <v>124</v>
      </c>
      <c r="J134" s="5">
        <f t="shared" si="2"/>
        <v>127.5</v>
      </c>
      <c r="K134" s="21">
        <f>vlookup(A134,'VORP SCORE'!$A$2:$I$301,9,)</f>
        <v>133</v>
      </c>
      <c r="L134" s="22">
        <f>vlookup(A134,'Risk Score'!$A$4:$H$350,8,)</f>
        <v>3</v>
      </c>
      <c r="M134" s="21">
        <f>vlookup(A134,FLEX!$D$2:$F$305,3,)</f>
        <v>3</v>
      </c>
      <c r="N134" s="21"/>
      <c r="P134" s="5" t="s">
        <v>239</v>
      </c>
      <c r="Q134" s="5">
        <v>128.39999999999998</v>
      </c>
      <c r="R134" s="19" t="str">
        <f>vlookup(P134,'Player Codes'!A:D,4,)</f>
        <v>0210</v>
      </c>
      <c r="T134" s="5" t="s">
        <v>852</v>
      </c>
      <c r="U134" s="3">
        <v>2.0</v>
      </c>
      <c r="V134" s="19" t="str">
        <f>vlookup(T134,'Player Codes'!A:D,4,)</f>
        <v>0281</v>
      </c>
      <c r="W134" s="3"/>
      <c r="X134" s="2" t="s">
        <v>843</v>
      </c>
      <c r="Y134" s="3">
        <v>3.0</v>
      </c>
      <c r="Z134" s="1" t="s">
        <v>377</v>
      </c>
      <c r="AA134" s="5" t="s">
        <v>1453</v>
      </c>
    </row>
    <row r="135">
      <c r="A135" s="19" t="str">
        <f>vlookup(D135,'Player Codes'!A:D,4,)</f>
        <v>0104</v>
      </c>
      <c r="B135" s="20">
        <f t="shared" si="1"/>
        <v>0.167</v>
      </c>
      <c r="C135" s="5">
        <v>134.0</v>
      </c>
      <c r="D135" s="5" t="s">
        <v>657</v>
      </c>
      <c r="E135" s="5" t="s">
        <v>1166</v>
      </c>
      <c r="F135" s="5" t="s">
        <v>996</v>
      </c>
      <c r="G135" s="5">
        <v>7.0</v>
      </c>
      <c r="H135" s="5">
        <v>130.5</v>
      </c>
      <c r="I135" s="21" t="str">
        <f>vlookup(A135,'ESPN FF Rankings'!$C$2:$H$201,2,false)</f>
        <v>#N/A</v>
      </c>
      <c r="J135" s="5" t="str">
        <f t="shared" si="2"/>
        <v>#N/A</v>
      </c>
      <c r="K135" s="21">
        <f>vlookup(A135,'VORP SCORE'!$A$2:$I$301,9,)</f>
        <v>134</v>
      </c>
      <c r="L135" s="24">
        <v>3.0</v>
      </c>
      <c r="M135" s="21">
        <f>vlookup(A135,FLEX!$D$2:$F$305,3,)</f>
        <v>0</v>
      </c>
      <c r="N135" s="21"/>
      <c r="P135" s="5" t="s">
        <v>768</v>
      </c>
      <c r="Q135" s="5">
        <v>32.3</v>
      </c>
      <c r="R135" s="19" t="str">
        <f>vlookup(P135,'Player Codes'!A:D,4,)</f>
        <v>0071</v>
      </c>
      <c r="T135" s="5" t="s">
        <v>1454</v>
      </c>
      <c r="U135" s="3">
        <v>2.0</v>
      </c>
      <c r="V135" s="23">
        <v>0.0</v>
      </c>
      <c r="W135" s="3"/>
      <c r="X135" s="2" t="s">
        <v>1455</v>
      </c>
      <c r="Y135" s="3">
        <v>2.0</v>
      </c>
      <c r="Z135" s="1" t="s">
        <v>439</v>
      </c>
      <c r="AA135" s="5" t="s">
        <v>389</v>
      </c>
    </row>
    <row r="136">
      <c r="A136" s="19" t="str">
        <f>vlookup(D136,'Player Codes'!A:D,4,)</f>
        <v>0134</v>
      </c>
      <c r="B136" s="20">
        <f t="shared" si="1"/>
        <v>0.167</v>
      </c>
      <c r="C136" s="5">
        <v>134.0</v>
      </c>
      <c r="D136" s="5" t="s">
        <v>389</v>
      </c>
      <c r="E136" s="5" t="s">
        <v>1055</v>
      </c>
      <c r="F136" s="5" t="s">
        <v>1016</v>
      </c>
      <c r="G136" s="5">
        <v>14.0</v>
      </c>
      <c r="H136" s="5">
        <v>130.5</v>
      </c>
      <c r="I136" s="21">
        <f>vlookup(A136,'ESPN FF Rankings'!$C$2:$H$201,2,false)</f>
        <v>85</v>
      </c>
      <c r="J136" s="5">
        <f t="shared" si="2"/>
        <v>109.5</v>
      </c>
      <c r="K136" s="21">
        <f>vlookup(A136,'VORP SCORE'!$A$2:$I$301,9,)</f>
        <v>135</v>
      </c>
      <c r="L136" s="22">
        <f>vlookup(A136,'Risk Score'!$A$4:$H$350,8,)</f>
        <v>3</v>
      </c>
      <c r="M136" s="21">
        <f>vlookup(A136,FLEX!$D$2:$F$305,3,)</f>
        <v>3</v>
      </c>
      <c r="N136" s="21"/>
      <c r="P136" s="5" t="s">
        <v>396</v>
      </c>
      <c r="Q136" s="5">
        <v>17.900000000000006</v>
      </c>
      <c r="R136" s="19" t="str">
        <f>vlookup(P136,'Player Codes'!A:D,4,)</f>
        <v>0109</v>
      </c>
      <c r="T136" s="5" t="s">
        <v>486</v>
      </c>
      <c r="U136" s="3">
        <v>4.0</v>
      </c>
      <c r="V136" s="19" t="str">
        <f>vlookup(T136,'Player Codes'!A:D,4,)</f>
        <v>0286</v>
      </c>
      <c r="W136" s="3"/>
      <c r="X136" s="5" t="s">
        <v>745</v>
      </c>
      <c r="Y136" s="3">
        <v>4.0</v>
      </c>
      <c r="Z136" s="1" t="s">
        <v>387</v>
      </c>
      <c r="AA136" s="5" t="s">
        <v>113</v>
      </c>
    </row>
    <row r="137">
      <c r="A137" s="19" t="str">
        <f>vlookup(D137,'Player Codes'!A:D,4,)</f>
        <v>0236</v>
      </c>
      <c r="B137" s="20">
        <f t="shared" si="1"/>
        <v>0.165</v>
      </c>
      <c r="C137" s="5">
        <v>136.0</v>
      </c>
      <c r="D137" s="2" t="s">
        <v>662</v>
      </c>
      <c r="E137" s="2" t="s">
        <v>1079</v>
      </c>
      <c r="F137" s="5" t="s">
        <v>931</v>
      </c>
      <c r="G137" s="5">
        <v>10.0</v>
      </c>
      <c r="H137" s="5">
        <v>130.2</v>
      </c>
      <c r="I137" s="21">
        <f>vlookup(A137,'ESPN FF Rankings'!$C$2:$H$201,2,false)</f>
        <v>162</v>
      </c>
      <c r="J137" s="5">
        <f t="shared" si="2"/>
        <v>149</v>
      </c>
      <c r="K137" s="21">
        <f>vlookup(A137,'VORP SCORE'!$A$2:$I$301,9,)</f>
        <v>136</v>
      </c>
      <c r="L137" s="24">
        <v>3.0</v>
      </c>
      <c r="M137" s="21" t="str">
        <f>vlookup(A137,FLEX!$D$2:$F$305,3,)</f>
        <v/>
      </c>
      <c r="N137" s="21"/>
      <c r="P137" s="5" t="s">
        <v>313</v>
      </c>
      <c r="Q137" s="5">
        <v>64.70000000000002</v>
      </c>
      <c r="R137" s="19" t="str">
        <f>vlookup(P137,'Player Codes'!A:D,4,)</f>
        <v>0106</v>
      </c>
      <c r="T137" s="5" t="s">
        <v>179</v>
      </c>
      <c r="U137" s="3">
        <v>5.0</v>
      </c>
      <c r="V137" s="19" t="str">
        <f>vlookup(T137,'Player Codes'!A:D,4,)</f>
        <v>0289</v>
      </c>
      <c r="W137" s="3"/>
      <c r="X137" s="2" t="s">
        <v>1456</v>
      </c>
      <c r="Y137" s="3">
        <v>3.0</v>
      </c>
      <c r="Z137" s="1" t="s">
        <v>446</v>
      </c>
      <c r="AA137" s="5" t="s">
        <v>609</v>
      </c>
    </row>
    <row r="138">
      <c r="A138" s="19" t="str">
        <f>vlookup(D138,'Player Codes'!A:D,4,)</f>
        <v>0161</v>
      </c>
      <c r="B138" s="20">
        <f t="shared" si="1"/>
        <v>0.164</v>
      </c>
      <c r="C138" s="5">
        <v>137.0</v>
      </c>
      <c r="D138" s="5" t="s">
        <v>665</v>
      </c>
      <c r="E138" s="5" t="s">
        <v>1167</v>
      </c>
      <c r="F138" s="5" t="s">
        <v>1016</v>
      </c>
      <c r="G138" s="5">
        <v>14.0</v>
      </c>
      <c r="H138" s="5">
        <v>129.8</v>
      </c>
      <c r="I138" s="21" t="str">
        <f>vlookup(A138,'ESPN FF Rankings'!$C$2:$H$201,2,false)</f>
        <v>#N/A</v>
      </c>
      <c r="J138" s="5" t="str">
        <f t="shared" si="2"/>
        <v>#N/A</v>
      </c>
      <c r="K138" s="21">
        <f>vlookup(A138,'VORP SCORE'!$A$2:$I$301,9,)</f>
        <v>137</v>
      </c>
      <c r="L138" s="24">
        <v>3.0</v>
      </c>
      <c r="M138" s="21">
        <f>vlookup(A138,FLEX!$D$2:$F$305,3,)</f>
        <v>0</v>
      </c>
      <c r="N138" s="21"/>
      <c r="P138" s="5" t="s">
        <v>571</v>
      </c>
      <c r="Q138" s="5">
        <v>26.10000000000001</v>
      </c>
      <c r="R138" s="19" t="str">
        <f>vlookup(P138,'Player Codes'!A:D,4,)</f>
        <v>0079</v>
      </c>
      <c r="T138" s="5" t="s">
        <v>893</v>
      </c>
      <c r="U138" s="3">
        <v>2.0</v>
      </c>
      <c r="V138" s="19" t="str">
        <f>vlookup(T138,'Player Codes'!A:D,4,)</f>
        <v>0290</v>
      </c>
      <c r="W138" s="3"/>
      <c r="X138" s="5" t="s">
        <v>860</v>
      </c>
      <c r="Y138" s="3">
        <v>2.0</v>
      </c>
      <c r="Z138" s="1" t="s">
        <v>450</v>
      </c>
      <c r="AA138" s="5" t="s">
        <v>890</v>
      </c>
    </row>
    <row r="139">
      <c r="A139" s="19" t="str">
        <f>vlookup(D139,'Player Codes'!A:D,4,)</f>
        <v>0015</v>
      </c>
      <c r="B139" s="20">
        <f t="shared" si="1"/>
        <v>0.163</v>
      </c>
      <c r="C139" s="5">
        <v>138.0</v>
      </c>
      <c r="D139" s="5" t="s">
        <v>295</v>
      </c>
      <c r="E139" s="5" t="s">
        <v>1073</v>
      </c>
      <c r="F139" s="5" t="s">
        <v>1016</v>
      </c>
      <c r="G139" s="5">
        <v>14.0</v>
      </c>
      <c r="H139" s="5">
        <v>129.5</v>
      </c>
      <c r="I139" s="21">
        <f>vlookup(A139,'ESPN FF Rankings'!$C$2:$H$201,2,false)</f>
        <v>86</v>
      </c>
      <c r="J139" s="5">
        <f t="shared" si="2"/>
        <v>112</v>
      </c>
      <c r="K139" s="21">
        <f>vlookup(A139,'VORP SCORE'!$A$2:$I$301,9,)</f>
        <v>138</v>
      </c>
      <c r="L139" s="22">
        <f>vlookup(A139,'Risk Score'!$A$4:$H$350,8,)</f>
        <v>4</v>
      </c>
      <c r="M139" s="21">
        <f>vlookup(A139,FLEX!$D$2:$F$305,3,)</f>
        <v>4</v>
      </c>
      <c r="N139" s="21"/>
      <c r="P139" s="5" t="s">
        <v>517</v>
      </c>
      <c r="Q139" s="5">
        <v>26.80000000000001</v>
      </c>
      <c r="R139" s="19" t="str">
        <f>vlookup(P139,'Player Codes'!A:D,4,)</f>
        <v>0175</v>
      </c>
      <c r="T139" s="5" t="s">
        <v>31</v>
      </c>
      <c r="U139" s="3">
        <v>5.0</v>
      </c>
      <c r="V139" s="19" t="str">
        <f>vlookup(T139,'Player Codes'!A:D,4,)</f>
        <v>0291</v>
      </c>
      <c r="W139" s="3"/>
      <c r="X139" s="2" t="s">
        <v>1457</v>
      </c>
      <c r="Y139" s="3">
        <v>2.0</v>
      </c>
      <c r="Z139" s="1" t="s">
        <v>293</v>
      </c>
      <c r="AA139" s="5" t="s">
        <v>587</v>
      </c>
    </row>
    <row r="140">
      <c r="A140" s="19" t="str">
        <f>vlookup(D140,'Player Codes'!A:D,4,)</f>
        <v>0178</v>
      </c>
      <c r="B140" s="20">
        <f t="shared" si="1"/>
        <v>0.162</v>
      </c>
      <c r="C140" s="5">
        <v>139.0</v>
      </c>
      <c r="D140" s="5" t="s">
        <v>670</v>
      </c>
      <c r="E140" s="5" t="s">
        <v>1168</v>
      </c>
      <c r="F140" s="5" t="s">
        <v>992</v>
      </c>
      <c r="G140" s="5">
        <v>7.0</v>
      </c>
      <c r="H140" s="5">
        <v>128.8</v>
      </c>
      <c r="I140" s="21" t="str">
        <f>vlookup(A140,'ESPN FF Rankings'!$C$2:$H$201,2,false)</f>
        <v>#N/A</v>
      </c>
      <c r="J140" s="5" t="str">
        <f t="shared" si="2"/>
        <v>#N/A</v>
      </c>
      <c r="K140" s="21">
        <f>vlookup(A140,'VORP SCORE'!$A$2:$I$301,9,)</f>
        <v>139</v>
      </c>
      <c r="L140" s="24">
        <v>3.0</v>
      </c>
      <c r="M140" s="21">
        <f>vlookup(A140,FLEX!$D$2:$F$305,3,)</f>
        <v>0</v>
      </c>
      <c r="N140" s="21"/>
      <c r="P140" s="5" t="s">
        <v>1413</v>
      </c>
      <c r="Q140" s="5">
        <v>16.299999999999997</v>
      </c>
      <c r="R140" s="19" t="str">
        <f>vlookup(P140,'Player Codes'!A:D,4,)</f>
        <v>0302</v>
      </c>
      <c r="T140" s="5" t="s">
        <v>490</v>
      </c>
      <c r="U140" s="3">
        <v>4.0</v>
      </c>
      <c r="V140" s="19" t="str">
        <f>vlookup(T140,'Player Codes'!A:D,4,)</f>
        <v>0292</v>
      </c>
      <c r="W140" s="3"/>
      <c r="X140" s="5" t="s">
        <v>1350</v>
      </c>
      <c r="Y140" s="3">
        <v>4.0</v>
      </c>
      <c r="Z140" s="1" t="s">
        <v>457</v>
      </c>
      <c r="AA140" s="5" t="s">
        <v>415</v>
      </c>
    </row>
    <row r="141">
      <c r="A141" s="19" t="str">
        <f>vlookup(D141,'Player Codes'!A:D,4,)</f>
        <v>0065</v>
      </c>
      <c r="B141" s="20">
        <f t="shared" si="1"/>
        <v>0.162</v>
      </c>
      <c r="C141" s="5">
        <v>139.0</v>
      </c>
      <c r="D141" s="5" t="s">
        <v>355</v>
      </c>
      <c r="E141" s="5" t="s">
        <v>1058</v>
      </c>
      <c r="F141" s="5" t="s">
        <v>976</v>
      </c>
      <c r="G141" s="5">
        <v>9.0</v>
      </c>
      <c r="H141" s="5">
        <v>128.8</v>
      </c>
      <c r="I141" s="21">
        <f>vlookup(A141,'ESPN FF Rankings'!$C$2:$H$201,2,false)</f>
        <v>95</v>
      </c>
      <c r="J141" s="5">
        <f t="shared" si="2"/>
        <v>117</v>
      </c>
      <c r="K141" s="21">
        <f>vlookup(A141,'VORP SCORE'!$A$2:$I$301,9,)</f>
        <v>140</v>
      </c>
      <c r="L141" s="22">
        <f>vlookup(A141,'Risk Score'!$A$4:$H$350,8,)</f>
        <v>4</v>
      </c>
      <c r="M141" s="21">
        <f>vlookup(A141,FLEX!$D$2:$F$305,3,)</f>
        <v>3</v>
      </c>
      <c r="N141" s="21"/>
      <c r="P141" s="5" t="s">
        <v>352</v>
      </c>
      <c r="Q141" s="5">
        <v>69.2</v>
      </c>
      <c r="R141" s="19" t="str">
        <f>vlookup(P141,'Player Codes'!A:D,4,)</f>
        <v>0193</v>
      </c>
      <c r="T141" s="5" t="s">
        <v>1458</v>
      </c>
      <c r="U141" s="3">
        <v>4.0</v>
      </c>
      <c r="V141" s="23">
        <v>0.0</v>
      </c>
      <c r="W141" s="3"/>
      <c r="X141" s="5" t="s">
        <v>1459</v>
      </c>
      <c r="Y141" s="3">
        <v>3.0</v>
      </c>
      <c r="Z141" s="1" t="s">
        <v>353</v>
      </c>
      <c r="AA141" s="5" t="s">
        <v>264</v>
      </c>
    </row>
    <row r="142">
      <c r="A142" s="19" t="str">
        <f>vlookup(D142,'Player Codes'!A:D,4,)</f>
        <v>0050</v>
      </c>
      <c r="B142" s="20">
        <f t="shared" si="1"/>
        <v>0.16</v>
      </c>
      <c r="C142" s="5">
        <v>141.0</v>
      </c>
      <c r="D142" s="5" t="s">
        <v>676</v>
      </c>
      <c r="E142" s="5" t="s">
        <v>1169</v>
      </c>
      <c r="F142" s="5" t="s">
        <v>985</v>
      </c>
      <c r="G142" s="5">
        <v>6.0</v>
      </c>
      <c r="H142" s="5">
        <v>128.4</v>
      </c>
      <c r="I142" s="21" t="str">
        <f>vlookup(A142,'ESPN FF Rankings'!$C$2:$H$201,2,false)</f>
        <v>#N/A</v>
      </c>
      <c r="J142" s="5" t="str">
        <f t="shared" si="2"/>
        <v>#N/A</v>
      </c>
      <c r="K142" s="21">
        <f>vlookup(A142,'VORP SCORE'!$A$2:$I$301,9,)</f>
        <v>141</v>
      </c>
      <c r="L142" s="24">
        <v>3.0</v>
      </c>
      <c r="M142" s="21">
        <f>vlookup(A142,FLEX!$D$2:$F$305,3,)</f>
        <v>0</v>
      </c>
      <c r="N142" s="21"/>
      <c r="P142" s="5" t="s">
        <v>805</v>
      </c>
      <c r="Q142" s="5">
        <v>23.599999999999994</v>
      </c>
      <c r="R142" s="19" t="str">
        <f>vlookup(P142,'Player Codes'!A:D,4,)</f>
        <v>0115</v>
      </c>
      <c r="T142" s="5" t="s">
        <v>1460</v>
      </c>
      <c r="U142" s="3">
        <v>3.0</v>
      </c>
      <c r="V142" s="23">
        <v>0.0</v>
      </c>
      <c r="W142" s="3"/>
      <c r="X142" s="5" t="s">
        <v>142</v>
      </c>
      <c r="Y142" s="3">
        <v>4.0</v>
      </c>
      <c r="Z142" s="1" t="s">
        <v>464</v>
      </c>
      <c r="AA142" s="5" t="s">
        <v>779</v>
      </c>
    </row>
    <row r="143">
      <c r="A143" s="19" t="str">
        <f>vlookup(D143,'Player Codes'!A:D,4,)</f>
        <v>0191</v>
      </c>
      <c r="B143" s="20">
        <f t="shared" si="1"/>
        <v>0.159</v>
      </c>
      <c r="C143" s="5">
        <v>142.0</v>
      </c>
      <c r="D143" s="5" t="s">
        <v>433</v>
      </c>
      <c r="E143" s="5" t="s">
        <v>1056</v>
      </c>
      <c r="F143" s="5" t="s">
        <v>974</v>
      </c>
      <c r="G143" s="5">
        <v>11.0</v>
      </c>
      <c r="H143" s="5">
        <v>127.8</v>
      </c>
      <c r="I143" s="21">
        <f>vlookup(A143,'ESPN FF Rankings'!$C$2:$H$201,2,false)</f>
        <v>48</v>
      </c>
      <c r="J143" s="5">
        <f t="shared" si="2"/>
        <v>95</v>
      </c>
      <c r="K143" s="21">
        <f>vlookup(A143,'VORP SCORE'!$A$2:$I$301,9,)</f>
        <v>142</v>
      </c>
      <c r="L143" s="22">
        <f>vlookup(A143,'Risk Score'!$A$4:$H$350,8,)</f>
        <v>4</v>
      </c>
      <c r="M143" s="21">
        <f>vlookup(A143,FLEX!$D$2:$F$305,3,)</f>
        <v>2</v>
      </c>
      <c r="N143" s="21"/>
      <c r="P143" s="5" t="s">
        <v>361</v>
      </c>
      <c r="Q143" s="5">
        <v>56.7</v>
      </c>
      <c r="R143" s="19" t="str">
        <f>vlookup(P143,'Player Codes'!A:D,4,)</f>
        <v>0008</v>
      </c>
      <c r="T143" s="5" t="s">
        <v>526</v>
      </c>
      <c r="U143" s="3">
        <v>2.0</v>
      </c>
      <c r="V143" s="19" t="str">
        <f>vlookup(T143,'Player Codes'!A:D,4,)</f>
        <v>0299</v>
      </c>
      <c r="W143" s="3"/>
      <c r="X143" s="5" t="s">
        <v>217</v>
      </c>
      <c r="Y143" s="3">
        <v>3.0</v>
      </c>
      <c r="Z143" s="1" t="s">
        <v>431</v>
      </c>
      <c r="AA143" s="5" t="s">
        <v>468</v>
      </c>
    </row>
    <row r="144">
      <c r="A144" s="19" t="str">
        <f>vlookup(D144,'Player Codes'!A:D,4,)</f>
        <v>0020</v>
      </c>
      <c r="B144" s="20">
        <f t="shared" si="1"/>
        <v>0.158</v>
      </c>
      <c r="C144" s="5">
        <v>143.0</v>
      </c>
      <c r="D144" s="2" t="s">
        <v>683</v>
      </c>
      <c r="E144" s="2" t="s">
        <v>1085</v>
      </c>
      <c r="F144" s="5" t="s">
        <v>1007</v>
      </c>
      <c r="G144" s="5">
        <v>13.0</v>
      </c>
      <c r="H144" s="5">
        <v>126.8</v>
      </c>
      <c r="I144" s="21">
        <f>vlookup(A144,'ESPN FF Rankings'!$C$2:$H$201,2,false)</f>
        <v>171</v>
      </c>
      <c r="J144" s="5">
        <f t="shared" si="2"/>
        <v>157</v>
      </c>
      <c r="K144" s="21">
        <f>vlookup(A144,'VORP SCORE'!$A$2:$I$301,9,)</f>
        <v>143</v>
      </c>
      <c r="L144" s="24">
        <v>3.0</v>
      </c>
      <c r="M144" s="21" t="str">
        <f>vlookup(A144,FLEX!$D$2:$F$305,3,)</f>
        <v/>
      </c>
      <c r="N144" s="21"/>
      <c r="P144" s="5" t="s">
        <v>558</v>
      </c>
      <c r="Q144" s="5">
        <v>9.200000000000003</v>
      </c>
      <c r="R144" s="19" t="str">
        <f>vlookup(P144,'Player Codes'!A:D,4,)</f>
        <v>0156</v>
      </c>
      <c r="T144" s="5" t="s">
        <v>454</v>
      </c>
      <c r="U144" s="3">
        <v>4.0</v>
      </c>
      <c r="V144" s="19" t="str">
        <f>vlookup(T144,'Player Codes'!A:D,4,)</f>
        <v>0300</v>
      </c>
      <c r="W144" s="3"/>
      <c r="X144" s="5" t="s">
        <v>67</v>
      </c>
      <c r="Y144" s="3">
        <v>4.0</v>
      </c>
      <c r="Z144" s="1" t="s">
        <v>471</v>
      </c>
      <c r="AA144" s="5" t="s">
        <v>98</v>
      </c>
    </row>
    <row r="145">
      <c r="A145" s="19" t="str">
        <f>vlookup(D145,'Player Codes'!A:D,4,)</f>
        <v>0008</v>
      </c>
      <c r="B145" s="20">
        <f t="shared" si="1"/>
        <v>0.157</v>
      </c>
      <c r="C145" s="5">
        <v>144.0</v>
      </c>
      <c r="D145" s="5" t="s">
        <v>361</v>
      </c>
      <c r="E145" s="5" t="s">
        <v>1060</v>
      </c>
      <c r="F145" s="5" t="s">
        <v>967</v>
      </c>
      <c r="G145" s="5">
        <v>7.0</v>
      </c>
      <c r="H145" s="5">
        <v>126.3</v>
      </c>
      <c r="I145" s="21">
        <f>vlookup(A145,'ESPN FF Rankings'!$C$2:$H$201,2,false)</f>
        <v>142</v>
      </c>
      <c r="J145" s="5">
        <f t="shared" si="2"/>
        <v>143</v>
      </c>
      <c r="K145" s="21">
        <f>vlookup(A145,'VORP SCORE'!$A$2:$I$301,9,)</f>
        <v>144</v>
      </c>
      <c r="L145" s="22">
        <f>vlookup(A145,'Risk Score'!$A$4:$H$350,8,)</f>
        <v>4</v>
      </c>
      <c r="M145" s="21">
        <f>vlookup(A145,FLEX!$D$2:$F$305,3,)</f>
        <v>3</v>
      </c>
      <c r="N145" s="21"/>
      <c r="P145" s="5" t="s">
        <v>899</v>
      </c>
      <c r="Q145" s="5">
        <v>7.199999999999989</v>
      </c>
      <c r="R145" s="19" t="str">
        <f>vlookup(P145,'Player Codes'!A:D,4,)</f>
        <v>0219</v>
      </c>
      <c r="T145" s="5" t="s">
        <v>309</v>
      </c>
      <c r="U145" s="3">
        <v>3.0</v>
      </c>
      <c r="V145" s="19" t="str">
        <f>vlookup(T145,'Player Codes'!A:D,4,)</f>
        <v>0005</v>
      </c>
      <c r="W145" s="3"/>
      <c r="X145" s="5" t="s">
        <v>1461</v>
      </c>
      <c r="Y145" s="3">
        <v>3.0</v>
      </c>
      <c r="Z145" s="1" t="s">
        <v>359</v>
      </c>
      <c r="AA145" s="5" t="s">
        <v>249</v>
      </c>
    </row>
    <row r="146">
      <c r="A146" s="19" t="str">
        <f>vlookup(D146,'Player Codes'!A:D,4,)</f>
        <v>0150</v>
      </c>
      <c r="B146" s="20">
        <f t="shared" si="1"/>
        <v>0.157</v>
      </c>
      <c r="C146" s="5">
        <v>144.0</v>
      </c>
      <c r="D146" s="5" t="s">
        <v>403</v>
      </c>
      <c r="E146" s="5" t="s">
        <v>1060</v>
      </c>
      <c r="F146" s="5" t="s">
        <v>946</v>
      </c>
      <c r="G146" s="5">
        <v>5.0</v>
      </c>
      <c r="H146" s="5">
        <v>126.3</v>
      </c>
      <c r="I146" s="21">
        <f>vlookup(A146,'ESPN FF Rankings'!$C$2:$H$201,2,false)</f>
        <v>102</v>
      </c>
      <c r="J146" s="5">
        <f t="shared" si="2"/>
        <v>123</v>
      </c>
      <c r="K146" s="21">
        <f>vlookup(A146,'VORP SCORE'!$A$2:$I$301,9,)</f>
        <v>145</v>
      </c>
      <c r="L146" s="22">
        <f>vlookup(A146,'Risk Score'!$A$4:$H$350,8,)</f>
        <v>3</v>
      </c>
      <c r="M146" s="21">
        <f>vlookup(A146,FLEX!$D$2:$F$305,3,)</f>
        <v>3</v>
      </c>
      <c r="N146" s="21"/>
      <c r="P146" s="5" t="s">
        <v>554</v>
      </c>
      <c r="Q146" s="5">
        <v>20.700000000000017</v>
      </c>
      <c r="R146" s="19" t="str">
        <f>vlookup(P146,'Player Codes'!A:D,4,)</f>
        <v>0108</v>
      </c>
      <c r="T146" s="5" t="s">
        <v>59</v>
      </c>
      <c r="U146" s="3">
        <v>5.0</v>
      </c>
      <c r="V146" s="19" t="str">
        <f>vlookup(T146,'Player Codes'!A:D,4,)</f>
        <v>0002</v>
      </c>
      <c r="W146" s="3"/>
      <c r="X146" s="5" t="s">
        <v>389</v>
      </c>
      <c r="Y146" s="3">
        <v>3.0</v>
      </c>
      <c r="Z146" s="1" t="s">
        <v>401</v>
      </c>
      <c r="AA146" s="5" t="s">
        <v>545</v>
      </c>
    </row>
    <row r="147">
      <c r="A147" s="19" t="str">
        <f>vlookup(D147,'Player Codes'!A:D,4,)</f>
        <v>0013</v>
      </c>
      <c r="B147" s="20">
        <f t="shared" si="1"/>
        <v>0.155</v>
      </c>
      <c r="C147" s="5">
        <v>146.0</v>
      </c>
      <c r="D147" s="5" t="s">
        <v>686</v>
      </c>
      <c r="E147" s="5" t="s">
        <v>1170</v>
      </c>
      <c r="F147" s="5" t="s">
        <v>988</v>
      </c>
      <c r="G147" s="5">
        <v>6.0</v>
      </c>
      <c r="H147" s="5">
        <v>126.2</v>
      </c>
      <c r="I147" s="21" t="str">
        <f>vlookup(A147,'ESPN FF Rankings'!$C$2:$H$201,2,false)</f>
        <v>#N/A</v>
      </c>
      <c r="J147" s="5" t="str">
        <f t="shared" si="2"/>
        <v>#N/A</v>
      </c>
      <c r="K147" s="21">
        <f>vlookup(A147,'VORP SCORE'!$A$2:$I$301,9,)</f>
        <v>146</v>
      </c>
      <c r="L147" s="24">
        <v>3.0</v>
      </c>
      <c r="M147" s="21">
        <f>vlookup(A147,FLEX!$D$2:$F$305,3,)</f>
        <v>0</v>
      </c>
      <c r="N147" s="21"/>
      <c r="P147" s="5" t="s">
        <v>783</v>
      </c>
      <c r="Q147" s="5">
        <v>25.39999999999999</v>
      </c>
      <c r="R147" s="19" t="str">
        <f>vlookup(P147,'Player Codes'!A:D,4,)</f>
        <v>0128</v>
      </c>
      <c r="T147" s="5" t="s">
        <v>135</v>
      </c>
      <c r="U147" s="3">
        <v>3.0</v>
      </c>
      <c r="V147" s="19" t="str">
        <f>vlookup(T147,'Player Codes'!A:D,4,)</f>
        <v>0007</v>
      </c>
      <c r="W147" s="3"/>
      <c r="X147" s="5" t="s">
        <v>113</v>
      </c>
      <c r="Y147" s="3">
        <v>3.0</v>
      </c>
      <c r="Z147" s="1" t="s">
        <v>481</v>
      </c>
      <c r="AA147" s="5" t="s">
        <v>290</v>
      </c>
    </row>
    <row r="148">
      <c r="A148" s="19" t="str">
        <f>vlookup(D148,'Player Codes'!A:D,4,)</f>
        <v>0116</v>
      </c>
      <c r="B148" s="20">
        <f t="shared" si="1"/>
        <v>0.154</v>
      </c>
      <c r="C148" s="5">
        <v>147.0</v>
      </c>
      <c r="D148" s="5" t="s">
        <v>688</v>
      </c>
      <c r="E148" s="5" t="s">
        <v>1142</v>
      </c>
      <c r="F148" s="5" t="s">
        <v>948</v>
      </c>
      <c r="G148" s="5">
        <v>13.0</v>
      </c>
      <c r="H148" s="5">
        <v>126.0</v>
      </c>
      <c r="I148" s="21">
        <f>vlookup(A148,'ESPN FF Rankings'!$C$2:$H$201,2,false)</f>
        <v>190</v>
      </c>
      <c r="J148" s="5">
        <f t="shared" si="2"/>
        <v>168.5</v>
      </c>
      <c r="K148" s="21">
        <f>vlookup(A148,'VORP SCORE'!$A$2:$I$301,9,)</f>
        <v>147</v>
      </c>
      <c r="L148" s="24">
        <v>3.0</v>
      </c>
      <c r="M148" s="21">
        <f>vlookup(A148,FLEX!$D$2:$F$305,3,)</f>
        <v>0</v>
      </c>
      <c r="N148" s="21"/>
      <c r="P148" s="5" t="s">
        <v>526</v>
      </c>
      <c r="Q148" s="5">
        <v>41.2</v>
      </c>
      <c r="R148" s="19" t="str">
        <f>vlookup(P148,'Player Codes'!A:D,4,)</f>
        <v>0299</v>
      </c>
      <c r="T148" s="5" t="s">
        <v>205</v>
      </c>
      <c r="U148" s="3">
        <v>5.0</v>
      </c>
      <c r="V148" s="19" t="str">
        <f>vlookup(T148,'Player Codes'!A:D,4,)</f>
        <v>0010</v>
      </c>
      <c r="W148" s="3"/>
      <c r="X148" s="2" t="s">
        <v>890</v>
      </c>
      <c r="Y148" s="3">
        <v>3.0</v>
      </c>
      <c r="Z148" s="1" t="s">
        <v>485</v>
      </c>
      <c r="AA148" s="5" t="s">
        <v>520</v>
      </c>
    </row>
    <row r="149">
      <c r="A149" s="19" t="str">
        <f>vlookup(D149,'Player Codes'!A:D,4,)</f>
        <v>0208</v>
      </c>
      <c r="B149" s="20">
        <f t="shared" si="1"/>
        <v>0.154</v>
      </c>
      <c r="C149" s="5">
        <v>147.0</v>
      </c>
      <c r="D149" s="5" t="s">
        <v>690</v>
      </c>
      <c r="E149" s="5" t="s">
        <v>1142</v>
      </c>
      <c r="F149" s="5" t="s">
        <v>961</v>
      </c>
      <c r="G149" s="5">
        <v>11.0</v>
      </c>
      <c r="H149" s="5">
        <v>126.0</v>
      </c>
      <c r="I149" s="21" t="str">
        <f>vlookup(A149,'ESPN FF Rankings'!$C$2:$H$201,2,false)</f>
        <v>#N/A</v>
      </c>
      <c r="J149" s="5" t="str">
        <f t="shared" si="2"/>
        <v>#N/A</v>
      </c>
      <c r="K149" s="21">
        <f>vlookup(A149,'VORP SCORE'!$A$2:$I$301,9,)</f>
        <v>148</v>
      </c>
      <c r="L149" s="24">
        <v>3.0</v>
      </c>
      <c r="M149" s="21">
        <f>vlookup(A149,FLEX!$D$2:$F$305,3,)</f>
        <v>0</v>
      </c>
      <c r="N149" s="21"/>
      <c r="P149" s="5" t="s">
        <v>757</v>
      </c>
      <c r="Q149" s="5">
        <v>21.5</v>
      </c>
      <c r="R149" s="19" t="str">
        <f>vlookup(P149,'Player Codes'!A:D,4,)</f>
        <v>0176</v>
      </c>
      <c r="T149" s="5" t="s">
        <v>1277</v>
      </c>
      <c r="U149" s="3">
        <v>3.0</v>
      </c>
      <c r="V149" s="23">
        <v>0.0</v>
      </c>
      <c r="W149" s="3"/>
      <c r="X149" s="5" t="s">
        <v>415</v>
      </c>
      <c r="Y149" s="3">
        <v>4.0</v>
      </c>
      <c r="Z149" s="1" t="s">
        <v>489</v>
      </c>
      <c r="AA149" s="5" t="s">
        <v>548</v>
      </c>
    </row>
    <row r="150">
      <c r="A150" s="19" t="str">
        <f>vlookup(D150,'Player Codes'!A:D,4,)</f>
        <v>0035</v>
      </c>
      <c r="B150" s="20">
        <f t="shared" si="1"/>
        <v>0.152</v>
      </c>
      <c r="C150" s="5">
        <v>149.0</v>
      </c>
      <c r="D150" s="5" t="s">
        <v>699</v>
      </c>
      <c r="E150" s="5" t="s">
        <v>1171</v>
      </c>
      <c r="F150" s="5" t="s">
        <v>940</v>
      </c>
      <c r="G150" s="5">
        <v>13.0</v>
      </c>
      <c r="H150" s="5">
        <v>125.1</v>
      </c>
      <c r="I150" s="21" t="str">
        <f>vlookup(A150,'ESPN FF Rankings'!$C$2:$H$201,2,false)</f>
        <v>#N/A</v>
      </c>
      <c r="J150" s="5" t="str">
        <f t="shared" si="2"/>
        <v>#N/A</v>
      </c>
      <c r="K150" s="21">
        <f>vlookup(A150,'VORP SCORE'!$A$2:$I$301,9,)</f>
        <v>149</v>
      </c>
      <c r="L150" s="24">
        <v>3.0</v>
      </c>
      <c r="M150" s="21" t="str">
        <f>vlookup(A150,FLEX!$D$2:$F$305,3,)</f>
        <v/>
      </c>
      <c r="N150" s="21"/>
      <c r="P150" s="5" t="s">
        <v>640</v>
      </c>
      <c r="Q150" s="5">
        <v>44.89999999999999</v>
      </c>
      <c r="R150" s="19" t="str">
        <f>vlookup(P150,'Player Codes'!A:D,4,)</f>
        <v>0258</v>
      </c>
      <c r="T150" s="5" t="s">
        <v>295</v>
      </c>
      <c r="U150" s="3">
        <v>4.0</v>
      </c>
      <c r="V150" s="19" t="str">
        <f>vlookup(T150,'Player Codes'!A:D,4,)</f>
        <v>0015</v>
      </c>
      <c r="W150" s="3"/>
      <c r="X150" s="5" t="s">
        <v>264</v>
      </c>
      <c r="Y150" s="3">
        <v>3.0</v>
      </c>
      <c r="Z150" s="1" t="s">
        <v>493</v>
      </c>
      <c r="AA150" s="5" t="s">
        <v>260</v>
      </c>
    </row>
    <row r="151">
      <c r="A151" s="19" t="str">
        <f>vlookup(D151,'Player Codes'!A:D,4,)</f>
        <v>0022</v>
      </c>
      <c r="B151" s="20">
        <f t="shared" si="1"/>
        <v>0.151</v>
      </c>
      <c r="C151" s="5">
        <v>150.0</v>
      </c>
      <c r="D151" s="5" t="s">
        <v>376</v>
      </c>
      <c r="E151" s="5" t="s">
        <v>1062</v>
      </c>
      <c r="F151" s="5" t="s">
        <v>952</v>
      </c>
      <c r="G151" s="5">
        <v>7.0</v>
      </c>
      <c r="H151" s="5">
        <v>125.0</v>
      </c>
      <c r="I151" s="21">
        <f>vlookup(A151,'ESPN FF Rankings'!$C$2:$H$201,2,false)</f>
        <v>97</v>
      </c>
      <c r="J151" s="5">
        <f t="shared" si="2"/>
        <v>123.5</v>
      </c>
      <c r="K151" s="21">
        <f>vlookup(A151,'VORP SCORE'!$A$2:$I$301,9,)</f>
        <v>150</v>
      </c>
      <c r="L151" s="22">
        <f>vlookup(A151,'Risk Score'!$A$4:$H$350,8,)</f>
        <v>4</v>
      </c>
      <c r="M151" s="21">
        <f>vlookup(A151,FLEX!$D$2:$F$305,3,)</f>
        <v>3</v>
      </c>
      <c r="N151" s="21"/>
      <c r="P151" s="2" t="s">
        <v>1462</v>
      </c>
      <c r="Q151" s="2">
        <v>0.0</v>
      </c>
      <c r="R151" s="23">
        <v>0.0</v>
      </c>
      <c r="T151" s="5" t="s">
        <v>18</v>
      </c>
      <c r="U151" s="3">
        <v>5.0</v>
      </c>
      <c r="V151" s="19" t="str">
        <f>vlookup(T151,'Player Codes'!A:D,4,)</f>
        <v>0018</v>
      </c>
      <c r="W151" s="3"/>
      <c r="X151" s="5" t="s">
        <v>1358</v>
      </c>
      <c r="Y151" s="3">
        <v>2.0</v>
      </c>
      <c r="Z151" s="1" t="s">
        <v>373</v>
      </c>
      <c r="AA151" s="5" t="s">
        <v>403</v>
      </c>
    </row>
    <row r="152">
      <c r="A152" s="19" t="str">
        <f>vlookup(D152,'Player Codes'!A:D,4,)</f>
        <v>0073</v>
      </c>
      <c r="B152" s="20">
        <f t="shared" si="1"/>
        <v>0.15</v>
      </c>
      <c r="C152" s="5">
        <v>151.0</v>
      </c>
      <c r="D152" s="5" t="s">
        <v>283</v>
      </c>
      <c r="E152" s="5" t="s">
        <v>1083</v>
      </c>
      <c r="F152" s="5" t="s">
        <v>967</v>
      </c>
      <c r="G152" s="5">
        <v>7.0</v>
      </c>
      <c r="H152" s="5">
        <v>123.6</v>
      </c>
      <c r="I152" s="21">
        <f>vlookup(A152,'ESPN FF Rankings'!$C$2:$H$201,2,false)</f>
        <v>79</v>
      </c>
      <c r="J152" s="5">
        <f t="shared" si="2"/>
        <v>115</v>
      </c>
      <c r="K152" s="21">
        <f>vlookup(A152,'VORP SCORE'!$A$2:$I$301,9,)</f>
        <v>151</v>
      </c>
      <c r="L152" s="22">
        <f>vlookup(A152,'Risk Score'!$A$4:$H$350,8,)</f>
        <v>5</v>
      </c>
      <c r="M152" s="21">
        <f>vlookup(A152,FLEX!$D$2:$F$305,3,)</f>
        <v>4</v>
      </c>
      <c r="N152" s="21"/>
      <c r="P152" s="5" t="s">
        <v>837</v>
      </c>
      <c r="Q152" s="5">
        <v>14.399999999999991</v>
      </c>
      <c r="R152" s="19" t="str">
        <f>vlookup(P152,'Player Codes'!A:D,4,)</f>
        <v>0123</v>
      </c>
      <c r="T152" s="5" t="s">
        <v>47</v>
      </c>
      <c r="U152" s="3">
        <v>3.0</v>
      </c>
      <c r="V152" s="19" t="str">
        <f>vlookup(T152,'Player Codes'!A:D,4,)</f>
        <v>0021</v>
      </c>
      <c r="W152" s="3"/>
      <c r="X152" s="5" t="s">
        <v>779</v>
      </c>
      <c r="Y152" s="3">
        <v>2.0</v>
      </c>
      <c r="Z152" s="1" t="s">
        <v>280</v>
      </c>
      <c r="AA152" s="5" t="s">
        <v>680</v>
      </c>
    </row>
    <row r="153">
      <c r="A153" s="19" t="str">
        <f>vlookup(D153,'Player Codes'!A:D,4,)</f>
        <v>0224</v>
      </c>
      <c r="B153" s="20">
        <f t="shared" si="1"/>
        <v>0.149</v>
      </c>
      <c r="C153" s="5">
        <v>152.0</v>
      </c>
      <c r="D153" s="2" t="s">
        <v>714</v>
      </c>
      <c r="E153" s="2" t="s">
        <v>1172</v>
      </c>
      <c r="F153" s="5" t="s">
        <v>1009</v>
      </c>
      <c r="G153" s="5">
        <v>11.0</v>
      </c>
      <c r="H153" s="5">
        <v>123.2</v>
      </c>
      <c r="I153" s="21" t="str">
        <f>vlookup(A153,'ESPN FF Rankings'!$C$2:$H$201,2,false)</f>
        <v>#N/A</v>
      </c>
      <c r="J153" s="5" t="str">
        <f t="shared" si="2"/>
        <v>#N/A</v>
      </c>
      <c r="K153" s="21">
        <f>vlookup(A153,'VORP SCORE'!$A$2:$I$301,9,)</f>
        <v>152</v>
      </c>
      <c r="L153" s="24">
        <v>3.0</v>
      </c>
      <c r="M153" s="21" t="str">
        <f>vlookup(A153,FLEX!$D$2:$F$305,3,)</f>
        <v/>
      </c>
      <c r="N153" s="21"/>
      <c r="P153" s="5" t="s">
        <v>814</v>
      </c>
      <c r="Q153" s="5">
        <v>16.5</v>
      </c>
      <c r="R153" s="19" t="str">
        <f>vlookup(P153,'Player Codes'!A:D,4,)</f>
        <v>0084</v>
      </c>
      <c r="T153" s="5" t="s">
        <v>79</v>
      </c>
      <c r="U153" s="3">
        <v>4.0</v>
      </c>
      <c r="V153" s="19" t="str">
        <f>vlookup(T153,'Player Codes'!A:D,4,)</f>
        <v>0026</v>
      </c>
      <c r="W153" s="3"/>
      <c r="X153" s="5" t="s">
        <v>468</v>
      </c>
      <c r="Y153" s="3">
        <v>5.0</v>
      </c>
      <c r="Z153" s="1" t="s">
        <v>503</v>
      </c>
      <c r="AA153" s="5" t="s">
        <v>202</v>
      </c>
    </row>
    <row r="154">
      <c r="A154" s="19" t="str">
        <f>vlookup(D154,'Player Codes'!A:D,4,)</f>
        <v>0179</v>
      </c>
      <c r="B154" s="20">
        <f t="shared" si="1"/>
        <v>0.149</v>
      </c>
      <c r="C154" s="5">
        <v>152.0</v>
      </c>
      <c r="D154" s="5" t="s">
        <v>386</v>
      </c>
      <c r="E154" s="5" t="s">
        <v>1064</v>
      </c>
      <c r="F154" s="5" t="s">
        <v>933</v>
      </c>
      <c r="G154" s="5">
        <v>10.0</v>
      </c>
      <c r="H154" s="5">
        <v>123.2</v>
      </c>
      <c r="I154" s="21">
        <f>vlookup(A154,'ESPN FF Rankings'!$C$2:$H$201,2,false)</f>
        <v>115</v>
      </c>
      <c r="J154" s="5">
        <f t="shared" si="2"/>
        <v>133.5</v>
      </c>
      <c r="K154" s="21">
        <f>vlookup(A154,'VORP SCORE'!$A$2:$I$301,9,)</f>
        <v>153</v>
      </c>
      <c r="L154" s="22">
        <f>vlookup(A154,'Risk Score'!$A$4:$H$350,8,)</f>
        <v>4</v>
      </c>
      <c r="M154" s="21">
        <f>vlookup(A154,FLEX!$D$2:$F$305,3,)</f>
        <v>3</v>
      </c>
      <c r="N154" s="21"/>
      <c r="P154" s="5" t="s">
        <v>443</v>
      </c>
      <c r="Q154" s="5">
        <v>42.900000000000006</v>
      </c>
      <c r="R154" s="19" t="str">
        <f>vlookup(P154,'Player Codes'!A:D,4,)</f>
        <v>0262</v>
      </c>
      <c r="T154" s="5" t="s">
        <v>298</v>
      </c>
      <c r="U154" s="3">
        <v>3.0</v>
      </c>
      <c r="V154" s="19" t="str">
        <f>vlookup(T154,'Player Codes'!A:D,4,)</f>
        <v>0028</v>
      </c>
      <c r="W154" s="3"/>
      <c r="X154" s="5" t="s">
        <v>98</v>
      </c>
      <c r="Y154" s="3">
        <v>5.0</v>
      </c>
      <c r="Z154" s="1" t="s">
        <v>383</v>
      </c>
      <c r="AA154" s="5" t="s">
        <v>422</v>
      </c>
    </row>
    <row r="155">
      <c r="A155" s="19" t="str">
        <f>vlookup(D155,'Player Codes'!A:D,4,)</f>
        <v>0245</v>
      </c>
      <c r="B155" s="20">
        <f t="shared" si="1"/>
        <v>0.147</v>
      </c>
      <c r="C155" s="5">
        <v>154.0</v>
      </c>
      <c r="D155" s="5" t="s">
        <v>419</v>
      </c>
      <c r="E155" s="5" t="s">
        <v>1066</v>
      </c>
      <c r="F155" s="5" t="s">
        <v>1007</v>
      </c>
      <c r="G155" s="5">
        <v>13.0</v>
      </c>
      <c r="H155" s="5">
        <v>122.4</v>
      </c>
      <c r="I155" s="21">
        <f>vlookup(A155,'ESPN FF Rankings'!$C$2:$H$201,2,false)</f>
        <v>126</v>
      </c>
      <c r="J155" s="5">
        <f t="shared" si="2"/>
        <v>140</v>
      </c>
      <c r="K155" s="21">
        <f>vlookup(A155,'VORP SCORE'!$A$2:$I$301,9,)</f>
        <v>154</v>
      </c>
      <c r="L155" s="22">
        <f>vlookup(A155,'Risk Score'!$A$4:$H$350,8,)</f>
        <v>3</v>
      </c>
      <c r="M155" s="21">
        <f>vlookup(A155,FLEX!$D$2:$F$305,3,)</f>
        <v>3</v>
      </c>
      <c r="N155" s="21"/>
      <c r="P155" s="5" t="s">
        <v>739</v>
      </c>
      <c r="Q155" s="5" t="e">
        <v>#VALUE!</v>
      </c>
      <c r="R155" s="19" t="str">
        <f>vlookup(P155,'Player Codes'!A:D,4,)</f>
        <v>0031</v>
      </c>
      <c r="T155" s="5" t="s">
        <v>235</v>
      </c>
      <c r="U155" s="3">
        <v>3.0</v>
      </c>
      <c r="V155" s="19" t="str">
        <f>vlookup(T155,'Player Codes'!A:D,4,)</f>
        <v>0038</v>
      </c>
      <c r="W155" s="3"/>
      <c r="X155" s="5" t="s">
        <v>249</v>
      </c>
      <c r="Y155" s="3">
        <v>3.0</v>
      </c>
      <c r="Z155" s="1" t="s">
        <v>416</v>
      </c>
      <c r="AA155" s="5" t="s">
        <v>440</v>
      </c>
    </row>
    <row r="156">
      <c r="A156" s="19" t="str">
        <f>vlookup(D156,'Player Codes'!A:D,4,)</f>
        <v>0070</v>
      </c>
      <c r="B156" s="20">
        <f t="shared" si="1"/>
        <v>0.146</v>
      </c>
      <c r="C156" s="5">
        <v>155.0</v>
      </c>
      <c r="D156" s="5" t="s">
        <v>411</v>
      </c>
      <c r="E156" s="5" t="s">
        <v>1063</v>
      </c>
      <c r="F156" s="5" t="s">
        <v>931</v>
      </c>
      <c r="G156" s="5">
        <v>10.0</v>
      </c>
      <c r="H156" s="5">
        <v>122.3</v>
      </c>
      <c r="I156" s="21">
        <f>vlookup(A156,'ESPN FF Rankings'!$C$2:$H$201,2,false)</f>
        <v>64</v>
      </c>
      <c r="J156" s="5">
        <f t="shared" si="2"/>
        <v>109.5</v>
      </c>
      <c r="K156" s="21">
        <f>vlookup(A156,'VORP SCORE'!$A$2:$I$301,9,)</f>
        <v>155</v>
      </c>
      <c r="L156" s="22">
        <f>vlookup(A156,'Risk Score'!$A$4:$H$350,8,)</f>
        <v>5</v>
      </c>
      <c r="M156" s="21">
        <f>vlookup(A156,FLEX!$D$2:$F$305,3,)</f>
        <v>2</v>
      </c>
      <c r="N156" s="21"/>
      <c r="P156" s="5" t="s">
        <v>530</v>
      </c>
      <c r="Q156" s="5">
        <v>11.900000000000006</v>
      </c>
      <c r="R156" s="19" t="str">
        <f>vlookup(P156,'Player Codes'!A:D,4,)</f>
        <v>0183</v>
      </c>
      <c r="T156" s="2" t="s">
        <v>1334</v>
      </c>
      <c r="U156" s="3">
        <v>5.0</v>
      </c>
      <c r="V156" s="23">
        <v>0.0</v>
      </c>
      <c r="W156" s="3"/>
      <c r="X156" s="5" t="s">
        <v>1463</v>
      </c>
      <c r="Y156" s="3">
        <v>2.0</v>
      </c>
      <c r="Z156" s="1" t="s">
        <v>408</v>
      </c>
      <c r="AA156" s="5" t="s">
        <v>426</v>
      </c>
    </row>
    <row r="157">
      <c r="A157" s="19" t="str">
        <f>vlookup(D157,'Player Codes'!A:D,4,)</f>
        <v>0031</v>
      </c>
      <c r="B157" s="20">
        <f t="shared" si="1"/>
        <v>0.145</v>
      </c>
      <c r="C157" s="5">
        <v>156.0</v>
      </c>
      <c r="D157" s="2" t="s">
        <v>739</v>
      </c>
      <c r="E157" s="2" t="s">
        <v>1092</v>
      </c>
      <c r="F157" s="5" t="s">
        <v>929</v>
      </c>
      <c r="G157" s="5">
        <v>13.0</v>
      </c>
      <c r="H157" s="5">
        <v>121.1</v>
      </c>
      <c r="I157" s="21">
        <f>vlookup(A157,'ESPN FF Rankings'!$C$2:$H$201,2,false)</f>
        <v>154</v>
      </c>
      <c r="J157" s="5">
        <f t="shared" si="2"/>
        <v>155</v>
      </c>
      <c r="K157" s="21">
        <f>vlookup(A157,'VORP SCORE'!$A$2:$I$301,9,)</f>
        <v>156</v>
      </c>
      <c r="L157" s="24">
        <v>3.0</v>
      </c>
      <c r="M157" s="21" t="str">
        <f>vlookup(A157,FLEX!$D$2:$F$305,3,)</f>
        <v/>
      </c>
      <c r="N157" s="21"/>
      <c r="P157" s="5" t="s">
        <v>472</v>
      </c>
      <c r="Q157" s="5">
        <v>36.30000000000001</v>
      </c>
      <c r="R157" s="19" t="str">
        <f>vlookup(P157,'Player Codes'!A:D,4,)</f>
        <v>0213</v>
      </c>
      <c r="T157" s="5" t="s">
        <v>14</v>
      </c>
      <c r="U157" s="3">
        <v>5.0</v>
      </c>
      <c r="V157" s="19" t="str">
        <f>vlookup(T157,'Player Codes'!A:D,4,)</f>
        <v>0055</v>
      </c>
      <c r="W157" s="3"/>
      <c r="X157" s="5" t="s">
        <v>545</v>
      </c>
      <c r="Y157" s="3">
        <v>3.0</v>
      </c>
      <c r="Z157" s="1" t="s">
        <v>515</v>
      </c>
      <c r="AA157" s="5" t="s">
        <v>558</v>
      </c>
    </row>
    <row r="158">
      <c r="A158" s="19" t="str">
        <f>vlookup(D158,'Player Codes'!A:D,4,)</f>
        <v>0036</v>
      </c>
      <c r="B158" s="20">
        <f t="shared" si="1"/>
        <v>0.144</v>
      </c>
      <c r="C158" s="5">
        <v>157.0</v>
      </c>
      <c r="D158" s="5" t="s">
        <v>748</v>
      </c>
      <c r="E158" s="5" t="s">
        <v>1173</v>
      </c>
      <c r="F158" s="5" t="s">
        <v>990</v>
      </c>
      <c r="G158" s="5">
        <v>7.0</v>
      </c>
      <c r="H158" s="5">
        <v>120.8</v>
      </c>
      <c r="I158" s="21" t="str">
        <f>vlookup(A158,'ESPN FF Rankings'!$C$2:$H$201,2,false)</f>
        <v>#N/A</v>
      </c>
      <c r="J158" s="5" t="str">
        <f t="shared" si="2"/>
        <v>#N/A</v>
      </c>
      <c r="K158" s="21">
        <f>vlookup(A158,'VORP SCORE'!$A$2:$I$301,9,)</f>
        <v>157</v>
      </c>
      <c r="L158" s="24">
        <v>3.0</v>
      </c>
      <c r="M158" s="21">
        <f>vlookup(A158,FLEX!$D$2:$F$305,3,)</f>
        <v>0</v>
      </c>
      <c r="N158" s="21"/>
      <c r="P158" s="5" t="s">
        <v>600</v>
      </c>
      <c r="Q158" s="5">
        <v>16.599999999999994</v>
      </c>
      <c r="R158" s="19" t="str">
        <f>vlookup(P158,'Player Codes'!A:D,4,)</f>
        <v>0076</v>
      </c>
      <c r="T158" s="5" t="s">
        <v>620</v>
      </c>
      <c r="U158" s="3">
        <v>3.0</v>
      </c>
      <c r="V158" s="19" t="str">
        <f>vlookup(T158,'Player Codes'!A:D,4,)</f>
        <v>0057</v>
      </c>
      <c r="W158" s="3"/>
      <c r="X158" s="5" t="s">
        <v>1362</v>
      </c>
      <c r="Y158" s="3">
        <v>5.0</v>
      </c>
      <c r="Z158" s="1" t="s">
        <v>519</v>
      </c>
      <c r="AA158" s="5" t="s">
        <v>246</v>
      </c>
    </row>
    <row r="159">
      <c r="A159" s="19" t="str">
        <f>vlookup(D159,'Player Codes'!A:D,4,)</f>
        <v>0234</v>
      </c>
      <c r="B159" s="20">
        <f t="shared" si="1"/>
        <v>0.143</v>
      </c>
      <c r="C159" s="5">
        <v>158.0</v>
      </c>
      <c r="D159" s="5" t="s">
        <v>475</v>
      </c>
      <c r="E159" s="5" t="s">
        <v>1065</v>
      </c>
      <c r="F159" s="5" t="s">
        <v>985</v>
      </c>
      <c r="G159" s="5">
        <v>6.0</v>
      </c>
      <c r="H159" s="5">
        <v>120.4</v>
      </c>
      <c r="I159" s="21">
        <f>vlookup(A159,'ESPN FF Rankings'!$C$2:$H$201,2,false)</f>
        <v>93</v>
      </c>
      <c r="J159" s="5">
        <f t="shared" si="2"/>
        <v>125.5</v>
      </c>
      <c r="K159" s="21">
        <f>vlookup(A159,'VORP SCORE'!$A$2:$I$301,9,)</f>
        <v>158</v>
      </c>
      <c r="L159" s="22">
        <f>vlookup(A159,'Risk Score'!$A$4:$H$350,8,)</f>
        <v>4</v>
      </c>
      <c r="M159" s="21">
        <f>vlookup(A159,FLEX!$D$2:$F$305,3,)</f>
        <v>2</v>
      </c>
      <c r="N159" s="21"/>
      <c r="P159" s="5" t="s">
        <v>545</v>
      </c>
      <c r="Q159" s="5">
        <v>31.0</v>
      </c>
      <c r="R159" s="19" t="str">
        <f>vlookup(P159,'Player Codes'!A:D,4,)</f>
        <v>0145</v>
      </c>
      <c r="T159" s="2" t="s">
        <v>668</v>
      </c>
      <c r="U159" s="3">
        <v>4.0</v>
      </c>
      <c r="V159" s="19" t="str">
        <f>vlookup(T159,'Player Codes'!A:D,4,)</f>
        <v>0060</v>
      </c>
      <c r="W159" s="3"/>
      <c r="X159" s="5" t="s">
        <v>290</v>
      </c>
      <c r="Y159" s="3">
        <v>3.0</v>
      </c>
      <c r="Z159" s="1" t="s">
        <v>473</v>
      </c>
      <c r="AA159" s="5" t="s">
        <v>194</v>
      </c>
    </row>
    <row r="160">
      <c r="A160" s="19" t="str">
        <f>vlookup(D160,'Player Codes'!A:D,4,)</f>
        <v>0019</v>
      </c>
      <c r="B160" s="20">
        <f t="shared" si="1"/>
        <v>0.142</v>
      </c>
      <c r="C160" s="5">
        <v>159.0</v>
      </c>
      <c r="D160" s="5" t="s">
        <v>564</v>
      </c>
      <c r="E160" s="5" t="s">
        <v>1174</v>
      </c>
      <c r="F160" s="5" t="s">
        <v>1024</v>
      </c>
      <c r="G160" s="5">
        <v>5.0</v>
      </c>
      <c r="H160" s="5">
        <v>120.2</v>
      </c>
      <c r="I160" s="21" t="str">
        <f>vlookup(A160,'ESPN FF Rankings'!$C$2:$H$201,2,false)</f>
        <v>#N/A</v>
      </c>
      <c r="J160" s="5" t="str">
        <f t="shared" si="2"/>
        <v>#N/A</v>
      </c>
      <c r="K160" s="21">
        <f>vlookup(A160,'VORP SCORE'!$A$2:$I$301,9,)</f>
        <v>159</v>
      </c>
      <c r="L160" s="22">
        <f>vlookup(A160,'Risk Score'!$A$4:$H$350,8,)</f>
        <v>4</v>
      </c>
      <c r="M160" s="21">
        <f>vlookup(A160,FLEX!$D$2:$F$305,3,)</f>
        <v>1</v>
      </c>
      <c r="N160" s="21"/>
      <c r="P160" s="5" t="s">
        <v>623</v>
      </c>
      <c r="Q160" s="5" t="e">
        <v>#VALUE!</v>
      </c>
      <c r="R160" s="19" t="str">
        <f>vlookup(P160,'Player Codes'!A:D,4,)</f>
        <v>0069</v>
      </c>
      <c r="T160" s="5" t="s">
        <v>567</v>
      </c>
      <c r="U160" s="3">
        <v>6.0</v>
      </c>
      <c r="V160" s="19" t="str">
        <f>vlookup(T160,'Player Codes'!A:D,4,)</f>
        <v>0064</v>
      </c>
      <c r="W160" s="3"/>
      <c r="X160" s="5" t="s">
        <v>1364</v>
      </c>
      <c r="Y160" s="3">
        <v>5.0</v>
      </c>
      <c r="Z160" s="1" t="s">
        <v>525</v>
      </c>
      <c r="AA160" s="5" t="s">
        <v>207</v>
      </c>
    </row>
    <row r="161">
      <c r="A161" s="19" t="str">
        <f>vlookup(D161,'Player Codes'!A:D,4,)</f>
        <v>0209</v>
      </c>
      <c r="B161" s="20">
        <f t="shared" si="1"/>
        <v>0.141</v>
      </c>
      <c r="C161" s="5">
        <v>160.0</v>
      </c>
      <c r="D161" s="5" t="s">
        <v>760</v>
      </c>
      <c r="E161" s="5" t="s">
        <v>1175</v>
      </c>
      <c r="F161" s="5" t="s">
        <v>1040</v>
      </c>
      <c r="G161" s="5">
        <v>14.0</v>
      </c>
      <c r="H161" s="5">
        <v>119.1</v>
      </c>
      <c r="I161" s="21" t="str">
        <f>vlookup(A161,'ESPN FF Rankings'!$C$2:$H$201,2,false)</f>
        <v>#N/A</v>
      </c>
      <c r="J161" s="5" t="str">
        <f t="shared" si="2"/>
        <v>#N/A</v>
      </c>
      <c r="K161" s="21">
        <f>vlookup(A161,'VORP SCORE'!$A$2:$I$301,9,)</f>
        <v>160</v>
      </c>
      <c r="L161" s="24">
        <v>3.0</v>
      </c>
      <c r="M161" s="21">
        <f>vlookup(A161,FLEX!$D$2:$F$305,3,)</f>
        <v>0</v>
      </c>
      <c r="N161" s="21"/>
      <c r="P161" s="5" t="s">
        <v>620</v>
      </c>
      <c r="Q161" s="5">
        <v>2.799999999999997</v>
      </c>
      <c r="R161" s="19" t="str">
        <f>vlookup(P161,'Player Codes'!A:D,4,)</f>
        <v>0057</v>
      </c>
      <c r="T161" s="5" t="s">
        <v>272</v>
      </c>
      <c r="U161" s="3">
        <v>4.0</v>
      </c>
      <c r="V161" s="19" t="str">
        <f>vlookup(T161,'Player Codes'!A:D,4,)</f>
        <v>0067</v>
      </c>
      <c r="W161" s="3"/>
      <c r="X161" s="5" t="s">
        <v>1366</v>
      </c>
      <c r="Y161" s="3">
        <v>3.0</v>
      </c>
      <c r="Z161" s="1" t="s">
        <v>529</v>
      </c>
      <c r="AA161" s="5" t="s">
        <v>55</v>
      </c>
    </row>
    <row r="162">
      <c r="A162" s="19" t="str">
        <f>vlookup(D162,'Player Codes'!A:D,4,)</f>
        <v>0040</v>
      </c>
      <c r="B162" s="20">
        <f t="shared" si="1"/>
        <v>0.14</v>
      </c>
      <c r="C162" s="5">
        <v>161.0</v>
      </c>
      <c r="D162" s="2" t="s">
        <v>766</v>
      </c>
      <c r="E162" s="2" t="s">
        <v>1176</v>
      </c>
      <c r="F162" s="5" t="s">
        <v>996</v>
      </c>
      <c r="G162" s="5">
        <v>7.0</v>
      </c>
      <c r="H162" s="5">
        <v>118.9</v>
      </c>
      <c r="I162" s="21" t="str">
        <f>vlookup(A162,'ESPN FF Rankings'!$C$2:$H$201,2,false)</f>
        <v>#N/A</v>
      </c>
      <c r="J162" s="5" t="str">
        <f t="shared" si="2"/>
        <v>#N/A</v>
      </c>
      <c r="K162" s="21">
        <f>vlookup(A162,'VORP SCORE'!$A$2:$I$301,9,)</f>
        <v>161</v>
      </c>
      <c r="L162" s="24">
        <v>3.0</v>
      </c>
      <c r="M162" s="21" t="str">
        <f>vlookup(A162,FLEX!$D$2:$F$305,3,)</f>
        <v/>
      </c>
      <c r="N162" s="21"/>
      <c r="P162" s="5" t="s">
        <v>574</v>
      </c>
      <c r="Q162" s="5">
        <v>19.400000000000006</v>
      </c>
      <c r="R162" s="19" t="str">
        <f>vlookup(P162,'Player Codes'!A:D,4,)</f>
        <v>0285</v>
      </c>
      <c r="T162" s="2" t="s">
        <v>1370</v>
      </c>
      <c r="U162" s="3">
        <v>3.0</v>
      </c>
      <c r="V162" s="19" t="str">
        <f>vlookup(T162,'Player Codes'!A:D,4,)</f>
        <v>0301</v>
      </c>
      <c r="W162" s="3"/>
      <c r="X162" s="5" t="s">
        <v>260</v>
      </c>
      <c r="Y162" s="3">
        <v>3.0</v>
      </c>
      <c r="Z162" s="1" t="s">
        <v>532</v>
      </c>
      <c r="AA162" s="5" t="s">
        <v>665</v>
      </c>
    </row>
    <row r="163">
      <c r="A163" s="19" t="str">
        <f>vlookup(D163,'Player Codes'!A:D,4,)</f>
        <v>0171</v>
      </c>
      <c r="B163" s="20">
        <f t="shared" si="1"/>
        <v>0.139</v>
      </c>
      <c r="C163" s="5">
        <v>162.0</v>
      </c>
      <c r="D163" s="5" t="s">
        <v>358</v>
      </c>
      <c r="E163" s="5" t="s">
        <v>1072</v>
      </c>
      <c r="F163" s="5" t="s">
        <v>1009</v>
      </c>
      <c r="G163" s="5">
        <v>11.0</v>
      </c>
      <c r="H163" s="5">
        <v>118.8</v>
      </c>
      <c r="I163" s="21">
        <f>vlookup(A163,'ESPN FF Rankings'!$C$2:$H$201,2,false)</f>
        <v>107</v>
      </c>
      <c r="J163" s="5">
        <f t="shared" si="2"/>
        <v>134.5</v>
      </c>
      <c r="K163" s="21">
        <f>vlookup(A163,'VORP SCORE'!$A$2:$I$301,9,)</f>
        <v>162</v>
      </c>
      <c r="L163" s="22">
        <f>vlookup(A163,'Risk Score'!$A$4:$H$350,8,)</f>
        <v>5</v>
      </c>
      <c r="M163" s="21">
        <f>vlookup(A163,FLEX!$D$2:$F$305,3,)</f>
        <v>3</v>
      </c>
      <c r="N163" s="21"/>
      <c r="P163" s="5" t="s">
        <v>662</v>
      </c>
      <c r="Q163" s="5">
        <v>44.499999999999986</v>
      </c>
      <c r="R163" s="19" t="str">
        <f>vlookup(P163,'Player Codes'!A:D,4,)</f>
        <v>0236</v>
      </c>
      <c r="T163" s="5" t="s">
        <v>283</v>
      </c>
      <c r="U163" s="3">
        <v>5.0</v>
      </c>
      <c r="V163" s="19" t="str">
        <f>vlookup(T163,'Player Codes'!A:D,4,)</f>
        <v>0073</v>
      </c>
      <c r="W163" s="3"/>
      <c r="X163" s="5" t="s">
        <v>403</v>
      </c>
      <c r="Y163" s="3">
        <v>3.0</v>
      </c>
      <c r="Z163" s="1" t="s">
        <v>356</v>
      </c>
      <c r="AA163" s="5" t="s">
        <v>708</v>
      </c>
    </row>
    <row r="164">
      <c r="A164" s="19" t="str">
        <f>vlookup(D164,'Player Codes'!A:D,4,)</f>
        <v>0296</v>
      </c>
      <c r="B164" s="20">
        <f t="shared" si="1"/>
        <v>0.139</v>
      </c>
      <c r="C164" s="5">
        <v>162.0</v>
      </c>
      <c r="D164" s="5" t="s">
        <v>368</v>
      </c>
      <c r="E164" s="5" t="s">
        <v>1087</v>
      </c>
      <c r="F164" s="5" t="s">
        <v>946</v>
      </c>
      <c r="G164" s="5">
        <v>5.0</v>
      </c>
      <c r="H164" s="5">
        <v>118.8</v>
      </c>
      <c r="I164" s="21">
        <f>vlookup(A164,'ESPN FF Rankings'!$C$2:$H$201,2,false)</f>
        <v>103</v>
      </c>
      <c r="J164" s="5">
        <f t="shared" si="2"/>
        <v>132.5</v>
      </c>
      <c r="K164" s="21">
        <f>vlookup(A164,'VORP SCORE'!$A$2:$I$301,9,)</f>
        <v>163</v>
      </c>
      <c r="L164" s="22">
        <f>vlookup(A164,'Risk Score'!$A$4:$H$350,8,)</f>
        <v>3</v>
      </c>
      <c r="M164" s="21">
        <f>vlookup(A164,FLEX!$D$2:$F$305,3,)</f>
        <v>4</v>
      </c>
      <c r="N164" s="21"/>
      <c r="P164" s="5" t="s">
        <v>486</v>
      </c>
      <c r="Q164" s="5">
        <v>33.400000000000006</v>
      </c>
      <c r="R164" s="19" t="str">
        <f>vlookup(P164,'Player Codes'!A:D,4,)</f>
        <v>0286</v>
      </c>
      <c r="T164" s="5" t="s">
        <v>163</v>
      </c>
      <c r="U164" s="3">
        <v>3.0</v>
      </c>
      <c r="V164" s="19" t="str">
        <f>vlookup(T164,'Player Codes'!A:D,4,)</f>
        <v>0074</v>
      </c>
      <c r="W164" s="3"/>
      <c r="X164" s="5" t="s">
        <v>680</v>
      </c>
      <c r="Y164" s="3">
        <v>4.0</v>
      </c>
      <c r="Z164" s="1" t="s">
        <v>365</v>
      </c>
      <c r="AA164" s="5" t="s">
        <v>539</v>
      </c>
    </row>
    <row r="165">
      <c r="A165" s="19" t="str">
        <f>vlookup(D165,'Player Codes'!A:D,4,)</f>
        <v>0257</v>
      </c>
      <c r="B165" s="20">
        <f t="shared" si="1"/>
        <v>0.137</v>
      </c>
      <c r="C165" s="5">
        <v>164.0</v>
      </c>
      <c r="D165" s="5" t="s">
        <v>341</v>
      </c>
      <c r="E165" s="5" t="s">
        <v>1088</v>
      </c>
      <c r="F165" s="5" t="s">
        <v>976</v>
      </c>
      <c r="G165" s="5">
        <v>9.0</v>
      </c>
      <c r="H165" s="5">
        <v>118.4</v>
      </c>
      <c r="I165" s="21">
        <f>vlookup(A165,'ESPN FF Rankings'!$C$2:$H$201,2,false)</f>
        <v>91</v>
      </c>
      <c r="J165" s="5">
        <f t="shared" si="2"/>
        <v>127.5</v>
      </c>
      <c r="K165" s="21">
        <f>vlookup(A165,'VORP SCORE'!$A$2:$I$301,9,)</f>
        <v>164</v>
      </c>
      <c r="L165" s="22">
        <f>vlookup(A165,'Risk Score'!$A$4:$H$350,8,)</f>
        <v>4</v>
      </c>
      <c r="M165" s="21">
        <f>vlookup(A165,FLEX!$D$2:$F$305,3,)</f>
        <v>4</v>
      </c>
      <c r="N165" s="21"/>
      <c r="P165" s="5" t="s">
        <v>454</v>
      </c>
      <c r="Q165" s="5">
        <v>39.2</v>
      </c>
      <c r="R165" s="19" t="str">
        <f>vlookup(P165,'Player Codes'!A:D,4,)</f>
        <v>0300</v>
      </c>
      <c r="T165" s="5" t="s">
        <v>478</v>
      </c>
      <c r="U165" s="3">
        <v>5.0</v>
      </c>
      <c r="V165" s="19" t="str">
        <f>vlookup(T165,'Player Codes'!A:D,4,)</f>
        <v>0075</v>
      </c>
      <c r="W165" s="3"/>
      <c r="X165" s="5" t="s">
        <v>202</v>
      </c>
      <c r="Y165" s="3">
        <v>3.0</v>
      </c>
      <c r="Z165" s="1" t="s">
        <v>338</v>
      </c>
      <c r="AA165" s="5" t="s">
        <v>51</v>
      </c>
    </row>
    <row r="166">
      <c r="A166" s="19" t="str">
        <f>vlookup(D166,'Player Codes'!A:D,4,)</f>
        <v>0180</v>
      </c>
      <c r="B166" s="20">
        <f t="shared" si="1"/>
        <v>0.136</v>
      </c>
      <c r="C166" s="5">
        <v>165.0</v>
      </c>
      <c r="D166" s="2" t="s">
        <v>781</v>
      </c>
      <c r="E166" s="2" t="s">
        <v>1177</v>
      </c>
      <c r="F166" s="5" t="s">
        <v>933</v>
      </c>
      <c r="G166" s="5">
        <v>10.0</v>
      </c>
      <c r="H166" s="5">
        <v>117.8</v>
      </c>
      <c r="I166" s="21" t="str">
        <f>vlookup(A166,'ESPN FF Rankings'!$C$2:$H$201,2,false)</f>
        <v>#N/A</v>
      </c>
      <c r="J166" s="5" t="str">
        <f t="shared" si="2"/>
        <v>#N/A</v>
      </c>
      <c r="K166" s="21">
        <f>vlookup(A166,'VORP SCORE'!$A$2:$I$301,9,)</f>
        <v>165</v>
      </c>
      <c r="L166" s="24">
        <v>3.0</v>
      </c>
      <c r="M166" s="21" t="str">
        <f>vlookup(A166,FLEX!$D$2:$F$305,3,)</f>
        <v/>
      </c>
      <c r="N166" s="21"/>
      <c r="P166" s="5" t="s">
        <v>334</v>
      </c>
      <c r="Q166" s="5">
        <v>139.0</v>
      </c>
      <c r="R166" s="19" t="str">
        <f>vlookup(P166,'Player Codes'!A:D,4,)</f>
        <v>0187</v>
      </c>
      <c r="T166" s="5" t="s">
        <v>1384</v>
      </c>
      <c r="U166" s="3">
        <v>6.0</v>
      </c>
      <c r="V166" s="23">
        <v>0.0</v>
      </c>
      <c r="W166" s="3"/>
      <c r="X166" s="5" t="s">
        <v>422</v>
      </c>
      <c r="Y166" s="3">
        <v>3.0</v>
      </c>
      <c r="Z166" s="1" t="s">
        <v>544</v>
      </c>
      <c r="AA166" s="5" t="s">
        <v>317</v>
      </c>
    </row>
    <row r="167">
      <c r="A167" s="19" t="str">
        <f>vlookup(D167,'Player Codes'!A:D,4,)</f>
        <v>0059</v>
      </c>
      <c r="B167" s="20">
        <f t="shared" si="1"/>
        <v>0.135</v>
      </c>
      <c r="C167" s="5">
        <v>166.0</v>
      </c>
      <c r="D167" s="2" t="s">
        <v>786</v>
      </c>
      <c r="E167" s="2" t="s">
        <v>1178</v>
      </c>
      <c r="F167" s="5" t="s">
        <v>944</v>
      </c>
      <c r="G167" s="5">
        <v>5.0</v>
      </c>
      <c r="H167" s="5">
        <v>117.3</v>
      </c>
      <c r="I167" s="21" t="str">
        <f>vlookup(A167,'ESPN FF Rankings'!$C$2:$H$201,2,false)</f>
        <v>#N/A</v>
      </c>
      <c r="J167" s="5" t="str">
        <f t="shared" si="2"/>
        <v>#N/A</v>
      </c>
      <c r="K167" s="21">
        <f>vlookup(A167,'VORP SCORE'!$A$2:$I$301,9,)</f>
        <v>166</v>
      </c>
      <c r="L167" s="24">
        <v>3.0</v>
      </c>
      <c r="M167" s="21" t="str">
        <f>vlookup(A167,FLEX!$D$2:$F$305,3,)</f>
        <v/>
      </c>
      <c r="N167" s="21"/>
      <c r="P167" s="5" t="s">
        <v>451</v>
      </c>
      <c r="Q167" s="5">
        <v>31.200000000000003</v>
      </c>
      <c r="R167" s="19" t="str">
        <f>vlookup(P167,'Player Codes'!A:D,4,)</f>
        <v>0266</v>
      </c>
      <c r="T167" s="5" t="s">
        <v>1399</v>
      </c>
      <c r="U167" s="3">
        <v>4.0</v>
      </c>
      <c r="V167" s="23">
        <v>0.0</v>
      </c>
      <c r="W167" s="3"/>
      <c r="X167" s="5" t="s">
        <v>440</v>
      </c>
      <c r="Y167" s="3">
        <v>5.0</v>
      </c>
      <c r="Z167" s="1" t="s">
        <v>547</v>
      </c>
      <c r="AA167" s="5" t="s">
        <v>344</v>
      </c>
    </row>
    <row r="168">
      <c r="A168" s="19" t="str">
        <f>vlookup(D168,'Player Codes'!A:D,4,)</f>
        <v>0216</v>
      </c>
      <c r="B168" s="20">
        <f t="shared" si="1"/>
        <v>0.134</v>
      </c>
      <c r="C168" s="5">
        <v>167.0</v>
      </c>
      <c r="D168" s="5" t="s">
        <v>372</v>
      </c>
      <c r="E168" s="5" t="s">
        <v>1074</v>
      </c>
      <c r="F168" s="5" t="s">
        <v>983</v>
      </c>
      <c r="G168" s="5">
        <v>11.0</v>
      </c>
      <c r="H168" s="5">
        <v>117.2</v>
      </c>
      <c r="I168" s="21">
        <f>vlookup(A168,'ESPN FF Rankings'!$C$2:$H$201,2,false)</f>
        <v>104</v>
      </c>
      <c r="J168" s="5">
        <f t="shared" si="2"/>
        <v>135.5</v>
      </c>
      <c r="K168" s="21">
        <f>vlookup(A168,'VORP SCORE'!$A$2:$I$301,9,)</f>
        <v>167</v>
      </c>
      <c r="L168" s="22">
        <f>vlookup(A168,'Risk Score'!$A$4:$H$350,8,)</f>
        <v>5</v>
      </c>
      <c r="M168" s="21">
        <f>vlookup(A168,FLEX!$D$2:$F$305,3,)</f>
        <v>3</v>
      </c>
      <c r="N168" s="21"/>
      <c r="P168" s="5" t="s">
        <v>533</v>
      </c>
      <c r="Q168" s="5">
        <v>24.700000000000017</v>
      </c>
      <c r="R168" s="19" t="str">
        <f>vlookup(P168,'Player Codes'!A:D,4,)</f>
        <v>0122</v>
      </c>
      <c r="T168" s="5" t="s">
        <v>109</v>
      </c>
      <c r="U168" s="3">
        <v>5.0</v>
      </c>
      <c r="V168" s="19" t="str">
        <f>vlookup(T168,'Player Codes'!A:D,4,)</f>
        <v>0082</v>
      </c>
      <c r="W168" s="3"/>
      <c r="X168" s="2" t="s">
        <v>1464</v>
      </c>
      <c r="Y168" s="3">
        <v>4.0</v>
      </c>
      <c r="Z168" s="1" t="s">
        <v>369</v>
      </c>
      <c r="AA168" s="5" t="s">
        <v>251</v>
      </c>
    </row>
    <row r="169">
      <c r="A169" s="19" t="str">
        <f>vlookup(D169,'Player Codes'!A:D,4,)</f>
        <v>0250</v>
      </c>
      <c r="B169" s="20">
        <f t="shared" si="1"/>
        <v>0.133</v>
      </c>
      <c r="C169" s="5">
        <v>168.0</v>
      </c>
      <c r="D169" s="5" t="s">
        <v>497</v>
      </c>
      <c r="E169" s="5" t="s">
        <v>1179</v>
      </c>
      <c r="F169" s="5" t="s">
        <v>988</v>
      </c>
      <c r="G169" s="5">
        <v>6.0</v>
      </c>
      <c r="H169" s="5">
        <v>116.7</v>
      </c>
      <c r="I169" s="21" t="str">
        <f>vlookup(A169,'ESPN FF Rankings'!$C$2:$H$201,2,false)</f>
        <v>#N/A</v>
      </c>
      <c r="J169" s="5" t="str">
        <f t="shared" si="2"/>
        <v>#N/A</v>
      </c>
      <c r="K169" s="21">
        <f>vlookup(A169,'VORP SCORE'!$A$2:$I$301,9,)</f>
        <v>168</v>
      </c>
      <c r="L169" s="22">
        <f>vlookup(A169,'Risk Score'!$A$4:$H$350,8,)</f>
        <v>2</v>
      </c>
      <c r="M169" s="21">
        <f>vlookup(A169,FLEX!$D$2:$F$305,3,)</f>
        <v>3</v>
      </c>
      <c r="N169" s="21"/>
      <c r="P169" s="5" t="s">
        <v>269</v>
      </c>
      <c r="Q169" s="5">
        <v>139.10000000000002</v>
      </c>
      <c r="R169" s="19" t="str">
        <f>vlookup(P169,'Player Codes'!A:D,4,)</f>
        <v>0088</v>
      </c>
      <c r="T169" s="5" t="s">
        <v>1413</v>
      </c>
      <c r="U169" s="3">
        <v>3.0</v>
      </c>
      <c r="V169" s="19" t="str">
        <f>vlookup(T169,'Player Codes'!A:D,4,)</f>
        <v>0302</v>
      </c>
      <c r="W169" s="3"/>
      <c r="X169" s="5" t="s">
        <v>426</v>
      </c>
      <c r="Y169" s="3">
        <v>4.0</v>
      </c>
      <c r="Z169" s="1" t="s">
        <v>495</v>
      </c>
      <c r="AA169" s="5" t="s">
        <v>43</v>
      </c>
    </row>
    <row r="170">
      <c r="A170" s="19" t="str">
        <f>vlookup(D170,'Player Codes'!A:D,4,)</f>
        <v>0226</v>
      </c>
      <c r="B170" s="20">
        <f t="shared" si="1"/>
        <v>0.132</v>
      </c>
      <c r="C170" s="5">
        <v>169.0</v>
      </c>
      <c r="D170" s="2" t="s">
        <v>795</v>
      </c>
      <c r="E170" s="2" t="s">
        <v>1180</v>
      </c>
      <c r="F170" s="5" t="s">
        <v>948</v>
      </c>
      <c r="G170" s="5">
        <v>13.0</v>
      </c>
      <c r="H170" s="5">
        <v>116.4</v>
      </c>
      <c r="I170" s="21" t="str">
        <f>vlookup(A170,'ESPN FF Rankings'!$C$2:$H$201,2,false)</f>
        <v>#N/A</v>
      </c>
      <c r="J170" s="5" t="str">
        <f t="shared" si="2"/>
        <v>#N/A</v>
      </c>
      <c r="K170" s="21">
        <f>vlookup(A170,'VORP SCORE'!$A$2:$I$301,9,)</f>
        <v>169</v>
      </c>
      <c r="L170" s="24">
        <v>3.0</v>
      </c>
      <c r="M170" s="21" t="str">
        <f>vlookup(A170,FLEX!$D$2:$F$305,3,)</f>
        <v/>
      </c>
      <c r="N170" s="21"/>
      <c r="P170" s="5" t="s">
        <v>430</v>
      </c>
      <c r="Q170" s="5">
        <v>35.10000000000001</v>
      </c>
      <c r="R170" s="19" t="str">
        <f>vlookup(P170,'Player Codes'!A:D,4,)</f>
        <v>0232</v>
      </c>
      <c r="T170" s="5" t="s">
        <v>39</v>
      </c>
      <c r="U170" s="3">
        <v>4.0</v>
      </c>
      <c r="V170" s="19" t="str">
        <f>vlookup(T170,'Player Codes'!A:D,4,)</f>
        <v>0089</v>
      </c>
      <c r="W170" s="3"/>
      <c r="X170" s="5" t="s">
        <v>558</v>
      </c>
      <c r="Y170" s="3">
        <v>3.0</v>
      </c>
      <c r="Z170" s="1" t="s">
        <v>557</v>
      </c>
      <c r="AA170" s="2" t="s">
        <v>817</v>
      </c>
    </row>
    <row r="171">
      <c r="A171" s="19" t="str">
        <f>vlookup(D171,'Player Codes'!A:D,4,)</f>
        <v>0133</v>
      </c>
      <c r="B171" s="20">
        <f t="shared" si="1"/>
        <v>0.132</v>
      </c>
      <c r="C171" s="5">
        <v>169.0</v>
      </c>
      <c r="D171" s="2" t="s">
        <v>798</v>
      </c>
      <c r="E171" s="2" t="s">
        <v>1180</v>
      </c>
      <c r="F171" s="5" t="s">
        <v>942</v>
      </c>
      <c r="G171" s="5">
        <v>9.0</v>
      </c>
      <c r="H171" s="5">
        <v>116.4</v>
      </c>
      <c r="I171" s="21" t="str">
        <f>vlookup(A171,'ESPN FF Rankings'!$C$2:$H$201,2,false)</f>
        <v>#N/A</v>
      </c>
      <c r="J171" s="5" t="str">
        <f t="shared" si="2"/>
        <v>#N/A</v>
      </c>
      <c r="K171" s="21">
        <f>vlookup(A171,'VORP SCORE'!$A$2:$I$301,9,)</f>
        <v>170</v>
      </c>
      <c r="L171" s="24">
        <v>3.0</v>
      </c>
      <c r="M171" s="21" t="str">
        <f>vlookup(A171,FLEX!$D$2:$F$305,3,)</f>
        <v/>
      </c>
      <c r="N171" s="21"/>
      <c r="P171" s="5" t="s">
        <v>344</v>
      </c>
      <c r="Q171" s="5">
        <v>135.2</v>
      </c>
      <c r="R171" s="19" t="str">
        <f>vlookup(P171,'Player Codes'!A:D,4,)</f>
        <v>0166</v>
      </c>
      <c r="T171" s="5" t="s">
        <v>513</v>
      </c>
      <c r="U171" s="3">
        <v>3.0</v>
      </c>
      <c r="V171" s="19" t="str">
        <f>vlookup(T171,'Player Codes'!A:D,4,)</f>
        <v>0094</v>
      </c>
      <c r="W171" s="3"/>
      <c r="X171" s="5" t="s">
        <v>246</v>
      </c>
      <c r="Y171" s="3">
        <v>4.0</v>
      </c>
      <c r="Z171" s="1" t="s">
        <v>560</v>
      </c>
      <c r="AA171" s="5" t="s">
        <v>846</v>
      </c>
    </row>
    <row r="172">
      <c r="A172" s="19" t="str">
        <f>vlookup(D172,'Player Codes'!A:D,4,)</f>
        <v>0058</v>
      </c>
      <c r="B172" s="20">
        <f t="shared" si="1"/>
        <v>0.13</v>
      </c>
      <c r="C172" s="5">
        <v>171.0</v>
      </c>
      <c r="D172" s="2" t="s">
        <v>807</v>
      </c>
      <c r="E172" s="2" t="s">
        <v>1101</v>
      </c>
      <c r="F172" s="5" t="s">
        <v>935</v>
      </c>
      <c r="G172" s="5">
        <v>7.0</v>
      </c>
      <c r="H172" s="5">
        <v>116.0</v>
      </c>
      <c r="I172" s="21">
        <f>vlookup(A172,'ESPN FF Rankings'!$C$2:$H$201,2,false)</f>
        <v>183</v>
      </c>
      <c r="J172" s="5">
        <f t="shared" si="2"/>
        <v>177</v>
      </c>
      <c r="K172" s="21">
        <f>vlookup(A172,'VORP SCORE'!$A$2:$I$301,9,)</f>
        <v>171</v>
      </c>
      <c r="L172" s="24">
        <v>3.0</v>
      </c>
      <c r="M172" s="21" t="str">
        <f>vlookup(A172,FLEX!$D$2:$F$305,3,)</f>
        <v/>
      </c>
      <c r="N172" s="21"/>
      <c r="P172" s="5" t="s">
        <v>683</v>
      </c>
      <c r="Q172" s="5">
        <v>41.099999999999994</v>
      </c>
      <c r="R172" s="19" t="str">
        <f>vlookup(P172,'Player Codes'!A:D,4,)</f>
        <v>0020</v>
      </c>
      <c r="T172" s="5" t="s">
        <v>407</v>
      </c>
      <c r="U172" s="3">
        <v>4.0</v>
      </c>
      <c r="V172" s="19" t="str">
        <f>vlookup(T172,'Player Codes'!A:D,4,)</f>
        <v>0105</v>
      </c>
      <c r="W172" s="3"/>
      <c r="X172" s="5" t="s">
        <v>194</v>
      </c>
      <c r="Y172" s="3">
        <v>6.0</v>
      </c>
      <c r="Z172" s="1" t="s">
        <v>563</v>
      </c>
      <c r="AA172" s="5" t="s">
        <v>358</v>
      </c>
    </row>
    <row r="173">
      <c r="A173" s="19" t="str">
        <f>vlookup(D173,'Player Codes'!A:D,4,)</f>
        <v>0139</v>
      </c>
      <c r="B173" s="20">
        <f t="shared" si="1"/>
        <v>0.13</v>
      </c>
      <c r="C173" s="5">
        <v>171.0</v>
      </c>
      <c r="D173" s="5" t="s">
        <v>415</v>
      </c>
      <c r="E173" s="5" t="s">
        <v>1077</v>
      </c>
      <c r="F173" s="5" t="s">
        <v>980</v>
      </c>
      <c r="G173" s="5">
        <v>13.0</v>
      </c>
      <c r="H173" s="5">
        <v>116.0</v>
      </c>
      <c r="I173" s="21">
        <f>vlookup(A173,'ESPN FF Rankings'!$C$2:$H$201,2,false)</f>
        <v>114</v>
      </c>
      <c r="J173" s="5">
        <f t="shared" si="2"/>
        <v>142.5</v>
      </c>
      <c r="K173" s="21">
        <f>vlookup(A173,'VORP SCORE'!$A$2:$I$301,9,)</f>
        <v>172</v>
      </c>
      <c r="L173" s="22">
        <f>vlookup(A173,'Risk Score'!$A$4:$H$350,8,)</f>
        <v>4</v>
      </c>
      <c r="M173" s="21">
        <f>vlookup(A173,FLEX!$D$2:$F$305,3,)</f>
        <v>3</v>
      </c>
      <c r="N173" s="21"/>
      <c r="P173" s="5" t="s">
        <v>510</v>
      </c>
      <c r="Q173" s="5">
        <v>19.0</v>
      </c>
      <c r="R173" s="19" t="str">
        <f>vlookup(P173,'Player Codes'!A:D,4,)</f>
        <v>0185</v>
      </c>
      <c r="T173" s="5" t="s">
        <v>396</v>
      </c>
      <c r="U173" s="3">
        <v>5.0</v>
      </c>
      <c r="V173" s="19" t="str">
        <f>vlookup(T173,'Player Codes'!A:D,4,)</f>
        <v>0109</v>
      </c>
      <c r="W173" s="3"/>
      <c r="X173" s="2" t="s">
        <v>1465</v>
      </c>
      <c r="Y173" s="3">
        <v>4.0</v>
      </c>
      <c r="Z173" s="1" t="s">
        <v>412</v>
      </c>
      <c r="AA173" s="2" t="s">
        <v>222</v>
      </c>
    </row>
    <row r="174">
      <c r="A174" s="19" t="str">
        <f>vlookup(D174,'Player Codes'!A:D,4,)</f>
        <v>0227</v>
      </c>
      <c r="B174" s="20">
        <f t="shared" si="1"/>
        <v>0.128</v>
      </c>
      <c r="C174" s="5">
        <v>173.0</v>
      </c>
      <c r="D174" s="2" t="s">
        <v>819</v>
      </c>
      <c r="E174" s="2" t="s">
        <v>1103</v>
      </c>
      <c r="F174" s="5" t="s">
        <v>967</v>
      </c>
      <c r="G174" s="5">
        <v>7.0</v>
      </c>
      <c r="H174" s="5">
        <v>115.4</v>
      </c>
      <c r="I174" s="21">
        <f>vlookup(A174,'ESPN FF Rankings'!$C$2:$H$201,2,false)</f>
        <v>193</v>
      </c>
      <c r="J174" s="5">
        <f t="shared" si="2"/>
        <v>183</v>
      </c>
      <c r="K174" s="21">
        <f>vlookup(A174,'VORP SCORE'!$A$2:$I$301,9,)</f>
        <v>173</v>
      </c>
      <c r="L174" s="24">
        <v>3.0</v>
      </c>
      <c r="M174" s="21" t="str">
        <f>vlookup(A174,FLEX!$D$2:$F$305,3,)</f>
        <v/>
      </c>
      <c r="N174" s="21"/>
      <c r="P174" s="5" t="s">
        <v>548</v>
      </c>
      <c r="Q174" s="5">
        <v>21.400000000000006</v>
      </c>
      <c r="R174" s="19" t="str">
        <f>vlookup(P174,'Player Codes'!A:D,4,)</f>
        <v>0148</v>
      </c>
      <c r="T174" s="2" t="s">
        <v>673</v>
      </c>
      <c r="U174" s="3">
        <v>4.0</v>
      </c>
      <c r="V174" s="19" t="str">
        <f>vlookup(T174,'Player Codes'!A:D,4,)</f>
        <v>0121</v>
      </c>
      <c r="W174" s="3"/>
      <c r="X174" s="5" t="s">
        <v>207</v>
      </c>
      <c r="Y174" s="3">
        <v>4.0</v>
      </c>
      <c r="Z174" s="1" t="s">
        <v>570</v>
      </c>
      <c r="AA174" s="5" t="s">
        <v>219</v>
      </c>
    </row>
    <row r="175">
      <c r="A175" s="19" t="str">
        <f>vlookup(D175,'Player Codes'!A:D,4,)</f>
        <v>0225</v>
      </c>
      <c r="B175" s="20">
        <f t="shared" si="1"/>
        <v>0.127</v>
      </c>
      <c r="C175" s="5">
        <v>174.0</v>
      </c>
      <c r="D175" s="2" t="s">
        <v>823</v>
      </c>
      <c r="E175" s="2" t="s">
        <v>1104</v>
      </c>
      <c r="F175" s="5" t="s">
        <v>983</v>
      </c>
      <c r="G175" s="5">
        <v>11.0</v>
      </c>
      <c r="H175" s="5">
        <v>115.2</v>
      </c>
      <c r="I175" s="21">
        <f>vlookup(A175,'ESPN FF Rankings'!$C$2:$H$201,2,false)</f>
        <v>177</v>
      </c>
      <c r="J175" s="5">
        <f t="shared" si="2"/>
        <v>175.5</v>
      </c>
      <c r="K175" s="21">
        <f>vlookup(A175,'VORP SCORE'!$A$2:$I$301,9,)</f>
        <v>174</v>
      </c>
      <c r="L175" s="24">
        <v>3.0</v>
      </c>
      <c r="M175" s="21" t="str">
        <f>vlookup(A175,FLEX!$D$2:$F$305,3,)</f>
        <v/>
      </c>
      <c r="N175" s="21"/>
      <c r="P175" s="5" t="s">
        <v>465</v>
      </c>
      <c r="Q175" s="5">
        <v>30.60000000000001</v>
      </c>
      <c r="R175" s="19" t="str">
        <f>vlookup(P175,'Player Codes'!A:D,4,)</f>
        <v>0004</v>
      </c>
      <c r="T175" s="5" t="s">
        <v>1450</v>
      </c>
      <c r="U175" s="3">
        <v>2.0</v>
      </c>
      <c r="V175" s="23">
        <v>0.0</v>
      </c>
      <c r="W175" s="3"/>
      <c r="X175" s="5" t="s">
        <v>55</v>
      </c>
      <c r="Y175" s="3">
        <v>5.0</v>
      </c>
      <c r="Z175" s="1" t="s">
        <v>573</v>
      </c>
      <c r="AA175" s="5" t="s">
        <v>95</v>
      </c>
    </row>
    <row r="176">
      <c r="A176" s="19" t="str">
        <f>vlookup(D176,'Player Codes'!A:D,4,)</f>
        <v>0237</v>
      </c>
      <c r="B176" s="20">
        <f t="shared" si="1"/>
        <v>0.126</v>
      </c>
      <c r="C176" s="5">
        <v>175.0</v>
      </c>
      <c r="D176" s="2" t="s">
        <v>825</v>
      </c>
      <c r="E176" s="2" t="s">
        <v>1181</v>
      </c>
      <c r="F176" s="5" t="s">
        <v>985</v>
      </c>
      <c r="G176" s="5">
        <v>6.0</v>
      </c>
      <c r="H176" s="5">
        <v>114.3</v>
      </c>
      <c r="I176" s="21" t="str">
        <f>vlookup(A176,'ESPN FF Rankings'!$C$2:$H$201,2,false)</f>
        <v>#N/A</v>
      </c>
      <c r="J176" s="5" t="str">
        <f t="shared" si="2"/>
        <v>#N/A</v>
      </c>
      <c r="K176" s="21">
        <f>vlookup(A176,'VORP SCORE'!$A$2:$I$301,9,)</f>
        <v>175</v>
      </c>
      <c r="L176" s="24">
        <v>3.0</v>
      </c>
      <c r="M176" s="21" t="str">
        <f>vlookup(A176,FLEX!$D$2:$F$305,3,)</f>
        <v/>
      </c>
      <c r="N176" s="21"/>
      <c r="P176" s="5" t="s">
        <v>609</v>
      </c>
      <c r="Q176" s="5">
        <v>14.599999999999994</v>
      </c>
      <c r="R176" s="19" t="str">
        <f>vlookup(P176,'Player Codes'!A:D,4,)</f>
        <v>0136</v>
      </c>
      <c r="T176" s="5" t="s">
        <v>1459</v>
      </c>
      <c r="U176" s="3">
        <v>3.0</v>
      </c>
      <c r="V176" s="23">
        <v>0.0</v>
      </c>
      <c r="W176" s="3"/>
      <c r="X176" s="5" t="s">
        <v>1466</v>
      </c>
      <c r="Y176" s="3">
        <v>3.0</v>
      </c>
      <c r="Z176" s="1" t="s">
        <v>576</v>
      </c>
      <c r="AA176" s="5" t="s">
        <v>517</v>
      </c>
    </row>
    <row r="177">
      <c r="A177" s="19" t="str">
        <f>vlookup(D177,'Player Codes'!A:D,4,)</f>
        <v>0107</v>
      </c>
      <c r="B177" s="20">
        <f t="shared" si="1"/>
        <v>0.125</v>
      </c>
      <c r="C177" s="5">
        <v>176.0</v>
      </c>
      <c r="D177" s="5" t="s">
        <v>507</v>
      </c>
      <c r="E177" s="5" t="s">
        <v>1076</v>
      </c>
      <c r="F177" s="5" t="s">
        <v>942</v>
      </c>
      <c r="G177" s="5">
        <v>9.0</v>
      </c>
      <c r="H177" s="5">
        <v>113.9</v>
      </c>
      <c r="I177" s="21">
        <f>vlookup(A177,'ESPN FF Rankings'!$C$2:$H$201,2,false)</f>
        <v>80</v>
      </c>
      <c r="J177" s="5">
        <f t="shared" si="2"/>
        <v>128</v>
      </c>
      <c r="K177" s="21">
        <f>vlookup(A177,'VORP SCORE'!$A$2:$I$301,9,)</f>
        <v>176</v>
      </c>
      <c r="L177" s="22">
        <f>vlookup(A177,'Risk Score'!$A$4:$H$350,8,)</f>
        <v>4</v>
      </c>
      <c r="M177" s="21">
        <f>vlookup(A177,FLEX!$D$2:$F$305,3,)</f>
        <v>2</v>
      </c>
      <c r="N177" s="21"/>
      <c r="P177" s="5" t="s">
        <v>732</v>
      </c>
      <c r="Q177" s="5">
        <v>29.39999999999999</v>
      </c>
      <c r="R177" s="19" t="str">
        <f>vlookup(P177,'Player Codes'!A:D,4,)</f>
        <v>0256</v>
      </c>
      <c r="T177" s="5" t="s">
        <v>142</v>
      </c>
      <c r="U177" s="3">
        <v>4.0</v>
      </c>
      <c r="V177" s="19" t="str">
        <f>vlookup(T177,'Player Codes'!A:D,4,)</f>
        <v>0130</v>
      </c>
      <c r="W177" s="3"/>
      <c r="X177" s="5" t="s">
        <v>1374</v>
      </c>
      <c r="Y177" s="3">
        <v>4.0</v>
      </c>
      <c r="Z177" s="1" t="s">
        <v>505</v>
      </c>
      <c r="AA177" s="5" t="s">
        <v>757</v>
      </c>
    </row>
    <row r="178">
      <c r="A178" s="19" t="str">
        <f>vlookup(D178,'Player Codes'!A:D,4,)</f>
        <v>0230</v>
      </c>
      <c r="B178" s="20">
        <f t="shared" si="1"/>
        <v>0.125</v>
      </c>
      <c r="C178" s="5">
        <v>176.0</v>
      </c>
      <c r="D178" s="5" t="s">
        <v>436</v>
      </c>
      <c r="E178" s="5" t="s">
        <v>1080</v>
      </c>
      <c r="F178" s="5" t="s">
        <v>992</v>
      </c>
      <c r="G178" s="5">
        <v>7.0</v>
      </c>
      <c r="H178" s="5">
        <v>113.9</v>
      </c>
      <c r="I178" s="21">
        <f>vlookup(A178,'ESPN FF Rankings'!$C$2:$H$201,2,false)</f>
        <v>118</v>
      </c>
      <c r="J178" s="5">
        <f t="shared" si="2"/>
        <v>147</v>
      </c>
      <c r="K178" s="21">
        <f>vlookup(A178,'VORP SCORE'!$A$2:$I$301,9,)</f>
        <v>177</v>
      </c>
      <c r="L178" s="22">
        <f>vlookup(A178,'Risk Score'!$A$4:$H$350,8,)</f>
        <v>4</v>
      </c>
      <c r="M178" s="21">
        <f>vlookup(A178,FLEX!$D$2:$F$305,3,)</f>
        <v>3</v>
      </c>
      <c r="N178" s="21"/>
      <c r="P178" s="5" t="s">
        <v>823</v>
      </c>
      <c r="Q178" s="5">
        <v>29.5</v>
      </c>
      <c r="R178" s="19" t="str">
        <f>vlookup(P178,'Player Codes'!A:D,4,)</f>
        <v>0225</v>
      </c>
      <c r="T178" s="5" t="s">
        <v>217</v>
      </c>
      <c r="U178" s="3">
        <v>3.0</v>
      </c>
      <c r="V178" s="19" t="str">
        <f>vlookup(T178,'Player Codes'!A:D,4,)</f>
        <v>0131</v>
      </c>
      <c r="W178" s="3"/>
      <c r="X178" s="5" t="s">
        <v>539</v>
      </c>
      <c r="Y178" s="3">
        <v>2.0</v>
      </c>
      <c r="Z178" s="1" t="s">
        <v>434</v>
      </c>
      <c r="AA178" s="5" t="s">
        <v>536</v>
      </c>
    </row>
    <row r="179">
      <c r="A179" s="19" t="str">
        <f>vlookup(D179,'Player Codes'!A:D,4,)</f>
        <v>0262</v>
      </c>
      <c r="B179" s="20">
        <f t="shared" si="1"/>
        <v>0.123</v>
      </c>
      <c r="C179" s="5">
        <v>178.0</v>
      </c>
      <c r="D179" s="5" t="s">
        <v>443</v>
      </c>
      <c r="E179" s="5" t="s">
        <v>1082</v>
      </c>
      <c r="F179" s="5" t="s">
        <v>933</v>
      </c>
      <c r="G179" s="5">
        <v>10.0</v>
      </c>
      <c r="H179" s="5">
        <v>112.5</v>
      </c>
      <c r="I179" s="21">
        <f>vlookup(A179,'ESPN FF Rankings'!$C$2:$H$201,2,false)</f>
        <v>153</v>
      </c>
      <c r="J179" s="5">
        <f t="shared" si="2"/>
        <v>165.5</v>
      </c>
      <c r="K179" s="21">
        <f>vlookup(A179,'VORP SCORE'!$A$2:$I$301,9,)</f>
        <v>178</v>
      </c>
      <c r="L179" s="22">
        <f>vlookup(A179,'Risk Score'!$A$4:$H$350,8,)</f>
        <v>4</v>
      </c>
      <c r="M179" s="21">
        <f>vlookup(A179,FLEX!$D$2:$F$305,3,)</f>
        <v>3</v>
      </c>
      <c r="N179" s="21"/>
      <c r="P179" s="5" t="s">
        <v>567</v>
      </c>
      <c r="Q179" s="5">
        <v>-15.900000000000006</v>
      </c>
      <c r="R179" s="19" t="str">
        <f>vlookup(P179,'Player Codes'!A:D,4,)</f>
        <v>0064</v>
      </c>
      <c r="T179" s="5" t="s">
        <v>113</v>
      </c>
      <c r="U179" s="3">
        <v>3.0</v>
      </c>
      <c r="V179" s="19" t="str">
        <f>vlookup(T179,'Player Codes'!A:D,4,)</f>
        <v>0135</v>
      </c>
      <c r="W179" s="3"/>
      <c r="X179" s="5" t="s">
        <v>51</v>
      </c>
      <c r="Y179" s="3">
        <v>4.0</v>
      </c>
      <c r="Z179" s="1" t="s">
        <v>441</v>
      </c>
      <c r="AA179" s="5" t="s">
        <v>670</v>
      </c>
    </row>
    <row r="180">
      <c r="A180" s="19" t="str">
        <f>vlookup(D180,'Player Codes'!A:D,4,)</f>
        <v>0266</v>
      </c>
      <c r="B180" s="20">
        <f t="shared" si="1"/>
        <v>0.122</v>
      </c>
      <c r="C180" s="5">
        <v>179.0</v>
      </c>
      <c r="D180" s="5" t="s">
        <v>451</v>
      </c>
      <c r="E180" s="5" t="s">
        <v>1097</v>
      </c>
      <c r="F180" s="5" t="s">
        <v>942</v>
      </c>
      <c r="G180" s="5">
        <v>9.0</v>
      </c>
      <c r="H180" s="5">
        <v>112.2</v>
      </c>
      <c r="I180" s="21">
        <f>vlookup(A180,'ESPN FF Rankings'!$C$2:$H$201,2,false)</f>
        <v>166</v>
      </c>
      <c r="J180" s="5">
        <f t="shared" si="2"/>
        <v>172.5</v>
      </c>
      <c r="K180" s="21">
        <f>vlookup(A180,'VORP SCORE'!$A$2:$I$301,9,)</f>
        <v>179</v>
      </c>
      <c r="L180" s="22">
        <f>vlookup(A180,'Risk Score'!$A$4:$H$350,8,)</f>
        <v>2</v>
      </c>
      <c r="M180" s="21">
        <f>vlookup(A180,FLEX!$D$2:$F$305,3,)</f>
        <v>4</v>
      </c>
      <c r="N180" s="21"/>
      <c r="P180" s="5" t="s">
        <v>718</v>
      </c>
      <c r="Q180" s="5">
        <v>8.300000000000011</v>
      </c>
      <c r="R180" s="19" t="str">
        <f>vlookup(P180,'Player Codes'!A:D,4,)</f>
        <v>0203</v>
      </c>
      <c r="T180" s="5" t="s">
        <v>468</v>
      </c>
      <c r="U180" s="3">
        <v>5.0</v>
      </c>
      <c r="V180" s="19" t="str">
        <f>vlookup(T180,'Player Codes'!A:D,4,)</f>
        <v>0142</v>
      </c>
      <c r="W180" s="3"/>
      <c r="X180" s="2" t="s">
        <v>1467</v>
      </c>
      <c r="Y180" s="3">
        <v>4.0</v>
      </c>
      <c r="Z180" s="1" t="s">
        <v>448</v>
      </c>
      <c r="AA180" s="5" t="s">
        <v>386</v>
      </c>
    </row>
    <row r="181">
      <c r="A181" s="19" t="str">
        <f>vlookup(D181,'Player Codes'!A:D,4,)</f>
        <v>0299</v>
      </c>
      <c r="B181" s="20">
        <f t="shared" si="1"/>
        <v>0.121</v>
      </c>
      <c r="C181" s="5">
        <v>180.0</v>
      </c>
      <c r="D181" s="5" t="s">
        <v>526</v>
      </c>
      <c r="E181" s="5" t="s">
        <v>1084</v>
      </c>
      <c r="F181" s="5" t="s">
        <v>1007</v>
      </c>
      <c r="G181" s="5">
        <v>13.0</v>
      </c>
      <c r="H181" s="5">
        <v>110.8</v>
      </c>
      <c r="I181" s="21">
        <f>vlookup(A181,'ESPN FF Rankings'!$C$2:$H$201,2,false)</f>
        <v>147</v>
      </c>
      <c r="J181" s="5">
        <f t="shared" si="2"/>
        <v>163.5</v>
      </c>
      <c r="K181" s="21">
        <f>vlookup(A181,'VORP SCORE'!$A$2:$I$301,9,)</f>
        <v>180</v>
      </c>
      <c r="L181" s="22">
        <f>vlookup(A181,'Risk Score'!$A$4:$H$350,8,)</f>
        <v>2</v>
      </c>
      <c r="M181" s="21">
        <f>vlookup(A181,FLEX!$D$2:$F$305,3,)</f>
        <v>3</v>
      </c>
      <c r="N181" s="21"/>
      <c r="P181" s="5" t="s">
        <v>905</v>
      </c>
      <c r="Q181" s="5">
        <v>4.8999999999999915</v>
      </c>
      <c r="R181" s="19" t="str">
        <f>vlookup(P181,'Player Codes'!A:D,4,)</f>
        <v>0278</v>
      </c>
      <c r="T181" s="5" t="s">
        <v>98</v>
      </c>
      <c r="U181" s="3">
        <v>5.0</v>
      </c>
      <c r="V181" s="19" t="str">
        <f>vlookup(T181,'Player Codes'!A:D,4,)</f>
        <v>0143</v>
      </c>
      <c r="W181" s="3"/>
      <c r="X181" s="5" t="s">
        <v>317</v>
      </c>
      <c r="Y181" s="3">
        <v>3.0</v>
      </c>
      <c r="Z181" s="1" t="s">
        <v>523</v>
      </c>
      <c r="AA181" s="5" t="s">
        <v>1468</v>
      </c>
    </row>
    <row r="182">
      <c r="A182" s="19" t="str">
        <f>vlookup(D182,'Player Codes'!A:D,4,)</f>
        <v>0261</v>
      </c>
      <c r="B182" s="20">
        <f t="shared" si="1"/>
        <v>0.12</v>
      </c>
      <c r="C182" s="5">
        <v>181.0</v>
      </c>
      <c r="D182" s="2" t="s">
        <v>849</v>
      </c>
      <c r="E182" s="2" t="s">
        <v>1182</v>
      </c>
      <c r="F182" s="5" t="s">
        <v>946</v>
      </c>
      <c r="G182" s="5">
        <v>5.0</v>
      </c>
      <c r="H182" s="5">
        <v>110.7</v>
      </c>
      <c r="I182" s="21" t="str">
        <f>vlookup(A182,'ESPN FF Rankings'!$C$2:$H$201,2,false)</f>
        <v>#N/A</v>
      </c>
      <c r="J182" s="5" t="str">
        <f t="shared" si="2"/>
        <v>#N/A</v>
      </c>
      <c r="K182" s="21">
        <f>vlookup(A182,'VORP SCORE'!$A$2:$I$301,9,)</f>
        <v>181</v>
      </c>
      <c r="L182" s="24">
        <v>3.0</v>
      </c>
      <c r="M182" s="21" t="str">
        <f>vlookup(A182,FLEX!$D$2:$F$305,3,)</f>
        <v/>
      </c>
      <c r="N182" s="21"/>
      <c r="P182" s="5" t="s">
        <v>885</v>
      </c>
      <c r="Q182" s="5">
        <v>12.0</v>
      </c>
      <c r="R182" s="19" t="str">
        <f>vlookup(P182,'Player Codes'!A:D,4,)</f>
        <v>0231</v>
      </c>
      <c r="T182" s="5" t="s">
        <v>249</v>
      </c>
      <c r="U182" s="3">
        <v>3.0</v>
      </c>
      <c r="V182" s="19" t="str">
        <f>vlookup(T182,'Player Codes'!A:D,4,)</f>
        <v>0144</v>
      </c>
      <c r="W182" s="3"/>
      <c r="X182" s="2" t="s">
        <v>1469</v>
      </c>
      <c r="Y182" s="3">
        <v>4.0</v>
      </c>
      <c r="Z182" s="1" t="s">
        <v>593</v>
      </c>
      <c r="AA182" s="5" t="s">
        <v>727</v>
      </c>
    </row>
    <row r="183">
      <c r="A183" s="19" t="str">
        <f>vlookup(D183,'Player Codes'!A:D,4,)</f>
        <v>0048</v>
      </c>
      <c r="B183" s="20">
        <f t="shared" si="1"/>
        <v>0.119</v>
      </c>
      <c r="C183" s="5">
        <v>182.0</v>
      </c>
      <c r="D183" s="5" t="s">
        <v>646</v>
      </c>
      <c r="E183" s="5" t="s">
        <v>1081</v>
      </c>
      <c r="F183" s="5" t="s">
        <v>990</v>
      </c>
      <c r="G183" s="5">
        <v>7.0</v>
      </c>
      <c r="H183" s="5">
        <v>110.4</v>
      </c>
      <c r="I183" s="21">
        <f>vlookup(A183,'ESPN FF Rankings'!$C$2:$H$201,2,false)</f>
        <v>123</v>
      </c>
      <c r="J183" s="5">
        <f t="shared" si="2"/>
        <v>152.5</v>
      </c>
      <c r="K183" s="21">
        <f>vlookup(A183,'VORP SCORE'!$A$2:$I$301,9,)</f>
        <v>182</v>
      </c>
      <c r="L183" s="22">
        <f>vlookup(A183,'Risk Score'!$A$4:$H$350,8,)</f>
        <v>2</v>
      </c>
      <c r="M183" s="21">
        <f>vlookup(A183,FLEX!$D$2:$F$305,3,)</f>
        <v>2</v>
      </c>
      <c r="N183" s="21"/>
      <c r="P183" s="2" t="s">
        <v>673</v>
      </c>
      <c r="Q183" s="5">
        <v>-13.299999999999997</v>
      </c>
      <c r="R183" s="19" t="str">
        <f>vlookup(P183,'Player Codes'!A:D,4,)</f>
        <v>0121</v>
      </c>
      <c r="T183" s="5" t="s">
        <v>1463</v>
      </c>
      <c r="U183" s="3">
        <v>2.0</v>
      </c>
      <c r="V183" s="23">
        <v>0.0</v>
      </c>
      <c r="W183" s="3"/>
      <c r="X183" s="5" t="s">
        <v>344</v>
      </c>
      <c r="Y183" s="3">
        <v>2.0</v>
      </c>
      <c r="Z183" s="1" t="s">
        <v>596</v>
      </c>
      <c r="AA183" s="5" t="s">
        <v>139</v>
      </c>
    </row>
    <row r="184">
      <c r="A184" s="19" t="str">
        <f>vlookup(D184,'Player Codes'!A:D,4,)</f>
        <v>0163</v>
      </c>
      <c r="B184" s="20">
        <f t="shared" si="1"/>
        <v>0.118</v>
      </c>
      <c r="C184" s="5">
        <v>183.0</v>
      </c>
      <c r="D184" s="5" t="s">
        <v>539</v>
      </c>
      <c r="E184" s="5" t="s">
        <v>1183</v>
      </c>
      <c r="F184" s="5" t="s">
        <v>996</v>
      </c>
      <c r="G184" s="5">
        <v>7.0</v>
      </c>
      <c r="H184" s="5">
        <v>110.2</v>
      </c>
      <c r="I184" s="21" t="str">
        <f>vlookup(A184,'ESPN FF Rankings'!$C$2:$H$201,2,false)</f>
        <v>#N/A</v>
      </c>
      <c r="J184" s="5" t="str">
        <f t="shared" si="2"/>
        <v>#N/A</v>
      </c>
      <c r="K184" s="21">
        <f>vlookup(A184,'VORP SCORE'!$A$2:$I$301,9,)</f>
        <v>183</v>
      </c>
      <c r="L184" s="22">
        <f>vlookup(A184,'Risk Score'!$A$4:$H$350,8,)</f>
        <v>2</v>
      </c>
      <c r="M184" s="21">
        <f>vlookup(A184,FLEX!$D$2:$F$305,3,)</f>
        <v>3</v>
      </c>
      <c r="N184" s="21"/>
      <c r="P184" s="5" t="s">
        <v>807</v>
      </c>
      <c r="Q184" s="5">
        <v>30.299999999999997</v>
      </c>
      <c r="R184" s="19" t="str">
        <f>vlookup(P184,'Player Codes'!A:D,4,)</f>
        <v>0058</v>
      </c>
      <c r="T184" s="5" t="s">
        <v>260</v>
      </c>
      <c r="U184" s="3">
        <v>3.0</v>
      </c>
      <c r="V184" s="19" t="str">
        <f>vlookup(T184,'Player Codes'!A:D,4,)</f>
        <v>0149</v>
      </c>
      <c r="W184" s="3"/>
      <c r="X184" s="5" t="s">
        <v>1470</v>
      </c>
      <c r="Y184" s="3">
        <v>2.0</v>
      </c>
      <c r="Z184" s="1" t="s">
        <v>537</v>
      </c>
      <c r="AA184" s="5" t="s">
        <v>530</v>
      </c>
    </row>
    <row r="185">
      <c r="A185" s="19" t="str">
        <f>vlookup(D185,'Player Codes'!A:D,4,)</f>
        <v>0300</v>
      </c>
      <c r="B185" s="20">
        <f t="shared" si="1"/>
        <v>0.117</v>
      </c>
      <c r="C185" s="5">
        <v>184.0</v>
      </c>
      <c r="D185" s="5" t="s">
        <v>454</v>
      </c>
      <c r="E185" s="5" t="s">
        <v>1086</v>
      </c>
      <c r="F185" s="5" t="s">
        <v>942</v>
      </c>
      <c r="G185" s="5">
        <v>9.0</v>
      </c>
      <c r="H185" s="5">
        <v>108.8</v>
      </c>
      <c r="I185" s="21">
        <f>vlookup(A185,'ESPN FF Rankings'!$C$2:$H$201,2,false)</f>
        <v>164</v>
      </c>
      <c r="J185" s="5">
        <f t="shared" si="2"/>
        <v>174</v>
      </c>
      <c r="K185" s="21">
        <f>vlookup(A185,'VORP SCORE'!$A$2:$I$301,9,)</f>
        <v>184</v>
      </c>
      <c r="L185" s="22">
        <f>vlookup(A185,'Risk Score'!$A$4:$H$350,8,)</f>
        <v>4</v>
      </c>
      <c r="M185" s="21">
        <f>vlookup(A185,FLEX!$D$2:$F$305,3,)</f>
        <v>3</v>
      </c>
      <c r="N185" s="21"/>
      <c r="P185" s="5" t="s">
        <v>536</v>
      </c>
      <c r="Q185" s="5">
        <v>28.60000000000001</v>
      </c>
      <c r="R185" s="19" t="str">
        <f>vlookup(P185,'Player Codes'!A:D,4,)</f>
        <v>0177</v>
      </c>
      <c r="T185" s="5" t="s">
        <v>422</v>
      </c>
      <c r="U185" s="3">
        <v>3.0</v>
      </c>
      <c r="V185" s="19" t="str">
        <f>vlookup(T185,'Player Codes'!A:D,4,)</f>
        <v>0153</v>
      </c>
      <c r="W185" s="3"/>
      <c r="X185" s="5" t="s">
        <v>251</v>
      </c>
      <c r="Y185" s="3">
        <v>3.0</v>
      </c>
      <c r="Z185" s="1" t="s">
        <v>452</v>
      </c>
      <c r="AA185" s="5" t="s">
        <v>810</v>
      </c>
    </row>
    <row r="186">
      <c r="A186" s="19" t="str">
        <f>vlookup(D186,'Player Codes'!A:D,4,)</f>
        <v>0127</v>
      </c>
      <c r="B186" s="20">
        <f t="shared" si="1"/>
        <v>0.116</v>
      </c>
      <c r="C186" s="5">
        <v>185.0</v>
      </c>
      <c r="D186" s="2" t="s">
        <v>858</v>
      </c>
      <c r="E186" s="2" t="s">
        <v>1184</v>
      </c>
      <c r="F186" s="5" t="s">
        <v>961</v>
      </c>
      <c r="G186" s="5">
        <v>11.0</v>
      </c>
      <c r="H186" s="5">
        <v>107.6</v>
      </c>
      <c r="I186" s="21" t="str">
        <f>vlookup(A186,'ESPN FF Rankings'!$C$2:$H$201,2,false)</f>
        <v>#N/A</v>
      </c>
      <c r="J186" s="5" t="str">
        <f t="shared" si="2"/>
        <v>#N/A</v>
      </c>
      <c r="K186" s="21">
        <f>vlookup(A186,'VORP SCORE'!$A$2:$I$301,9,)</f>
        <v>185</v>
      </c>
      <c r="L186" s="24">
        <v>3.0</v>
      </c>
      <c r="M186" s="21" t="str">
        <f>vlookup(A186,FLEX!$D$2:$F$305,3,)</f>
        <v/>
      </c>
      <c r="N186" s="21"/>
      <c r="P186" s="5" t="s">
        <v>306</v>
      </c>
      <c r="Q186" s="5">
        <v>131.10000000000002</v>
      </c>
      <c r="R186" s="19" t="str">
        <f>vlookup(P186,'Player Codes'!A:D,4,)</f>
        <v>0030</v>
      </c>
      <c r="T186" s="5" t="s">
        <v>440</v>
      </c>
      <c r="U186" s="3">
        <v>5.0</v>
      </c>
      <c r="V186" s="19" t="str">
        <f>vlookup(T186,'Player Codes'!A:D,4,)</f>
        <v>0154</v>
      </c>
      <c r="W186" s="3"/>
      <c r="X186" s="5" t="s">
        <v>1378</v>
      </c>
      <c r="Y186" s="3">
        <v>3.0</v>
      </c>
      <c r="Z186" s="1" t="s">
        <v>605</v>
      </c>
      <c r="AA186" s="5" t="s">
        <v>510</v>
      </c>
    </row>
    <row r="187">
      <c r="A187" s="19" t="str">
        <f>vlookup(D187,'Player Codes'!A:D,4,)</f>
        <v>0092</v>
      </c>
      <c r="B187" s="20">
        <f t="shared" si="1"/>
        <v>0.115</v>
      </c>
      <c r="C187" s="5">
        <v>186.0</v>
      </c>
      <c r="D187" s="2" t="s">
        <v>862</v>
      </c>
      <c r="E187" s="2" t="s">
        <v>1185</v>
      </c>
      <c r="F187" s="5" t="s">
        <v>965</v>
      </c>
      <c r="G187" s="5">
        <v>9.0</v>
      </c>
      <c r="H187" s="5">
        <v>107.3</v>
      </c>
      <c r="I187" s="21" t="str">
        <f>vlookup(A187,'ESPN FF Rankings'!$C$2:$H$201,2,false)</f>
        <v>#N/A</v>
      </c>
      <c r="J187" s="5" t="str">
        <f t="shared" si="2"/>
        <v>#N/A</v>
      </c>
      <c r="K187" s="21">
        <f>vlookup(A187,'VORP SCORE'!$A$2:$I$301,9,)</f>
        <v>186</v>
      </c>
      <c r="L187" s="24">
        <v>3.0</v>
      </c>
      <c r="M187" s="21" t="str">
        <f>vlookup(A187,FLEX!$D$2:$F$305,3,)</f>
        <v/>
      </c>
      <c r="N187" s="21"/>
      <c r="P187" s="5" t="s">
        <v>1471</v>
      </c>
      <c r="Q187" s="2">
        <v>0.0</v>
      </c>
      <c r="R187" s="19" t="str">
        <f>vlookup(P187,'Player Codes'!A:D,4,)</f>
        <v>0303</v>
      </c>
      <c r="T187" s="5" t="s">
        <v>426</v>
      </c>
      <c r="U187" s="3">
        <v>4.0</v>
      </c>
      <c r="V187" s="19" t="str">
        <f>vlookup(T187,'Player Codes'!A:D,4,)</f>
        <v>0155</v>
      </c>
      <c r="W187" s="3"/>
      <c r="X187" s="5" t="s">
        <v>43</v>
      </c>
      <c r="Y187" s="3">
        <v>4.0</v>
      </c>
      <c r="Z187" s="1" t="s">
        <v>608</v>
      </c>
      <c r="AA187" s="5" t="s">
        <v>128</v>
      </c>
    </row>
    <row r="188">
      <c r="A188" s="19" t="str">
        <f>vlookup(D188,'Player Codes'!A:D,4,)</f>
        <v>0197</v>
      </c>
      <c r="B188" s="20">
        <f t="shared" si="1"/>
        <v>0.114</v>
      </c>
      <c r="C188" s="5">
        <v>187.0</v>
      </c>
      <c r="D188" s="2" t="s">
        <v>865</v>
      </c>
      <c r="E188" s="2" t="s">
        <v>1186</v>
      </c>
      <c r="F188" s="5" t="s">
        <v>938</v>
      </c>
      <c r="G188" s="5">
        <v>5.0</v>
      </c>
      <c r="H188" s="5">
        <v>107.1</v>
      </c>
      <c r="I188" s="21" t="str">
        <f>vlookup(A188,'ESPN FF Rankings'!$C$2:$H$201,2,false)</f>
        <v>#N/A</v>
      </c>
      <c r="J188" s="5" t="str">
        <f t="shared" si="2"/>
        <v>#N/A</v>
      </c>
      <c r="K188" s="21">
        <f>vlookup(A188,'VORP SCORE'!$A$2:$I$301,9,)</f>
        <v>187</v>
      </c>
      <c r="L188" s="24">
        <v>3.0</v>
      </c>
      <c r="M188" s="21" t="str">
        <f>vlookup(A188,FLEX!$D$2:$F$305,3,)</f>
        <v/>
      </c>
      <c r="N188" s="21"/>
      <c r="P188" s="5" t="s">
        <v>612</v>
      </c>
      <c r="Q188" s="5">
        <v>14.400000000000006</v>
      </c>
      <c r="R188" s="19" t="str">
        <f>vlookup(P188,'Player Codes'!A:D,4,)</f>
        <v>0295</v>
      </c>
      <c r="T188" s="5" t="s">
        <v>558</v>
      </c>
      <c r="U188" s="3">
        <v>3.0</v>
      </c>
      <c r="V188" s="19" t="str">
        <f>vlookup(T188,'Player Codes'!A:D,4,)</f>
        <v>0156</v>
      </c>
      <c r="W188" s="3"/>
      <c r="X188" s="2" t="s">
        <v>1472</v>
      </c>
      <c r="Y188" s="3">
        <v>3.0</v>
      </c>
      <c r="Z188" s="1" t="s">
        <v>611</v>
      </c>
      <c r="AA188" s="5" t="s">
        <v>334</v>
      </c>
    </row>
    <row r="189">
      <c r="A189" s="19" t="str">
        <f>vlookup(D189,'Player Codes'!A:D,4,)</f>
        <v>0265</v>
      </c>
      <c r="B189" s="20">
        <f t="shared" si="1"/>
        <v>0.113</v>
      </c>
      <c r="C189" s="5">
        <v>188.0</v>
      </c>
      <c r="D189" s="2" t="s">
        <v>867</v>
      </c>
      <c r="E189" s="2" t="s">
        <v>1187</v>
      </c>
      <c r="F189" s="5" t="s">
        <v>1024</v>
      </c>
      <c r="G189" s="5">
        <v>5.0</v>
      </c>
      <c r="H189" s="5">
        <v>106.6</v>
      </c>
      <c r="I189" s="21" t="str">
        <f>vlookup(A189,'ESPN FF Rankings'!$C$2:$H$201,2,false)</f>
        <v>#N/A</v>
      </c>
      <c r="J189" s="5" t="str">
        <f t="shared" si="2"/>
        <v>#N/A</v>
      </c>
      <c r="K189" s="21">
        <f>vlookup(A189,'VORP SCORE'!$A$2:$I$301,9,)</f>
        <v>188</v>
      </c>
      <c r="L189" s="24">
        <v>3.0</v>
      </c>
      <c r="M189" s="21" t="str">
        <f>vlookup(A189,FLEX!$D$2:$F$305,3,)</f>
        <v/>
      </c>
      <c r="N189" s="21"/>
      <c r="P189" s="5" t="s">
        <v>880</v>
      </c>
      <c r="Q189" s="5">
        <v>17.700000000000003</v>
      </c>
      <c r="R189" s="19" t="str">
        <f>vlookup(P189,'Player Codes'!A:D,4,)</f>
        <v>0087</v>
      </c>
      <c r="T189" s="5" t="s">
        <v>55</v>
      </c>
      <c r="U189" s="3">
        <v>5.0</v>
      </c>
      <c r="V189" s="19" t="str">
        <f>vlookup(T189,'Player Codes'!A:D,4,)</f>
        <v>0160</v>
      </c>
      <c r="W189" s="3"/>
      <c r="X189" s="5" t="s">
        <v>1380</v>
      </c>
      <c r="Y189" s="3">
        <v>3.0</v>
      </c>
      <c r="Z189" s="1" t="s">
        <v>614</v>
      </c>
      <c r="AA189" s="5" t="s">
        <v>225</v>
      </c>
    </row>
    <row r="190">
      <c r="A190" s="19" t="str">
        <f>vlookup(D190,'Player Codes'!A:D,4,)</f>
        <v>0153</v>
      </c>
      <c r="B190" s="20">
        <f t="shared" si="1"/>
        <v>0.112</v>
      </c>
      <c r="C190" s="5">
        <v>189.0</v>
      </c>
      <c r="D190" s="5" t="s">
        <v>422</v>
      </c>
      <c r="E190" s="5" t="s">
        <v>1112</v>
      </c>
      <c r="F190" s="5" t="s">
        <v>985</v>
      </c>
      <c r="G190" s="5">
        <v>6.0</v>
      </c>
      <c r="H190" s="5">
        <v>106.3</v>
      </c>
      <c r="I190" s="21">
        <f>vlookup(A190,'ESPN FF Rankings'!$C$2:$H$201,2,false)</f>
        <v>125</v>
      </c>
      <c r="J190" s="5">
        <f t="shared" si="2"/>
        <v>157</v>
      </c>
      <c r="K190" s="21">
        <f>vlookup(A190,'VORP SCORE'!$A$2:$I$301,9,)</f>
        <v>189</v>
      </c>
      <c r="L190" s="22">
        <f>vlookup(A190,'Risk Score'!$A$4:$H$350,8,)</f>
        <v>3</v>
      </c>
      <c r="M190" s="21">
        <f>vlookup(A190,FLEX!$D$2:$F$305,3,)</f>
        <v>4</v>
      </c>
      <c r="N190" s="21"/>
      <c r="P190" s="5" t="s">
        <v>745</v>
      </c>
      <c r="Q190" s="5">
        <v>6.800000000000011</v>
      </c>
      <c r="R190" s="19" t="str">
        <f>vlookup(P190,'Player Codes'!A:D,4,)</f>
        <v>0126</v>
      </c>
      <c r="T190" s="5" t="s">
        <v>1466</v>
      </c>
      <c r="U190" s="3">
        <v>3.0</v>
      </c>
      <c r="V190" s="23">
        <v>0.0</v>
      </c>
      <c r="W190" s="3"/>
      <c r="X190" s="2" t="s">
        <v>817</v>
      </c>
      <c r="Y190" s="3">
        <v>3.0</v>
      </c>
      <c r="Z190" s="1" t="s">
        <v>420</v>
      </c>
      <c r="AA190" s="5" t="s">
        <v>655</v>
      </c>
    </row>
    <row r="191">
      <c r="A191" s="19" t="str">
        <f>vlookup(D191,'Player Codes'!A:D,4,)</f>
        <v>0213</v>
      </c>
      <c r="B191" s="20">
        <f t="shared" si="1"/>
        <v>0.111</v>
      </c>
      <c r="C191" s="5">
        <v>190.0</v>
      </c>
      <c r="D191" s="5" t="s">
        <v>472</v>
      </c>
      <c r="E191" s="5" t="s">
        <v>1089</v>
      </c>
      <c r="F191" s="5" t="s">
        <v>952</v>
      </c>
      <c r="G191" s="5">
        <v>7.0</v>
      </c>
      <c r="H191" s="5">
        <v>105.9</v>
      </c>
      <c r="I191" s="21">
        <f>vlookup(A191,'ESPN FF Rankings'!$C$2:$H$201,2,false)</f>
        <v>156</v>
      </c>
      <c r="J191" s="5">
        <f t="shared" si="2"/>
        <v>173</v>
      </c>
      <c r="K191" s="21">
        <f>vlookup(A191,'VORP SCORE'!$A$2:$I$301,9,)</f>
        <v>190</v>
      </c>
      <c r="L191" s="22">
        <f>vlookup(A191,'Risk Score'!$A$4:$H$350,8,)</f>
        <v>4</v>
      </c>
      <c r="M191" s="21">
        <f>vlookup(A191,FLEX!$D$2:$F$305,3,)</f>
        <v>3</v>
      </c>
      <c r="N191" s="21"/>
      <c r="P191" s="5" t="s">
        <v>688</v>
      </c>
      <c r="Q191" s="5">
        <v>6.900000000000006</v>
      </c>
      <c r="R191" s="19" t="str">
        <f>vlookup(P191,'Player Codes'!A:D,4,)</f>
        <v>0116</v>
      </c>
      <c r="T191" s="5" t="s">
        <v>51</v>
      </c>
      <c r="U191" s="3">
        <v>4.0</v>
      </c>
      <c r="V191" s="19" t="str">
        <f>vlookup(T191,'Player Codes'!A:D,4,)</f>
        <v>0164</v>
      </c>
      <c r="W191" s="3"/>
      <c r="X191" s="5" t="s">
        <v>1473</v>
      </c>
      <c r="Y191" s="3">
        <v>3.0</v>
      </c>
      <c r="Z191" s="1" t="s">
        <v>469</v>
      </c>
      <c r="AA191" s="5" t="s">
        <v>237</v>
      </c>
    </row>
    <row r="192">
      <c r="A192" s="19" t="str">
        <f>vlookup(D192,'Player Codes'!A:D,4,)</f>
        <v>0099</v>
      </c>
      <c r="B192" s="20">
        <f t="shared" si="1"/>
        <v>0.11</v>
      </c>
      <c r="C192" s="5">
        <v>191.0</v>
      </c>
      <c r="D192" s="5" t="s">
        <v>504</v>
      </c>
      <c r="E192" s="5" t="s">
        <v>1090</v>
      </c>
      <c r="F192" s="5" t="s">
        <v>996</v>
      </c>
      <c r="G192" s="5">
        <v>7.0</v>
      </c>
      <c r="H192" s="5">
        <v>105.8</v>
      </c>
      <c r="I192" s="21">
        <f>vlookup(A192,'ESPN FF Rankings'!$C$2:$H$201,2,false)</f>
        <v>150</v>
      </c>
      <c r="J192" s="5">
        <f t="shared" si="2"/>
        <v>170.5</v>
      </c>
      <c r="K192" s="21">
        <f>vlookup(A192,'VORP SCORE'!$A$2:$I$301,9,)</f>
        <v>191</v>
      </c>
      <c r="L192" s="24">
        <v>3.0</v>
      </c>
      <c r="M192" s="21">
        <f>vlookup(A192,FLEX!$D$2:$F$305,3,)</f>
        <v>3</v>
      </c>
      <c r="N192" s="21"/>
      <c r="P192" s="5" t="s">
        <v>1473</v>
      </c>
      <c r="Q192" s="2">
        <v>0.0</v>
      </c>
      <c r="R192" s="19" t="str">
        <f>vlookup(P192,'Player Codes'!A:D,4,)</f>
        <v>0304</v>
      </c>
      <c r="T192" s="5" t="s">
        <v>1470</v>
      </c>
      <c r="U192" s="3">
        <v>2.0</v>
      </c>
      <c r="V192" s="23">
        <v>0.0</v>
      </c>
      <c r="W192" s="3"/>
      <c r="X192" s="2" t="s">
        <v>1474</v>
      </c>
      <c r="Y192" s="3">
        <v>4.0</v>
      </c>
      <c r="Z192" s="1" t="s">
        <v>501</v>
      </c>
      <c r="AA192" s="5" t="s">
        <v>433</v>
      </c>
    </row>
    <row r="193">
      <c r="A193" s="19" t="str">
        <f>vlookup(D193,'Player Codes'!A:D,4,)</f>
        <v>0222</v>
      </c>
      <c r="B193" s="20">
        <f t="shared" si="1"/>
        <v>0.109</v>
      </c>
      <c r="C193" s="5">
        <v>192.0</v>
      </c>
      <c r="D193" s="2" t="s">
        <v>874</v>
      </c>
      <c r="E193" s="2" t="s">
        <v>1188</v>
      </c>
      <c r="F193" s="5" t="s">
        <v>950</v>
      </c>
      <c r="G193" s="5">
        <v>13.0</v>
      </c>
      <c r="H193" s="5">
        <v>105.7</v>
      </c>
      <c r="I193" s="21" t="str">
        <f>vlookup(A193,'ESPN FF Rankings'!$C$2:$H$201,2,false)</f>
        <v>#N/A</v>
      </c>
      <c r="J193" s="5" t="str">
        <f t="shared" si="2"/>
        <v>#N/A</v>
      </c>
      <c r="K193" s="21">
        <f>vlookup(A193,'VORP SCORE'!$A$2:$I$301,9,)</f>
        <v>192</v>
      </c>
      <c r="L193" s="24">
        <v>3.0</v>
      </c>
      <c r="M193" s="21" t="str">
        <f>vlookup(A193,FLEX!$D$2:$F$305,3,)</f>
        <v/>
      </c>
      <c r="N193" s="21"/>
      <c r="P193" s="5" t="s">
        <v>346</v>
      </c>
      <c r="Q193" s="5">
        <v>132.7</v>
      </c>
      <c r="R193" s="19" t="str">
        <f>vlookup(P193,'Player Codes'!A:D,4,)</f>
        <v>0032</v>
      </c>
      <c r="T193" s="5" t="s">
        <v>43</v>
      </c>
      <c r="U193" s="3">
        <v>4.0</v>
      </c>
      <c r="V193" s="19" t="str">
        <f>vlookup(T193,'Player Codes'!A:D,4,)</f>
        <v>0168</v>
      </c>
      <c r="W193" s="3"/>
      <c r="X193" s="5" t="s">
        <v>358</v>
      </c>
      <c r="Y193" s="3">
        <v>5.0</v>
      </c>
      <c r="Z193" s="1" t="s">
        <v>626</v>
      </c>
      <c r="AA193" s="5" t="s">
        <v>878</v>
      </c>
    </row>
    <row r="194">
      <c r="A194" s="19" t="str">
        <f>vlookup(D194,'Player Codes'!A:D,4,)</f>
        <v>0117</v>
      </c>
      <c r="B194" s="20">
        <f t="shared" si="1"/>
        <v>0.108</v>
      </c>
      <c r="C194" s="5">
        <v>193.0</v>
      </c>
      <c r="D194" s="2" t="s">
        <v>876</v>
      </c>
      <c r="E194" s="2" t="s">
        <v>1189</v>
      </c>
      <c r="F194" s="5" t="s">
        <v>988</v>
      </c>
      <c r="G194" s="5">
        <v>6.0</v>
      </c>
      <c r="H194" s="5">
        <v>105.3</v>
      </c>
      <c r="I194" s="21" t="str">
        <f>vlookup(A194,'ESPN FF Rankings'!$C$2:$H$201,2,false)</f>
        <v>#N/A</v>
      </c>
      <c r="J194" s="5" t="str">
        <f t="shared" si="2"/>
        <v>#N/A</v>
      </c>
      <c r="K194" s="21">
        <f>vlookup(A194,'VORP SCORE'!$A$2:$I$301,9,)</f>
        <v>193</v>
      </c>
      <c r="L194" s="24">
        <v>3.0</v>
      </c>
      <c r="M194" s="21" t="str">
        <f>vlookup(A194,FLEX!$D$2:$F$305,3,)</f>
        <v/>
      </c>
      <c r="N194" s="21"/>
      <c r="P194" s="5" t="s">
        <v>819</v>
      </c>
      <c r="Q194" s="5">
        <v>29.700000000000003</v>
      </c>
      <c r="R194" s="19" t="str">
        <f>vlookup(P194,'Player Codes'!A:D,4,)</f>
        <v>0227</v>
      </c>
      <c r="T194" s="5" t="s">
        <v>1473</v>
      </c>
      <c r="U194" s="3">
        <v>3.0</v>
      </c>
      <c r="V194" s="19" t="str">
        <f>vlookup(T194,'Player Codes'!A:D,4,)</f>
        <v>0304</v>
      </c>
      <c r="W194" s="3"/>
      <c r="X194" s="5" t="s">
        <v>1475</v>
      </c>
      <c r="Y194" s="3">
        <v>2.0</v>
      </c>
      <c r="Z194" s="1" t="s">
        <v>630</v>
      </c>
      <c r="AA194" s="5" t="s">
        <v>352</v>
      </c>
    </row>
    <row r="195">
      <c r="A195" s="19" t="str">
        <f>vlookup(D195,'Player Codes'!A:D,4,)</f>
        <v>0232</v>
      </c>
      <c r="B195" s="20">
        <f t="shared" si="1"/>
        <v>0.107</v>
      </c>
      <c r="C195" s="5">
        <v>194.0</v>
      </c>
      <c r="D195" s="5" t="s">
        <v>430</v>
      </c>
      <c r="E195" s="5" t="s">
        <v>1093</v>
      </c>
      <c r="F195" s="5" t="s">
        <v>1007</v>
      </c>
      <c r="G195" s="5">
        <v>13.0</v>
      </c>
      <c r="H195" s="5">
        <v>104.7</v>
      </c>
      <c r="I195" s="21">
        <f>vlookup(A195,'ESPN FF Rankings'!$C$2:$H$201,2,false)</f>
        <v>169</v>
      </c>
      <c r="J195" s="5">
        <f t="shared" si="2"/>
        <v>181.5</v>
      </c>
      <c r="K195" s="21">
        <f>vlookup(A195,'VORP SCORE'!$A$2:$I$301,9,)</f>
        <v>194</v>
      </c>
      <c r="L195" s="22">
        <f>vlookup(A195,'Risk Score'!$A$4:$H$350,8,)</f>
        <v>5</v>
      </c>
      <c r="M195" s="21">
        <f>vlookup(A195,FLEX!$D$2:$F$305,3,)</f>
        <v>3</v>
      </c>
      <c r="N195" s="21"/>
      <c r="P195" s="5" t="s">
        <v>520</v>
      </c>
      <c r="Q195" s="5">
        <v>25.599999999999994</v>
      </c>
      <c r="R195" s="19" t="str">
        <f>vlookup(P195,'Player Codes'!A:D,4,)</f>
        <v>0147</v>
      </c>
      <c r="T195" s="5" t="s">
        <v>1475</v>
      </c>
      <c r="U195" s="3">
        <v>2.0</v>
      </c>
      <c r="V195" s="23">
        <v>0.0</v>
      </c>
      <c r="W195" s="3"/>
      <c r="X195" s="2" t="s">
        <v>222</v>
      </c>
      <c r="Y195" s="3">
        <v>4.0</v>
      </c>
      <c r="Z195" s="1" t="s">
        <v>427</v>
      </c>
      <c r="AA195" s="5" t="s">
        <v>458</v>
      </c>
    </row>
    <row r="196">
      <c r="A196" s="19" t="str">
        <f>vlookup(D196,'Player Codes'!A:D,4,)</f>
        <v>0252</v>
      </c>
      <c r="B196" s="20">
        <f t="shared" si="1"/>
        <v>0.106</v>
      </c>
      <c r="C196" s="5">
        <v>195.0</v>
      </c>
      <c r="D196" s="5" t="s">
        <v>447</v>
      </c>
      <c r="E196" s="5" t="s">
        <v>1190</v>
      </c>
      <c r="F196" s="5" t="s">
        <v>940</v>
      </c>
      <c r="G196" s="5">
        <v>13.0</v>
      </c>
      <c r="H196" s="5">
        <v>104.6</v>
      </c>
      <c r="I196" s="21" t="str">
        <f>vlookup(A196,'ESPN FF Rankings'!$C$2:$H$201,2,false)</f>
        <v>#N/A</v>
      </c>
      <c r="J196" s="5" t="str">
        <f t="shared" si="2"/>
        <v>#N/A</v>
      </c>
      <c r="K196" s="21">
        <f>vlookup(A196,'VORP SCORE'!$A$2:$I$301,9,)</f>
        <v>195</v>
      </c>
      <c r="L196" s="24">
        <v>3.0</v>
      </c>
      <c r="M196" s="21">
        <f>vlookup(A196,FLEX!$D$2:$F$305,3,)</f>
        <v>4</v>
      </c>
      <c r="N196" s="21"/>
      <c r="P196" s="5" t="s">
        <v>482</v>
      </c>
      <c r="Q196" s="5">
        <v>29.0</v>
      </c>
      <c r="R196" s="19" t="str">
        <f>vlookup(P196,'Player Codes'!A:D,4,)</f>
        <v>0066</v>
      </c>
      <c r="T196" s="5" t="s">
        <v>1476</v>
      </c>
      <c r="U196" s="3">
        <v>4.0</v>
      </c>
      <c r="V196" s="23">
        <v>0.0</v>
      </c>
      <c r="W196" s="3"/>
      <c r="X196" s="5" t="s">
        <v>219</v>
      </c>
      <c r="Y196" s="3">
        <v>4.0</v>
      </c>
      <c r="Z196" s="1" t="s">
        <v>444</v>
      </c>
      <c r="AA196" s="5" t="s">
        <v>211</v>
      </c>
    </row>
    <row r="197">
      <c r="A197" s="19" t="str">
        <f>vlookup(D197,'Player Codes'!A:D,4,)</f>
        <v>0083</v>
      </c>
      <c r="B197" s="20">
        <f t="shared" si="1"/>
        <v>0.105</v>
      </c>
      <c r="C197" s="5">
        <v>196.0</v>
      </c>
      <c r="D197" s="5" t="s">
        <v>580</v>
      </c>
      <c r="E197" s="5" t="s">
        <v>1091</v>
      </c>
      <c r="F197" s="5" t="s">
        <v>944</v>
      </c>
      <c r="G197" s="5">
        <v>5.0</v>
      </c>
      <c r="H197" s="5">
        <v>103.5</v>
      </c>
      <c r="I197" s="21">
        <f>vlookup(A197,'ESPN FF Rankings'!$C$2:$H$201,2,false)</f>
        <v>94</v>
      </c>
      <c r="J197" s="5">
        <f t="shared" si="2"/>
        <v>145</v>
      </c>
      <c r="K197" s="21">
        <f>vlookup(A197,'VORP SCORE'!$A$2:$I$301,9,)</f>
        <v>196</v>
      </c>
      <c r="L197" s="22">
        <f>vlookup(A197,'Risk Score'!$A$4:$H$350,8,)</f>
        <v>4</v>
      </c>
      <c r="M197" s="21">
        <f>vlookup(A197,FLEX!$D$2:$F$305,3,)</f>
        <v>2</v>
      </c>
      <c r="N197" s="21"/>
      <c r="P197" s="5" t="s">
        <v>194</v>
      </c>
      <c r="Q197" s="5">
        <v>123.39999999999999</v>
      </c>
      <c r="R197" s="19" t="str">
        <f>vlookup(P197,'Player Codes'!A:D,4,)</f>
        <v>0158</v>
      </c>
      <c r="T197" s="5" t="s">
        <v>1477</v>
      </c>
      <c r="U197" s="3">
        <v>3.0</v>
      </c>
      <c r="V197" s="23">
        <v>0.0</v>
      </c>
      <c r="W197" s="3"/>
      <c r="X197" s="5" t="s">
        <v>95</v>
      </c>
      <c r="Y197" s="3">
        <v>3.0</v>
      </c>
      <c r="Z197" s="1" t="s">
        <v>578</v>
      </c>
      <c r="AA197" s="5" t="s">
        <v>1478</v>
      </c>
    </row>
    <row r="198">
      <c r="A198" s="19" t="str">
        <f>vlookup(D198,'Player Codes'!A:D,4,)</f>
        <v>0087</v>
      </c>
      <c r="B198" s="20">
        <f t="shared" si="1"/>
        <v>0.104</v>
      </c>
      <c r="C198" s="5">
        <v>197.0</v>
      </c>
      <c r="D198" s="2" t="s">
        <v>880</v>
      </c>
      <c r="E198" s="2" t="s">
        <v>1124</v>
      </c>
      <c r="F198" s="5" t="s">
        <v>976</v>
      </c>
      <c r="G198" s="5">
        <v>9.0</v>
      </c>
      <c r="H198" s="5">
        <v>103.4</v>
      </c>
      <c r="I198" s="21">
        <f>vlookup(A198,'ESPN FF Rankings'!$C$2:$H$201,2,false)</f>
        <v>188</v>
      </c>
      <c r="J198" s="5">
        <f t="shared" si="2"/>
        <v>192.5</v>
      </c>
      <c r="K198" s="21">
        <f>vlookup(A198,'VORP SCORE'!$A$2:$I$301,9,)</f>
        <v>197</v>
      </c>
      <c r="L198" s="24">
        <v>3.0</v>
      </c>
      <c r="M198" s="21" t="str">
        <f>vlookup(A198,FLEX!$D$2:$F$305,3,)</f>
        <v/>
      </c>
      <c r="N198" s="21"/>
      <c r="P198" s="2" t="s">
        <v>668</v>
      </c>
      <c r="Q198" s="5">
        <v>-12.299999999999997</v>
      </c>
      <c r="R198" s="19" t="str">
        <f>vlookup(P198,'Player Codes'!A:D,4,)</f>
        <v>0060</v>
      </c>
      <c r="T198" s="5" t="s">
        <v>530</v>
      </c>
      <c r="U198" s="3">
        <v>3.0</v>
      </c>
      <c r="V198" s="19" t="str">
        <f>vlookup(T198,'Player Codes'!A:D,4,)</f>
        <v>0183</v>
      </c>
      <c r="W198" s="3"/>
      <c r="X198" s="5" t="s">
        <v>1386</v>
      </c>
      <c r="Y198" s="3">
        <v>3.0</v>
      </c>
      <c r="Z198" s="1" t="s">
        <v>639</v>
      </c>
      <c r="AA198" s="5" t="s">
        <v>1479</v>
      </c>
    </row>
    <row r="199">
      <c r="A199" s="19" t="str">
        <f>vlookup(D199,'Player Codes'!A:D,4,)</f>
        <v>0286</v>
      </c>
      <c r="B199" s="20">
        <f t="shared" si="1"/>
        <v>0.103</v>
      </c>
      <c r="C199" s="5">
        <v>198.0</v>
      </c>
      <c r="D199" s="5" t="s">
        <v>486</v>
      </c>
      <c r="E199" s="5" t="s">
        <v>1095</v>
      </c>
      <c r="F199" s="5" t="s">
        <v>935</v>
      </c>
      <c r="G199" s="5">
        <v>7.0</v>
      </c>
      <c r="H199" s="5">
        <v>103.0</v>
      </c>
      <c r="I199" s="21">
        <f>vlookup(A199,'ESPN FF Rankings'!$C$2:$H$201,2,false)</f>
        <v>163</v>
      </c>
      <c r="J199" s="5">
        <f t="shared" si="2"/>
        <v>180.5</v>
      </c>
      <c r="K199" s="21">
        <f>vlookup(A199,'VORP SCORE'!$A$2:$I$301,9,)</f>
        <v>198</v>
      </c>
      <c r="L199" s="22">
        <f>vlookup(A199,'Risk Score'!$A$4:$H$350,8,)</f>
        <v>4</v>
      </c>
      <c r="M199" s="21">
        <f>vlookup(A199,FLEX!$D$2:$F$305,3,)</f>
        <v>3</v>
      </c>
      <c r="N199" s="21"/>
      <c r="P199" s="2" t="s">
        <v>627</v>
      </c>
      <c r="Q199" s="5">
        <v>12.200000000000003</v>
      </c>
      <c r="R199" s="19" t="str">
        <f>vlookup(P199,'Player Codes'!A:D,4,)</f>
        <v>0249</v>
      </c>
      <c r="T199" s="5" t="s">
        <v>1480</v>
      </c>
      <c r="U199" s="3">
        <v>2.0</v>
      </c>
      <c r="V199" s="23">
        <v>0.0</v>
      </c>
      <c r="W199" s="3"/>
      <c r="X199" s="2" t="s">
        <v>757</v>
      </c>
      <c r="Y199" s="3">
        <v>4.0</v>
      </c>
      <c r="Z199" s="1" t="s">
        <v>483</v>
      </c>
      <c r="AA199" s="5" t="s">
        <v>1481</v>
      </c>
    </row>
    <row r="200">
      <c r="A200" s="19" t="str">
        <f>vlookup(D200,'Player Codes'!A:D,4,)</f>
        <v>0293</v>
      </c>
      <c r="B200" s="20">
        <f t="shared" si="1"/>
        <v>0.102</v>
      </c>
      <c r="C200" s="5">
        <v>199.0</v>
      </c>
      <c r="D200" s="2" t="s">
        <v>883</v>
      </c>
      <c r="E200" s="2" t="s">
        <v>1191</v>
      </c>
      <c r="F200" s="5" t="s">
        <v>1016</v>
      </c>
      <c r="G200" s="5">
        <v>14.0</v>
      </c>
      <c r="H200" s="5">
        <v>102.7</v>
      </c>
      <c r="I200" s="21" t="str">
        <f>vlookup(A200,'ESPN FF Rankings'!$C$2:$H$201,2,false)</f>
        <v>#N/A</v>
      </c>
      <c r="J200" s="5" t="str">
        <f t="shared" si="2"/>
        <v>#N/A</v>
      </c>
      <c r="K200" s="21">
        <f>vlookup(A200,'VORP SCORE'!$A$2:$I$301,9,)</f>
        <v>199</v>
      </c>
      <c r="L200" s="24">
        <v>3.0</v>
      </c>
      <c r="M200" s="21" t="str">
        <f>vlookup(A200,FLEX!$D$2:$F$305,3,)</f>
        <v/>
      </c>
      <c r="N200" s="21"/>
      <c r="P200" s="5" t="s">
        <v>897</v>
      </c>
      <c r="Q200" s="5">
        <v>14.099999999999994</v>
      </c>
      <c r="R200" s="19" t="str">
        <f>vlookup(P200,'Player Codes'!A:D,4,)</f>
        <v>0212</v>
      </c>
      <c r="T200" s="5" t="s">
        <v>510</v>
      </c>
      <c r="U200" s="3">
        <v>2.0</v>
      </c>
      <c r="V200" s="19" t="str">
        <f>vlookup(T200,'Player Codes'!A:D,4,)</f>
        <v>0185</v>
      </c>
      <c r="W200" s="3"/>
      <c r="X200" s="5" t="s">
        <v>1389</v>
      </c>
      <c r="Y200" s="3">
        <v>3.0</v>
      </c>
      <c r="Z200" s="1" t="s">
        <v>645</v>
      </c>
      <c r="AA200" s="5" t="s">
        <v>903</v>
      </c>
    </row>
    <row r="201">
      <c r="A201" s="19" t="str">
        <f>vlookup(D201,'Player Codes'!A:D,4,)</f>
        <v>0194</v>
      </c>
      <c r="B201" s="20">
        <f t="shared" si="1"/>
        <v>0.101</v>
      </c>
      <c r="C201" s="5">
        <v>200.0</v>
      </c>
      <c r="D201" s="5" t="s">
        <v>458</v>
      </c>
      <c r="E201" s="5" t="s">
        <v>1118</v>
      </c>
      <c r="F201" s="5" t="s">
        <v>958</v>
      </c>
      <c r="G201" s="5">
        <v>10.0</v>
      </c>
      <c r="H201" s="5">
        <v>102.2</v>
      </c>
      <c r="I201" s="21">
        <f>vlookup(A201,'ESPN FF Rankings'!$C$2:$H$201,2,false)</f>
        <v>200</v>
      </c>
      <c r="J201" s="5">
        <f t="shared" si="2"/>
        <v>200</v>
      </c>
      <c r="K201" s="21">
        <f>vlookup(A201,'VORP SCORE'!$A$2:$I$301,9,)</f>
        <v>200</v>
      </c>
      <c r="L201" s="22">
        <f>vlookup(A201,'Risk Score'!$A$4:$H$350,8,)</f>
        <v>3</v>
      </c>
      <c r="M201" s="21">
        <f>vlookup(A201,FLEX!$D$2:$F$305,3,)</f>
        <v>4</v>
      </c>
      <c r="N201" s="21"/>
      <c r="P201" s="5" t="s">
        <v>458</v>
      </c>
      <c r="Q201" s="5">
        <v>21.200000000000003</v>
      </c>
      <c r="R201" s="19" t="str">
        <f>vlookup(P201,'Player Codes'!A:D,4,)</f>
        <v>0194</v>
      </c>
      <c r="T201" s="5" t="s">
        <v>1482</v>
      </c>
      <c r="U201" s="3">
        <v>4.0</v>
      </c>
      <c r="V201" s="23">
        <v>0.0</v>
      </c>
      <c r="W201" s="3"/>
      <c r="X201" s="5" t="s">
        <v>536</v>
      </c>
      <c r="Y201" s="3">
        <v>4.0</v>
      </c>
      <c r="Z201" s="1" t="s">
        <v>455</v>
      </c>
      <c r="AA201" s="5" t="s">
        <v>331</v>
      </c>
    </row>
    <row r="202">
      <c r="A202" s="19" t="str">
        <f>vlookup(D202,'Player Codes'!A:D,4,)</f>
        <v>0292</v>
      </c>
      <c r="B202" s="20">
        <f t="shared" si="1"/>
        <v>0.1</v>
      </c>
      <c r="C202" s="5">
        <v>201.0</v>
      </c>
      <c r="D202" s="5" t="s">
        <v>490</v>
      </c>
      <c r="E202" s="5" t="s">
        <v>1192</v>
      </c>
      <c r="F202" s="5" t="s">
        <v>958</v>
      </c>
      <c r="G202" s="5">
        <v>10.0</v>
      </c>
      <c r="H202" s="5">
        <v>102.0</v>
      </c>
      <c r="I202" s="21" t="str">
        <f>vlookup(A202,'ESPN FF Rankings'!$C$2:$H$201,2,false)</f>
        <v>#N/A</v>
      </c>
      <c r="J202" s="5" t="str">
        <f t="shared" si="2"/>
        <v>#N/A</v>
      </c>
      <c r="K202" s="21">
        <f>vlookup(A202,'VORP SCORE'!$A$2:$I$301,9,)</f>
        <v>201</v>
      </c>
      <c r="L202" s="22">
        <f>vlookup(A202,'Risk Score'!$A$4:$H$350,8,)</f>
        <v>4</v>
      </c>
      <c r="M202" s="21">
        <f>vlookup(A202,FLEX!$D$2:$F$305,3,)</f>
        <v>3</v>
      </c>
      <c r="N202" s="21"/>
      <c r="T202" s="5" t="s">
        <v>1483</v>
      </c>
      <c r="U202" s="3">
        <v>4.0</v>
      </c>
      <c r="V202" s="23">
        <v>0.0</v>
      </c>
      <c r="W202" s="3"/>
      <c r="X202" s="5" t="s">
        <v>386</v>
      </c>
      <c r="Y202" s="3">
        <v>4.0</v>
      </c>
      <c r="Z202" s="1" t="s">
        <v>487</v>
      </c>
      <c r="AA202" s="5" t="s">
        <v>832</v>
      </c>
    </row>
    <row r="203">
      <c r="A203" s="19" t="str">
        <f>vlookup(D203,'Player Codes'!A:D,4,)</f>
        <v>0284</v>
      </c>
      <c r="B203" s="20">
        <f t="shared" si="1"/>
        <v>0.099</v>
      </c>
      <c r="C203" s="5">
        <v>202.0</v>
      </c>
      <c r="D203" s="5" t="s">
        <v>461</v>
      </c>
      <c r="E203" s="5" t="s">
        <v>1119</v>
      </c>
      <c r="F203" s="5" t="s">
        <v>974</v>
      </c>
      <c r="G203" s="5">
        <v>11.0</v>
      </c>
      <c r="H203" s="5">
        <v>101.6</v>
      </c>
      <c r="I203" s="21">
        <f>vlookup(A203,'ESPN FF Rankings'!$C$2:$H$201,2,false)</f>
        <v>121</v>
      </c>
      <c r="J203" s="5">
        <f t="shared" si="2"/>
        <v>161.5</v>
      </c>
      <c r="K203" s="21">
        <f>vlookup(A203,'VORP SCORE'!$A$2:$I$301,9,)</f>
        <v>202</v>
      </c>
      <c r="L203" s="22">
        <f>vlookup(A203,'Risk Score'!$A$4:$H$350,8,)</f>
        <v>3</v>
      </c>
      <c r="M203" s="21">
        <f>vlookup(A203,FLEX!$D$2:$F$305,3,)</f>
        <v>4</v>
      </c>
      <c r="N203" s="21"/>
      <c r="T203" s="5" t="s">
        <v>1484</v>
      </c>
      <c r="U203" s="3">
        <v>2.0</v>
      </c>
      <c r="V203" s="23">
        <v>0.0</v>
      </c>
      <c r="W203" s="3"/>
      <c r="X203" s="5" t="s">
        <v>1393</v>
      </c>
      <c r="Y203" s="3">
        <v>3.0</v>
      </c>
      <c r="Z203" s="1" t="s">
        <v>459</v>
      </c>
      <c r="AA203" s="5" t="s">
        <v>277</v>
      </c>
    </row>
    <row r="204">
      <c r="A204" s="19" t="str">
        <f>vlookup(D204,'Player Codes'!A:D,4,)</f>
        <v>0072</v>
      </c>
      <c r="B204" s="20">
        <f t="shared" si="1"/>
        <v>0.098</v>
      </c>
      <c r="C204" s="5">
        <v>203.0</v>
      </c>
      <c r="D204" s="5" t="s">
        <v>603</v>
      </c>
      <c r="E204" s="5" t="s">
        <v>1094</v>
      </c>
      <c r="F204" s="5" t="s">
        <v>992</v>
      </c>
      <c r="G204" s="5">
        <v>7.0</v>
      </c>
      <c r="H204" s="5">
        <v>101.2</v>
      </c>
      <c r="I204" s="21">
        <f>vlookup(A204,'ESPN FF Rankings'!$C$2:$H$201,2,false)</f>
        <v>96</v>
      </c>
      <c r="J204" s="5">
        <f t="shared" si="2"/>
        <v>149.5</v>
      </c>
      <c r="K204" s="21">
        <f>vlookup(A204,'VORP SCORE'!$A$2:$I$301,9,)</f>
        <v>203</v>
      </c>
      <c r="L204" s="22">
        <f>vlookup(A204,'Risk Score'!$A$4:$H$350,8,)</f>
        <v>4</v>
      </c>
      <c r="M204" s="21">
        <f>vlookup(A204,FLEX!$D$2:$F$305,3,)</f>
        <v>2</v>
      </c>
      <c r="N204" s="21"/>
      <c r="T204" s="5" t="s">
        <v>225</v>
      </c>
      <c r="U204" s="3">
        <v>4.0</v>
      </c>
      <c r="V204" s="19" t="str">
        <f>vlookup(T204,'Player Codes'!A:D,4,)</f>
        <v>0188</v>
      </c>
      <c r="W204" s="3"/>
      <c r="X204" s="5" t="s">
        <v>1476</v>
      </c>
      <c r="Y204" s="3">
        <v>4.0</v>
      </c>
      <c r="Z204" s="1" t="s">
        <v>601</v>
      </c>
      <c r="AA204" s="5" t="s">
        <v>718</v>
      </c>
    </row>
    <row r="205">
      <c r="A205" s="19" t="str">
        <f>vlookup(D205,'Player Codes'!A:D,4,)</f>
        <v>0105</v>
      </c>
      <c r="B205" s="20">
        <f t="shared" si="1"/>
        <v>0.097</v>
      </c>
      <c r="C205" s="5">
        <v>204.0</v>
      </c>
      <c r="D205" s="5" t="s">
        <v>407</v>
      </c>
      <c r="E205" s="5" t="s">
        <v>1120</v>
      </c>
      <c r="F205" s="5" t="s">
        <v>963</v>
      </c>
      <c r="G205" s="5">
        <v>9.0</v>
      </c>
      <c r="H205" s="5">
        <v>100.9</v>
      </c>
      <c r="I205" s="21">
        <f>vlookup(A205,'ESPN FF Rankings'!$C$2:$H$201,2,false)</f>
        <v>120</v>
      </c>
      <c r="J205" s="5">
        <f t="shared" si="2"/>
        <v>162</v>
      </c>
      <c r="K205" s="21">
        <f>vlookup(A205,'VORP SCORE'!$A$2:$I$301,9,)</f>
        <v>204</v>
      </c>
      <c r="L205" s="22">
        <f>vlookup(A205,'Risk Score'!$A$4:$H$350,8,)</f>
        <v>4</v>
      </c>
      <c r="M205" s="21">
        <f>vlookup(A205,FLEX!$D$2:$F$305,3,)</f>
        <v>4</v>
      </c>
      <c r="N205" s="21"/>
      <c r="T205" s="5" t="s">
        <v>458</v>
      </c>
      <c r="U205" s="3">
        <v>3.0</v>
      </c>
      <c r="V205" s="19" t="str">
        <f>vlookup(T205,'Player Codes'!A:D,4,)</f>
        <v>0194</v>
      </c>
      <c r="W205" s="3"/>
      <c r="X205" s="5" t="s">
        <v>1477</v>
      </c>
      <c r="Y205" s="3">
        <v>3.0</v>
      </c>
      <c r="Z205" s="1" t="s">
        <v>404</v>
      </c>
      <c r="AA205" s="5" t="s">
        <v>214</v>
      </c>
    </row>
    <row r="206">
      <c r="A206" s="19" t="str">
        <f>vlookup(D206,'Player Codes'!A:D,4,)</f>
        <v>0145</v>
      </c>
      <c r="B206" s="20">
        <f t="shared" si="1"/>
        <v>0.096</v>
      </c>
      <c r="C206" s="5">
        <v>205.0</v>
      </c>
      <c r="D206" s="5" t="s">
        <v>545</v>
      </c>
      <c r="E206" s="5" t="s">
        <v>1098</v>
      </c>
      <c r="F206" s="5" t="s">
        <v>965</v>
      </c>
      <c r="G206" s="5">
        <v>9.0</v>
      </c>
      <c r="H206" s="5">
        <v>100.6</v>
      </c>
      <c r="I206" s="21">
        <f>vlookup(A206,'ESPN FF Rankings'!$C$2:$H$201,2,false)</f>
        <v>158</v>
      </c>
      <c r="J206" s="5">
        <f t="shared" si="2"/>
        <v>181.5</v>
      </c>
      <c r="K206" s="21">
        <f>vlookup(A206,'VORP SCORE'!$A$2:$I$301,9,)</f>
        <v>205</v>
      </c>
      <c r="L206" s="22">
        <f>vlookup(A206,'Risk Score'!$A$4:$H$350,8,)</f>
        <v>3</v>
      </c>
      <c r="M206" s="21">
        <f>vlookup(A206,FLEX!$D$2:$F$305,3,)</f>
        <v>3</v>
      </c>
      <c r="N206" s="21"/>
      <c r="T206" s="5" t="s">
        <v>1485</v>
      </c>
      <c r="U206" s="3">
        <v>5.0</v>
      </c>
      <c r="V206" s="23">
        <v>0.0</v>
      </c>
      <c r="W206" s="3"/>
      <c r="X206" s="5" t="s">
        <v>1395</v>
      </c>
      <c r="Y206" s="3">
        <v>4.0</v>
      </c>
      <c r="Z206" s="1" t="s">
        <v>542</v>
      </c>
      <c r="AA206" s="5" t="s">
        <v>711</v>
      </c>
    </row>
    <row r="207">
      <c r="A207" s="19" t="str">
        <f>vlookup(D207,'Player Codes'!A:D,4,)</f>
        <v>0271</v>
      </c>
      <c r="B207" s="20">
        <f t="shared" si="1"/>
        <v>0.095</v>
      </c>
      <c r="C207" s="5">
        <v>206.0</v>
      </c>
      <c r="D207" s="2" t="s">
        <v>895</v>
      </c>
      <c r="E207" s="2" t="s">
        <v>1193</v>
      </c>
      <c r="F207" s="5" t="s">
        <v>990</v>
      </c>
      <c r="G207" s="5">
        <v>7.0</v>
      </c>
      <c r="H207" s="5">
        <v>100.2</v>
      </c>
      <c r="I207" s="21" t="str">
        <f>vlookup(A207,'ESPN FF Rankings'!$C$2:$H$201,2,false)</f>
        <v>#N/A</v>
      </c>
      <c r="J207" s="5" t="str">
        <f t="shared" si="2"/>
        <v>#N/A</v>
      </c>
      <c r="K207" s="21">
        <f>vlookup(A207,'VORP SCORE'!$A$2:$I$301,9,)</f>
        <v>206</v>
      </c>
      <c r="L207" s="24">
        <v>3.0</v>
      </c>
      <c r="M207" s="21" t="str">
        <f>vlookup(A207,FLEX!$D$2:$F$305,3,)</f>
        <v/>
      </c>
      <c r="N207" s="21"/>
      <c r="T207" s="5" t="s">
        <v>1486</v>
      </c>
      <c r="U207" s="3">
        <v>5.0</v>
      </c>
      <c r="V207" s="23">
        <v>0.0</v>
      </c>
      <c r="W207" s="3"/>
      <c r="X207" s="5" t="s">
        <v>139</v>
      </c>
      <c r="Y207" s="3">
        <v>5.0</v>
      </c>
      <c r="Z207" s="1" t="s">
        <v>664</v>
      </c>
      <c r="AA207" s="5" t="s">
        <v>736</v>
      </c>
    </row>
    <row r="208">
      <c r="A208" s="19" t="str">
        <f>vlookup(D208,'Player Codes'!A:D,4,)</f>
        <v>0004</v>
      </c>
      <c r="B208" s="20">
        <f t="shared" si="1"/>
        <v>0.095</v>
      </c>
      <c r="C208" s="5">
        <v>206.0</v>
      </c>
      <c r="D208" s="5" t="s">
        <v>465</v>
      </c>
      <c r="E208" s="5" t="s">
        <v>1100</v>
      </c>
      <c r="F208" s="5" t="s">
        <v>996</v>
      </c>
      <c r="G208" s="5">
        <v>7.0</v>
      </c>
      <c r="H208" s="5">
        <v>100.2</v>
      </c>
      <c r="I208" s="21">
        <f>vlookup(A208,'ESPN FF Rankings'!$C$2:$H$201,2,false)</f>
        <v>174</v>
      </c>
      <c r="J208" s="5">
        <f t="shared" si="2"/>
        <v>190</v>
      </c>
      <c r="K208" s="21">
        <f>vlookup(A208,'VORP SCORE'!$A$2:$I$301,9,)</f>
        <v>207</v>
      </c>
      <c r="L208" s="22">
        <f>vlookup(A208,'Risk Score'!$A$4:$H$350,8,)</f>
        <v>5</v>
      </c>
      <c r="M208" s="21">
        <f>vlookup(A208,FLEX!$D$2:$F$305,3,)</f>
        <v>3</v>
      </c>
      <c r="N208" s="21"/>
      <c r="T208" s="5" t="s">
        <v>594</v>
      </c>
      <c r="U208" s="3">
        <v>4.0</v>
      </c>
      <c r="V208" s="19" t="str">
        <f>vlookup(T208,'Player Codes'!A:D,4,)</f>
        <v>0207</v>
      </c>
      <c r="W208" s="3"/>
      <c r="X208" s="5" t="s">
        <v>530</v>
      </c>
      <c r="Y208" s="3">
        <v>3.0</v>
      </c>
      <c r="Z208" s="1" t="s">
        <v>462</v>
      </c>
      <c r="AA208" s="5" t="s">
        <v>594</v>
      </c>
    </row>
    <row r="209">
      <c r="A209" s="19" t="str">
        <f>vlookup(D209,'Player Codes'!A:D,4,)</f>
        <v>0155</v>
      </c>
      <c r="B209" s="20">
        <f t="shared" si="1"/>
        <v>0.093</v>
      </c>
      <c r="C209" s="5">
        <v>208.0</v>
      </c>
      <c r="D209" s="5" t="s">
        <v>426</v>
      </c>
      <c r="E209" s="5" t="s">
        <v>1122</v>
      </c>
      <c r="F209" s="5" t="s">
        <v>933</v>
      </c>
      <c r="G209" s="5">
        <v>10.0</v>
      </c>
      <c r="H209" s="5">
        <v>100.0</v>
      </c>
      <c r="I209" s="21">
        <f>vlookup(A209,'ESPN FF Rankings'!$C$2:$H$201,2,false)</f>
        <v>113</v>
      </c>
      <c r="J209" s="5">
        <f t="shared" si="2"/>
        <v>160.5</v>
      </c>
      <c r="K209" s="21">
        <f>vlookup(A209,'VORP SCORE'!$A$2:$I$301,9,)</f>
        <v>208</v>
      </c>
      <c r="L209" s="22">
        <f>vlookup(A209,'Risk Score'!$A$4:$H$350,8,)</f>
        <v>4</v>
      </c>
      <c r="M209" s="21">
        <f>vlookup(A209,FLEX!$D$2:$F$305,3,)</f>
        <v>4</v>
      </c>
      <c r="N209" s="21"/>
      <c r="T209" s="5" t="s">
        <v>1487</v>
      </c>
      <c r="U209" s="3">
        <v>5.0</v>
      </c>
      <c r="V209" s="23">
        <v>0.0</v>
      </c>
      <c r="W209" s="3"/>
      <c r="X209" s="5" t="s">
        <v>810</v>
      </c>
      <c r="Y209" s="3">
        <v>3.0</v>
      </c>
      <c r="Z209" s="1" t="s">
        <v>423</v>
      </c>
      <c r="AA209" s="5" t="s">
        <v>690</v>
      </c>
    </row>
    <row r="210">
      <c r="A210" s="19" t="str">
        <f>vlookup(D210,'Player Codes'!A:D,4,)</f>
        <v>0185</v>
      </c>
      <c r="B210" s="20">
        <f t="shared" si="1"/>
        <v>0.093</v>
      </c>
      <c r="C210" s="5">
        <v>208.0</v>
      </c>
      <c r="D210" s="5" t="s">
        <v>510</v>
      </c>
      <c r="E210" s="5" t="s">
        <v>1122</v>
      </c>
      <c r="F210" s="5" t="s">
        <v>931</v>
      </c>
      <c r="G210" s="5">
        <v>10.0</v>
      </c>
      <c r="H210" s="5">
        <v>100.0</v>
      </c>
      <c r="I210" s="21">
        <f>vlookup(A210,'ESPN FF Rankings'!$C$2:$H$201,2,false)</f>
        <v>172</v>
      </c>
      <c r="J210" s="5">
        <f t="shared" si="2"/>
        <v>190</v>
      </c>
      <c r="K210" s="21">
        <f>vlookup(A210,'VORP SCORE'!$A$2:$I$301,9,)</f>
        <v>209</v>
      </c>
      <c r="L210" s="22">
        <f>vlookup(A210,'Risk Score'!$A$4:$H$350,8,)</f>
        <v>2</v>
      </c>
      <c r="M210" s="21">
        <f>vlookup(A210,FLEX!$D$2:$F$305,3,)</f>
        <v>4</v>
      </c>
      <c r="N210" s="21"/>
      <c r="T210" s="5" t="s">
        <v>1471</v>
      </c>
      <c r="U210" s="3">
        <v>3.0</v>
      </c>
      <c r="V210" s="19" t="str">
        <f>vlookup(T210,'Player Codes'!A:D,4,)</f>
        <v>0303</v>
      </c>
      <c r="W210" s="3"/>
      <c r="X210" s="5" t="s">
        <v>1480</v>
      </c>
      <c r="Y210" s="3">
        <v>2.0</v>
      </c>
      <c r="Z210" s="1" t="s">
        <v>508</v>
      </c>
      <c r="AA210" s="5" t="s">
        <v>760</v>
      </c>
    </row>
    <row r="211">
      <c r="A211" s="19" t="str">
        <f>vlookup(D211,'Player Codes'!A:D,4,)</f>
        <v>0212</v>
      </c>
      <c r="B211" s="20">
        <f t="shared" si="1"/>
        <v>0.091</v>
      </c>
      <c r="C211" s="5">
        <v>210.0</v>
      </c>
      <c r="D211" s="2" t="s">
        <v>897</v>
      </c>
      <c r="E211" s="2" t="s">
        <v>1132</v>
      </c>
      <c r="F211" s="5" t="s">
        <v>954</v>
      </c>
      <c r="G211" s="5">
        <v>10.0</v>
      </c>
      <c r="H211" s="5">
        <v>99.8</v>
      </c>
      <c r="I211" s="21">
        <f>vlookup(A211,'ESPN FF Rankings'!$C$2:$H$201,2,false)</f>
        <v>199</v>
      </c>
      <c r="J211" s="5">
        <f t="shared" si="2"/>
        <v>204.5</v>
      </c>
      <c r="K211" s="21">
        <f>vlookup(A211,'VORP SCORE'!$A$2:$I$301,9,)</f>
        <v>210</v>
      </c>
      <c r="L211" s="24">
        <v>3.0</v>
      </c>
      <c r="M211" s="21" t="str">
        <f>vlookup(A211,FLEX!$D$2:$F$305,3,)</f>
        <v/>
      </c>
      <c r="N211" s="21"/>
      <c r="T211" s="5" t="s">
        <v>83</v>
      </c>
      <c r="U211" s="3">
        <v>5.0</v>
      </c>
      <c r="V211" s="19" t="str">
        <f>vlookup(T211,'Player Codes'!A:D,4,)</f>
        <v>0221</v>
      </c>
      <c r="W211" s="3"/>
      <c r="X211" s="5" t="s">
        <v>510</v>
      </c>
      <c r="Y211" s="3">
        <v>2.0</v>
      </c>
      <c r="Z211" s="1" t="s">
        <v>675</v>
      </c>
      <c r="AA211" s="5" t="s">
        <v>239</v>
      </c>
    </row>
    <row r="212">
      <c r="A212" s="19" t="str">
        <f>vlookup(D212,'Player Codes'!A:D,4,)</f>
        <v>0071</v>
      </c>
      <c r="B212" s="20">
        <f t="shared" si="1"/>
        <v>0.09</v>
      </c>
      <c r="C212" s="5">
        <v>211.0</v>
      </c>
      <c r="D212" s="5" t="s">
        <v>768</v>
      </c>
      <c r="E212" s="5" t="s">
        <v>1096</v>
      </c>
      <c r="F212" s="5" t="s">
        <v>929</v>
      </c>
      <c r="G212" s="5">
        <v>13.0</v>
      </c>
      <c r="H212" s="5">
        <v>99.7</v>
      </c>
      <c r="I212" s="21">
        <f>vlookup(A212,'ESPN FF Rankings'!$C$2:$H$201,2,false)</f>
        <v>134</v>
      </c>
      <c r="J212" s="5">
        <f t="shared" si="2"/>
        <v>172.5</v>
      </c>
      <c r="K212" s="21">
        <f>vlookup(A212,'VORP SCORE'!$A$2:$I$301,9,)</f>
        <v>211</v>
      </c>
      <c r="L212" s="22">
        <f>vlookup(A212,'Risk Score'!$A$4:$H$350,8,)</f>
        <v>2</v>
      </c>
      <c r="M212" s="21">
        <f>vlookup(A212,FLEX!$D$2:$F$305,3,)</f>
        <v>2</v>
      </c>
      <c r="N212" s="21"/>
      <c r="T212" s="5" t="s">
        <v>75</v>
      </c>
      <c r="U212" s="3">
        <v>4.0</v>
      </c>
      <c r="V212" s="19" t="str">
        <f>vlookup(T212,'Player Codes'!A:D,4,)</f>
        <v>0223</v>
      </c>
      <c r="W212" s="3"/>
      <c r="X212" s="5" t="s">
        <v>1482</v>
      </c>
      <c r="Y212" s="3">
        <v>4.0</v>
      </c>
      <c r="Z212" s="1" t="s">
        <v>679</v>
      </c>
      <c r="AA212" s="5" t="s">
        <v>724</v>
      </c>
    </row>
    <row r="213">
      <c r="A213" s="19" t="str">
        <f>vlookup(D213,'Player Codes'!A:D,4,)</f>
        <v>0017</v>
      </c>
      <c r="B213" s="20">
        <f t="shared" si="1"/>
        <v>0.089</v>
      </c>
      <c r="C213" s="5">
        <v>212.0</v>
      </c>
      <c r="D213" s="2" t="s">
        <v>901</v>
      </c>
      <c r="E213" s="2" t="s">
        <v>1194</v>
      </c>
      <c r="F213" s="5" t="s">
        <v>974</v>
      </c>
      <c r="G213" s="5">
        <v>11.0</v>
      </c>
      <c r="H213" s="5">
        <v>99.3</v>
      </c>
      <c r="I213" s="21" t="str">
        <f>vlookup(A213,'ESPN FF Rankings'!$C$2:$H$201,2,false)</f>
        <v>#N/A</v>
      </c>
      <c r="J213" s="5" t="str">
        <f t="shared" si="2"/>
        <v>#N/A</v>
      </c>
      <c r="K213" s="21">
        <f>vlookup(A213,'VORP SCORE'!$A$2:$I$301,9,)</f>
        <v>212</v>
      </c>
      <c r="L213" s="24">
        <v>3.0</v>
      </c>
      <c r="M213" s="21" t="str">
        <f>vlookup(A213,FLEX!$D$2:$F$305,3,)</f>
        <v/>
      </c>
      <c r="N213" s="21"/>
      <c r="T213" s="5" t="s">
        <v>22</v>
      </c>
      <c r="U213" s="3">
        <v>5.0</v>
      </c>
      <c r="V213" s="19" t="str">
        <f>vlookup(T213,'Player Codes'!A:D,4,)</f>
        <v>0228</v>
      </c>
      <c r="W213" s="3"/>
      <c r="X213" s="5" t="s">
        <v>1401</v>
      </c>
      <c r="Y213" s="3">
        <v>5.0</v>
      </c>
      <c r="Z213" s="1" t="s">
        <v>682</v>
      </c>
      <c r="AA213" s="5" t="s">
        <v>1488</v>
      </c>
    </row>
    <row r="214">
      <c r="A214" s="19" t="str">
        <f>vlookup(D214,'Player Codes'!A:D,4,)</f>
        <v>0192</v>
      </c>
      <c r="B214" s="20">
        <f t="shared" si="1"/>
        <v>0.089</v>
      </c>
      <c r="C214" s="5">
        <v>212.0</v>
      </c>
      <c r="D214" s="5" t="s">
        <v>878</v>
      </c>
      <c r="E214" s="5" t="s">
        <v>1195</v>
      </c>
      <c r="F214" s="5" t="s">
        <v>1024</v>
      </c>
      <c r="G214" s="5">
        <v>5.0</v>
      </c>
      <c r="H214" s="5">
        <v>99.3</v>
      </c>
      <c r="I214" s="21" t="str">
        <f>vlookup(A214,'ESPN FF Rankings'!$C$2:$H$201,2,false)</f>
        <v>#N/A</v>
      </c>
      <c r="J214" s="5" t="str">
        <f t="shared" si="2"/>
        <v>#N/A</v>
      </c>
      <c r="K214" s="21">
        <f>vlookup(A214,'VORP SCORE'!$A$2:$I$301,9,)</f>
        <v>213</v>
      </c>
      <c r="L214" s="22">
        <f>vlookup(A214,'Risk Score'!$A$4:$H$350,8,)</f>
        <v>2</v>
      </c>
      <c r="M214" s="21">
        <f>vlookup(A214,FLEX!$D$2:$F$305,3,)</f>
        <v>1</v>
      </c>
      <c r="N214" s="21"/>
      <c r="T214" s="5" t="s">
        <v>1489</v>
      </c>
      <c r="U214" s="3">
        <v>3.0</v>
      </c>
      <c r="V214" s="23">
        <v>0.0</v>
      </c>
      <c r="W214" s="3"/>
      <c r="X214" s="5" t="s">
        <v>334</v>
      </c>
      <c r="Y214" s="3">
        <v>2.0</v>
      </c>
      <c r="Z214" s="1" t="s">
        <v>685</v>
      </c>
      <c r="AA214" s="5" t="s">
        <v>472</v>
      </c>
    </row>
    <row r="215">
      <c r="A215" s="19" t="str">
        <f>vlookup(D215,'Player Codes'!A:D,4,)</f>
        <v>0109</v>
      </c>
      <c r="B215" s="20">
        <f t="shared" si="1"/>
        <v>0.087</v>
      </c>
      <c r="C215" s="5">
        <v>214.0</v>
      </c>
      <c r="D215" s="5" t="s">
        <v>396</v>
      </c>
      <c r="E215" s="5" t="s">
        <v>1123</v>
      </c>
      <c r="F215" s="5" t="s">
        <v>1009</v>
      </c>
      <c r="G215" s="5">
        <v>11.0</v>
      </c>
      <c r="H215" s="5">
        <v>98.9</v>
      </c>
      <c r="I215" s="21">
        <f>vlookup(A215,'ESPN FF Rankings'!$C$2:$H$201,2,false)</f>
        <v>135</v>
      </c>
      <c r="J215" s="5">
        <f t="shared" si="2"/>
        <v>174.5</v>
      </c>
      <c r="K215" s="21">
        <f>vlookup(A215,'VORP SCORE'!$A$2:$I$301,9,)</f>
        <v>214</v>
      </c>
      <c r="L215" s="22">
        <f>vlookup(A215,'Risk Score'!$A$4:$H$350,8,)</f>
        <v>5</v>
      </c>
      <c r="M215" s="21">
        <f>vlookup(A215,FLEX!$D$2:$F$305,3,)</f>
        <v>4</v>
      </c>
      <c r="N215" s="21"/>
      <c r="T215" s="5" t="s">
        <v>1490</v>
      </c>
      <c r="U215" s="3">
        <v>3.0</v>
      </c>
      <c r="V215" s="23">
        <v>0.0</v>
      </c>
      <c r="W215" s="3"/>
      <c r="X215" s="5" t="s">
        <v>1483</v>
      </c>
      <c r="Y215" s="3">
        <v>4.0</v>
      </c>
      <c r="Z215" s="1" t="s">
        <v>394</v>
      </c>
      <c r="AA215" s="5" t="s">
        <v>834</v>
      </c>
    </row>
    <row r="216">
      <c r="A216" s="19" t="str">
        <f>vlookup(D216,'Player Codes'!A:D,4,)</f>
        <v>0242</v>
      </c>
      <c r="B216" s="20">
        <f t="shared" si="1"/>
        <v>0.087</v>
      </c>
      <c r="C216" s="5">
        <v>214.0</v>
      </c>
      <c r="D216" s="5" t="s">
        <v>400</v>
      </c>
      <c r="E216" s="5" t="s">
        <v>1123</v>
      </c>
      <c r="F216" s="5" t="s">
        <v>931</v>
      </c>
      <c r="G216" s="5">
        <v>10.0</v>
      </c>
      <c r="H216" s="5">
        <v>98.9</v>
      </c>
      <c r="I216" s="21">
        <f>vlookup(A216,'ESPN FF Rankings'!$C$2:$H$201,2,false)</f>
        <v>88</v>
      </c>
      <c r="J216" s="5">
        <f t="shared" si="2"/>
        <v>151</v>
      </c>
      <c r="K216" s="21">
        <f>vlookup(A216,'VORP SCORE'!$A$2:$I$301,9,)</f>
        <v>215</v>
      </c>
      <c r="L216" s="22">
        <f>vlookup(A216,'Risk Score'!$A$4:$H$350,8,)</f>
        <v>5</v>
      </c>
      <c r="M216" s="21">
        <f>vlookup(A216,FLEX!$D$2:$F$305,3,)</f>
        <v>4</v>
      </c>
      <c r="N216" s="21"/>
      <c r="T216" s="5" t="s">
        <v>254</v>
      </c>
      <c r="U216" s="3">
        <v>4.0</v>
      </c>
      <c r="V216" s="19" t="str">
        <f>vlookup(T216,'Player Codes'!A:D,4,)</f>
        <v>0240</v>
      </c>
      <c r="W216" s="3"/>
      <c r="X216" s="5" t="s">
        <v>1484</v>
      </c>
      <c r="Y216" s="3">
        <v>2.0</v>
      </c>
      <c r="Z216" s="1" t="s">
        <v>397</v>
      </c>
      <c r="AA216" s="5" t="s">
        <v>285</v>
      </c>
    </row>
    <row r="217">
      <c r="A217" s="19" t="str">
        <f>vlookup(D217,'Player Codes'!A:D,4,)</f>
        <v>0066</v>
      </c>
      <c r="B217" s="20">
        <f t="shared" si="1"/>
        <v>0.085</v>
      </c>
      <c r="C217" s="5">
        <v>216.0</v>
      </c>
      <c r="D217" s="5" t="s">
        <v>482</v>
      </c>
      <c r="E217" s="5" t="s">
        <v>1106</v>
      </c>
      <c r="F217" s="5" t="s">
        <v>1016</v>
      </c>
      <c r="G217" s="5">
        <v>14.0</v>
      </c>
      <c r="H217" s="5">
        <v>98.6</v>
      </c>
      <c r="I217" s="21">
        <f>vlookup(A217,'ESPN FF Rankings'!$C$2:$H$201,2,false)</f>
        <v>195</v>
      </c>
      <c r="J217" s="5">
        <f t="shared" si="2"/>
        <v>205.5</v>
      </c>
      <c r="K217" s="21">
        <f>vlookup(A217,'VORP SCORE'!$A$2:$I$301,9,)</f>
        <v>216</v>
      </c>
      <c r="L217" s="22">
        <f>vlookup(A217,'Risk Score'!$A$4:$H$350,8,)</f>
        <v>5</v>
      </c>
      <c r="M217" s="21">
        <f>vlookup(A217,FLEX!$D$2:$F$305,3,)</f>
        <v>3</v>
      </c>
      <c r="N217" s="21"/>
      <c r="T217" s="5" t="s">
        <v>393</v>
      </c>
      <c r="U217" s="3">
        <v>6.0</v>
      </c>
      <c r="V217" s="19" t="str">
        <f>vlookup(T217,'Player Codes'!A:D,4,)</f>
        <v>0241</v>
      </c>
      <c r="W217" s="3"/>
      <c r="X217" s="5" t="s">
        <v>225</v>
      </c>
      <c r="Y217" s="3">
        <v>4.0</v>
      </c>
      <c r="Z217" s="1" t="s">
        <v>479</v>
      </c>
      <c r="AA217" s="5" t="s">
        <v>372</v>
      </c>
    </row>
    <row r="218">
      <c r="A218" s="19" t="str">
        <f>vlookup(D218,'Player Codes'!A:D,4,)</f>
        <v>0244</v>
      </c>
      <c r="B218" s="20">
        <f t="shared" si="1"/>
        <v>0.084</v>
      </c>
      <c r="C218" s="5">
        <v>217.0</v>
      </c>
      <c r="D218" s="5" t="s">
        <v>652</v>
      </c>
      <c r="E218" s="5" t="s">
        <v>1196</v>
      </c>
      <c r="F218" s="5" t="s">
        <v>983</v>
      </c>
      <c r="G218" s="5">
        <v>11.0</v>
      </c>
      <c r="H218" s="5">
        <v>98.5</v>
      </c>
      <c r="I218" s="21" t="str">
        <f>vlookup(A218,'ESPN FF Rankings'!$C$2:$H$201,2,false)</f>
        <v>#N/A</v>
      </c>
      <c r="J218" s="5" t="str">
        <f t="shared" si="2"/>
        <v>#N/A</v>
      </c>
      <c r="K218" s="21">
        <f>vlookup(A218,'VORP SCORE'!$A$2:$I$301,9,)</f>
        <v>217</v>
      </c>
      <c r="L218" s="22">
        <f>vlookup(A218,'Risk Score'!$A$4:$H$350,8,)</f>
        <v>2</v>
      </c>
      <c r="M218" s="21">
        <f>vlookup(A218,FLEX!$D$2:$F$305,3,)</f>
        <v>3</v>
      </c>
      <c r="N218" s="21"/>
      <c r="T218" s="5" t="s">
        <v>400</v>
      </c>
      <c r="U218" s="3">
        <v>5.0</v>
      </c>
      <c r="V218" s="19" t="str">
        <f>vlookup(T218,'Player Codes'!A:D,4,)</f>
        <v>0242</v>
      </c>
      <c r="W218" s="3"/>
      <c r="X218" s="5" t="s">
        <v>655</v>
      </c>
      <c r="Y218" s="3">
        <v>3.0</v>
      </c>
      <c r="Z218" s="1" t="s">
        <v>650</v>
      </c>
      <c r="AA218" s="5" t="s">
        <v>871</v>
      </c>
    </row>
    <row r="219">
      <c r="A219" s="19" t="str">
        <f>vlookup(D219,'Player Codes'!A:D,4,)</f>
        <v>0177</v>
      </c>
      <c r="B219" s="20">
        <f t="shared" si="1"/>
        <v>0.083</v>
      </c>
      <c r="C219" s="5">
        <v>218.0</v>
      </c>
      <c r="D219" s="5" t="s">
        <v>536</v>
      </c>
      <c r="E219" s="5" t="s">
        <v>1107</v>
      </c>
      <c r="F219" s="5" t="s">
        <v>950</v>
      </c>
      <c r="G219" s="5">
        <v>13.0</v>
      </c>
      <c r="H219" s="5">
        <v>98.2</v>
      </c>
      <c r="I219" s="21">
        <f>vlookup(A219,'ESPN FF Rankings'!$C$2:$H$201,2,false)</f>
        <v>184</v>
      </c>
      <c r="J219" s="5">
        <f t="shared" si="2"/>
        <v>201</v>
      </c>
      <c r="K219" s="21">
        <f>vlookup(A219,'VORP SCORE'!$A$2:$I$301,9,)</f>
        <v>218</v>
      </c>
      <c r="L219" s="22">
        <f>vlookup(A219,'Risk Score'!$A$4:$H$350,8,)</f>
        <v>4</v>
      </c>
      <c r="M219" s="21">
        <f>vlookup(A219,FLEX!$D$2:$F$305,3,)</f>
        <v>3</v>
      </c>
      <c r="N219" s="21"/>
      <c r="T219" s="5" t="s">
        <v>63</v>
      </c>
      <c r="U219" s="3">
        <v>4.0</v>
      </c>
      <c r="V219" s="19" t="str">
        <f>vlookup(T219,'Player Codes'!A:D,4,)</f>
        <v>0246</v>
      </c>
      <c r="W219" s="3"/>
      <c r="X219" s="5" t="s">
        <v>237</v>
      </c>
      <c r="Y219" s="3">
        <v>4.0</v>
      </c>
      <c r="Z219" s="1" t="s">
        <v>534</v>
      </c>
      <c r="AA219" s="5" t="s">
        <v>185</v>
      </c>
    </row>
    <row r="220">
      <c r="A220" s="19" t="str">
        <f>vlookup(D220,'Player Codes'!A:D,4,)</f>
        <v>0288</v>
      </c>
      <c r="B220" s="20">
        <f t="shared" si="1"/>
        <v>0.082</v>
      </c>
      <c r="C220" s="5">
        <v>219.0</v>
      </c>
      <c r="D220" s="5" t="s">
        <v>590</v>
      </c>
      <c r="E220" s="5" t="s">
        <v>1099</v>
      </c>
      <c r="F220" s="5" t="s">
        <v>958</v>
      </c>
      <c r="G220" s="5">
        <v>10.0</v>
      </c>
      <c r="H220" s="5">
        <v>98.1</v>
      </c>
      <c r="I220" s="21">
        <f>vlookup(A220,'ESPN FF Rankings'!$C$2:$H$201,2,false)</f>
        <v>105</v>
      </c>
      <c r="J220" s="5">
        <f t="shared" si="2"/>
        <v>162</v>
      </c>
      <c r="K220" s="21">
        <f>vlookup(A220,'VORP SCORE'!$A$2:$I$301,9,)</f>
        <v>219</v>
      </c>
      <c r="L220" s="22">
        <f>vlookup(A220,'Risk Score'!$A$4:$H$350,8,)</f>
        <v>5</v>
      </c>
      <c r="M220" s="21">
        <f>vlookup(A220,FLEX!$D$2:$F$305,3,)</f>
        <v>2</v>
      </c>
      <c r="N220" s="21"/>
      <c r="T220" s="5" t="s">
        <v>1491</v>
      </c>
      <c r="U220" s="3">
        <v>5.0</v>
      </c>
      <c r="V220" s="23">
        <v>0.0</v>
      </c>
      <c r="W220" s="3"/>
      <c r="X220" s="2" t="s">
        <v>433</v>
      </c>
      <c r="Y220" s="3">
        <v>4.0</v>
      </c>
      <c r="Z220" s="1" t="s">
        <v>588</v>
      </c>
      <c r="AA220" s="5" t="s">
        <v>899</v>
      </c>
    </row>
    <row r="221">
      <c r="A221" s="19" t="str">
        <f>vlookup(D221,'Player Codes'!A:D,4,)</f>
        <v>0243</v>
      </c>
      <c r="B221" s="20">
        <f t="shared" si="1"/>
        <v>0.081</v>
      </c>
      <c r="C221" s="5">
        <v>220.0</v>
      </c>
      <c r="D221" s="5" t="s">
        <v>660</v>
      </c>
      <c r="E221" s="5" t="s">
        <v>1197</v>
      </c>
      <c r="F221" s="5" t="s">
        <v>933</v>
      </c>
      <c r="G221" s="5">
        <v>10.0</v>
      </c>
      <c r="H221" s="5">
        <v>97.7</v>
      </c>
      <c r="I221" s="21" t="str">
        <f>vlookup(A221,'ESPN FF Rankings'!$C$2:$H$201,2,false)</f>
        <v>#N/A</v>
      </c>
      <c r="J221" s="5" t="str">
        <f t="shared" si="2"/>
        <v>#N/A</v>
      </c>
      <c r="K221" s="21">
        <f>vlookup(A221,'VORP SCORE'!$A$2:$I$301,9,)</f>
        <v>220</v>
      </c>
      <c r="L221" s="22">
        <f>vlookup(A221,'Risk Score'!$A$4:$H$350,8,)</f>
        <v>2</v>
      </c>
      <c r="M221" s="21">
        <f>vlookup(A221,FLEX!$D$2:$F$305,3,)</f>
        <v>3</v>
      </c>
      <c r="N221" s="21"/>
      <c r="T221" s="5" t="s">
        <v>341</v>
      </c>
      <c r="U221" s="3">
        <v>4.0</v>
      </c>
      <c r="V221" s="19" t="str">
        <f>vlookup(T221,'Player Codes'!A:D,4,)</f>
        <v>0257</v>
      </c>
      <c r="W221" s="3"/>
      <c r="X221" s="5" t="s">
        <v>878</v>
      </c>
      <c r="Y221" s="3">
        <v>2.0</v>
      </c>
      <c r="Z221" s="1" t="s">
        <v>658</v>
      </c>
      <c r="AA221" s="5" t="s">
        <v>155</v>
      </c>
    </row>
    <row r="222">
      <c r="A222" s="19" t="str">
        <f>vlookup(D222,'Player Codes'!A:D,4,)</f>
        <v>0093</v>
      </c>
      <c r="B222" s="20">
        <f t="shared" si="1"/>
        <v>0.08</v>
      </c>
      <c r="C222" s="5">
        <v>221.0</v>
      </c>
      <c r="D222" s="5" t="s">
        <v>494</v>
      </c>
      <c r="E222" s="5" t="s">
        <v>1198</v>
      </c>
      <c r="F222" s="5" t="s">
        <v>1009</v>
      </c>
      <c r="G222" s="5">
        <v>11.0</v>
      </c>
      <c r="H222" s="5">
        <v>97.3</v>
      </c>
      <c r="I222" s="21" t="str">
        <f>vlookup(A222,'ESPN FF Rankings'!$C$2:$H$201,2,false)</f>
        <v>#N/A</v>
      </c>
      <c r="J222" s="5" t="str">
        <f t="shared" si="2"/>
        <v>#N/A</v>
      </c>
      <c r="K222" s="21">
        <f>vlookup(A222,'VORP SCORE'!$A$2:$I$301,9,)</f>
        <v>221</v>
      </c>
      <c r="L222" s="22">
        <f>vlookup(A222,'Risk Score'!$A$4:$H$350,8,)</f>
        <v>5</v>
      </c>
      <c r="M222" s="21">
        <f>vlookup(A222,FLEX!$D$2:$F$305,3,)</f>
        <v>3</v>
      </c>
      <c r="N222" s="21"/>
      <c r="T222" s="5" t="s">
        <v>26</v>
      </c>
      <c r="U222" s="3">
        <v>5.0</v>
      </c>
      <c r="V222" s="19" t="str">
        <f>vlookup(T222,'Player Codes'!A:D,4,)</f>
        <v>0259</v>
      </c>
      <c r="W222" s="3"/>
      <c r="X222" s="2" t="s">
        <v>1492</v>
      </c>
      <c r="Y222" s="3">
        <v>2.0</v>
      </c>
      <c r="Z222" s="1" t="s">
        <v>491</v>
      </c>
      <c r="AA222" s="5" t="s">
        <v>83</v>
      </c>
    </row>
    <row r="223">
      <c r="A223" s="19" t="str">
        <f>vlookup(D223,'Player Codes'!A:D,4,)</f>
        <v>0095</v>
      </c>
      <c r="B223" s="20">
        <f t="shared" si="1"/>
        <v>0.08</v>
      </c>
      <c r="C223" s="5">
        <v>221.0</v>
      </c>
      <c r="D223" s="5" t="s">
        <v>500</v>
      </c>
      <c r="E223" s="5" t="s">
        <v>1199</v>
      </c>
      <c r="F223" s="5" t="s">
        <v>954</v>
      </c>
      <c r="G223" s="5">
        <v>10.0</v>
      </c>
      <c r="H223" s="5">
        <v>97.3</v>
      </c>
      <c r="I223" s="21" t="str">
        <f>vlookup(A223,'ESPN FF Rankings'!$C$2:$H$201,2,false)</f>
        <v>#N/A</v>
      </c>
      <c r="J223" s="5" t="str">
        <f t="shared" si="2"/>
        <v>#N/A</v>
      </c>
      <c r="K223" s="21">
        <f>vlookup(A223,'VORP SCORE'!$A$2:$I$301,9,)</f>
        <v>222</v>
      </c>
      <c r="L223" s="24">
        <v>3.0</v>
      </c>
      <c r="M223" s="21">
        <f>vlookup(A223,FLEX!$D$2:$F$305,3,)</f>
        <v>4</v>
      </c>
      <c r="N223" s="21"/>
      <c r="T223" s="5" t="s">
        <v>451</v>
      </c>
      <c r="U223" s="3">
        <v>2.0</v>
      </c>
      <c r="V223" s="19" t="str">
        <f>vlookup(T223,'Player Codes'!A:D,4,)</f>
        <v>0266</v>
      </c>
      <c r="W223" s="3"/>
      <c r="X223" s="5" t="s">
        <v>352</v>
      </c>
      <c r="Y223" s="3">
        <v>4.0</v>
      </c>
      <c r="Z223" s="1" t="s">
        <v>498</v>
      </c>
      <c r="AA223" s="5" t="s">
        <v>1493</v>
      </c>
    </row>
    <row r="224">
      <c r="A224" s="19" t="str">
        <f>vlookup(D224,'Player Codes'!A:D,4,)</f>
        <v>0061</v>
      </c>
      <c r="B224" s="20">
        <f t="shared" si="1"/>
        <v>0.078</v>
      </c>
      <c r="C224" s="5">
        <v>223.0</v>
      </c>
      <c r="D224" s="5" t="s">
        <v>821</v>
      </c>
      <c r="E224" s="5" t="s">
        <v>1102</v>
      </c>
      <c r="F224" s="5" t="s">
        <v>940</v>
      </c>
      <c r="G224" s="5">
        <v>13.0</v>
      </c>
      <c r="H224" s="5">
        <v>97.2</v>
      </c>
      <c r="I224" s="21">
        <f>vlookup(A224,'ESPN FF Rankings'!$C$2:$H$201,2,false)</f>
        <v>111</v>
      </c>
      <c r="J224" s="5">
        <f t="shared" si="2"/>
        <v>167</v>
      </c>
      <c r="K224" s="21">
        <f>vlookup(A224,'VORP SCORE'!$A$2:$I$301,9,)</f>
        <v>223</v>
      </c>
      <c r="L224" s="22">
        <f>vlookup(A224,'Risk Score'!$A$4:$H$350,8,)</f>
        <v>2</v>
      </c>
      <c r="M224" s="21">
        <f>vlookup(A224,FLEX!$D$2:$F$305,3,)</f>
        <v>2</v>
      </c>
      <c r="N224" s="21"/>
      <c r="T224" s="5" t="s">
        <v>35</v>
      </c>
      <c r="U224" s="3">
        <v>4.0</v>
      </c>
      <c r="V224" s="19" t="str">
        <f>vlookup(T224,'Player Codes'!A:D,4,)</f>
        <v>0274</v>
      </c>
      <c r="W224" s="3"/>
      <c r="X224" s="5" t="s">
        <v>458</v>
      </c>
      <c r="Y224" s="3">
        <v>3.0</v>
      </c>
      <c r="Z224" s="1" t="s">
        <v>713</v>
      </c>
      <c r="AA224" s="5" t="s">
        <v>75</v>
      </c>
    </row>
    <row r="225">
      <c r="A225" s="19" t="str">
        <f>vlookup(D225,'Player Codes'!A:D,4,)</f>
        <v>0256</v>
      </c>
      <c r="B225" s="20">
        <f t="shared" si="1"/>
        <v>0.077</v>
      </c>
      <c r="C225" s="5">
        <v>224.0</v>
      </c>
      <c r="D225" s="5" t="s">
        <v>732</v>
      </c>
      <c r="E225" s="5" t="s">
        <v>1105</v>
      </c>
      <c r="F225" s="5" t="s">
        <v>965</v>
      </c>
      <c r="G225" s="5">
        <v>9.0</v>
      </c>
      <c r="H225" s="5">
        <v>96.8</v>
      </c>
      <c r="I225" s="21">
        <f>vlookup(A225,'ESPN FF Rankings'!$C$2:$H$201,2,false)</f>
        <v>176</v>
      </c>
      <c r="J225" s="5">
        <f t="shared" si="2"/>
        <v>200</v>
      </c>
      <c r="K225" s="21">
        <f>vlookup(A225,'VORP SCORE'!$A$2:$I$301,9,)</f>
        <v>224</v>
      </c>
      <c r="L225" s="22">
        <f>vlookup(A225,'Risk Score'!$A$4:$H$350,8,)</f>
        <v>3</v>
      </c>
      <c r="M225" s="21">
        <f>vlookup(A225,FLEX!$D$2:$F$305,3,)</f>
        <v>2</v>
      </c>
      <c r="N225" s="21"/>
      <c r="T225" s="5" t="s">
        <v>1494</v>
      </c>
      <c r="U225" s="3">
        <v>3.0</v>
      </c>
      <c r="V225" s="23">
        <v>0.0</v>
      </c>
      <c r="W225" s="3"/>
      <c r="X225" s="5" t="s">
        <v>211</v>
      </c>
      <c r="Y225" s="3">
        <v>4.0</v>
      </c>
      <c r="Z225" s="1" t="s">
        <v>717</v>
      </c>
      <c r="AA225" s="5" t="s">
        <v>1495</v>
      </c>
    </row>
    <row r="226">
      <c r="A226" s="19" t="str">
        <f>vlookup(D226,'Player Codes'!A:D,4,)</f>
        <v>0251</v>
      </c>
      <c r="B226" s="20">
        <f t="shared" si="1"/>
        <v>0.076</v>
      </c>
      <c r="C226" s="5">
        <v>225.0</v>
      </c>
      <c r="D226" s="5" t="s">
        <v>551</v>
      </c>
      <c r="E226" s="5" t="s">
        <v>1108</v>
      </c>
      <c r="F226" s="5" t="s">
        <v>1040</v>
      </c>
      <c r="G226" s="5">
        <v>14.0</v>
      </c>
      <c r="H226" s="5">
        <v>96.5</v>
      </c>
      <c r="I226" s="21">
        <f>vlookup(A226,'ESPN FF Rankings'!$C$2:$H$201,2,false)</f>
        <v>127</v>
      </c>
      <c r="J226" s="5">
        <f t="shared" si="2"/>
        <v>176</v>
      </c>
      <c r="K226" s="21">
        <f>vlookup(A226,'VORP SCORE'!$A$2:$I$301,9,)</f>
        <v>225</v>
      </c>
      <c r="L226" s="22">
        <f>vlookup(A226,'Risk Score'!$A$4:$H$350,8,)</f>
        <v>4</v>
      </c>
      <c r="M226" s="21">
        <f>vlookup(A226,FLEX!$D$2:$F$305,3,)</f>
        <v>3</v>
      </c>
      <c r="N226" s="21"/>
      <c r="T226" s="5" t="s">
        <v>1496</v>
      </c>
      <c r="U226" s="3">
        <v>2.0</v>
      </c>
      <c r="V226" s="23">
        <v>0.0</v>
      </c>
      <c r="W226" s="3"/>
      <c r="X226" s="5" t="s">
        <v>1485</v>
      </c>
      <c r="Y226" s="3">
        <v>5.0</v>
      </c>
      <c r="Z226" s="1" t="s">
        <v>549</v>
      </c>
      <c r="AA226" s="5" t="s">
        <v>1497</v>
      </c>
    </row>
    <row r="227">
      <c r="A227" s="19" t="str">
        <f>vlookup(D227,'Player Codes'!A:D,4,)</f>
        <v>0241</v>
      </c>
      <c r="B227" s="20">
        <f t="shared" si="1"/>
        <v>0.075</v>
      </c>
      <c r="C227" s="5">
        <v>226.0</v>
      </c>
      <c r="D227" s="5" t="s">
        <v>393</v>
      </c>
      <c r="E227" s="5" t="s">
        <v>1127</v>
      </c>
      <c r="F227" s="5" t="s">
        <v>954</v>
      </c>
      <c r="G227" s="5">
        <v>10.0</v>
      </c>
      <c r="H227" s="5">
        <v>96.3</v>
      </c>
      <c r="I227" s="21">
        <f>vlookup(A227,'ESPN FF Rankings'!$C$2:$H$201,2,false)</f>
        <v>131</v>
      </c>
      <c r="J227" s="5">
        <f t="shared" si="2"/>
        <v>178.5</v>
      </c>
      <c r="K227" s="21">
        <f>vlookup(A227,'VORP SCORE'!$A$2:$I$301,9,)</f>
        <v>226</v>
      </c>
      <c r="L227" s="22">
        <f>vlookup(A227,'Risk Score'!$A$4:$H$350,8,)</f>
        <v>6</v>
      </c>
      <c r="M227" s="21">
        <f>vlookup(A227,FLEX!$D$2:$F$305,3,)</f>
        <v>4</v>
      </c>
      <c r="N227" s="21"/>
      <c r="T227" s="5" t="s">
        <v>1498</v>
      </c>
      <c r="U227" s="3">
        <v>3.0</v>
      </c>
      <c r="V227" s="23">
        <v>0.0</v>
      </c>
      <c r="W227" s="3"/>
      <c r="X227" s="5" t="s">
        <v>1405</v>
      </c>
      <c r="Y227" s="3">
        <v>3.0</v>
      </c>
      <c r="Z227" s="1" t="s">
        <v>390</v>
      </c>
      <c r="AA227" s="5" t="s">
        <v>1499</v>
      </c>
    </row>
    <row r="228">
      <c r="A228" s="19" t="str">
        <f>vlookup(D228,'Player Codes'!A:D,4,)</f>
        <v>0094</v>
      </c>
      <c r="B228" s="20">
        <f t="shared" si="1"/>
        <v>0.074</v>
      </c>
      <c r="C228" s="5">
        <v>227.0</v>
      </c>
      <c r="D228" s="5" t="s">
        <v>513</v>
      </c>
      <c r="E228" s="5" t="s">
        <v>1128</v>
      </c>
      <c r="F228" s="5" t="s">
        <v>992</v>
      </c>
      <c r="G228" s="5">
        <v>7.0</v>
      </c>
      <c r="H228" s="5">
        <v>95.8</v>
      </c>
      <c r="I228" s="21">
        <f>vlookup(A228,'ESPN FF Rankings'!$C$2:$H$201,2,false)</f>
        <v>117</v>
      </c>
      <c r="J228" s="5">
        <f t="shared" si="2"/>
        <v>172</v>
      </c>
      <c r="K228" s="21">
        <f>vlookup(A228,'VORP SCORE'!$A$2:$I$301,9,)</f>
        <v>227</v>
      </c>
      <c r="L228" s="22">
        <f>vlookup(A228,'Risk Score'!$A$4:$H$350,8,)</f>
        <v>3</v>
      </c>
      <c r="M228" s="21">
        <f>vlookup(A228,FLEX!$D$2:$F$305,3,)</f>
        <v>4</v>
      </c>
      <c r="N228" s="21"/>
      <c r="T228" s="5" t="s">
        <v>696</v>
      </c>
      <c r="U228" s="3">
        <v>2.0</v>
      </c>
      <c r="V228" s="19" t="str">
        <f>vlookup(T228,'Player Codes'!A:D,4,)</f>
        <v>0282</v>
      </c>
      <c r="W228" s="3"/>
      <c r="X228" s="5" t="s">
        <v>1486</v>
      </c>
      <c r="Y228" s="3">
        <v>5.0</v>
      </c>
      <c r="Z228" s="1" t="s">
        <v>511</v>
      </c>
      <c r="AA228" s="5" t="s">
        <v>1500</v>
      </c>
    </row>
    <row r="229">
      <c r="A229" s="19" t="str">
        <f>vlookup(D229,'Player Codes'!A:D,4,)</f>
        <v>0079</v>
      </c>
      <c r="B229" s="20">
        <f t="shared" si="1"/>
        <v>0.073</v>
      </c>
      <c r="C229" s="5">
        <v>228.0</v>
      </c>
      <c r="D229" s="5" t="s">
        <v>571</v>
      </c>
      <c r="E229" s="5" t="s">
        <v>1109</v>
      </c>
      <c r="F229" s="5" t="s">
        <v>940</v>
      </c>
      <c r="G229" s="5">
        <v>13.0</v>
      </c>
      <c r="H229" s="5">
        <v>95.7</v>
      </c>
      <c r="I229" s="21">
        <f>vlookup(A229,'ESPN FF Rankings'!$C$2:$H$201,2,false)</f>
        <v>137</v>
      </c>
      <c r="J229" s="5">
        <f t="shared" si="2"/>
        <v>182.5</v>
      </c>
      <c r="K229" s="21">
        <f>vlookup(A229,'VORP SCORE'!$A$2:$I$301,9,)</f>
        <v>228</v>
      </c>
      <c r="L229" s="22">
        <f>vlookup(A229,'Risk Score'!$A$4:$H$350,8,)</f>
        <v>4</v>
      </c>
      <c r="M229" s="21">
        <f>vlookup(A229,FLEX!$D$2:$F$305,3,)</f>
        <v>3</v>
      </c>
      <c r="N229" s="21"/>
      <c r="T229" s="5" t="s">
        <v>1501</v>
      </c>
      <c r="U229" s="3">
        <v>5.0</v>
      </c>
      <c r="V229" s="23">
        <v>0.0</v>
      </c>
      <c r="W229" s="3"/>
      <c r="X229" s="2" t="s">
        <v>1502</v>
      </c>
      <c r="Y229" s="3">
        <v>6.0</v>
      </c>
      <c r="Z229" s="1" t="s">
        <v>568</v>
      </c>
      <c r="AA229" s="5" t="s">
        <v>22</v>
      </c>
    </row>
    <row r="230">
      <c r="A230" s="19" t="str">
        <f>vlookup(D230,'Player Codes'!A:D,4,)</f>
        <v>0154</v>
      </c>
      <c r="B230" s="20">
        <f t="shared" si="1"/>
        <v>0.072</v>
      </c>
      <c r="C230" s="5">
        <v>229.0</v>
      </c>
      <c r="D230" s="5" t="s">
        <v>440</v>
      </c>
      <c r="E230" s="5" t="s">
        <v>1133</v>
      </c>
      <c r="F230" s="5" t="s">
        <v>954</v>
      </c>
      <c r="G230" s="5">
        <v>10.0</v>
      </c>
      <c r="H230" s="5">
        <v>94.9</v>
      </c>
      <c r="I230" s="21">
        <f>vlookup(A230,'ESPN FF Rankings'!$C$2:$H$201,2,false)</f>
        <v>108</v>
      </c>
      <c r="J230" s="5">
        <f t="shared" si="2"/>
        <v>168.5</v>
      </c>
      <c r="K230" s="21">
        <f>vlookup(A230,'VORP SCORE'!$A$2:$I$301,9,)</f>
        <v>229</v>
      </c>
      <c r="L230" s="22">
        <f>vlookup(A230,'Risk Score'!$A$4:$H$350,8,)</f>
        <v>5</v>
      </c>
      <c r="M230" s="21">
        <f>vlookup(A230,FLEX!$D$2:$F$305,3,)</f>
        <v>4</v>
      </c>
      <c r="N230" s="21"/>
      <c r="T230" s="5" t="s">
        <v>585</v>
      </c>
      <c r="U230" s="3">
        <v>2.0</v>
      </c>
      <c r="V230" s="19" t="str">
        <f>vlookup(T230,'Player Codes'!A:D,4,)</f>
        <v>0283</v>
      </c>
      <c r="W230" s="3"/>
      <c r="X230" s="2" t="s">
        <v>903</v>
      </c>
      <c r="Y230" s="3">
        <v>2.0</v>
      </c>
      <c r="Z230" s="1" t="s">
        <v>437</v>
      </c>
      <c r="AA230" s="5" t="s">
        <v>606</v>
      </c>
    </row>
    <row r="231">
      <c r="A231" s="19" t="str">
        <f>vlookup(D231,'Player Codes'!A:D,4,)</f>
        <v>0124</v>
      </c>
      <c r="B231" s="20">
        <f t="shared" si="1"/>
        <v>0.071</v>
      </c>
      <c r="C231" s="5">
        <v>230.0</v>
      </c>
      <c r="D231" s="2" t="s">
        <v>910</v>
      </c>
      <c r="E231" s="2" t="s">
        <v>1200</v>
      </c>
      <c r="F231" s="5" t="s">
        <v>992</v>
      </c>
      <c r="G231" s="5">
        <v>7.0</v>
      </c>
      <c r="H231" s="5">
        <v>94.8</v>
      </c>
      <c r="I231" s="21" t="str">
        <f>vlookup(A231,'ESPN FF Rankings'!$C$2:$H$201,2,false)</f>
        <v>#N/A</v>
      </c>
      <c r="J231" s="5" t="str">
        <f t="shared" si="2"/>
        <v>#N/A</v>
      </c>
      <c r="K231" s="21">
        <f>vlookup(A231,'VORP SCORE'!$A$2:$I$301,9,)</f>
        <v>230</v>
      </c>
      <c r="L231" s="24">
        <v>3.0</v>
      </c>
      <c r="M231" s="21" t="str">
        <f>vlookup(A231,FLEX!$D$2:$F$305,3,)</f>
        <v/>
      </c>
      <c r="N231" s="21"/>
      <c r="T231" s="5" t="s">
        <v>461</v>
      </c>
      <c r="U231" s="3">
        <v>3.0</v>
      </c>
      <c r="V231" s="19" t="str">
        <f>vlookup(T231,'Player Codes'!A:D,4,)</f>
        <v>0284</v>
      </c>
      <c r="W231" s="3"/>
      <c r="X231" s="2" t="s">
        <v>1503</v>
      </c>
      <c r="Y231" s="3">
        <v>3.0</v>
      </c>
      <c r="Z231" s="1" t="s">
        <v>735</v>
      </c>
      <c r="AA231" s="5" t="s">
        <v>436</v>
      </c>
    </row>
    <row r="232">
      <c r="A232" s="19" t="str">
        <f>vlookup(D232,'Player Codes'!A:D,4,)</f>
        <v>0198</v>
      </c>
      <c r="B232" s="20">
        <f t="shared" si="1"/>
        <v>0.07</v>
      </c>
      <c r="C232" s="5">
        <v>231.0</v>
      </c>
      <c r="D232" s="2" t="s">
        <v>912</v>
      </c>
      <c r="E232" s="2" t="s">
        <v>1201</v>
      </c>
      <c r="F232" s="5" t="s">
        <v>958</v>
      </c>
      <c r="G232" s="5">
        <v>10.0</v>
      </c>
      <c r="H232" s="5">
        <v>93.6</v>
      </c>
      <c r="I232" s="21" t="str">
        <f>vlookup(A232,'ESPN FF Rankings'!$C$2:$H$201,2,false)</f>
        <v>#N/A</v>
      </c>
      <c r="J232" s="5" t="str">
        <f t="shared" si="2"/>
        <v>#N/A</v>
      </c>
      <c r="K232" s="21">
        <f>vlookup(A232,'VORP SCORE'!$A$2:$I$301,9,)</f>
        <v>231</v>
      </c>
      <c r="L232" s="24">
        <v>3.0</v>
      </c>
      <c r="M232" s="21" t="str">
        <f>vlookup(A232,FLEX!$D$2:$F$305,3,)</f>
        <v/>
      </c>
      <c r="N232" s="21"/>
      <c r="T232" s="5" t="s">
        <v>1504</v>
      </c>
      <c r="U232" s="3">
        <v>2.0</v>
      </c>
      <c r="V232" s="23">
        <v>0.0</v>
      </c>
      <c r="W232" s="3"/>
      <c r="X232" s="5" t="s">
        <v>331</v>
      </c>
      <c r="Y232" s="3">
        <v>3.0</v>
      </c>
      <c r="Z232" s="1" t="s">
        <v>738</v>
      </c>
      <c r="AA232" s="5" t="s">
        <v>885</v>
      </c>
    </row>
    <row r="233">
      <c r="A233" s="19" t="str">
        <f>vlookup(D233,'Player Codes'!A:D,4,)</f>
        <v>0283</v>
      </c>
      <c r="B233" s="20">
        <f t="shared" si="1"/>
        <v>0.07</v>
      </c>
      <c r="C233" s="5">
        <v>231.0</v>
      </c>
      <c r="D233" s="5" t="s">
        <v>585</v>
      </c>
      <c r="E233" s="5" t="s">
        <v>1202</v>
      </c>
      <c r="F233" s="5" t="s">
        <v>990</v>
      </c>
      <c r="G233" s="5">
        <v>7.0</v>
      </c>
      <c r="H233" s="5">
        <v>93.6</v>
      </c>
      <c r="I233" s="21" t="str">
        <f>vlookup(A233,'ESPN FF Rankings'!$C$2:$H$201,2,false)</f>
        <v>#N/A</v>
      </c>
      <c r="J233" s="5" t="str">
        <f t="shared" si="2"/>
        <v>#N/A</v>
      </c>
      <c r="K233" s="21">
        <f>vlookup(A233,'VORP SCORE'!$A$2:$I$301,9,)</f>
        <v>232</v>
      </c>
      <c r="L233" s="22">
        <f>vlookup(A233,'Risk Score'!$A$4:$H$350,8,)</f>
        <v>2</v>
      </c>
      <c r="M233" s="21">
        <f>vlookup(A233,FLEX!$D$2:$F$305,3,)</f>
        <v>4</v>
      </c>
      <c r="N233" s="21"/>
      <c r="T233" s="5" t="s">
        <v>368</v>
      </c>
      <c r="U233" s="3">
        <v>3.0</v>
      </c>
      <c r="V233" s="19" t="str">
        <f>vlookup(T233,'Player Codes'!A:D,4,)</f>
        <v>0296</v>
      </c>
      <c r="W233" s="3"/>
      <c r="X233" s="5" t="s">
        <v>832</v>
      </c>
      <c r="Y233" s="3">
        <v>3.0</v>
      </c>
      <c r="Z233" s="1" t="s">
        <v>583</v>
      </c>
      <c r="AA233" s="5" t="s">
        <v>430</v>
      </c>
    </row>
    <row r="234">
      <c r="A234" s="19" t="str">
        <f>vlookup(D234,'Player Codes'!A:D,4,)</f>
        <v>0183</v>
      </c>
      <c r="B234" s="20">
        <f t="shared" si="1"/>
        <v>0.068</v>
      </c>
      <c r="C234" s="5">
        <v>233.0</v>
      </c>
      <c r="D234" s="5" t="s">
        <v>530</v>
      </c>
      <c r="E234" s="5" t="s">
        <v>1136</v>
      </c>
      <c r="F234" s="5" t="s">
        <v>983</v>
      </c>
      <c r="G234" s="5">
        <v>11.0</v>
      </c>
      <c r="H234" s="5">
        <v>92.9</v>
      </c>
      <c r="I234" s="21">
        <f>vlookup(A234,'ESPN FF Rankings'!$C$2:$H$201,2,false)</f>
        <v>155</v>
      </c>
      <c r="J234" s="5">
        <f t="shared" si="2"/>
        <v>194</v>
      </c>
      <c r="K234" s="21">
        <f>vlookup(A234,'VORP SCORE'!$A$2:$I$301,9,)</f>
        <v>233</v>
      </c>
      <c r="L234" s="22">
        <f>vlookup(A234,'Risk Score'!$A$4:$H$350,8,)</f>
        <v>3</v>
      </c>
      <c r="M234" s="21">
        <f>vlookup(A234,FLEX!$D$2:$F$305,3,)</f>
        <v>4</v>
      </c>
      <c r="N234" s="21"/>
      <c r="T234" s="5" t="s">
        <v>1505</v>
      </c>
      <c r="U234" s="3">
        <v>3.0</v>
      </c>
      <c r="V234" s="23">
        <v>0.0</v>
      </c>
      <c r="W234" s="3"/>
      <c r="X234" s="5" t="s">
        <v>1506</v>
      </c>
      <c r="Y234" s="3">
        <v>2.0</v>
      </c>
      <c r="Z234" s="1" t="s">
        <v>527</v>
      </c>
      <c r="AA234" s="5" t="s">
        <v>643</v>
      </c>
    </row>
    <row r="235">
      <c r="A235" s="19" t="str">
        <f>vlookup(D235,'Player Codes'!A:D,4,)</f>
        <v>0128</v>
      </c>
      <c r="B235" s="20">
        <f t="shared" si="1"/>
        <v>0.067</v>
      </c>
      <c r="C235" s="5">
        <v>234.0</v>
      </c>
      <c r="D235" s="5" t="s">
        <v>783</v>
      </c>
      <c r="E235" s="5" t="s">
        <v>1111</v>
      </c>
      <c r="F235" s="5" t="s">
        <v>935</v>
      </c>
      <c r="G235" s="5">
        <v>7.0</v>
      </c>
      <c r="H235" s="5">
        <v>92.8</v>
      </c>
      <c r="I235" s="21">
        <f>vlookup(A235,'ESPN FF Rankings'!$C$2:$H$201,2,false)</f>
        <v>146</v>
      </c>
      <c r="J235" s="5">
        <f t="shared" si="2"/>
        <v>190</v>
      </c>
      <c r="K235" s="21">
        <f>vlookup(A235,'VORP SCORE'!$A$2:$I$301,9,)</f>
        <v>234</v>
      </c>
      <c r="L235" s="24">
        <v>3.0</v>
      </c>
      <c r="M235" s="21">
        <f>vlookup(A235,FLEX!$D$2:$F$305,3,)</f>
        <v>2</v>
      </c>
      <c r="N235" s="21"/>
      <c r="T235" s="5" t="s">
        <v>790</v>
      </c>
      <c r="U235" s="3">
        <v>2.0</v>
      </c>
      <c r="V235" s="19" t="str">
        <f>vlookup(T235,'Player Codes'!A:D,4,)</f>
        <v>0298</v>
      </c>
      <c r="W235" s="3"/>
      <c r="X235" s="5" t="s">
        <v>1507</v>
      </c>
      <c r="Y235" s="3">
        <v>5.0</v>
      </c>
      <c r="Z235" s="1" t="s">
        <v>747</v>
      </c>
      <c r="AA235" s="5" t="s">
        <v>475</v>
      </c>
    </row>
    <row r="236">
      <c r="A236" s="19" t="str">
        <f>vlookup(D236,'Player Codes'!A:D,4,)</f>
        <v>0102</v>
      </c>
      <c r="B236" s="20">
        <f t="shared" si="1"/>
        <v>0.066</v>
      </c>
      <c r="C236" s="5">
        <v>235.0</v>
      </c>
      <c r="D236" s="5" t="s">
        <v>649</v>
      </c>
      <c r="E236" s="5" t="s">
        <v>1203</v>
      </c>
      <c r="F236" s="5" t="s">
        <v>944</v>
      </c>
      <c r="G236" s="5">
        <v>5.0</v>
      </c>
      <c r="H236" s="5">
        <v>92.2</v>
      </c>
      <c r="I236" s="21" t="str">
        <f>vlookup(A236,'ESPN FF Rankings'!$C$2:$H$201,2,false)</f>
        <v>#N/A</v>
      </c>
      <c r="J236" s="5" t="str">
        <f t="shared" si="2"/>
        <v>#N/A</v>
      </c>
      <c r="K236" s="21">
        <f>vlookup(A236,'VORP SCORE'!$A$2:$I$301,9,)</f>
        <v>235</v>
      </c>
      <c r="L236" s="22">
        <f>vlookup(A236,'Risk Score'!$A$4:$H$350,8,)</f>
        <v>3</v>
      </c>
      <c r="M236" s="21">
        <f>vlookup(A236,FLEX!$D$2:$F$305,3,)</f>
        <v>3</v>
      </c>
      <c r="N236" s="21"/>
      <c r="T236" s="5" t="s">
        <v>1508</v>
      </c>
      <c r="U236" s="3">
        <v>2.0</v>
      </c>
      <c r="V236" s="23">
        <v>0.0</v>
      </c>
      <c r="W236" s="3"/>
      <c r="X236" s="2" t="s">
        <v>277</v>
      </c>
      <c r="Y236" s="3">
        <v>4.0</v>
      </c>
      <c r="Z236" s="1" t="s">
        <v>647</v>
      </c>
      <c r="AA236" s="5" t="s">
        <v>267</v>
      </c>
    </row>
    <row r="237">
      <c r="A237" s="19" t="str">
        <f>vlookup(D237,'Player Codes'!A:D,4,)</f>
        <v>0189</v>
      </c>
      <c r="B237" s="20">
        <f t="shared" si="1"/>
        <v>0.065</v>
      </c>
      <c r="C237" s="5">
        <v>236.0</v>
      </c>
      <c r="D237" s="5" t="s">
        <v>655</v>
      </c>
      <c r="E237" s="5" t="s">
        <v>1204</v>
      </c>
      <c r="F237" s="5" t="s">
        <v>929</v>
      </c>
      <c r="G237" s="5">
        <v>13.0</v>
      </c>
      <c r="H237" s="5">
        <v>92.0</v>
      </c>
      <c r="I237" s="21" t="str">
        <f>vlookup(A237,'ESPN FF Rankings'!$C$2:$H$201,2,false)</f>
        <v>#N/A</v>
      </c>
      <c r="J237" s="5" t="str">
        <f t="shared" si="2"/>
        <v>#N/A</v>
      </c>
      <c r="K237" s="21">
        <f>vlookup(A237,'VORP SCORE'!$A$2:$I$301,9,)</f>
        <v>236</v>
      </c>
      <c r="L237" s="22">
        <f>vlookup(A237,'Risk Score'!$A$4:$H$350,8,)</f>
        <v>3</v>
      </c>
      <c r="M237" s="21">
        <f>vlookup(A237,FLEX!$D$2:$F$305,3,)</f>
        <v>3</v>
      </c>
      <c r="N237" s="21"/>
      <c r="T237" s="5" t="s">
        <v>196</v>
      </c>
      <c r="U237" s="3">
        <v>5.0</v>
      </c>
      <c r="V237" s="19" t="str">
        <f>vlookup(T237,'Player Codes'!A:D,4,)</f>
        <v>0003</v>
      </c>
      <c r="W237" s="3"/>
      <c r="X237" s="5" t="s">
        <v>1408</v>
      </c>
      <c r="Y237" s="3">
        <v>2.0</v>
      </c>
      <c r="Z237" s="1" t="s">
        <v>653</v>
      </c>
      <c r="AA237" s="5" t="s">
        <v>1509</v>
      </c>
    </row>
    <row r="238">
      <c r="A238" s="19" t="str">
        <f>vlookup(D238,'Player Codes'!A:D,4,)</f>
        <v>0118</v>
      </c>
      <c r="B238" s="20">
        <f t="shared" si="1"/>
        <v>0.064</v>
      </c>
      <c r="C238" s="5">
        <v>237.0</v>
      </c>
      <c r="D238" s="5" t="s">
        <v>705</v>
      </c>
      <c r="E238" s="5" t="s">
        <v>1114</v>
      </c>
      <c r="F238" s="5" t="s">
        <v>976</v>
      </c>
      <c r="G238" s="5">
        <v>9.0</v>
      </c>
      <c r="H238" s="5">
        <v>91.8</v>
      </c>
      <c r="I238" s="21">
        <f>vlookup(A238,'ESPN FF Rankings'!$C$2:$H$201,2,false)</f>
        <v>112</v>
      </c>
      <c r="J238" s="5">
        <f t="shared" si="2"/>
        <v>174.5</v>
      </c>
      <c r="K238" s="21">
        <f>vlookup(A238,'VORP SCORE'!$A$2:$I$301,9,)</f>
        <v>237</v>
      </c>
      <c r="L238" s="22">
        <f>vlookup(A238,'Risk Score'!$A$4:$H$350,8,)</f>
        <v>4</v>
      </c>
      <c r="M238" s="21">
        <f>vlookup(A238,FLEX!$D$2:$F$305,3,)</f>
        <v>2</v>
      </c>
      <c r="N238" s="21"/>
      <c r="T238" s="5" t="s">
        <v>1281</v>
      </c>
      <c r="U238" s="3">
        <v>5.0</v>
      </c>
      <c r="V238" s="23">
        <v>0.0</v>
      </c>
      <c r="W238" s="3"/>
      <c r="X238" s="5" t="s">
        <v>718</v>
      </c>
      <c r="Y238" s="3">
        <v>4.0</v>
      </c>
      <c r="Z238" s="1" t="s">
        <v>703</v>
      </c>
      <c r="AA238" s="5" t="s">
        <v>1510</v>
      </c>
    </row>
    <row r="239">
      <c r="A239" s="19" t="str">
        <f>vlookup(D239,'Player Codes'!A:D,4,)</f>
        <v>0287</v>
      </c>
      <c r="B239" s="20">
        <f t="shared" si="1"/>
        <v>0.063</v>
      </c>
      <c r="C239" s="5">
        <v>238.0</v>
      </c>
      <c r="D239" s="5" t="s">
        <v>803</v>
      </c>
      <c r="E239" s="5" t="s">
        <v>1205</v>
      </c>
      <c r="F239" s="5" t="s">
        <v>967</v>
      </c>
      <c r="G239" s="5">
        <v>7.0</v>
      </c>
      <c r="H239" s="5">
        <v>91.3</v>
      </c>
      <c r="I239" s="21" t="str">
        <f>vlookup(A239,'ESPN FF Rankings'!$C$2:$H$201,2,false)</f>
        <v>#N/A</v>
      </c>
      <c r="J239" s="5" t="str">
        <f t="shared" si="2"/>
        <v>#N/A</v>
      </c>
      <c r="K239" s="21">
        <f>vlookup(A239,'VORP SCORE'!$A$2:$I$301,9,)</f>
        <v>238</v>
      </c>
      <c r="L239" s="22">
        <f>vlookup(A239,'Risk Score'!$A$4:$H$350,8,)</f>
        <v>3</v>
      </c>
      <c r="M239" s="21">
        <f>vlookup(A239,FLEX!$D$2:$F$305,3,)</f>
        <v>2</v>
      </c>
      <c r="N239" s="21"/>
      <c r="T239" s="2" t="s">
        <v>288</v>
      </c>
      <c r="U239" s="3">
        <v>3.0</v>
      </c>
      <c r="V239" s="19" t="str">
        <f>vlookup(T239,'Player Codes'!A:D,4,)</f>
        <v>0014</v>
      </c>
      <c r="W239" s="3"/>
      <c r="X239" s="5" t="s">
        <v>214</v>
      </c>
      <c r="Y239" s="3">
        <v>5.0</v>
      </c>
      <c r="Z239" s="1" t="s">
        <v>759</v>
      </c>
      <c r="AA239" s="5" t="s">
        <v>751</v>
      </c>
    </row>
    <row r="240">
      <c r="A240" s="19" t="str">
        <f>vlookup(D240,'Player Codes'!A:D,4,)</f>
        <v>0115</v>
      </c>
      <c r="B240" s="20">
        <f t="shared" si="1"/>
        <v>0.062</v>
      </c>
      <c r="C240" s="5">
        <v>239.0</v>
      </c>
      <c r="D240" s="5" t="s">
        <v>805</v>
      </c>
      <c r="E240" s="5" t="s">
        <v>1115</v>
      </c>
      <c r="F240" s="5" t="s">
        <v>938</v>
      </c>
      <c r="G240" s="5">
        <v>5.0</v>
      </c>
      <c r="H240" s="5">
        <v>91.0</v>
      </c>
      <c r="I240" s="21">
        <f>vlookup(A240,'ESPN FF Rankings'!$C$2:$H$201,2,false)</f>
        <v>141</v>
      </c>
      <c r="J240" s="5">
        <f t="shared" si="2"/>
        <v>190</v>
      </c>
      <c r="K240" s="21">
        <f>vlookup(A240,'VORP SCORE'!$A$2:$I$301,9,)</f>
        <v>239</v>
      </c>
      <c r="L240" s="22">
        <f>vlookup(A240,'Risk Score'!$A$4:$H$350,8,)</f>
        <v>3</v>
      </c>
      <c r="M240" s="21">
        <f>vlookup(A240,FLEX!$D$2:$F$305,3,)</f>
        <v>2</v>
      </c>
      <c r="N240" s="21"/>
      <c r="T240" s="5" t="s">
        <v>564</v>
      </c>
      <c r="U240" s="3">
        <v>4.0</v>
      </c>
      <c r="V240" s="19" t="str">
        <f>vlookup(T240,'Player Codes'!A:D,4,)</f>
        <v>0019</v>
      </c>
      <c r="W240" s="3"/>
      <c r="X240" s="5" t="s">
        <v>1415</v>
      </c>
      <c r="Y240" s="3">
        <v>6.0</v>
      </c>
      <c r="Z240" s="1" t="s">
        <v>763</v>
      </c>
      <c r="AA240" s="5" t="s">
        <v>380</v>
      </c>
    </row>
    <row r="241">
      <c r="A241" s="19" t="str">
        <f>vlookup(D241,'Player Codes'!A:D,4,)</f>
        <v>0206</v>
      </c>
      <c r="B241" s="20">
        <f t="shared" si="1"/>
        <v>0.061</v>
      </c>
      <c r="C241" s="5">
        <v>240.0</v>
      </c>
      <c r="D241" s="5" t="s">
        <v>736</v>
      </c>
      <c r="E241" s="5" t="s">
        <v>1206</v>
      </c>
      <c r="F241" s="5" t="s">
        <v>976</v>
      </c>
      <c r="G241" s="5">
        <v>9.0</v>
      </c>
      <c r="H241" s="5">
        <v>90.8</v>
      </c>
      <c r="I241" s="21" t="str">
        <f>vlookup(A241,'ESPN FF Rankings'!$C$2:$H$201,2,false)</f>
        <v>#N/A</v>
      </c>
      <c r="J241" s="5" t="str">
        <f t="shared" si="2"/>
        <v>#N/A</v>
      </c>
      <c r="K241" s="21">
        <f>vlookup(A241,'VORP SCORE'!$A$2:$I$301,9,)</f>
        <v>240</v>
      </c>
      <c r="L241" s="22">
        <f>vlookup(A241,'Risk Score'!$A$4:$H$350,8,)</f>
        <v>2</v>
      </c>
      <c r="M241" s="21">
        <f>vlookup(A241,FLEX!$D$2:$F$305,3,)</f>
        <v>3</v>
      </c>
      <c r="N241" s="21"/>
      <c r="T241" s="5" t="s">
        <v>1294</v>
      </c>
      <c r="U241" s="3">
        <v>4.0</v>
      </c>
      <c r="V241" s="23">
        <v>0.0</v>
      </c>
      <c r="W241" s="3"/>
      <c r="X241" s="5" t="s">
        <v>1417</v>
      </c>
      <c r="Y241" s="3">
        <v>6.0</v>
      </c>
      <c r="Z241" s="1" t="s">
        <v>733</v>
      </c>
      <c r="AA241" s="5" t="s">
        <v>254</v>
      </c>
    </row>
    <row r="242">
      <c r="A242" s="19" t="str">
        <f>vlookup(D242,'Player Codes'!A:D,4,)</f>
        <v>0142</v>
      </c>
      <c r="B242" s="20">
        <f t="shared" si="1"/>
        <v>0.06</v>
      </c>
      <c r="C242" s="5">
        <v>241.0</v>
      </c>
      <c r="D242" s="5" t="s">
        <v>468</v>
      </c>
      <c r="E242" s="5" t="s">
        <v>1138</v>
      </c>
      <c r="F242" s="5" t="s">
        <v>983</v>
      </c>
      <c r="G242" s="5">
        <v>11.0</v>
      </c>
      <c r="H242" s="5">
        <v>90.3</v>
      </c>
      <c r="I242" s="21">
        <f>vlookup(A242,'ESPN FF Rankings'!$C$2:$H$201,2,false)</f>
        <v>101</v>
      </c>
      <c r="J242" s="5">
        <f t="shared" si="2"/>
        <v>171</v>
      </c>
      <c r="K242" s="21">
        <f>vlookup(A242,'VORP SCORE'!$A$2:$I$301,9,)</f>
        <v>241</v>
      </c>
      <c r="L242" s="22">
        <f>vlookup(A242,'Risk Score'!$A$4:$H$350,8,)</f>
        <v>5</v>
      </c>
      <c r="M242" s="21">
        <f>vlookup(A242,FLEX!$D$2:$F$305,3,)</f>
        <v>4</v>
      </c>
      <c r="N242" s="21"/>
      <c r="T242" s="5" t="s">
        <v>382</v>
      </c>
      <c r="U242" s="3">
        <v>2.0</v>
      </c>
      <c r="V242" s="19" t="str">
        <f>vlookup(T242,'Player Codes'!A:D,4,)</f>
        <v>0029</v>
      </c>
      <c r="W242" s="3"/>
      <c r="X242" s="5" t="s">
        <v>736</v>
      </c>
      <c r="Y242" s="3">
        <v>2.0</v>
      </c>
      <c r="Z242" s="1" t="s">
        <v>466</v>
      </c>
      <c r="AA242" s="5" t="s">
        <v>393</v>
      </c>
    </row>
    <row r="243">
      <c r="A243" s="19" t="str">
        <f>vlookup(D243,'Player Codes'!A:D,4,)</f>
        <v>0156</v>
      </c>
      <c r="B243" s="20">
        <f t="shared" si="1"/>
        <v>0.059</v>
      </c>
      <c r="C243" s="5">
        <v>242.0</v>
      </c>
      <c r="D243" s="5" t="s">
        <v>558</v>
      </c>
      <c r="E243" s="5" t="s">
        <v>1146</v>
      </c>
      <c r="F243" s="5" t="s">
        <v>944</v>
      </c>
      <c r="G243" s="5">
        <v>5.0</v>
      </c>
      <c r="H243" s="5">
        <v>90.2</v>
      </c>
      <c r="I243" s="21">
        <f>vlookup(A243,'ESPN FF Rankings'!$C$2:$H$201,2,false)</f>
        <v>143</v>
      </c>
      <c r="J243" s="5">
        <f t="shared" si="2"/>
        <v>192.5</v>
      </c>
      <c r="K243" s="21">
        <f>vlookup(A243,'VORP SCORE'!$A$2:$I$301,9,)</f>
        <v>242</v>
      </c>
      <c r="L243" s="22">
        <f>vlookup(A243,'Risk Score'!$A$4:$H$350,8,)</f>
        <v>3</v>
      </c>
      <c r="M243" s="21">
        <f>vlookup(A243,FLEX!$D$2:$F$305,3,)</f>
        <v>4</v>
      </c>
      <c r="N243" s="21"/>
      <c r="T243" s="5" t="s">
        <v>306</v>
      </c>
      <c r="U243" s="3">
        <v>3.0</v>
      </c>
      <c r="V243" s="19" t="str">
        <f>vlookup(T243,'Player Codes'!A:D,4,)</f>
        <v>0030</v>
      </c>
      <c r="W243" s="3"/>
      <c r="X243" s="5" t="s">
        <v>594</v>
      </c>
      <c r="Y243" s="3">
        <v>4.0</v>
      </c>
      <c r="Z243" s="1" t="s">
        <v>555</v>
      </c>
      <c r="AA243" s="5" t="s">
        <v>400</v>
      </c>
    </row>
    <row r="244">
      <c r="A244" s="19" t="str">
        <f>vlookup(D244,'Player Codes'!A:D,4,)</f>
        <v>0016</v>
      </c>
      <c r="B244" s="20">
        <f t="shared" si="1"/>
        <v>0.058</v>
      </c>
      <c r="C244" s="5">
        <v>243.0</v>
      </c>
      <c r="D244" s="2" t="s">
        <v>914</v>
      </c>
      <c r="E244" s="2" t="s">
        <v>1207</v>
      </c>
      <c r="F244" s="5" t="s">
        <v>1040</v>
      </c>
      <c r="G244" s="5">
        <v>14.0</v>
      </c>
      <c r="H244" s="5">
        <v>90.1</v>
      </c>
      <c r="I244" s="21" t="str">
        <f>vlookup(A244,'ESPN FF Rankings'!$C$2:$H$201,2,false)</f>
        <v>#N/A</v>
      </c>
      <c r="J244" s="5" t="str">
        <f t="shared" si="2"/>
        <v>#N/A</v>
      </c>
      <c r="K244" s="21">
        <f>vlookup(A244,'VORP SCORE'!$A$2:$I$301,9,)</f>
        <v>243</v>
      </c>
      <c r="L244" s="24">
        <v>3.0</v>
      </c>
      <c r="M244" s="21" t="str">
        <f>vlookup(A244,FLEX!$D$2:$F$305,3,)</f>
        <v/>
      </c>
      <c r="N244" s="21"/>
      <c r="T244" s="5" t="s">
        <v>346</v>
      </c>
      <c r="U244" s="3">
        <v>2.0</v>
      </c>
      <c r="V244" s="19" t="str">
        <f>vlookup(T244,'Player Codes'!A:D,4,)</f>
        <v>0032</v>
      </c>
      <c r="W244" s="3"/>
      <c r="X244" s="5" t="s">
        <v>239</v>
      </c>
      <c r="Y244" s="3">
        <v>5.0</v>
      </c>
      <c r="Z244" s="1" t="s">
        <v>774</v>
      </c>
      <c r="AA244" s="5" t="s">
        <v>660</v>
      </c>
    </row>
    <row r="245">
      <c r="A245" s="19" t="str">
        <f>vlookup(D245,'Player Codes'!A:D,4,)</f>
        <v>0047</v>
      </c>
      <c r="B245" s="20">
        <f t="shared" si="1"/>
        <v>0.057</v>
      </c>
      <c r="C245" s="5">
        <v>244.0</v>
      </c>
      <c r="D245" s="2" t="s">
        <v>916</v>
      </c>
      <c r="E245" s="2" t="s">
        <v>1208</v>
      </c>
      <c r="F245" s="5" t="s">
        <v>940</v>
      </c>
      <c r="G245" s="5">
        <v>13.0</v>
      </c>
      <c r="H245" s="5">
        <v>89.4</v>
      </c>
      <c r="I245" s="21" t="str">
        <f>vlookup(A245,'ESPN FF Rankings'!$C$2:$H$201,2,false)</f>
        <v>#N/A</v>
      </c>
      <c r="J245" s="5" t="str">
        <f t="shared" si="2"/>
        <v>#N/A</v>
      </c>
      <c r="K245" s="21">
        <f>vlookup(A245,'VORP SCORE'!$A$2:$I$301,9,)</f>
        <v>244</v>
      </c>
      <c r="L245" s="24">
        <v>3.0</v>
      </c>
      <c r="M245" s="21" t="str">
        <f>vlookup(A245,FLEX!$D$2:$F$305,3,)</f>
        <v/>
      </c>
      <c r="N245" s="21"/>
      <c r="T245" s="5" t="s">
        <v>1327</v>
      </c>
      <c r="U245" s="3">
        <v>5.0</v>
      </c>
      <c r="V245" s="23">
        <v>0.0</v>
      </c>
      <c r="W245" s="3"/>
      <c r="X245" s="5" t="s">
        <v>1420</v>
      </c>
      <c r="Y245" s="3">
        <v>4.0</v>
      </c>
      <c r="Z245" s="1" t="s">
        <v>778</v>
      </c>
      <c r="AA245" s="5" t="s">
        <v>652</v>
      </c>
    </row>
    <row r="246">
      <c r="A246" s="19" t="str">
        <f>vlookup(D246,'Player Codes'!A:D,4,)</f>
        <v>0176</v>
      </c>
      <c r="B246" s="20">
        <f t="shared" si="1"/>
        <v>0.056</v>
      </c>
      <c r="C246" s="5">
        <v>245.0</v>
      </c>
      <c r="D246" s="5" t="s">
        <v>757</v>
      </c>
      <c r="E246" s="5" t="s">
        <v>1116</v>
      </c>
      <c r="F246" s="5" t="s">
        <v>983</v>
      </c>
      <c r="G246" s="5">
        <v>11.0</v>
      </c>
      <c r="H246" s="5">
        <v>88.9</v>
      </c>
      <c r="I246" s="21">
        <f>vlookup(A246,'ESPN FF Rankings'!$C$2:$H$201,2,false)</f>
        <v>148</v>
      </c>
      <c r="J246" s="5">
        <f t="shared" si="2"/>
        <v>196.5</v>
      </c>
      <c r="K246" s="21">
        <f>vlookup(A246,'VORP SCORE'!$A$2:$I$301,9,)</f>
        <v>245</v>
      </c>
      <c r="L246" s="22">
        <f>vlookup(A246,'Risk Score'!$A$4:$H$350,8,)</f>
        <v>4</v>
      </c>
      <c r="M246" s="21">
        <f>vlookup(A246,FLEX!$D$2:$F$305,3,)</f>
        <v>2</v>
      </c>
      <c r="N246" s="21"/>
      <c r="T246" s="5" t="s">
        <v>1356</v>
      </c>
      <c r="U246" s="3">
        <v>4.0</v>
      </c>
      <c r="V246" s="23">
        <v>0.0</v>
      </c>
      <c r="W246" s="3"/>
      <c r="X246" s="5" t="s">
        <v>1487</v>
      </c>
      <c r="Y246" s="3">
        <v>5.0</v>
      </c>
      <c r="Z246" s="1" t="s">
        <v>755</v>
      </c>
      <c r="AA246" s="5" t="s">
        <v>419</v>
      </c>
    </row>
    <row r="247">
      <c r="A247" s="19" t="str">
        <f>vlookup(D247,'Player Codes'!A:D,4,)</f>
        <v>0075</v>
      </c>
      <c r="B247" s="20">
        <f t="shared" si="1"/>
        <v>0.055</v>
      </c>
      <c r="C247" s="5">
        <v>246.0</v>
      </c>
      <c r="D247" s="5" t="s">
        <v>478</v>
      </c>
      <c r="E247" s="5" t="s">
        <v>1139</v>
      </c>
      <c r="F247" s="5" t="s">
        <v>929</v>
      </c>
      <c r="G247" s="5">
        <v>13.0</v>
      </c>
      <c r="H247" s="5">
        <v>88.8</v>
      </c>
      <c r="I247" s="21">
        <f>vlookup(A247,'ESPN FF Rankings'!$C$2:$H$201,2,false)</f>
        <v>116</v>
      </c>
      <c r="J247" s="5">
        <f t="shared" si="2"/>
        <v>181</v>
      </c>
      <c r="K247" s="21">
        <f>vlookup(A247,'VORP SCORE'!$A$2:$I$301,9,)</f>
        <v>246</v>
      </c>
      <c r="L247" s="22">
        <f>vlookup(A247,'Risk Score'!$A$4:$H$350,8,)</f>
        <v>5</v>
      </c>
      <c r="M247" s="21">
        <f>vlookup(A247,FLEX!$D$2:$F$305,3,)</f>
        <v>4</v>
      </c>
      <c r="N247" s="21"/>
      <c r="T247" s="5" t="s">
        <v>229</v>
      </c>
      <c r="U247" s="3">
        <v>4.0</v>
      </c>
      <c r="V247" s="19" t="str">
        <f>vlookup(T247,'Player Codes'!A:D,4,)</f>
        <v>0068</v>
      </c>
      <c r="W247" s="3"/>
      <c r="X247" s="5" t="s">
        <v>1471</v>
      </c>
      <c r="Y247" s="3">
        <v>3.0</v>
      </c>
      <c r="Z247" s="1" t="s">
        <v>476</v>
      </c>
      <c r="AA247" s="5" t="s">
        <v>63</v>
      </c>
    </row>
    <row r="248">
      <c r="A248" s="19" t="str">
        <f>vlookup(D248,'Player Codes'!A:D,4,)</f>
        <v>0214</v>
      </c>
      <c r="B248" s="20">
        <f t="shared" si="1"/>
        <v>0.054</v>
      </c>
      <c r="C248" s="5">
        <v>247.0</v>
      </c>
      <c r="D248" s="5" t="s">
        <v>834</v>
      </c>
      <c r="E248" s="5" t="s">
        <v>1209</v>
      </c>
      <c r="F248" s="5" t="s">
        <v>980</v>
      </c>
      <c r="G248" s="5">
        <v>13.0</v>
      </c>
      <c r="H248" s="5">
        <v>88.5</v>
      </c>
      <c r="I248" s="21" t="str">
        <f>vlookup(A248,'ESPN FF Rankings'!$C$2:$H$201,2,false)</f>
        <v>#N/A</v>
      </c>
      <c r="J248" s="5" t="str">
        <f t="shared" si="2"/>
        <v>#N/A</v>
      </c>
      <c r="K248" s="21">
        <f>vlookup(A248,'VORP SCORE'!$A$2:$I$301,9,)</f>
        <v>247</v>
      </c>
      <c r="L248" s="22">
        <f>vlookup(A248,'Risk Score'!$A$4:$H$350,8,)</f>
        <v>3</v>
      </c>
      <c r="M248" s="21">
        <f>vlookup(A248,FLEX!$D$2:$F$305,3,)</f>
        <v>2</v>
      </c>
      <c r="N248" s="21"/>
      <c r="T248" s="5" t="s">
        <v>173</v>
      </c>
      <c r="U248" s="3">
        <v>5.0</v>
      </c>
      <c r="V248" s="19" t="str">
        <f>vlookup(T248,'Player Codes'!A:D,4,)</f>
        <v>0077</v>
      </c>
      <c r="W248" s="3"/>
      <c r="X248" s="5" t="s">
        <v>472</v>
      </c>
      <c r="Y248" s="3">
        <v>4.0</v>
      </c>
      <c r="Z248" s="1" t="s">
        <v>785</v>
      </c>
      <c r="AA248" s="5" t="s">
        <v>775</v>
      </c>
    </row>
    <row r="249">
      <c r="A249" s="19" t="str">
        <f>vlookup(D249,'Player Codes'!A:D,4,)</f>
        <v>0125</v>
      </c>
      <c r="B249" s="20">
        <f t="shared" si="1"/>
        <v>0.053</v>
      </c>
      <c r="C249" s="5">
        <v>248.0</v>
      </c>
      <c r="D249" s="5" t="s">
        <v>843</v>
      </c>
      <c r="E249" s="5" t="s">
        <v>1210</v>
      </c>
      <c r="F249" s="5" t="s">
        <v>1009</v>
      </c>
      <c r="G249" s="5">
        <v>11.0</v>
      </c>
      <c r="H249" s="5">
        <v>87.4</v>
      </c>
      <c r="I249" s="21" t="str">
        <f>vlookup(A249,'ESPN FF Rankings'!$C$2:$H$201,2,false)</f>
        <v>#N/A</v>
      </c>
      <c r="J249" s="5" t="str">
        <f t="shared" si="2"/>
        <v>#N/A</v>
      </c>
      <c r="K249" s="21">
        <f>vlookup(A249,'VORP SCORE'!$A$2:$I$301,9,)</f>
        <v>248</v>
      </c>
      <c r="L249" s="22">
        <f>vlookup(A249,'Risk Score'!$A$4:$H$350,8,)</f>
        <v>3</v>
      </c>
      <c r="M249" s="21">
        <f>vlookup(A249,FLEX!$D$2:$F$305,3,)</f>
        <v>2</v>
      </c>
      <c r="N249" s="21"/>
      <c r="T249" s="5" t="s">
        <v>1409</v>
      </c>
      <c r="U249" s="3">
        <v>2.0</v>
      </c>
      <c r="V249" s="23">
        <v>0.0</v>
      </c>
      <c r="W249" s="3"/>
      <c r="X249" s="2" t="s">
        <v>834</v>
      </c>
      <c r="Y249" s="3">
        <v>3.0</v>
      </c>
      <c r="Z249" s="1" t="s">
        <v>789</v>
      </c>
      <c r="AA249" s="5" t="s">
        <v>582</v>
      </c>
    </row>
    <row r="250">
      <c r="A250" s="19" t="str">
        <f>vlookup(D250,'Player Codes'!A:D,4,)</f>
        <v>0141</v>
      </c>
      <c r="B250" s="20">
        <f t="shared" si="1"/>
        <v>0.052</v>
      </c>
      <c r="C250" s="5">
        <v>249.0</v>
      </c>
      <c r="D250" s="5" t="s">
        <v>779</v>
      </c>
      <c r="E250" s="5" t="s">
        <v>1211</v>
      </c>
      <c r="F250" s="5" t="s">
        <v>948</v>
      </c>
      <c r="G250" s="5">
        <v>13.0</v>
      </c>
      <c r="H250" s="5">
        <v>87.3</v>
      </c>
      <c r="I250" s="21" t="str">
        <f>vlookup(A250,'ESPN FF Rankings'!$C$2:$H$201,2,false)</f>
        <v>#N/A</v>
      </c>
      <c r="J250" s="5" t="str">
        <f t="shared" si="2"/>
        <v>#N/A</v>
      </c>
      <c r="K250" s="21">
        <f>vlookup(A250,'VORP SCORE'!$A$2:$I$301,9,)</f>
        <v>249</v>
      </c>
      <c r="L250" s="22">
        <f>vlookup(A250,'Risk Score'!$A$4:$H$350,8,)</f>
        <v>2</v>
      </c>
      <c r="M250" s="21">
        <f>vlookup(A250,FLEX!$D$2:$F$305,3,)</f>
        <v>3</v>
      </c>
      <c r="N250" s="21"/>
      <c r="T250" s="5" t="s">
        <v>269</v>
      </c>
      <c r="U250" s="3">
        <v>4.0</v>
      </c>
      <c r="V250" s="19" t="str">
        <f>vlookup(T250,'Player Codes'!A:D,4,)</f>
        <v>0088</v>
      </c>
      <c r="W250" s="3"/>
      <c r="X250" s="5" t="s">
        <v>1423</v>
      </c>
      <c r="Y250" s="3">
        <v>3.0</v>
      </c>
      <c r="Z250" s="1" t="s">
        <v>776</v>
      </c>
      <c r="AA250" s="2" t="s">
        <v>627</v>
      </c>
    </row>
    <row r="251">
      <c r="A251" s="19" t="str">
        <f>vlookup(D251,'Player Codes'!A:D,4,)</f>
        <v>0272</v>
      </c>
      <c r="B251" s="20">
        <f t="shared" si="1"/>
        <v>0.051</v>
      </c>
      <c r="C251" s="5">
        <v>250.0</v>
      </c>
      <c r="D251" s="5" t="s">
        <v>693</v>
      </c>
      <c r="E251" s="5" t="s">
        <v>1212</v>
      </c>
      <c r="F251" s="5" t="s">
        <v>996</v>
      </c>
      <c r="G251" s="5">
        <v>7.0</v>
      </c>
      <c r="H251" s="5">
        <v>86.3</v>
      </c>
      <c r="I251" s="21" t="str">
        <f>vlookup(A251,'ESPN FF Rankings'!$C$2:$H$201,2,false)</f>
        <v>#N/A</v>
      </c>
      <c r="J251" s="5" t="str">
        <f t="shared" si="2"/>
        <v>#N/A</v>
      </c>
      <c r="K251" s="21">
        <f>vlookup(A251,'VORP SCORE'!$A$2:$I$301,9,)</f>
        <v>250</v>
      </c>
      <c r="L251" s="24">
        <v>3.0</v>
      </c>
      <c r="M251" s="21">
        <f>vlookup(A251,FLEX!$D$2:$F$305,3,)</f>
        <v>3</v>
      </c>
      <c r="N251" s="21"/>
      <c r="T251" s="5" t="s">
        <v>275</v>
      </c>
      <c r="U251" s="3">
        <v>3.0</v>
      </c>
      <c r="V251" s="19" t="str">
        <f>vlookup(T251,'Player Codes'!A:D,4,)</f>
        <v>0090</v>
      </c>
      <c r="W251" s="3"/>
      <c r="X251" s="5" t="s">
        <v>372</v>
      </c>
      <c r="Y251" s="3">
        <v>5.0</v>
      </c>
      <c r="Z251" s="1" t="s">
        <v>691</v>
      </c>
      <c r="AA251" s="5" t="s">
        <v>497</v>
      </c>
    </row>
    <row r="252">
      <c r="A252" s="19" t="str">
        <f>vlookup(D252,'Player Codes'!A:D,4,)</f>
        <v>0196</v>
      </c>
      <c r="B252" s="20">
        <f t="shared" si="1"/>
        <v>0.05</v>
      </c>
      <c r="C252" s="5">
        <v>251.0</v>
      </c>
      <c r="D252" s="2" t="s">
        <v>918</v>
      </c>
      <c r="E252" s="2" t="s">
        <v>1213</v>
      </c>
      <c r="F252" s="5" t="s">
        <v>980</v>
      </c>
      <c r="G252" s="5">
        <v>13.0</v>
      </c>
      <c r="H252" s="5">
        <v>85.7</v>
      </c>
      <c r="I252" s="21" t="str">
        <f>vlookup(A252,'ESPN FF Rankings'!$C$2:$H$201,2,false)</f>
        <v>#N/A</v>
      </c>
      <c r="J252" s="5" t="str">
        <f t="shared" si="2"/>
        <v>#N/A</v>
      </c>
      <c r="K252" s="21">
        <f>vlookup(A252,'VORP SCORE'!$A$2:$I$301,9,)</f>
        <v>251</v>
      </c>
      <c r="L252" s="24">
        <v>3.0</v>
      </c>
      <c r="M252" s="21" t="str">
        <f>vlookup(A252,FLEX!$D$2:$F$305,3,)</f>
        <v/>
      </c>
      <c r="N252" s="21"/>
      <c r="T252" s="5" t="s">
        <v>364</v>
      </c>
      <c r="U252" s="3">
        <v>2.0</v>
      </c>
      <c r="V252" s="19" t="str">
        <f>vlookup(T252,'Player Codes'!A:D,4,)</f>
        <v>0091</v>
      </c>
      <c r="W252" s="3"/>
      <c r="X252" s="5" t="s">
        <v>871</v>
      </c>
      <c r="Y252" s="3">
        <v>2.0</v>
      </c>
      <c r="Z252" s="1" t="s">
        <v>797</v>
      </c>
      <c r="AA252" s="5" t="s">
        <v>551</v>
      </c>
    </row>
    <row r="253">
      <c r="A253" s="19" t="str">
        <f>vlookup(D253,'Player Codes'!A:D,4,)</f>
        <v>0233</v>
      </c>
      <c r="B253" s="20">
        <f t="shared" si="1"/>
        <v>0.05</v>
      </c>
      <c r="C253" s="5">
        <v>251.0</v>
      </c>
      <c r="D253" s="5" t="s">
        <v>643</v>
      </c>
      <c r="E253" s="5" t="s">
        <v>1214</v>
      </c>
      <c r="F253" s="5" t="s">
        <v>948</v>
      </c>
      <c r="G253" s="5">
        <v>13.0</v>
      </c>
      <c r="H253" s="5">
        <v>85.7</v>
      </c>
      <c r="I253" s="21" t="str">
        <f>vlookup(A253,'ESPN FF Rankings'!$C$2:$H$201,2,false)</f>
        <v>#N/A</v>
      </c>
      <c r="J253" s="5" t="str">
        <f t="shared" si="2"/>
        <v>#N/A</v>
      </c>
      <c r="K253" s="21">
        <f>vlookup(A253,'VORP SCORE'!$A$2:$I$301,9,)</f>
        <v>252</v>
      </c>
      <c r="L253" s="22">
        <f>vlookup(A253,'Risk Score'!$A$4:$H$350,8,)</f>
        <v>4</v>
      </c>
      <c r="M253" s="21">
        <f>vlookup(A253,FLEX!$D$2:$F$305,3,)</f>
        <v>3</v>
      </c>
      <c r="N253" s="21"/>
      <c r="T253" s="5" t="s">
        <v>1432</v>
      </c>
      <c r="U253" s="3">
        <v>3.0</v>
      </c>
      <c r="V253" s="23">
        <v>0.0</v>
      </c>
      <c r="W253" s="3"/>
      <c r="X253" s="5" t="s">
        <v>185</v>
      </c>
      <c r="Y253" s="3">
        <v>5.0</v>
      </c>
      <c r="Z253" s="1" t="s">
        <v>641</v>
      </c>
      <c r="AA253" s="5" t="s">
        <v>447</v>
      </c>
    </row>
    <row r="254">
      <c r="A254" s="19" t="str">
        <f>vlookup(D254,'Player Codes'!A:D,4,)</f>
        <v>0162</v>
      </c>
      <c r="B254" s="20">
        <f t="shared" si="1"/>
        <v>0.048</v>
      </c>
      <c r="C254" s="5">
        <v>253.0</v>
      </c>
      <c r="D254" s="5" t="s">
        <v>708</v>
      </c>
      <c r="E254" s="5" t="s">
        <v>1215</v>
      </c>
      <c r="F254" s="5" t="s">
        <v>992</v>
      </c>
      <c r="G254" s="5">
        <v>7.0</v>
      </c>
      <c r="H254" s="5">
        <v>85.5</v>
      </c>
      <c r="I254" s="21" t="str">
        <f>vlookup(A254,'ESPN FF Rankings'!$C$2:$H$201,2,false)</f>
        <v>#N/A</v>
      </c>
      <c r="J254" s="5" t="str">
        <f t="shared" si="2"/>
        <v>#N/A</v>
      </c>
      <c r="K254" s="21">
        <f>vlookup(A254,'VORP SCORE'!$A$2:$I$301,9,)</f>
        <v>253</v>
      </c>
      <c r="L254" s="24">
        <v>3.0</v>
      </c>
      <c r="M254" s="21">
        <f>vlookup(A254,FLEX!$D$2:$F$305,3,)</f>
        <v>3</v>
      </c>
      <c r="N254" s="21"/>
      <c r="T254" s="5" t="s">
        <v>1440</v>
      </c>
      <c r="U254" s="3">
        <v>3.0</v>
      </c>
      <c r="V254" s="23">
        <v>0.0</v>
      </c>
      <c r="W254" s="3"/>
      <c r="X254" s="2" t="s">
        <v>899</v>
      </c>
      <c r="Y254" s="3">
        <v>3.0</v>
      </c>
      <c r="Z254" s="1" t="s">
        <v>706</v>
      </c>
      <c r="AA254" s="5" t="s">
        <v>199</v>
      </c>
    </row>
    <row r="255">
      <c r="A255" s="19" t="str">
        <f>vlookup(D255,'Player Codes'!A:D,4,)</f>
        <v>0205</v>
      </c>
      <c r="B255" s="20">
        <f t="shared" si="1"/>
        <v>0.047</v>
      </c>
      <c r="C255" s="5">
        <v>254.0</v>
      </c>
      <c r="D255" s="5" t="s">
        <v>711</v>
      </c>
      <c r="E255" s="5" t="s">
        <v>1216</v>
      </c>
      <c r="F255" s="5" t="s">
        <v>965</v>
      </c>
      <c r="G255" s="5">
        <v>9.0</v>
      </c>
      <c r="H255" s="5">
        <v>85.2</v>
      </c>
      <c r="I255" s="21" t="str">
        <f>vlookup(A255,'ESPN FF Rankings'!$C$2:$H$201,2,false)</f>
        <v>#N/A</v>
      </c>
      <c r="J255" s="5" t="str">
        <f t="shared" si="2"/>
        <v>#N/A</v>
      </c>
      <c r="K255" s="21">
        <f>vlookup(A255,'VORP SCORE'!$A$2:$I$301,9,)</f>
        <v>254</v>
      </c>
      <c r="L255" s="24">
        <v>3.0</v>
      </c>
      <c r="M255" s="21">
        <f>vlookup(A255,FLEX!$D$2:$F$305,3,)</f>
        <v>3</v>
      </c>
      <c r="N255" s="21"/>
      <c r="T255" s="5" t="s">
        <v>227</v>
      </c>
      <c r="U255" s="3">
        <v>4.0</v>
      </c>
      <c r="V255" s="19" t="str">
        <f>vlookup(T255,'Player Codes'!A:D,4,)</f>
        <v>0112</v>
      </c>
      <c r="W255" s="3"/>
      <c r="X255" s="5" t="s">
        <v>155</v>
      </c>
      <c r="Y255" s="3">
        <v>5.0</v>
      </c>
      <c r="Z255" s="1" t="s">
        <v>709</v>
      </c>
      <c r="AA255" s="5" t="s">
        <v>319</v>
      </c>
    </row>
    <row r="256">
      <c r="A256" s="19" t="str">
        <f>vlookup(D256,'Player Codes'!A:D,4,)</f>
        <v>0006</v>
      </c>
      <c r="B256" s="20">
        <f t="shared" si="1"/>
        <v>0.046</v>
      </c>
      <c r="C256" s="5">
        <v>255.0</v>
      </c>
      <c r="D256" s="5" t="s">
        <v>721</v>
      </c>
      <c r="E256" s="5" t="s">
        <v>1217</v>
      </c>
      <c r="F256" s="5" t="s">
        <v>961</v>
      </c>
      <c r="G256" s="5">
        <v>11.0</v>
      </c>
      <c r="H256" s="5">
        <v>85.1</v>
      </c>
      <c r="I256" s="21" t="str">
        <f>vlookup(A256,'ESPN FF Rankings'!$C$2:$H$201,2,false)</f>
        <v>#N/A</v>
      </c>
      <c r="J256" s="5" t="str">
        <f t="shared" si="2"/>
        <v>#N/A</v>
      </c>
      <c r="K256" s="21">
        <f>vlookup(A256,'VORP SCORE'!$A$2:$I$301,9,)</f>
        <v>255</v>
      </c>
      <c r="L256" s="22">
        <f>vlookup(A256,'Risk Score'!$A$4:$H$350,8,)</f>
        <v>3</v>
      </c>
      <c r="M256" s="21">
        <f>vlookup(A256,FLEX!$D$2:$F$305,3,)</f>
        <v>3</v>
      </c>
      <c r="N256" s="21"/>
      <c r="T256" s="5" t="s">
        <v>1452</v>
      </c>
      <c r="U256" s="3">
        <v>3.0</v>
      </c>
      <c r="V256" s="23">
        <v>0.0</v>
      </c>
      <c r="W256" s="3"/>
      <c r="X256" s="5" t="s">
        <v>83</v>
      </c>
      <c r="Y256" s="3">
        <v>5.0</v>
      </c>
      <c r="Z256" s="1" t="s">
        <v>719</v>
      </c>
      <c r="AA256" s="5" t="s">
        <v>322</v>
      </c>
    </row>
    <row r="257">
      <c r="A257" s="19" t="str">
        <f>vlookup(D257,'Player Codes'!A:D,4,)</f>
        <v>0211</v>
      </c>
      <c r="B257" s="20">
        <f t="shared" si="1"/>
        <v>0.045</v>
      </c>
      <c r="C257" s="5">
        <v>256.0</v>
      </c>
      <c r="D257" s="5" t="s">
        <v>724</v>
      </c>
      <c r="E257" s="5" t="s">
        <v>1218</v>
      </c>
      <c r="F257" s="5" t="s">
        <v>967</v>
      </c>
      <c r="G257" s="5">
        <v>7.0</v>
      </c>
      <c r="H257" s="5">
        <v>85.0</v>
      </c>
      <c r="I257" s="21" t="str">
        <f>vlookup(A257,'ESPN FF Rankings'!$C$2:$H$201,2,false)</f>
        <v>#N/A</v>
      </c>
      <c r="J257" s="5" t="str">
        <f t="shared" si="2"/>
        <v>#N/A</v>
      </c>
      <c r="K257" s="21">
        <f>vlookup(A257,'VORP SCORE'!$A$2:$I$301,9,)</f>
        <v>256</v>
      </c>
      <c r="L257" s="24">
        <v>3.0</v>
      </c>
      <c r="M257" s="21">
        <f>vlookup(A257,FLEX!$D$2:$F$305,3,)</f>
        <v>3</v>
      </c>
      <c r="N257" s="21"/>
      <c r="T257" s="5" t="s">
        <v>1461</v>
      </c>
      <c r="U257" s="3">
        <v>3.0</v>
      </c>
      <c r="V257" s="23">
        <v>0.0</v>
      </c>
      <c r="W257" s="3"/>
      <c r="X257" s="2" t="s">
        <v>1511</v>
      </c>
      <c r="Y257" s="3">
        <v>3.0</v>
      </c>
      <c r="Z257" s="1" t="s">
        <v>722</v>
      </c>
      <c r="AA257" s="5" t="s">
        <v>732</v>
      </c>
    </row>
    <row r="258">
      <c r="A258" s="19" t="str">
        <f>vlookup(D258,'Player Codes'!A:D,4,)</f>
        <v>0033</v>
      </c>
      <c r="B258" s="20">
        <f t="shared" si="1"/>
        <v>0.044</v>
      </c>
      <c r="C258" s="5">
        <v>257.0</v>
      </c>
      <c r="D258" s="5" t="s">
        <v>869</v>
      </c>
      <c r="E258" s="5" t="s">
        <v>1219</v>
      </c>
      <c r="F258" s="5" t="s">
        <v>1024</v>
      </c>
      <c r="G258" s="5">
        <v>5.0</v>
      </c>
      <c r="H258" s="5">
        <v>84.6</v>
      </c>
      <c r="I258" s="21" t="str">
        <f>vlookup(A258,'ESPN FF Rankings'!$C$2:$H$201,2,false)</f>
        <v>#N/A</v>
      </c>
      <c r="J258" s="5" t="str">
        <f t="shared" si="2"/>
        <v>#N/A</v>
      </c>
      <c r="K258" s="21">
        <f>vlookup(A258,'VORP SCORE'!$A$2:$I$301,9,)</f>
        <v>257</v>
      </c>
      <c r="L258" s="22">
        <f>vlookup(A258,'Risk Score'!$A$4:$H$350,8,)</f>
        <v>3</v>
      </c>
      <c r="M258" s="21">
        <f>vlookup(A258,FLEX!$D$2:$F$305,3,)</f>
        <v>2</v>
      </c>
      <c r="N258" s="21"/>
      <c r="T258" s="5" t="s">
        <v>264</v>
      </c>
      <c r="U258" s="3">
        <v>3.0</v>
      </c>
      <c r="V258" s="19" t="str">
        <f>vlookup(T258,'Player Codes'!A:D,4,)</f>
        <v>0140</v>
      </c>
      <c r="W258" s="3"/>
      <c r="X258" s="5" t="s">
        <v>1428</v>
      </c>
      <c r="Y258" s="3">
        <v>4.0</v>
      </c>
      <c r="Z258" s="1" t="s">
        <v>813</v>
      </c>
      <c r="AA258" s="5" t="s">
        <v>341</v>
      </c>
    </row>
    <row r="259">
      <c r="A259" s="19" t="str">
        <f>vlookup(D259,'Player Codes'!A:D,4,)</f>
        <v>0267</v>
      </c>
      <c r="B259" s="20">
        <f t="shared" si="1"/>
        <v>0.043</v>
      </c>
      <c r="C259" s="5">
        <v>258.0</v>
      </c>
      <c r="D259" s="5" t="s">
        <v>730</v>
      </c>
      <c r="E259" s="5" t="s">
        <v>1220</v>
      </c>
      <c r="F259" s="5" t="s">
        <v>992</v>
      </c>
      <c r="G259" s="5">
        <v>7.0</v>
      </c>
      <c r="H259" s="5">
        <v>84.0</v>
      </c>
      <c r="I259" s="21" t="str">
        <f>vlookup(A259,'ESPN FF Rankings'!$C$2:$H$201,2,false)</f>
        <v>#N/A</v>
      </c>
      <c r="J259" s="5" t="str">
        <f t="shared" si="2"/>
        <v>#N/A</v>
      </c>
      <c r="K259" s="21">
        <f>vlookup(A259,'VORP SCORE'!$A$2:$I$301,9,)</f>
        <v>258</v>
      </c>
      <c r="L259" s="24">
        <v>3.0</v>
      </c>
      <c r="M259" s="21">
        <f>vlookup(A259,FLEX!$D$2:$F$305,3,)</f>
        <v>3</v>
      </c>
      <c r="N259" s="21"/>
      <c r="T259" s="5" t="s">
        <v>290</v>
      </c>
      <c r="U259" s="3">
        <v>3.0</v>
      </c>
      <c r="V259" s="19" t="str">
        <f>vlookup(T259,'Player Codes'!A:D,4,)</f>
        <v>0146</v>
      </c>
      <c r="W259" s="3"/>
      <c r="X259" s="5" t="s">
        <v>75</v>
      </c>
      <c r="Y259" s="3">
        <v>4.0</v>
      </c>
      <c r="Z259" s="1" t="s">
        <v>728</v>
      </c>
      <c r="AA259" s="5" t="s">
        <v>1512</v>
      </c>
    </row>
    <row r="260">
      <c r="A260" s="19" t="str">
        <f>vlookup(D260,'Player Codes'!A:D,4,)</f>
        <v>0084</v>
      </c>
      <c r="B260" s="20">
        <f t="shared" si="1"/>
        <v>0.042</v>
      </c>
      <c r="C260" s="5">
        <v>259.0</v>
      </c>
      <c r="D260" s="5" t="s">
        <v>814</v>
      </c>
      <c r="E260" s="5" t="s">
        <v>1126</v>
      </c>
      <c r="F260" s="5" t="s">
        <v>929</v>
      </c>
      <c r="G260" s="5">
        <v>13.0</v>
      </c>
      <c r="H260" s="5">
        <v>83.9</v>
      </c>
      <c r="I260" s="21">
        <f>vlookup(A260,'ESPN FF Rankings'!$C$2:$H$201,2,false)</f>
        <v>152</v>
      </c>
      <c r="J260" s="5">
        <f t="shared" si="2"/>
        <v>205.5</v>
      </c>
      <c r="K260" s="21">
        <f>vlookup(A260,'VORP SCORE'!$A$2:$I$301,9,)</f>
        <v>259</v>
      </c>
      <c r="L260" s="22">
        <f>vlookup(A260,'Risk Score'!$A$4:$H$350,8,)</f>
        <v>4</v>
      </c>
      <c r="M260" s="21">
        <f>vlookup(A260,FLEX!$D$2:$F$305,3,)</f>
        <v>2</v>
      </c>
      <c r="N260" s="21"/>
      <c r="T260" s="5" t="s">
        <v>194</v>
      </c>
      <c r="U260" s="3">
        <v>6.0</v>
      </c>
      <c r="V260" s="19" t="str">
        <f>vlookup(T260,'Player Codes'!A:D,4,)</f>
        <v>0158</v>
      </c>
      <c r="W260" s="3"/>
      <c r="X260" s="5" t="s">
        <v>1429</v>
      </c>
      <c r="Y260" s="3">
        <v>2.0</v>
      </c>
      <c r="Z260" s="1" t="s">
        <v>811</v>
      </c>
      <c r="AA260" s="5" t="s">
        <v>26</v>
      </c>
    </row>
    <row r="261">
      <c r="A261" s="19" t="str">
        <f>vlookup(D261,'Player Codes'!A:D,4,)</f>
        <v>0238</v>
      </c>
      <c r="B261" s="20">
        <f t="shared" si="1"/>
        <v>0.042</v>
      </c>
      <c r="C261" s="5">
        <v>259.0</v>
      </c>
      <c r="D261" s="5" t="s">
        <v>751</v>
      </c>
      <c r="E261" s="5" t="s">
        <v>1221</v>
      </c>
      <c r="F261" s="5" t="s">
        <v>958</v>
      </c>
      <c r="G261" s="5">
        <v>10.0</v>
      </c>
      <c r="H261" s="5">
        <v>83.9</v>
      </c>
      <c r="I261" s="21" t="str">
        <f>vlookup(A261,'ESPN FF Rankings'!$C$2:$H$201,2,false)</f>
        <v>#N/A</v>
      </c>
      <c r="J261" s="5" t="str">
        <f t="shared" si="2"/>
        <v>#N/A</v>
      </c>
      <c r="K261" s="21">
        <f>vlookup(A261,'VORP SCORE'!$A$2:$I$301,9,)</f>
        <v>260</v>
      </c>
      <c r="L261" s="24">
        <v>3.0</v>
      </c>
      <c r="M261" s="21">
        <f>vlookup(A261,FLEX!$D$2:$F$305,3,)</f>
        <v>3</v>
      </c>
      <c r="N261" s="21"/>
      <c r="T261" s="5" t="s">
        <v>207</v>
      </c>
      <c r="U261" s="3">
        <v>4.0</v>
      </c>
      <c r="V261" s="19" t="str">
        <f>vlookup(T261,'Player Codes'!A:D,4,)</f>
        <v>0159</v>
      </c>
      <c r="W261" s="3"/>
      <c r="X261" s="5" t="s">
        <v>1430</v>
      </c>
      <c r="Y261" s="3">
        <v>4.0</v>
      </c>
      <c r="Z261" s="1" t="s">
        <v>749</v>
      </c>
      <c r="AA261" s="5" t="s">
        <v>631</v>
      </c>
    </row>
    <row r="262">
      <c r="A262" s="19" t="str">
        <f>vlookup(D262,'Player Codes'!A:D,4,)</f>
        <v>0057</v>
      </c>
      <c r="B262" s="20">
        <f t="shared" si="1"/>
        <v>0.04</v>
      </c>
      <c r="C262" s="5">
        <v>261.0</v>
      </c>
      <c r="D262" s="5" t="s">
        <v>620</v>
      </c>
      <c r="E262" s="5" t="s">
        <v>1144</v>
      </c>
      <c r="F262" s="5" t="s">
        <v>996</v>
      </c>
      <c r="G262" s="5">
        <v>7.0</v>
      </c>
      <c r="H262" s="5">
        <v>83.8</v>
      </c>
      <c r="I262" s="21">
        <f>vlookup(A262,'ESPN FF Rankings'!$C$2:$H$201,2,false)</f>
        <v>160</v>
      </c>
      <c r="J262" s="5">
        <f t="shared" si="2"/>
        <v>210.5</v>
      </c>
      <c r="K262" s="21">
        <f>vlookup(A262,'VORP SCORE'!$A$2:$I$301,9,)</f>
        <v>261</v>
      </c>
      <c r="L262" s="22">
        <f>vlookup(A262,'Risk Score'!$A$4:$H$350,8,)</f>
        <v>3</v>
      </c>
      <c r="M262" s="21">
        <f>vlookup(A262,FLEX!$D$2:$F$305,3,)</f>
        <v>4</v>
      </c>
      <c r="N262" s="21"/>
      <c r="T262" s="5" t="s">
        <v>344</v>
      </c>
      <c r="U262" s="3">
        <v>2.0</v>
      </c>
      <c r="V262" s="19" t="str">
        <f>vlookup(T262,'Player Codes'!A:D,4,)</f>
        <v>0166</v>
      </c>
      <c r="W262" s="3"/>
      <c r="X262" s="5" t="s">
        <v>22</v>
      </c>
      <c r="Y262" s="3">
        <v>5.0</v>
      </c>
      <c r="Z262" s="1" t="s">
        <v>618</v>
      </c>
      <c r="AA262" s="5" t="s">
        <v>1513</v>
      </c>
    </row>
    <row r="263">
      <c r="A263" s="19" t="str">
        <f>vlookup(D263,'Player Codes'!A:D,4,)</f>
        <v>0151</v>
      </c>
      <c r="B263" s="20">
        <f t="shared" si="1"/>
        <v>0.039</v>
      </c>
      <c r="C263" s="5">
        <v>262.0</v>
      </c>
      <c r="D263" s="5" t="s">
        <v>680</v>
      </c>
      <c r="E263" s="5" t="s">
        <v>1222</v>
      </c>
      <c r="F263" s="5" t="s">
        <v>988</v>
      </c>
      <c r="G263" s="5">
        <v>6.0</v>
      </c>
      <c r="H263" s="5">
        <v>83.6</v>
      </c>
      <c r="I263" s="21" t="str">
        <f>vlookup(A263,'ESPN FF Rankings'!$C$2:$H$201,2,false)</f>
        <v>#N/A</v>
      </c>
      <c r="J263" s="5" t="str">
        <f t="shared" si="2"/>
        <v>#N/A</v>
      </c>
      <c r="K263" s="21">
        <f>vlookup(A263,'VORP SCORE'!$A$2:$I$301,9,)</f>
        <v>262</v>
      </c>
      <c r="L263" s="22">
        <f>vlookup(A263,'Risk Score'!$A$4:$H$350,8,)</f>
        <v>4</v>
      </c>
      <c r="M263" s="21">
        <f>vlookup(A263,FLEX!$D$2:$F$305,3,)</f>
        <v>3</v>
      </c>
      <c r="N263" s="21"/>
      <c r="T263" s="5" t="s">
        <v>251</v>
      </c>
      <c r="U263" s="3">
        <v>3.0</v>
      </c>
      <c r="V263" s="19" t="str">
        <f>vlookup(T263,'Player Codes'!A:D,4,)</f>
        <v>0167</v>
      </c>
      <c r="W263" s="3"/>
      <c r="X263" s="5" t="s">
        <v>436</v>
      </c>
      <c r="Y263" s="3">
        <v>4.0</v>
      </c>
      <c r="Z263" s="1" t="s">
        <v>677</v>
      </c>
      <c r="AA263" s="5" t="s">
        <v>443</v>
      </c>
    </row>
    <row r="264">
      <c r="A264" s="19" t="str">
        <f>vlookup(D264,'Player Codes'!A:D,4,)</f>
        <v>0260</v>
      </c>
      <c r="B264" s="20">
        <f t="shared" si="1"/>
        <v>0.038</v>
      </c>
      <c r="C264" s="5">
        <v>263.0</v>
      </c>
      <c r="D264" s="5" t="s">
        <v>631</v>
      </c>
      <c r="E264" s="5" t="s">
        <v>1223</v>
      </c>
      <c r="F264" s="5" t="s">
        <v>1024</v>
      </c>
      <c r="G264" s="5">
        <v>5.0</v>
      </c>
      <c r="H264" s="5">
        <v>82.8</v>
      </c>
      <c r="I264" s="21" t="str">
        <f>vlookup(A264,'ESPN FF Rankings'!$C$2:$H$201,2,false)</f>
        <v>#N/A</v>
      </c>
      <c r="J264" s="5" t="str">
        <f t="shared" si="2"/>
        <v>#N/A</v>
      </c>
      <c r="K264" s="21">
        <f>vlookup(A264,'VORP SCORE'!$A$2:$I$301,9,)</f>
        <v>263</v>
      </c>
      <c r="L264" s="24">
        <v>3.0</v>
      </c>
      <c r="M264" s="21">
        <f>vlookup(A264,FLEX!$D$2:$F$305,3,)</f>
        <v>4</v>
      </c>
      <c r="N264" s="21"/>
      <c r="T264" s="2" t="s">
        <v>222</v>
      </c>
      <c r="U264" s="3">
        <v>4.0</v>
      </c>
      <c r="V264" s="19" t="str">
        <f>vlookup(T264,'Player Codes'!A:D,4,)</f>
        <v>0172</v>
      </c>
      <c r="W264" s="3"/>
      <c r="X264" s="2" t="s">
        <v>885</v>
      </c>
      <c r="Y264" s="3">
        <v>3.0</v>
      </c>
      <c r="Z264" s="1" t="s">
        <v>628</v>
      </c>
      <c r="AA264" s="5" t="s">
        <v>89</v>
      </c>
    </row>
    <row r="265">
      <c r="A265" s="19" t="str">
        <f>vlookup(D265,'Player Codes'!A:D,4,)</f>
        <v>0199</v>
      </c>
      <c r="B265" s="20">
        <f t="shared" si="1"/>
        <v>0.037</v>
      </c>
      <c r="C265" s="5">
        <v>264.0</v>
      </c>
      <c r="D265" s="5" t="s">
        <v>903</v>
      </c>
      <c r="E265" s="5" t="s">
        <v>1224</v>
      </c>
      <c r="F265" s="5" t="s">
        <v>988</v>
      </c>
      <c r="G265" s="5">
        <v>6.0</v>
      </c>
      <c r="H265" s="5">
        <v>82.4</v>
      </c>
      <c r="I265" s="21" t="str">
        <f>vlookup(A265,'ESPN FF Rankings'!$C$2:$H$201,2,false)</f>
        <v>#N/A</v>
      </c>
      <c r="J265" s="5" t="str">
        <f t="shared" si="2"/>
        <v>#N/A</v>
      </c>
      <c r="K265" s="21">
        <f>vlookup(A265,'VORP SCORE'!$A$2:$I$301,9,)</f>
        <v>264</v>
      </c>
      <c r="L265" s="22">
        <f>vlookup(A265,'Risk Score'!$A$4:$H$350,8,)</f>
        <v>2</v>
      </c>
      <c r="M265" s="21">
        <f>vlookup(A265,FLEX!$D$2:$F$305,3,)</f>
        <v>2</v>
      </c>
      <c r="N265" s="21"/>
      <c r="T265" s="5" t="s">
        <v>219</v>
      </c>
      <c r="U265" s="3">
        <v>4.0</v>
      </c>
      <c r="V265" s="19" t="str">
        <f>vlookup(T265,'Player Codes'!A:D,4,)</f>
        <v>0173</v>
      </c>
      <c r="W265" s="3"/>
      <c r="X265" s="5" t="s">
        <v>1489</v>
      </c>
      <c r="Y265" s="3">
        <v>3.0</v>
      </c>
      <c r="Z265" s="1" t="s">
        <v>831</v>
      </c>
      <c r="AA265" s="5" t="s">
        <v>349</v>
      </c>
    </row>
    <row r="266">
      <c r="A266" s="19" t="str">
        <f>vlookup(D266,'Player Codes'!A:D,4,)</f>
        <v>0249</v>
      </c>
      <c r="B266" s="20">
        <f t="shared" si="1"/>
        <v>0.036</v>
      </c>
      <c r="C266" s="5">
        <v>265.0</v>
      </c>
      <c r="D266" s="2" t="s">
        <v>627</v>
      </c>
      <c r="E266" s="5" t="s">
        <v>1134</v>
      </c>
      <c r="F266" s="5" t="s">
        <v>992</v>
      </c>
      <c r="G266" s="5">
        <v>7.0</v>
      </c>
      <c r="H266" s="5">
        <v>81.8</v>
      </c>
      <c r="I266" s="21">
        <f>vlookup(A266,'ESPN FF Rankings'!$C$2:$H$201,2,false)</f>
        <v>198</v>
      </c>
      <c r="J266" s="5">
        <f t="shared" si="2"/>
        <v>231.5</v>
      </c>
      <c r="K266" s="21">
        <f>vlookup(A266,'VORP SCORE'!$A$2:$I$301,9,)</f>
        <v>265</v>
      </c>
      <c r="L266" s="22">
        <f>vlookup(A266,'Risk Score'!$A$4:$H$350,8,)</f>
        <v>5</v>
      </c>
      <c r="M266" s="21">
        <f>vlookup(A266,FLEX!$D$2:$F$305,3,)</f>
        <v>3</v>
      </c>
      <c r="N266" s="21"/>
      <c r="T266" s="5" t="s">
        <v>334</v>
      </c>
      <c r="U266" s="3">
        <v>2.0</v>
      </c>
      <c r="V266" s="19" t="str">
        <f>vlookup(T266,'Player Codes'!A:D,4,)</f>
        <v>0187</v>
      </c>
      <c r="W266" s="3"/>
      <c r="X266" s="5" t="s">
        <v>430</v>
      </c>
      <c r="Y266" s="3">
        <v>5.0</v>
      </c>
      <c r="Z266" s="1" t="s">
        <v>624</v>
      </c>
      <c r="AA266" s="5" t="s">
        <v>1514</v>
      </c>
    </row>
    <row r="267">
      <c r="A267" s="19" t="str">
        <f>vlookup(D267,'Player Codes'!A:D,4,)</f>
        <v>0123</v>
      </c>
      <c r="B267" s="20">
        <f t="shared" si="1"/>
        <v>0.036</v>
      </c>
      <c r="C267" s="5">
        <v>265.0</v>
      </c>
      <c r="D267" s="5" t="s">
        <v>837</v>
      </c>
      <c r="E267" s="5" t="s">
        <v>1131</v>
      </c>
      <c r="F267" s="5" t="s">
        <v>996</v>
      </c>
      <c r="G267" s="5">
        <v>7.0</v>
      </c>
      <c r="H267" s="5">
        <v>81.8</v>
      </c>
      <c r="I267" s="21">
        <f>vlookup(A267,'ESPN FF Rankings'!$C$2:$H$201,2,false)</f>
        <v>151</v>
      </c>
      <c r="J267" s="5">
        <f t="shared" si="2"/>
        <v>208</v>
      </c>
      <c r="K267" s="21">
        <f>vlookup(A267,'VORP SCORE'!$A$2:$I$301,9,)</f>
        <v>266</v>
      </c>
      <c r="L267" s="22">
        <f>vlookup(A267,'Risk Score'!$A$4:$H$350,8,)</f>
        <v>4</v>
      </c>
      <c r="M267" s="21">
        <f>vlookup(A267,FLEX!$D$2:$F$305,3,)</f>
        <v>2</v>
      </c>
      <c r="N267" s="21"/>
      <c r="T267" s="5" t="s">
        <v>237</v>
      </c>
      <c r="U267" s="3">
        <v>4.0</v>
      </c>
      <c r="V267" s="19" t="str">
        <f>vlookup(T267,'Player Codes'!A:D,4,)</f>
        <v>0190</v>
      </c>
      <c r="W267" s="3"/>
      <c r="X267" s="5" t="s">
        <v>1431</v>
      </c>
      <c r="Y267" s="3">
        <v>3.0</v>
      </c>
      <c r="Z267" s="1" t="s">
        <v>835</v>
      </c>
      <c r="AA267" s="5" t="s">
        <v>451</v>
      </c>
    </row>
    <row r="268">
      <c r="A268" s="19" t="str">
        <f>vlookup(D268,'Player Codes'!A:D,4,)</f>
        <v>0282</v>
      </c>
      <c r="B268" s="20">
        <f t="shared" si="1"/>
        <v>0.034</v>
      </c>
      <c r="C268" s="5">
        <v>267.0</v>
      </c>
      <c r="D268" s="5" t="s">
        <v>696</v>
      </c>
      <c r="E268" s="5" t="s">
        <v>1225</v>
      </c>
      <c r="F268" s="5" t="s">
        <v>950</v>
      </c>
      <c r="G268" s="5">
        <v>13.0</v>
      </c>
      <c r="H268" s="5">
        <v>81.0</v>
      </c>
      <c r="I268" s="21" t="str">
        <f>vlookup(A268,'ESPN FF Rankings'!$C$2:$H$201,2,false)</f>
        <v>#N/A</v>
      </c>
      <c r="J268" s="5" t="str">
        <f t="shared" si="2"/>
        <v>#N/A</v>
      </c>
      <c r="K268" s="21">
        <f>vlookup(A268,'VORP SCORE'!$A$2:$I$301,9,)</f>
        <v>267</v>
      </c>
      <c r="L268" s="22">
        <f>vlookup(A268,'Risk Score'!$A$4:$H$350,8,)</f>
        <v>2</v>
      </c>
      <c r="M268" s="21">
        <f>vlookup(A268,FLEX!$D$2:$F$305,3,)</f>
        <v>4</v>
      </c>
      <c r="N268" s="21"/>
      <c r="T268" s="5" t="s">
        <v>878</v>
      </c>
      <c r="U268" s="3">
        <v>2.0</v>
      </c>
      <c r="V268" s="19" t="str">
        <f>vlookup(T268,'Player Codes'!A:D,4,)</f>
        <v>0192</v>
      </c>
      <c r="W268" s="3"/>
      <c r="X268" s="5" t="s">
        <v>643</v>
      </c>
      <c r="Y268" s="3">
        <v>4.0</v>
      </c>
      <c r="Z268" s="1" t="s">
        <v>694</v>
      </c>
      <c r="AA268" s="5" t="s">
        <v>730</v>
      </c>
    </row>
    <row r="269">
      <c r="A269" s="19" t="str">
        <f>vlookup(D269,'Player Codes'!A:D,4,)</f>
        <v>0281</v>
      </c>
      <c r="B269" s="20">
        <f t="shared" si="1"/>
        <v>0.034</v>
      </c>
      <c r="C269" s="5">
        <v>267.0</v>
      </c>
      <c r="D269" s="5" t="s">
        <v>852</v>
      </c>
      <c r="E269" s="5" t="s">
        <v>1226</v>
      </c>
      <c r="F269" s="5" t="s">
        <v>958</v>
      </c>
      <c r="G269" s="5">
        <v>10.0</v>
      </c>
      <c r="H269" s="5">
        <v>81.0</v>
      </c>
      <c r="I269" s="21" t="str">
        <f>vlookup(A269,'ESPN FF Rankings'!$C$2:$H$201,2,false)</f>
        <v>#N/A</v>
      </c>
      <c r="J269" s="5" t="str">
        <f t="shared" si="2"/>
        <v>#N/A</v>
      </c>
      <c r="K269" s="21">
        <f>vlookup(A269,'VORP SCORE'!$A$2:$I$301,9,)</f>
        <v>268</v>
      </c>
      <c r="L269" s="22">
        <f>vlookup(A269,'Risk Score'!$A$4:$H$350,8,)</f>
        <v>2</v>
      </c>
      <c r="M269" s="21">
        <f>vlookup(A269,FLEX!$D$2:$F$305,3,)</f>
        <v>3</v>
      </c>
      <c r="N269" s="21"/>
      <c r="T269" s="5" t="s">
        <v>352</v>
      </c>
      <c r="U269" s="3">
        <v>4.0</v>
      </c>
      <c r="V269" s="19" t="str">
        <f>vlookup(T269,'Player Codes'!A:D,4,)</f>
        <v>0193</v>
      </c>
      <c r="W269" s="3"/>
      <c r="X269" s="2" t="s">
        <v>475</v>
      </c>
      <c r="Y269" s="3">
        <v>4.0</v>
      </c>
      <c r="Z269" s="1" t="s">
        <v>842</v>
      </c>
      <c r="AA269" s="5" t="s">
        <v>637</v>
      </c>
    </row>
    <row r="270">
      <c r="A270" s="19" t="str">
        <f>vlookup(D270,'Player Codes'!A:D,4,)</f>
        <v>0207</v>
      </c>
      <c r="B270" s="20">
        <f t="shared" si="1"/>
        <v>0.032</v>
      </c>
      <c r="C270" s="5">
        <v>269.0</v>
      </c>
      <c r="D270" s="5" t="s">
        <v>594</v>
      </c>
      <c r="E270" s="5" t="s">
        <v>1227</v>
      </c>
      <c r="F270" s="5" t="s">
        <v>948</v>
      </c>
      <c r="G270" s="5">
        <v>13.0</v>
      </c>
      <c r="H270" s="5">
        <v>79.7</v>
      </c>
      <c r="I270" s="21" t="str">
        <f>vlookup(A270,'ESPN FF Rankings'!$C$2:$H$201,2,false)</f>
        <v>#N/A</v>
      </c>
      <c r="J270" s="5" t="str">
        <f t="shared" si="2"/>
        <v>#N/A</v>
      </c>
      <c r="K270" s="21">
        <f>vlookup(A270,'VORP SCORE'!$A$2:$I$301,9,)</f>
        <v>269</v>
      </c>
      <c r="L270" s="22">
        <f>vlookup(A270,'Risk Score'!$A$4:$H$350,8,)</f>
        <v>4</v>
      </c>
      <c r="M270" s="21">
        <f>vlookup(A270,FLEX!$D$2:$F$305,3,)</f>
        <v>4</v>
      </c>
      <c r="N270" s="21"/>
      <c r="T270" s="5" t="s">
        <v>211</v>
      </c>
      <c r="U270" s="3">
        <v>4.0</v>
      </c>
      <c r="V270" s="19" t="str">
        <f>vlookup(T270,'Player Codes'!A:D,4,)</f>
        <v>0195</v>
      </c>
      <c r="W270" s="3"/>
      <c r="X270" s="5" t="s">
        <v>267</v>
      </c>
      <c r="Y270" s="3">
        <v>3.0</v>
      </c>
      <c r="Z270" s="1" t="s">
        <v>591</v>
      </c>
      <c r="AA270" s="5" t="s">
        <v>742</v>
      </c>
    </row>
    <row r="271">
      <c r="A271" s="19" t="str">
        <f>vlookup(D271,'Player Codes'!A:D,4,)</f>
        <v>0129</v>
      </c>
      <c r="B271" s="20">
        <f t="shared" si="1"/>
        <v>0.031</v>
      </c>
      <c r="C271" s="5">
        <v>270.0</v>
      </c>
      <c r="D271" s="5" t="s">
        <v>860</v>
      </c>
      <c r="E271" s="5" t="s">
        <v>1228</v>
      </c>
      <c r="F271" s="5" t="s">
        <v>948</v>
      </c>
      <c r="G271" s="5">
        <v>13.0</v>
      </c>
      <c r="H271" s="5">
        <v>79.6</v>
      </c>
      <c r="I271" s="21" t="str">
        <f>vlookup(A271,'ESPN FF Rankings'!$C$2:$H$201,2,false)</f>
        <v>#N/A</v>
      </c>
      <c r="J271" s="5" t="str">
        <f t="shared" si="2"/>
        <v>#N/A</v>
      </c>
      <c r="K271" s="21">
        <f>vlookup(A271,'VORP SCORE'!$A$2:$I$301,9,)</f>
        <v>270</v>
      </c>
      <c r="L271" s="22">
        <f>vlookup(A271,'Risk Score'!$A$4:$H$350,8,)</f>
        <v>2</v>
      </c>
      <c r="M271" s="21">
        <f>vlookup(A271,FLEX!$D$2:$F$305,3,)</f>
        <v>3</v>
      </c>
      <c r="N271" s="21"/>
      <c r="T271" s="5" t="s">
        <v>331</v>
      </c>
      <c r="U271" s="3">
        <v>3.0</v>
      </c>
      <c r="V271" s="19" t="str">
        <f>vlookup(T271,'Player Codes'!A:D,4,)</f>
        <v>0200</v>
      </c>
      <c r="W271" s="3"/>
      <c r="X271" s="5" t="s">
        <v>1433</v>
      </c>
      <c r="Y271" s="3">
        <v>4.0</v>
      </c>
      <c r="Z271" s="1" t="s">
        <v>848</v>
      </c>
      <c r="AA271" s="5" t="s">
        <v>131</v>
      </c>
    </row>
    <row r="272">
      <c r="A272" s="19" t="str">
        <f>vlookup(D272,'Player Codes'!A:D,4,)</f>
        <v>0231</v>
      </c>
      <c r="B272" s="20">
        <f t="shared" si="1"/>
        <v>0.03</v>
      </c>
      <c r="C272" s="5">
        <v>271.0</v>
      </c>
      <c r="D272" s="5" t="s">
        <v>885</v>
      </c>
      <c r="E272" s="5" t="s">
        <v>1135</v>
      </c>
      <c r="F272" s="5" t="s">
        <v>946</v>
      </c>
      <c r="G272" s="5">
        <v>5.0</v>
      </c>
      <c r="H272" s="5">
        <v>79.4</v>
      </c>
      <c r="I272" s="21">
        <f>vlookup(A272,'ESPN FF Rankings'!$C$2:$H$201,2,false)</f>
        <v>181</v>
      </c>
      <c r="J272" s="5">
        <f t="shared" si="2"/>
        <v>226</v>
      </c>
      <c r="K272" s="21">
        <f>vlookup(A272,'VORP SCORE'!$A$2:$I$301,9,)</f>
        <v>271</v>
      </c>
      <c r="L272" s="22">
        <f>vlookup(A272,'Risk Score'!$A$4:$H$350,8,)</f>
        <v>3</v>
      </c>
      <c r="M272" s="21">
        <f>vlookup(A272,FLEX!$D$2:$F$305,3,)</f>
        <v>2</v>
      </c>
      <c r="N272" s="21"/>
      <c r="T272" s="5" t="s">
        <v>1506</v>
      </c>
      <c r="U272" s="3">
        <v>2.0</v>
      </c>
      <c r="V272" s="23">
        <v>0.0</v>
      </c>
      <c r="W272" s="3"/>
      <c r="X272" s="5" t="s">
        <v>1490</v>
      </c>
      <c r="Y272" s="3">
        <v>3.0</v>
      </c>
      <c r="Z272" s="1" t="s">
        <v>851</v>
      </c>
      <c r="AA272" s="5" t="s">
        <v>1515</v>
      </c>
    </row>
    <row r="273">
      <c r="A273" s="19" t="str">
        <f>vlookup(D273,'Player Codes'!A:D,4,)</f>
        <v>0137</v>
      </c>
      <c r="B273" s="20">
        <f t="shared" si="1"/>
        <v>0.029</v>
      </c>
      <c r="C273" s="5">
        <v>272.0</v>
      </c>
      <c r="D273" s="5" t="s">
        <v>890</v>
      </c>
      <c r="E273" s="5" t="s">
        <v>1229</v>
      </c>
      <c r="F273" s="5" t="s">
        <v>952</v>
      </c>
      <c r="G273" s="5">
        <v>7.0</v>
      </c>
      <c r="H273" s="5">
        <v>78.2</v>
      </c>
      <c r="I273" s="21" t="str">
        <f>vlookup(A273,'ESPN FF Rankings'!$C$2:$H$201,2,false)</f>
        <v>#N/A</v>
      </c>
      <c r="J273" s="5" t="str">
        <f t="shared" si="2"/>
        <v>#N/A</v>
      </c>
      <c r="K273" s="21">
        <f>vlookup(A273,'VORP SCORE'!$A$2:$I$301,9,)</f>
        <v>272</v>
      </c>
      <c r="L273" s="22">
        <f>vlookup(A273,'Risk Score'!$A$4:$H$350,8,)</f>
        <v>3</v>
      </c>
      <c r="M273" s="21">
        <f>vlookup(A273,FLEX!$D$2:$F$305,3,)</f>
        <v>2</v>
      </c>
      <c r="N273" s="21"/>
      <c r="T273" s="5" t="s">
        <v>1507</v>
      </c>
      <c r="U273" s="3">
        <v>5.0</v>
      </c>
      <c r="V273" s="23">
        <v>0.0</v>
      </c>
      <c r="W273" s="3"/>
      <c r="X273" s="5" t="s">
        <v>380</v>
      </c>
      <c r="Y273" s="3">
        <v>3.0</v>
      </c>
      <c r="Z273" s="1" t="s">
        <v>855</v>
      </c>
      <c r="AA273" s="5" t="s">
        <v>693</v>
      </c>
    </row>
    <row r="274">
      <c r="A274" s="19" t="str">
        <f>vlookup(D274,'Player Codes'!A:D,4,)</f>
        <v>0203</v>
      </c>
      <c r="B274" s="20">
        <f t="shared" si="1"/>
        <v>0.028</v>
      </c>
      <c r="C274" s="5">
        <v>273.0</v>
      </c>
      <c r="D274" s="5" t="s">
        <v>718</v>
      </c>
      <c r="E274" s="5" t="s">
        <v>1137</v>
      </c>
      <c r="F274" s="5" t="s">
        <v>933</v>
      </c>
      <c r="G274" s="5">
        <v>10.0</v>
      </c>
      <c r="H274" s="5">
        <v>77.9</v>
      </c>
      <c r="I274" s="21">
        <f>vlookup(A274,'ESPN FF Rankings'!$C$2:$H$201,2,false)</f>
        <v>179</v>
      </c>
      <c r="J274" s="5">
        <f t="shared" si="2"/>
        <v>226</v>
      </c>
      <c r="K274" s="21">
        <f>vlookup(A274,'VORP SCORE'!$A$2:$I$301,9,)</f>
        <v>273</v>
      </c>
      <c r="L274" s="22">
        <f>vlookup(A274,'Risk Score'!$A$4:$H$350,8,)</f>
        <v>4</v>
      </c>
      <c r="M274" s="21">
        <f>vlookup(A274,FLEX!$D$2:$F$305,3,)</f>
        <v>3</v>
      </c>
      <c r="N274" s="21"/>
      <c r="T274" s="5" t="s">
        <v>239</v>
      </c>
      <c r="U274" s="3">
        <v>5.0</v>
      </c>
      <c r="V274" s="19" t="str">
        <f>vlookup(T274,'Player Codes'!A:D,4,)</f>
        <v>0210</v>
      </c>
      <c r="W274" s="3"/>
      <c r="X274" s="5" t="s">
        <v>1435</v>
      </c>
      <c r="Y274" s="3">
        <v>2.0</v>
      </c>
      <c r="Z274" s="1" t="s">
        <v>715</v>
      </c>
      <c r="AA274" s="5" t="s">
        <v>124</v>
      </c>
    </row>
    <row r="275">
      <c r="A275" s="19" t="str">
        <f>vlookup(D275,'Player Codes'!A:D,4,)</f>
        <v>0184</v>
      </c>
      <c r="B275" s="20">
        <f t="shared" si="1"/>
        <v>0.027</v>
      </c>
      <c r="C275" s="5">
        <v>274.0</v>
      </c>
      <c r="D275" s="5" t="s">
        <v>810</v>
      </c>
      <c r="E275" s="5" t="s">
        <v>1230</v>
      </c>
      <c r="F275" s="5" t="s">
        <v>1009</v>
      </c>
      <c r="G275" s="5">
        <v>11.0</v>
      </c>
      <c r="H275" s="5">
        <v>77.8</v>
      </c>
      <c r="I275" s="21" t="str">
        <f>vlookup(A275,'ESPN FF Rankings'!$C$2:$H$201,2,false)</f>
        <v>#N/A</v>
      </c>
      <c r="J275" s="5" t="str">
        <f t="shared" si="2"/>
        <v>#N/A</v>
      </c>
      <c r="K275" s="21">
        <f>vlookup(A275,'VORP SCORE'!$A$2:$I$301,9,)</f>
        <v>274</v>
      </c>
      <c r="L275" s="22">
        <f>vlookup(A275,'Risk Score'!$A$4:$H$350,8,)</f>
        <v>3</v>
      </c>
      <c r="M275" s="21">
        <f>vlookup(A275,FLEX!$D$2:$F$305,3,)</f>
        <v>3</v>
      </c>
      <c r="N275" s="21"/>
      <c r="T275" s="5" t="s">
        <v>267</v>
      </c>
      <c r="U275" s="3">
        <v>3.0</v>
      </c>
      <c r="V275" s="19" t="str">
        <f>vlookup(T275,'Player Codes'!A:D,4,)</f>
        <v>0235</v>
      </c>
      <c r="W275" s="3"/>
      <c r="X275" s="5" t="s">
        <v>254</v>
      </c>
      <c r="Y275" s="3">
        <v>4.0</v>
      </c>
      <c r="Z275" s="1" t="s">
        <v>808</v>
      </c>
      <c r="AA275" s="5" t="s">
        <v>35</v>
      </c>
    </row>
    <row r="276">
      <c r="A276" s="19" t="str">
        <f>vlookup(D276,'Player Codes'!A:D,4,)</f>
        <v>0169</v>
      </c>
      <c r="B276" s="20">
        <f t="shared" si="1"/>
        <v>0.026</v>
      </c>
      <c r="C276" s="5">
        <v>275.0</v>
      </c>
      <c r="D276" s="2" t="s">
        <v>817</v>
      </c>
      <c r="E276" s="5" t="s">
        <v>1231</v>
      </c>
      <c r="F276" s="5" t="s">
        <v>965</v>
      </c>
      <c r="G276" s="5">
        <v>9.0</v>
      </c>
      <c r="H276" s="5">
        <v>77.0</v>
      </c>
      <c r="I276" s="21" t="str">
        <f>vlookup(A276,'ESPN FF Rankings'!$C$2:$H$201,2,false)</f>
        <v>#N/A</v>
      </c>
      <c r="J276" s="5" t="str">
        <f t="shared" si="2"/>
        <v>#N/A</v>
      </c>
      <c r="K276" s="21">
        <f>vlookup(A276,'VORP SCORE'!$A$2:$I$301,9,)</f>
        <v>275</v>
      </c>
      <c r="L276" s="22">
        <f>vlookup(A276,'Risk Score'!$A$4:$H$350,8,)</f>
        <v>3</v>
      </c>
      <c r="M276" s="21">
        <f>vlookup(A276,FLEX!$D$2:$F$305,3,)</f>
        <v>3</v>
      </c>
      <c r="N276" s="21"/>
      <c r="T276" s="5" t="s">
        <v>199</v>
      </c>
      <c r="U276" s="3">
        <v>5.0</v>
      </c>
      <c r="V276" s="19" t="str">
        <f>vlookup(T276,'Player Codes'!A:D,4,)</f>
        <v>0253</v>
      </c>
      <c r="W276" s="3"/>
      <c r="X276" s="5" t="s">
        <v>393</v>
      </c>
      <c r="Y276" s="3">
        <v>6.0</v>
      </c>
      <c r="Z276" s="1" t="s">
        <v>815</v>
      </c>
      <c r="AA276" s="5" t="s">
        <v>159</v>
      </c>
    </row>
    <row r="277">
      <c r="A277" s="19" t="str">
        <f>vlookup(D277,'Player Codes'!A:D,4,)</f>
        <v>0217</v>
      </c>
      <c r="B277" s="20">
        <f t="shared" si="1"/>
        <v>0.025</v>
      </c>
      <c r="C277" s="5">
        <v>276.0</v>
      </c>
      <c r="D277" s="5" t="s">
        <v>871</v>
      </c>
      <c r="E277" s="5" t="s">
        <v>1232</v>
      </c>
      <c r="F277" s="5" t="s">
        <v>1040</v>
      </c>
      <c r="G277" s="5">
        <v>14.0</v>
      </c>
      <c r="H277" s="5">
        <v>76.8</v>
      </c>
      <c r="I277" s="21" t="str">
        <f>vlookup(A277,'ESPN FF Rankings'!$C$2:$H$201,2,false)</f>
        <v>#N/A</v>
      </c>
      <c r="J277" s="5" t="str">
        <f t="shared" si="2"/>
        <v>#N/A</v>
      </c>
      <c r="K277" s="21">
        <f>vlookup(A277,'VORP SCORE'!$A$2:$I$301,9,)</f>
        <v>276</v>
      </c>
      <c r="L277" s="22">
        <f>vlookup(A277,'Risk Score'!$A$4:$H$350,8,)</f>
        <v>2</v>
      </c>
      <c r="M277" s="21">
        <f>vlookup(A277,FLEX!$D$2:$F$305,3,)</f>
        <v>3</v>
      </c>
      <c r="N277" s="21"/>
      <c r="T277" s="5" t="s">
        <v>319</v>
      </c>
      <c r="U277" s="3">
        <v>4.0</v>
      </c>
      <c r="V277" s="19" t="str">
        <f>vlookup(T277,'Player Codes'!A:D,4,)</f>
        <v>0254</v>
      </c>
      <c r="W277" s="3"/>
      <c r="X277" s="5" t="s">
        <v>1436</v>
      </c>
      <c r="Y277" s="3">
        <v>6.0</v>
      </c>
      <c r="Z277" s="1" t="s">
        <v>864</v>
      </c>
      <c r="AA277" s="5" t="s">
        <v>192</v>
      </c>
    </row>
    <row r="278">
      <c r="A278" s="19" t="str">
        <f>vlookup(D278,'Player Codes'!A:D,4,)</f>
        <v>0126</v>
      </c>
      <c r="B278" s="20">
        <f t="shared" si="1"/>
        <v>0.024</v>
      </c>
      <c r="C278" s="5">
        <v>277.0</v>
      </c>
      <c r="D278" s="5" t="s">
        <v>745</v>
      </c>
      <c r="E278" s="5" t="s">
        <v>1141</v>
      </c>
      <c r="F278" s="5" t="s">
        <v>980</v>
      </c>
      <c r="G278" s="5">
        <v>13.0</v>
      </c>
      <c r="H278" s="5">
        <v>76.4</v>
      </c>
      <c r="I278" s="21">
        <f>vlookup(A278,'ESPN FF Rankings'!$C$2:$H$201,2,false)</f>
        <v>189</v>
      </c>
      <c r="J278" s="5">
        <f t="shared" si="2"/>
        <v>233</v>
      </c>
      <c r="K278" s="21">
        <f>vlookup(A278,'VORP SCORE'!$A$2:$I$301,9,)</f>
        <v>277</v>
      </c>
      <c r="L278" s="22">
        <f>vlookup(A278,'Risk Score'!$A$4:$H$350,8,)</f>
        <v>4</v>
      </c>
      <c r="M278" s="21">
        <f>vlookup(A278,FLEX!$D$2:$F$305,3,)</f>
        <v>3</v>
      </c>
      <c r="N278" s="21"/>
      <c r="T278" s="5" t="s">
        <v>1516</v>
      </c>
      <c r="U278" s="3">
        <v>5.0</v>
      </c>
      <c r="V278" s="23">
        <v>0.0</v>
      </c>
      <c r="W278" s="3"/>
      <c r="X278" s="5" t="s">
        <v>400</v>
      </c>
      <c r="Y278" s="3">
        <v>5.0</v>
      </c>
      <c r="Z278" s="1" t="s">
        <v>743</v>
      </c>
      <c r="AA278" s="5" t="s">
        <v>303</v>
      </c>
    </row>
    <row r="279">
      <c r="A279" s="19" t="str">
        <f>vlookup(D279,'Player Codes'!A:D,4,)</f>
        <v>0045</v>
      </c>
      <c r="B279" s="20">
        <f t="shared" si="1"/>
        <v>0.023</v>
      </c>
      <c r="C279" s="5">
        <v>278.0</v>
      </c>
      <c r="D279" s="5" t="s">
        <v>828</v>
      </c>
      <c r="E279" s="5" t="s">
        <v>1233</v>
      </c>
      <c r="F279" s="5" t="s">
        <v>940</v>
      </c>
      <c r="G279" s="5">
        <v>13.0</v>
      </c>
      <c r="H279" s="5">
        <v>75.3</v>
      </c>
      <c r="I279" s="21" t="str">
        <f>vlookup(A279,'ESPN FF Rankings'!$C$2:$H$201,2,false)</f>
        <v>#N/A</v>
      </c>
      <c r="J279" s="5" t="str">
        <f t="shared" si="2"/>
        <v>#N/A</v>
      </c>
      <c r="K279" s="21">
        <f>vlookup(A279,'VORP SCORE'!$A$2:$I$301,9,)</f>
        <v>278</v>
      </c>
      <c r="L279" s="22">
        <f>vlookup(A279,'Risk Score'!$A$4:$H$350,8,)</f>
        <v>3</v>
      </c>
      <c r="M279" s="21">
        <f>vlookup(A279,FLEX!$D$2:$F$305,3,)</f>
        <v>3</v>
      </c>
      <c r="N279" s="21"/>
      <c r="T279" s="5" t="s">
        <v>322</v>
      </c>
      <c r="U279" s="3">
        <v>3.0</v>
      </c>
      <c r="V279" s="19" t="str">
        <f>vlookup(T279,'Player Codes'!A:D,4,)</f>
        <v>0255</v>
      </c>
      <c r="W279" s="3"/>
      <c r="X279" s="5" t="s">
        <v>660</v>
      </c>
      <c r="Y279" s="3">
        <v>2.0</v>
      </c>
      <c r="Z279" s="1" t="s">
        <v>826</v>
      </c>
      <c r="AA279" s="5" t="s">
        <v>905</v>
      </c>
    </row>
    <row r="280">
      <c r="A280" s="19" t="str">
        <f>vlookup(D280,'Player Codes'!A:D,4,)</f>
        <v>0269</v>
      </c>
      <c r="B280" s="20">
        <f t="shared" si="1"/>
        <v>0.022</v>
      </c>
      <c r="C280" s="5">
        <v>279.0</v>
      </c>
      <c r="D280" s="5" t="s">
        <v>742</v>
      </c>
      <c r="E280" s="5" t="s">
        <v>1234</v>
      </c>
      <c r="F280" s="5" t="s">
        <v>983</v>
      </c>
      <c r="G280" s="5">
        <v>11.0</v>
      </c>
      <c r="H280" s="5">
        <v>75.1</v>
      </c>
      <c r="I280" s="21" t="str">
        <f>vlookup(A280,'ESPN FF Rankings'!$C$2:$H$201,2,false)</f>
        <v>#N/A</v>
      </c>
      <c r="J280" s="5" t="str">
        <f t="shared" si="2"/>
        <v>#N/A</v>
      </c>
      <c r="K280" s="21">
        <f>vlookup(A280,'VORP SCORE'!$A$2:$I$301,9,)</f>
        <v>279</v>
      </c>
      <c r="L280" s="22">
        <f>vlookup(A280,'Risk Score'!$A$4:$H$350,8,)</f>
        <v>6</v>
      </c>
      <c r="M280" s="21">
        <f>vlookup(A280,FLEX!$D$2:$F$305,3,)</f>
        <v>2</v>
      </c>
      <c r="N280" s="21"/>
      <c r="T280" s="5" t="s">
        <v>1517</v>
      </c>
      <c r="U280" s="3">
        <v>3.0</v>
      </c>
      <c r="V280" s="23">
        <v>0.0</v>
      </c>
      <c r="W280" s="3"/>
      <c r="X280" s="5" t="s">
        <v>652</v>
      </c>
      <c r="Y280" s="3">
        <v>2.0</v>
      </c>
      <c r="Z280" s="1" t="s">
        <v>740</v>
      </c>
      <c r="AA280" s="5" t="s">
        <v>337</v>
      </c>
    </row>
    <row r="281">
      <c r="A281" s="19" t="str">
        <f>vlookup(D281,'Player Codes'!A:D,4,)</f>
        <v>0219</v>
      </c>
      <c r="B281" s="20">
        <f t="shared" si="1"/>
        <v>0.021</v>
      </c>
      <c r="C281" s="5">
        <v>280.0</v>
      </c>
      <c r="D281" s="5" t="s">
        <v>899</v>
      </c>
      <c r="E281" s="5" t="s">
        <v>1140</v>
      </c>
      <c r="F281" s="5" t="s">
        <v>1009</v>
      </c>
      <c r="G281" s="5">
        <v>11.0</v>
      </c>
      <c r="H281" s="5">
        <v>74.6</v>
      </c>
      <c r="I281" s="21">
        <f>vlookup(A281,'ESPN FF Rankings'!$C$2:$H$201,2,false)</f>
        <v>144</v>
      </c>
      <c r="J281" s="5">
        <f t="shared" si="2"/>
        <v>212</v>
      </c>
      <c r="K281" s="21">
        <f>vlookup(A281,'VORP SCORE'!$A$2:$I$301,9,)</f>
        <v>280</v>
      </c>
      <c r="L281" s="22">
        <f>vlookup(A281,'Risk Score'!$A$4:$H$350,8,)</f>
        <v>3</v>
      </c>
      <c r="M281" s="21">
        <f>vlookup(A281,FLEX!$D$2:$F$305,3,)</f>
        <v>2</v>
      </c>
      <c r="N281" s="21"/>
      <c r="T281" s="5" t="s">
        <v>1518</v>
      </c>
      <c r="U281" s="3">
        <v>4.0</v>
      </c>
      <c r="V281" s="23">
        <v>0.0</v>
      </c>
      <c r="W281" s="3"/>
      <c r="X281" s="5" t="s">
        <v>419</v>
      </c>
      <c r="Y281" s="3">
        <v>3.0</v>
      </c>
      <c r="Z281" s="1" t="s">
        <v>873</v>
      </c>
      <c r="AA281" s="5" t="s">
        <v>231</v>
      </c>
    </row>
    <row r="282">
      <c r="A282" s="19" t="str">
        <f>vlookup(D282,'Player Codes'!A:D,4,)</f>
        <v>0201</v>
      </c>
      <c r="B282" s="20">
        <f t="shared" si="1"/>
        <v>0.02</v>
      </c>
      <c r="C282" s="5">
        <v>281.0</v>
      </c>
      <c r="D282" s="5" t="s">
        <v>832</v>
      </c>
      <c r="E282" s="5" t="s">
        <v>1235</v>
      </c>
      <c r="F282" s="5" t="s">
        <v>974</v>
      </c>
      <c r="G282" s="5">
        <v>11.0</v>
      </c>
      <c r="H282" s="5">
        <v>73.6</v>
      </c>
      <c r="I282" s="21" t="str">
        <f>vlookup(A282,'ESPN FF Rankings'!$C$2:$H$201,2,false)</f>
        <v>#N/A</v>
      </c>
      <c r="J282" s="5" t="str">
        <f t="shared" si="2"/>
        <v>#N/A</v>
      </c>
      <c r="K282" s="21">
        <f>vlookup(A282,'VORP SCORE'!$A$2:$I$301,9,)</f>
        <v>281</v>
      </c>
      <c r="L282" s="22">
        <f>vlookup(A282,'Risk Score'!$A$4:$H$350,8,)</f>
        <v>3</v>
      </c>
      <c r="M282" s="21">
        <f>vlookup(A282,FLEX!$D$2:$F$305,3,)</f>
        <v>3</v>
      </c>
      <c r="N282" s="21"/>
      <c r="T282" s="5" t="s">
        <v>303</v>
      </c>
      <c r="U282" s="3">
        <v>2.0</v>
      </c>
      <c r="V282" s="19" t="str">
        <f>vlookup(T282,'Player Codes'!A:D,4,)</f>
        <v>0277</v>
      </c>
      <c r="W282" s="3"/>
      <c r="X282" s="5" t="s">
        <v>63</v>
      </c>
      <c r="Y282" s="3">
        <v>4.0</v>
      </c>
      <c r="Z282" s="1" t="s">
        <v>829</v>
      </c>
      <c r="AA282" s="5" t="s">
        <v>852</v>
      </c>
    </row>
    <row r="283">
      <c r="A283" s="19" t="str">
        <f>vlookup(D283,'Player Codes'!A:D,4,)</f>
        <v>0043</v>
      </c>
      <c r="B283" s="20">
        <f t="shared" si="1"/>
        <v>0.019</v>
      </c>
      <c r="C283" s="5">
        <v>282.0</v>
      </c>
      <c r="D283" s="5" t="s">
        <v>840</v>
      </c>
      <c r="E283" s="5" t="s">
        <v>1236</v>
      </c>
      <c r="F283" s="5" t="s">
        <v>935</v>
      </c>
      <c r="G283" s="5">
        <v>7.0</v>
      </c>
      <c r="H283" s="5">
        <v>72.9</v>
      </c>
      <c r="I283" s="21" t="str">
        <f>vlookup(A283,'ESPN FF Rankings'!$C$2:$H$201,2,false)</f>
        <v>#N/A</v>
      </c>
      <c r="J283" s="5" t="str">
        <f t="shared" si="2"/>
        <v>#N/A</v>
      </c>
      <c r="K283" s="21">
        <f>vlookup(A283,'VORP SCORE'!$A$2:$I$301,9,)</f>
        <v>282</v>
      </c>
      <c r="L283" s="24">
        <v>3.0</v>
      </c>
      <c r="M283" s="21">
        <f>vlookup(A283,FLEX!$D$2:$F$305,3,)</f>
        <v>3</v>
      </c>
      <c r="N283" s="21"/>
      <c r="T283" s="5" t="s">
        <v>1519</v>
      </c>
      <c r="U283" s="3">
        <v>3.0</v>
      </c>
      <c r="V283" s="23">
        <v>0.0</v>
      </c>
      <c r="W283" s="3"/>
      <c r="X283" s="5" t="s">
        <v>1438</v>
      </c>
      <c r="Y283" s="3">
        <v>3.0</v>
      </c>
      <c r="Z283" s="1" t="s">
        <v>838</v>
      </c>
      <c r="AA283" s="5" t="s">
        <v>696</v>
      </c>
    </row>
    <row r="284">
      <c r="A284" s="19" t="str">
        <f>vlookup(D284,'Player Codes'!A:D,4,)</f>
        <v>0170</v>
      </c>
      <c r="B284" s="20">
        <f t="shared" si="1"/>
        <v>0.018</v>
      </c>
      <c r="C284" s="5">
        <v>283.0</v>
      </c>
      <c r="D284" s="5" t="s">
        <v>846</v>
      </c>
      <c r="E284" s="5" t="s">
        <v>1237</v>
      </c>
      <c r="F284" s="5" t="s">
        <v>938</v>
      </c>
      <c r="G284" s="5">
        <v>5.0</v>
      </c>
      <c r="H284" s="5">
        <v>72.3</v>
      </c>
      <c r="I284" s="21" t="str">
        <f>vlookup(A284,'ESPN FF Rankings'!$C$2:$H$201,2,false)</f>
        <v>#N/A</v>
      </c>
      <c r="J284" s="5" t="str">
        <f t="shared" si="2"/>
        <v>#N/A</v>
      </c>
      <c r="K284" s="21">
        <f>vlookup(A284,'VORP SCORE'!$A$2:$I$301,9,)</f>
        <v>283</v>
      </c>
      <c r="L284" s="24">
        <v>3.0</v>
      </c>
      <c r="M284" s="21">
        <f>vlookup(A284,FLEX!$D$2:$F$305,3,)</f>
        <v>3</v>
      </c>
      <c r="N284" s="21"/>
      <c r="T284" s="5" t="s">
        <v>231</v>
      </c>
      <c r="U284" s="3">
        <v>4.0</v>
      </c>
      <c r="V284" s="19" t="str">
        <f>vlookup(T284,'Player Codes'!A:D,4,)</f>
        <v>0280</v>
      </c>
      <c r="W284" s="3"/>
      <c r="X284" s="2" t="s">
        <v>1520</v>
      </c>
      <c r="Y284" s="3">
        <v>3.0</v>
      </c>
      <c r="Z284" s="1" t="s">
        <v>844</v>
      </c>
      <c r="AA284" s="5" t="s">
        <v>585</v>
      </c>
    </row>
    <row r="285">
      <c r="A285" s="19" t="str">
        <f>vlookup(D285,'Player Codes'!A:D,4,)</f>
        <v>0278</v>
      </c>
      <c r="B285" s="20">
        <f t="shared" si="1"/>
        <v>0.018</v>
      </c>
      <c r="C285" s="5">
        <v>283.0</v>
      </c>
      <c r="D285" s="5" t="s">
        <v>905</v>
      </c>
      <c r="E285" s="5" t="s">
        <v>1143</v>
      </c>
      <c r="F285" s="5" t="s">
        <v>1040</v>
      </c>
      <c r="G285" s="5">
        <v>14.0</v>
      </c>
      <c r="H285" s="5">
        <v>72.3</v>
      </c>
      <c r="I285" s="21">
        <f>vlookup(A285,'ESPN FF Rankings'!$C$2:$H$201,2,false)</f>
        <v>180</v>
      </c>
      <c r="J285" s="5">
        <f t="shared" si="2"/>
        <v>231.5</v>
      </c>
      <c r="K285" s="21">
        <f>vlookup(A285,'VORP SCORE'!$A$2:$I$301,9,)</f>
        <v>284</v>
      </c>
      <c r="L285" s="22">
        <f>vlookup(A285,'Risk Score'!$A$4:$H$350,8,)</f>
        <v>3</v>
      </c>
      <c r="M285" s="21">
        <f>vlookup(A285,FLEX!$D$2:$F$305,3,)</f>
        <v>2</v>
      </c>
      <c r="N285" s="21"/>
      <c r="T285" s="5" t="s">
        <v>1521</v>
      </c>
      <c r="U285" s="3">
        <v>6.0</v>
      </c>
      <c r="V285" s="23">
        <v>0.0</v>
      </c>
      <c r="W285" s="3"/>
      <c r="X285" s="2" t="s">
        <v>627</v>
      </c>
      <c r="Y285" s="3">
        <v>5.0</v>
      </c>
      <c r="Z285" s="1" t="s">
        <v>882</v>
      </c>
      <c r="AA285" s="5" t="s">
        <v>461</v>
      </c>
    </row>
    <row r="286">
      <c r="A286" s="19" t="str">
        <f>vlookup(D286,'Player Codes'!A:D,4,)</f>
        <v>0298</v>
      </c>
      <c r="B286" s="20">
        <f t="shared" si="1"/>
        <v>0.016</v>
      </c>
      <c r="C286" s="5">
        <v>285.0</v>
      </c>
      <c r="D286" s="5" t="s">
        <v>790</v>
      </c>
      <c r="E286" s="5" t="s">
        <v>1238</v>
      </c>
      <c r="F286" s="5" t="s">
        <v>980</v>
      </c>
      <c r="G286" s="5">
        <v>13.0</v>
      </c>
      <c r="H286" s="5">
        <v>71.8</v>
      </c>
      <c r="I286" s="21" t="str">
        <f>vlookup(A286,'ESPN FF Rankings'!$C$2:$H$201,2,false)</f>
        <v>#N/A</v>
      </c>
      <c r="J286" s="5" t="str">
        <f t="shared" si="2"/>
        <v>#N/A</v>
      </c>
      <c r="K286" s="21">
        <f>vlookup(A286,'VORP SCORE'!$A$2:$I$301,9,)</f>
        <v>285</v>
      </c>
      <c r="L286" s="22">
        <f>vlookup(A286,'Risk Score'!$A$4:$H$350,8,)</f>
        <v>2</v>
      </c>
      <c r="M286" s="21">
        <f>vlookup(A286,FLEX!$D$2:$F$305,3,)</f>
        <v>4</v>
      </c>
      <c r="N286" s="21"/>
      <c r="T286" s="5" t="s">
        <v>1522</v>
      </c>
      <c r="U286" s="3">
        <v>3.0</v>
      </c>
      <c r="V286" s="23">
        <v>0.0</v>
      </c>
      <c r="W286" s="3"/>
      <c r="X286" s="5" t="s">
        <v>497</v>
      </c>
      <c r="Y286" s="3">
        <v>2.0</v>
      </c>
      <c r="Z286" s="1" t="s">
        <v>787</v>
      </c>
      <c r="AA286" s="5" t="s">
        <v>574</v>
      </c>
    </row>
    <row r="287">
      <c r="A287" s="19" t="str">
        <f>vlookup(D287,'Player Codes'!A:D,4,)</f>
        <v>0009</v>
      </c>
      <c r="B287" s="20">
        <f t="shared" si="1"/>
        <v>0.015</v>
      </c>
      <c r="C287" s="5">
        <v>286.0</v>
      </c>
      <c r="D287" s="5" t="s">
        <v>856</v>
      </c>
      <c r="E287" s="5" t="s">
        <v>1239</v>
      </c>
      <c r="F287" s="5" t="s">
        <v>985</v>
      </c>
      <c r="G287" s="5">
        <v>6.0</v>
      </c>
      <c r="H287" s="5">
        <v>70.6</v>
      </c>
      <c r="I287" s="21" t="str">
        <f>vlookup(A287,'ESPN FF Rankings'!$C$2:$H$201,2,false)</f>
        <v>#N/A</v>
      </c>
      <c r="J287" s="5" t="str">
        <f t="shared" si="2"/>
        <v>#N/A</v>
      </c>
      <c r="K287" s="21">
        <f>vlookup(A287,'VORP SCORE'!$A$2:$I$301,9,)</f>
        <v>286</v>
      </c>
      <c r="L287" s="24">
        <v>3.0</v>
      </c>
      <c r="M287" s="21">
        <f>vlookup(A287,FLEX!$D$2:$F$305,3,)</f>
        <v>3</v>
      </c>
      <c r="N287" s="21"/>
      <c r="T287" s="5" t="s">
        <v>1523</v>
      </c>
      <c r="U287" s="3">
        <v>3.0</v>
      </c>
      <c r="V287" s="23">
        <v>0.0</v>
      </c>
      <c r="W287" s="3"/>
      <c r="X287" s="5" t="s">
        <v>1491</v>
      </c>
      <c r="Y287" s="3">
        <v>5.0</v>
      </c>
      <c r="Z287" s="1" t="s">
        <v>853</v>
      </c>
      <c r="AA287" s="5" t="s">
        <v>486</v>
      </c>
    </row>
    <row r="288">
      <c r="A288" s="19" t="str">
        <f>vlookup(D288,'Player Codes'!A:D,4,)</f>
        <v>0041</v>
      </c>
      <c r="B288" s="20">
        <f t="shared" si="1"/>
        <v>0.014</v>
      </c>
      <c r="C288" s="5">
        <v>287.0</v>
      </c>
      <c r="D288" s="5" t="s">
        <v>888</v>
      </c>
      <c r="E288" s="5" t="s">
        <v>1240</v>
      </c>
      <c r="F288" s="5" t="s">
        <v>944</v>
      </c>
      <c r="G288" s="5">
        <v>5.0</v>
      </c>
      <c r="H288" s="5">
        <v>70.5</v>
      </c>
      <c r="I288" s="21" t="str">
        <f>vlookup(A288,'ESPN FF Rankings'!$C$2:$H$201,2,false)</f>
        <v>#N/A</v>
      </c>
      <c r="J288" s="5" t="str">
        <f t="shared" si="2"/>
        <v>#N/A</v>
      </c>
      <c r="K288" s="21">
        <f>vlookup(A288,'VORP SCORE'!$A$2:$I$301,9,)</f>
        <v>287</v>
      </c>
      <c r="L288" s="22">
        <f>vlookup(A288,'Risk Score'!$A$4:$H$350,8,)</f>
        <v>2</v>
      </c>
      <c r="M288" s="21">
        <f>vlookup(A288,FLEX!$D$2:$F$305,3,)</f>
        <v>3</v>
      </c>
      <c r="N288" s="21"/>
      <c r="T288" s="5" t="s">
        <v>93</v>
      </c>
      <c r="U288" s="3">
        <v>4.0</v>
      </c>
      <c r="V288" s="19" t="str">
        <f>vlookup(T288,'Player Codes'!A:D,4,)</f>
        <v>0001</v>
      </c>
      <c r="W288" s="3"/>
      <c r="X288" s="5" t="s">
        <v>551</v>
      </c>
      <c r="Y288" s="3">
        <v>4.0</v>
      </c>
      <c r="Z288" s="1" t="s">
        <v>886</v>
      </c>
      <c r="AA288" s="5" t="s">
        <v>803</v>
      </c>
    </row>
    <row r="289">
      <c r="A289" s="19" t="str">
        <f>vlookup(D289,'Player Codes'!A:D,4,)</f>
        <v>0290</v>
      </c>
      <c r="B289" s="20">
        <f t="shared" si="1"/>
        <v>0.013</v>
      </c>
      <c r="C289" s="5">
        <v>288.0</v>
      </c>
      <c r="D289" s="5" t="s">
        <v>893</v>
      </c>
      <c r="E289" s="5" t="s">
        <v>1241</v>
      </c>
      <c r="F289" s="5" t="s">
        <v>1009</v>
      </c>
      <c r="G289" s="5">
        <v>11.0</v>
      </c>
      <c r="H289" s="5">
        <v>70.4</v>
      </c>
      <c r="I289" s="21" t="str">
        <f>vlookup(A289,'ESPN FF Rankings'!$C$2:$H$201,2,false)</f>
        <v>#N/A</v>
      </c>
      <c r="J289" s="5" t="str">
        <f t="shared" si="2"/>
        <v>#N/A</v>
      </c>
      <c r="K289" s="21">
        <f>vlookup(A289,'VORP SCORE'!$A$2:$I$301,9,)</f>
        <v>288</v>
      </c>
      <c r="L289" s="22">
        <f>vlookup(A289,'Risk Score'!$A$4:$H$350,8,)</f>
        <v>2</v>
      </c>
      <c r="M289" s="21">
        <f>vlookup(A289,FLEX!$D$2:$F$305,3,)</f>
        <v>3</v>
      </c>
      <c r="N289" s="21"/>
      <c r="T289" s="5" t="s">
        <v>465</v>
      </c>
      <c r="U289" s="3">
        <v>5.0</v>
      </c>
      <c r="V289" s="19" t="str">
        <f>vlookup(T289,'Player Codes'!A:D,4,)</f>
        <v>0004</v>
      </c>
      <c r="W289" s="3"/>
      <c r="X289" s="5" t="s">
        <v>1441</v>
      </c>
      <c r="Y289" s="3">
        <v>4.0</v>
      </c>
      <c r="Z289" s="1" t="s">
        <v>891</v>
      </c>
      <c r="AA289" s="5" t="s">
        <v>590</v>
      </c>
    </row>
    <row r="290">
      <c r="A290" s="19" t="str">
        <f>vlookup(D290,'Player Codes'!A:D,4,)</f>
        <v>0078</v>
      </c>
      <c r="B290" s="20">
        <f t="shared" si="1"/>
        <v>0.012</v>
      </c>
      <c r="C290" s="5">
        <v>289.0</v>
      </c>
      <c r="D290" s="5" t="s">
        <v>702</v>
      </c>
      <c r="E290" s="5" t="s">
        <v>1242</v>
      </c>
      <c r="F290" s="5" t="s">
        <v>948</v>
      </c>
      <c r="G290" s="5">
        <v>13.0</v>
      </c>
      <c r="H290" s="5">
        <v>70.3</v>
      </c>
      <c r="I290" s="21" t="str">
        <f>vlookup(A290,'ESPN FF Rankings'!$C$2:$H$201,2,false)</f>
        <v>#N/A</v>
      </c>
      <c r="J290" s="5" t="str">
        <f t="shared" si="2"/>
        <v>#N/A</v>
      </c>
      <c r="K290" s="21">
        <f>vlookup(A290,'VORP SCORE'!$A$2:$I$301,9,)</f>
        <v>289</v>
      </c>
      <c r="L290" s="22">
        <f>vlookup(A290,'Risk Score'!$A$4:$H$350,8,)</f>
        <v>5</v>
      </c>
      <c r="M290" s="21">
        <f>vlookup(A290,FLEX!$D$2:$F$305,3,)</f>
        <v>3</v>
      </c>
      <c r="N290" s="21"/>
      <c r="T290" s="5" t="s">
        <v>721</v>
      </c>
      <c r="U290" s="3">
        <v>3.0</v>
      </c>
      <c r="V290" s="19" t="str">
        <f>vlookup(T290,'Player Codes'!A:D,4,)</f>
        <v>0006</v>
      </c>
      <c r="W290" s="3"/>
      <c r="X290" s="5" t="s">
        <v>199</v>
      </c>
      <c r="Y290" s="3">
        <v>5.0</v>
      </c>
      <c r="Z290" s="1" t="s">
        <v>700</v>
      </c>
      <c r="AA290" s="5" t="s">
        <v>179</v>
      </c>
    </row>
    <row r="291">
      <c r="A291" s="19" t="str">
        <f>vlookup(D291,'Player Codes'!A:D,4,)</f>
        <v>0049</v>
      </c>
      <c r="B291" s="20">
        <f t="shared" si="1"/>
        <v>0.011</v>
      </c>
      <c r="C291" s="5">
        <v>290.0</v>
      </c>
      <c r="D291" s="5" t="s">
        <v>801</v>
      </c>
      <c r="E291" s="5" t="s">
        <v>1243</v>
      </c>
      <c r="F291" s="5" t="s">
        <v>954</v>
      </c>
      <c r="G291" s="5">
        <v>10.0</v>
      </c>
      <c r="H291" s="5">
        <v>69.6</v>
      </c>
      <c r="I291" s="21" t="str">
        <f>vlookup(A291,'ESPN FF Rankings'!$C$2:$H$201,2,false)</f>
        <v>#N/A</v>
      </c>
      <c r="J291" s="5" t="str">
        <f t="shared" si="2"/>
        <v>#N/A</v>
      </c>
      <c r="K291" s="21">
        <f>vlookup(A291,'VORP SCORE'!$A$2:$I$301,9,)</f>
        <v>290</v>
      </c>
      <c r="L291" s="22">
        <f>vlookup(A291,'Risk Score'!$A$4:$H$350,8,)</f>
        <v>4</v>
      </c>
      <c r="M291" s="21">
        <f>vlookup(A291,FLEX!$D$2:$F$305,3,)</f>
        <v>3</v>
      </c>
      <c r="N291" s="21"/>
      <c r="T291" s="5" t="s">
        <v>361</v>
      </c>
      <c r="U291" s="3">
        <v>4.0</v>
      </c>
      <c r="V291" s="19" t="str">
        <f>vlookup(T291,'Player Codes'!A:D,4,)</f>
        <v>0008</v>
      </c>
      <c r="W291" s="3"/>
      <c r="X291" s="5" t="s">
        <v>319</v>
      </c>
      <c r="Y291" s="3">
        <v>4.0</v>
      </c>
      <c r="Z291" s="1" t="s">
        <v>799</v>
      </c>
      <c r="AA291" s="5" t="s">
        <v>893</v>
      </c>
    </row>
    <row r="292">
      <c r="A292" s="19" t="str">
        <f>vlookup(D292,'Player Codes'!A:D,4,)</f>
        <v>0297</v>
      </c>
      <c r="B292" s="20">
        <f t="shared" si="1"/>
        <v>0.01</v>
      </c>
      <c r="C292" s="5">
        <v>291.0</v>
      </c>
      <c r="D292" s="5" t="s">
        <v>793</v>
      </c>
      <c r="E292" s="5" t="s">
        <v>1145</v>
      </c>
      <c r="F292" s="5" t="s">
        <v>1040</v>
      </c>
      <c r="G292" s="5">
        <v>14.0</v>
      </c>
      <c r="H292" s="5">
        <v>69.5</v>
      </c>
      <c r="I292" s="21">
        <f>vlookup(A292,'ESPN FF Rankings'!$C$2:$H$201,2,false)</f>
        <v>129</v>
      </c>
      <c r="J292" s="5">
        <f t="shared" si="2"/>
        <v>210</v>
      </c>
      <c r="K292" s="21">
        <f>vlookup(A292,'VORP SCORE'!$A$2:$I$301,9,)</f>
        <v>291</v>
      </c>
      <c r="L292" s="22">
        <f>vlookup(A292,'Risk Score'!$A$4:$H$350,8,)</f>
        <v>6</v>
      </c>
      <c r="M292" s="21">
        <f>vlookup(A292,FLEX!$D$2:$F$305,3,)</f>
        <v>2</v>
      </c>
      <c r="N292" s="21"/>
      <c r="T292" s="5" t="s">
        <v>1271</v>
      </c>
      <c r="U292" s="3">
        <v>5.0</v>
      </c>
      <c r="V292" s="23">
        <v>0.0</v>
      </c>
      <c r="W292" s="3"/>
      <c r="X292" s="5" t="s">
        <v>1516</v>
      </c>
      <c r="Y292" s="3">
        <v>5.0</v>
      </c>
      <c r="Z292" s="1" t="s">
        <v>791</v>
      </c>
      <c r="AA292" s="5" t="s">
        <v>31</v>
      </c>
    </row>
    <row r="293">
      <c r="A293" s="19" t="str">
        <f>vlookup(D293,'Player Codes'!A:D,4,)</f>
        <v>0181</v>
      </c>
      <c r="B293" s="20">
        <f t="shared" si="1"/>
        <v>0.009</v>
      </c>
      <c r="C293" s="5">
        <v>292.0</v>
      </c>
      <c r="D293" s="5" t="s">
        <v>727</v>
      </c>
      <c r="E293" s="5" t="s">
        <v>1244</v>
      </c>
      <c r="F293" s="5" t="s">
        <v>1040</v>
      </c>
      <c r="G293" s="5">
        <v>14.0</v>
      </c>
      <c r="H293" s="5">
        <v>69.1</v>
      </c>
      <c r="I293" s="21" t="str">
        <f>vlookup(A293,'ESPN FF Rankings'!$C$2:$H$201,2,false)</f>
        <v>#N/A</v>
      </c>
      <c r="J293" s="5" t="str">
        <f t="shared" si="2"/>
        <v>#N/A</v>
      </c>
      <c r="K293" s="21">
        <f>vlookup(A293,'VORP SCORE'!$A$2:$I$301,9,)</f>
        <v>292</v>
      </c>
      <c r="L293" s="24">
        <v>3.0</v>
      </c>
      <c r="M293" s="21">
        <f>vlookup(A293,FLEX!$D$2:$F$305,3,)</f>
        <v>4</v>
      </c>
      <c r="N293" s="21"/>
      <c r="T293" s="5" t="s">
        <v>182</v>
      </c>
      <c r="U293" s="3">
        <v>4.0</v>
      </c>
      <c r="V293" s="19" t="str">
        <f>vlookup(T293,'Player Codes'!A:D,4,)</f>
        <v>0011</v>
      </c>
      <c r="W293" s="3"/>
      <c r="X293" s="5" t="s">
        <v>322</v>
      </c>
      <c r="Y293" s="3">
        <v>3.0</v>
      </c>
      <c r="Z293" s="1" t="s">
        <v>725</v>
      </c>
      <c r="AA293" s="5" t="s">
        <v>490</v>
      </c>
    </row>
    <row r="294">
      <c r="A294" s="19" t="str">
        <f>vlookup(D294,'Player Codes'!A:D,4,)</f>
        <v>0060</v>
      </c>
      <c r="B294" s="20">
        <f t="shared" si="1"/>
        <v>0.008</v>
      </c>
      <c r="C294" s="5">
        <v>293.0</v>
      </c>
      <c r="D294" s="2" t="s">
        <v>668</v>
      </c>
      <c r="E294" s="5" t="s">
        <v>1147</v>
      </c>
      <c r="F294" s="5" t="s">
        <v>933</v>
      </c>
      <c r="G294" s="5">
        <v>10.0</v>
      </c>
      <c r="H294" s="5">
        <v>68.7</v>
      </c>
      <c r="I294" s="21">
        <f>vlookup(A294,'ESPN FF Rankings'!$C$2:$H$201,2,false)</f>
        <v>197</v>
      </c>
      <c r="J294" s="5">
        <f t="shared" si="2"/>
        <v>245</v>
      </c>
      <c r="K294" s="21">
        <f>vlookup(A294,'VORP SCORE'!$A$2:$I$301,9,)</f>
        <v>293</v>
      </c>
      <c r="L294" s="22">
        <f>vlookup(A294,'Risk Score'!$A$4:$H$350,8,)</f>
        <v>4</v>
      </c>
      <c r="M294" s="21">
        <f>vlookup(A294,FLEX!$D$2:$F$305,3,)</f>
        <v>4</v>
      </c>
      <c r="N294" s="21"/>
      <c r="T294" s="5" t="s">
        <v>175</v>
      </c>
      <c r="U294" s="3">
        <v>3.0</v>
      </c>
      <c r="V294" s="19" t="str">
        <f>vlookup(T294,'Player Codes'!A:D,4,)</f>
        <v>0012</v>
      </c>
      <c r="W294" s="3"/>
      <c r="X294" s="2" t="s">
        <v>732</v>
      </c>
      <c r="Y294" s="3">
        <v>3.0</v>
      </c>
      <c r="Z294" s="1" t="s">
        <v>666</v>
      </c>
      <c r="AA294" s="5" t="s">
        <v>1524</v>
      </c>
    </row>
    <row r="295">
      <c r="A295" s="19" t="str">
        <f>vlookup(D295,'Player Codes'!A:D,4,)</f>
        <v>0051</v>
      </c>
      <c r="B295" s="20">
        <f t="shared" si="1"/>
        <v>0.007</v>
      </c>
      <c r="C295" s="5">
        <v>294.0</v>
      </c>
      <c r="D295" s="5" t="s">
        <v>754</v>
      </c>
      <c r="E295" s="5" t="s">
        <v>1245</v>
      </c>
      <c r="F295" s="5" t="s">
        <v>935</v>
      </c>
      <c r="G295" s="5">
        <v>7.0</v>
      </c>
      <c r="H295" s="5">
        <v>68.2</v>
      </c>
      <c r="I295" s="21" t="str">
        <f>vlookup(A295,'ESPN FF Rankings'!$C$2:$H$201,2,false)</f>
        <v>#N/A</v>
      </c>
      <c r="J295" s="5" t="str">
        <f t="shared" si="2"/>
        <v>#N/A</v>
      </c>
      <c r="K295" s="21">
        <f>vlookup(A295,'VORP SCORE'!$A$2:$I$301,9,)</f>
        <v>294</v>
      </c>
      <c r="L295" s="24">
        <v>3.0</v>
      </c>
      <c r="M295" s="21">
        <f>vlookup(A295,FLEX!$D$2:$F$305,3,)</f>
        <v>4</v>
      </c>
      <c r="N295" s="21"/>
      <c r="T295" s="5" t="s">
        <v>376</v>
      </c>
      <c r="U295" s="3">
        <v>4.0</v>
      </c>
      <c r="V295" s="19" t="str">
        <f>vlookup(T295,'Player Codes'!A:D,4,)</f>
        <v>0022</v>
      </c>
      <c r="W295" s="3"/>
      <c r="X295" s="5" t="s">
        <v>341</v>
      </c>
      <c r="Y295" s="3">
        <v>4.0</v>
      </c>
      <c r="Z295" s="1" t="s">
        <v>752</v>
      </c>
      <c r="AA295" s="5" t="s">
        <v>615</v>
      </c>
    </row>
    <row r="296">
      <c r="A296" s="19" t="str">
        <f>vlookup(D296,'Player Codes'!A:D,4,)</f>
        <v>0121</v>
      </c>
      <c r="B296" s="20">
        <f t="shared" si="1"/>
        <v>0.006</v>
      </c>
      <c r="C296" s="5">
        <v>295.0</v>
      </c>
      <c r="D296" s="2" t="s">
        <v>673</v>
      </c>
      <c r="E296" s="5" t="s">
        <v>1148</v>
      </c>
      <c r="F296" s="5" t="s">
        <v>1007</v>
      </c>
      <c r="G296" s="5">
        <v>13.0</v>
      </c>
      <c r="H296" s="5">
        <v>67.7</v>
      </c>
      <c r="I296" s="21">
        <f>vlookup(A296,'ESPN FF Rankings'!$C$2:$H$201,2,false)</f>
        <v>182</v>
      </c>
      <c r="J296" s="5">
        <f t="shared" si="2"/>
        <v>238.5</v>
      </c>
      <c r="K296" s="21">
        <f>vlookup(A296,'VORP SCORE'!$A$2:$I$301,9,)</f>
        <v>295</v>
      </c>
      <c r="L296" s="22">
        <f>vlookup(A296,'Risk Score'!$A$4:$H$350,8,)</f>
        <v>4</v>
      </c>
      <c r="M296" s="21">
        <f>vlookup(A296,FLEX!$D$2:$F$305,3,)</f>
        <v>4</v>
      </c>
      <c r="N296" s="21"/>
      <c r="T296" s="5" t="s">
        <v>279</v>
      </c>
      <c r="U296" s="3">
        <v>3.0</v>
      </c>
      <c r="V296" s="19" t="str">
        <f>vlookup(T296,'Player Codes'!A:D,4,)</f>
        <v>0023</v>
      </c>
      <c r="W296" s="3"/>
      <c r="X296" s="5" t="s">
        <v>1442</v>
      </c>
      <c r="Y296" s="3">
        <v>5.0</v>
      </c>
      <c r="Z296" s="1" t="s">
        <v>671</v>
      </c>
      <c r="AA296" s="5" t="s">
        <v>612</v>
      </c>
    </row>
    <row r="297">
      <c r="A297" s="19" t="str">
        <f>vlookup(D297,'Player Codes'!A:D,4,)</f>
        <v>0062</v>
      </c>
      <c r="B297" s="20">
        <f t="shared" si="1"/>
        <v>0.005</v>
      </c>
      <c r="C297" s="5">
        <v>296.0</v>
      </c>
      <c r="D297" s="5" t="s">
        <v>908</v>
      </c>
      <c r="E297" s="5" t="s">
        <v>1246</v>
      </c>
      <c r="F297" s="5" t="s">
        <v>1016</v>
      </c>
      <c r="G297" s="5">
        <v>14.0</v>
      </c>
      <c r="H297" s="5">
        <v>67.4</v>
      </c>
      <c r="I297" s="21" t="str">
        <f>vlookup(A297,'ESPN FF Rankings'!$C$2:$H$201,2,false)</f>
        <v>#N/A</v>
      </c>
      <c r="J297" s="5" t="str">
        <f t="shared" si="2"/>
        <v>#N/A</v>
      </c>
      <c r="K297" s="21">
        <f>vlookup(A297,'VORP SCORE'!$A$2:$I$301,9,)</f>
        <v>296</v>
      </c>
      <c r="L297" s="24">
        <v>3.0</v>
      </c>
      <c r="M297" s="21">
        <f>vlookup(A297,FLEX!$D$2:$F$305,3,)</f>
        <v>2</v>
      </c>
      <c r="N297" s="21"/>
      <c r="T297" s="5" t="s">
        <v>1268</v>
      </c>
      <c r="U297" s="3">
        <v>3.0</v>
      </c>
      <c r="V297" s="23">
        <v>0.0</v>
      </c>
      <c r="W297" s="3"/>
      <c r="X297" s="5" t="s">
        <v>26</v>
      </c>
      <c r="Y297" s="3">
        <v>5.0</v>
      </c>
      <c r="Z297" s="1" t="s">
        <v>906</v>
      </c>
      <c r="AA297" s="5" t="s">
        <v>368</v>
      </c>
    </row>
    <row r="298">
      <c r="A298" s="19" t="str">
        <f>vlookup(D298,'Player Codes'!A:D,4,)</f>
        <v>0097</v>
      </c>
      <c r="B298" s="20">
        <f t="shared" si="1"/>
        <v>0.004</v>
      </c>
      <c r="C298" s="5">
        <v>297.0</v>
      </c>
      <c r="D298" s="5" t="s">
        <v>764</v>
      </c>
      <c r="E298" s="5" t="s">
        <v>1247</v>
      </c>
      <c r="F298" s="5" t="s">
        <v>950</v>
      </c>
      <c r="G298" s="5">
        <v>13.0</v>
      </c>
      <c r="H298" s="5">
        <v>66.2</v>
      </c>
      <c r="I298" s="21" t="str">
        <f>vlookup(A298,'ESPN FF Rankings'!$C$2:$H$201,2,false)</f>
        <v>#N/A</v>
      </c>
      <c r="J298" s="5" t="str">
        <f t="shared" si="2"/>
        <v>#N/A</v>
      </c>
      <c r="K298" s="21">
        <f>vlookup(A298,'VORP SCORE'!$A$2:$I$301,9,)</f>
        <v>297</v>
      </c>
      <c r="L298" s="24">
        <v>3.0</v>
      </c>
      <c r="M298" s="21">
        <f>vlookup(A298,FLEX!$D$2:$F$305,3,)</f>
        <v>4</v>
      </c>
      <c r="N298" s="21"/>
      <c r="T298" s="5" t="s">
        <v>1270</v>
      </c>
      <c r="U298" s="3">
        <v>5.0</v>
      </c>
      <c r="V298" s="23">
        <v>0.0</v>
      </c>
      <c r="W298" s="3"/>
      <c r="X298" s="5" t="s">
        <v>443</v>
      </c>
      <c r="Y298" s="3">
        <v>4.0</v>
      </c>
      <c r="Z298" s="1" t="s">
        <v>761</v>
      </c>
      <c r="AA298" s="5" t="s">
        <v>793</v>
      </c>
    </row>
    <row r="299">
      <c r="A299" s="19" t="str">
        <f>vlookup(D299,'Player Codes'!A:D,4,)</f>
        <v>0064</v>
      </c>
      <c r="B299" s="20">
        <f t="shared" si="1"/>
        <v>0.003</v>
      </c>
      <c r="C299" s="5">
        <v>298.0</v>
      </c>
      <c r="D299" s="5" t="s">
        <v>567</v>
      </c>
      <c r="E299" s="5" t="s">
        <v>1149</v>
      </c>
      <c r="F299" s="5" t="s">
        <v>974</v>
      </c>
      <c r="G299" s="5">
        <v>11.0</v>
      </c>
      <c r="H299" s="5">
        <v>65.1</v>
      </c>
      <c r="I299" s="21">
        <f>vlookup(A299,'ESPN FF Rankings'!$C$2:$H$201,2,false)</f>
        <v>178</v>
      </c>
      <c r="J299" s="5">
        <f t="shared" si="2"/>
        <v>238</v>
      </c>
      <c r="K299" s="21">
        <f>vlookup(A299,'VORP SCORE'!$A$2:$I$301,9,)</f>
        <v>298</v>
      </c>
      <c r="L299" s="22">
        <f>vlookup(A299,'Risk Score'!$A$4:$H$350,8,)</f>
        <v>6</v>
      </c>
      <c r="M299" s="21">
        <f>vlookup(A299,FLEX!$D$2:$F$305,3,)</f>
        <v>4</v>
      </c>
      <c r="N299" s="21"/>
      <c r="T299" s="2" t="s">
        <v>1273</v>
      </c>
      <c r="U299" s="3">
        <v>3.0</v>
      </c>
      <c r="V299" s="23">
        <v>0.0</v>
      </c>
      <c r="W299" s="3"/>
      <c r="X299" s="5" t="s">
        <v>89</v>
      </c>
      <c r="Y299" s="3">
        <v>4.0</v>
      </c>
      <c r="Z299" s="1" t="s">
        <v>565</v>
      </c>
      <c r="AA299" s="5" t="s">
        <v>790</v>
      </c>
    </row>
    <row r="300">
      <c r="A300" s="19" t="str">
        <f>vlookup(D300,'Player Codes'!A:D,4,)</f>
        <v>0044</v>
      </c>
      <c r="B300" s="20">
        <f t="shared" si="1"/>
        <v>0.002</v>
      </c>
      <c r="C300" s="5">
        <v>299.0</v>
      </c>
      <c r="D300" s="5" t="s">
        <v>771</v>
      </c>
      <c r="E300" s="5" t="s">
        <v>1248</v>
      </c>
      <c r="F300" s="5" t="s">
        <v>935</v>
      </c>
      <c r="G300" s="5">
        <v>7.0</v>
      </c>
      <c r="H300" s="5">
        <v>65.0</v>
      </c>
      <c r="I300" s="21" t="str">
        <f>vlookup(A300,'ESPN FF Rankings'!$C$2:$H$201,2,false)</f>
        <v>#N/A</v>
      </c>
      <c r="J300" s="5" t="str">
        <f t="shared" si="2"/>
        <v>#N/A</v>
      </c>
      <c r="K300" s="21">
        <f>vlookup(A300,'VORP SCORE'!$A$2:$I$301,9,)</f>
        <v>299</v>
      </c>
      <c r="L300" s="24">
        <v>3.0</v>
      </c>
      <c r="M300" s="21">
        <f>vlookup(A300,FLEX!$D$2:$F$305,3,)</f>
        <v>4</v>
      </c>
      <c r="N300" s="21"/>
      <c r="T300" s="5" t="s">
        <v>1275</v>
      </c>
      <c r="U300" s="3">
        <v>2.0</v>
      </c>
      <c r="V300" s="23">
        <v>0.0</v>
      </c>
      <c r="W300" s="3"/>
      <c r="X300" s="5" t="s">
        <v>1444</v>
      </c>
      <c r="Y300" s="3">
        <v>4.0</v>
      </c>
      <c r="Z300" s="1" t="s">
        <v>769</v>
      </c>
      <c r="AA300" s="5" t="s">
        <v>526</v>
      </c>
    </row>
    <row r="301">
      <c r="A301" s="19" t="str">
        <f>vlookup(D301,'Player Codes'!A:D,4,)</f>
        <v>0247</v>
      </c>
      <c r="B301" s="20">
        <f t="shared" si="1"/>
        <v>0.001</v>
      </c>
      <c r="C301" s="5">
        <v>300.0</v>
      </c>
      <c r="D301" s="5" t="s">
        <v>775</v>
      </c>
      <c r="E301" s="5" t="s">
        <v>1249</v>
      </c>
      <c r="F301" s="5" t="s">
        <v>952</v>
      </c>
      <c r="G301" s="5">
        <v>7.0</v>
      </c>
      <c r="H301" s="5">
        <v>64.9</v>
      </c>
      <c r="I301" s="21" t="str">
        <f>vlookup(A301,'ESPN FF Rankings'!$C$2:$H$201,2,false)</f>
        <v>#N/A</v>
      </c>
      <c r="J301" s="5" t="str">
        <f t="shared" si="2"/>
        <v>#N/A</v>
      </c>
      <c r="K301" s="21">
        <f>vlookup(A301,'VORP SCORE'!$A$2:$I$301,9,)</f>
        <v>300</v>
      </c>
      <c r="L301" s="24">
        <v>3.0</v>
      </c>
      <c r="M301" s="21">
        <f>vlookup(A301,FLEX!$D$2:$F$305,3,)</f>
        <v>4</v>
      </c>
      <c r="N301" s="21"/>
      <c r="T301" s="5" t="s">
        <v>152</v>
      </c>
      <c r="U301" s="3">
        <v>4.0</v>
      </c>
      <c r="V301" s="19" t="str">
        <f>vlookup(T301,'Player Codes'!A:D,4,)</f>
        <v>0037</v>
      </c>
      <c r="W301" s="3"/>
      <c r="X301" s="2" t="s">
        <v>349</v>
      </c>
      <c r="Y301" s="3">
        <v>4.0</v>
      </c>
      <c r="Z301" s="1" t="s">
        <v>772</v>
      </c>
      <c r="AA301" s="5" t="s">
        <v>454</v>
      </c>
    </row>
    <row r="302">
      <c r="L302" s="26"/>
      <c r="T302" s="5" t="s">
        <v>888</v>
      </c>
      <c r="U302" s="3">
        <v>2.0</v>
      </c>
      <c r="V302" s="19" t="str">
        <f>vlookup(T302,'Player Codes'!A:D,4,)</f>
        <v>0041</v>
      </c>
      <c r="W302" s="3"/>
      <c r="X302" s="5" t="s">
        <v>451</v>
      </c>
      <c r="Y302" s="3">
        <v>2.0</v>
      </c>
      <c r="Z302" s="3"/>
      <c r="AA302" s="3"/>
    </row>
    <row r="303">
      <c r="L303" s="26"/>
      <c r="T303" s="5" t="s">
        <v>1280</v>
      </c>
      <c r="U303" s="3">
        <v>3.0</v>
      </c>
      <c r="V303" s="23">
        <v>0.0</v>
      </c>
      <c r="W303" s="3"/>
      <c r="X303" s="5" t="s">
        <v>1517</v>
      </c>
      <c r="Y303" s="3">
        <v>3.0</v>
      </c>
      <c r="Z303" s="3"/>
      <c r="AA303" s="3"/>
    </row>
    <row r="304">
      <c r="L304" s="26"/>
      <c r="T304" s="5" t="s">
        <v>106</v>
      </c>
      <c r="U304" s="3">
        <v>4.0</v>
      </c>
      <c r="V304" s="19" t="str">
        <f>vlookup(T304,'Player Codes'!A:D,4,)</f>
        <v>0042</v>
      </c>
      <c r="W304" s="3"/>
      <c r="X304" s="2" t="s">
        <v>742</v>
      </c>
      <c r="Y304" s="3">
        <v>6.0</v>
      </c>
      <c r="Z304" s="3"/>
      <c r="AA304" s="3"/>
    </row>
    <row r="305">
      <c r="L305" s="26"/>
      <c r="T305" s="5" t="s">
        <v>828</v>
      </c>
      <c r="U305" s="3">
        <v>3.0</v>
      </c>
      <c r="V305" s="19" t="str">
        <f>vlookup(T305,'Player Codes'!A:D,4,)</f>
        <v>0045</v>
      </c>
      <c r="W305" s="3"/>
      <c r="X305" s="5" t="s">
        <v>1518</v>
      </c>
      <c r="Y305" s="3">
        <v>4.0</v>
      </c>
      <c r="Z305" s="3"/>
      <c r="AA305" s="3"/>
    </row>
    <row r="306">
      <c r="L306" s="26"/>
      <c r="T306" s="5" t="s">
        <v>801</v>
      </c>
      <c r="U306" s="3">
        <v>4.0</v>
      </c>
      <c r="V306" s="19" t="str">
        <f>vlookup(T306,'Player Codes'!A:D,4,)</f>
        <v>0049</v>
      </c>
      <c r="W306" s="3"/>
      <c r="X306" s="5" t="s">
        <v>131</v>
      </c>
      <c r="Y306" s="3">
        <v>4.0</v>
      </c>
      <c r="Z306" s="3"/>
      <c r="AA306" s="3"/>
    </row>
    <row r="307">
      <c r="L307" s="26"/>
      <c r="T307" s="5" t="s">
        <v>1288</v>
      </c>
      <c r="U307" s="3">
        <v>3.0</v>
      </c>
      <c r="V307" s="23">
        <v>0.0</v>
      </c>
      <c r="W307" s="3"/>
      <c r="X307" s="5" t="s">
        <v>1446</v>
      </c>
      <c r="Y307" s="3">
        <v>4.0</v>
      </c>
      <c r="Z307" s="3"/>
      <c r="AA307" s="3"/>
    </row>
    <row r="308">
      <c r="L308" s="26"/>
      <c r="T308" s="5" t="s">
        <v>166</v>
      </c>
      <c r="U308" s="3">
        <v>5.0</v>
      </c>
      <c r="V308" s="19" t="str">
        <f>vlookup(T308,'Player Codes'!A:D,4,)</f>
        <v>0052</v>
      </c>
      <c r="W308" s="3"/>
      <c r="X308" s="5" t="s">
        <v>124</v>
      </c>
      <c r="Y308" s="3">
        <v>5.0</v>
      </c>
      <c r="Z308" s="3"/>
      <c r="AA308" s="3"/>
    </row>
    <row r="309">
      <c r="L309" s="26"/>
      <c r="T309" s="5" t="s">
        <v>121</v>
      </c>
      <c r="U309" s="3">
        <v>4.0</v>
      </c>
      <c r="V309" s="19" t="str">
        <f>vlookup(T309,'Player Codes'!A:D,4,)</f>
        <v>0053</v>
      </c>
      <c r="W309" s="3"/>
      <c r="X309" s="5" t="s">
        <v>1449</v>
      </c>
      <c r="Y309" s="3">
        <v>3.0</v>
      </c>
      <c r="Z309" s="3"/>
      <c r="AA309" s="3"/>
    </row>
    <row r="310">
      <c r="L310" s="26"/>
      <c r="T310" s="5" t="s">
        <v>243</v>
      </c>
      <c r="U310" s="3">
        <v>4.0</v>
      </c>
      <c r="V310" s="19" t="str">
        <f>vlookup(T310,'Player Codes'!A:D,4,)</f>
        <v>0054</v>
      </c>
      <c r="W310" s="3"/>
      <c r="X310" s="5" t="s">
        <v>35</v>
      </c>
      <c r="Y310" s="3">
        <v>4.0</v>
      </c>
      <c r="Z310" s="3"/>
      <c r="AA310" s="3"/>
    </row>
    <row r="311">
      <c r="L311" s="26"/>
      <c r="T311" s="5" t="s">
        <v>169</v>
      </c>
      <c r="U311" s="3">
        <v>4.0</v>
      </c>
      <c r="V311" s="19" t="str">
        <f>vlookup(T311,'Player Codes'!A:D,4,)</f>
        <v>0056</v>
      </c>
      <c r="W311" s="3"/>
      <c r="X311" s="5" t="s">
        <v>1494</v>
      </c>
      <c r="Y311" s="3">
        <v>3.0</v>
      </c>
      <c r="Z311" s="3"/>
      <c r="AA311" s="3"/>
    </row>
    <row r="312">
      <c r="L312" s="26"/>
      <c r="T312" s="5" t="s">
        <v>1297</v>
      </c>
      <c r="U312" s="3">
        <v>4.0</v>
      </c>
      <c r="V312" s="23">
        <v>0.0</v>
      </c>
      <c r="W312" s="3"/>
      <c r="X312" s="2" t="s">
        <v>192</v>
      </c>
      <c r="Y312" s="3">
        <v>4.0</v>
      </c>
      <c r="Z312" s="3"/>
      <c r="AA312" s="3"/>
    </row>
    <row r="313">
      <c r="L313" s="26"/>
      <c r="T313" s="5" t="s">
        <v>71</v>
      </c>
      <c r="U313" s="3">
        <v>4.0</v>
      </c>
      <c r="V313" s="19" t="str">
        <f>vlookup(T313,'Player Codes'!A:D,4,)</f>
        <v>0063</v>
      </c>
      <c r="W313" s="3"/>
      <c r="X313" s="5" t="s">
        <v>1496</v>
      </c>
      <c r="Y313" s="3">
        <v>2.0</v>
      </c>
      <c r="Z313" s="3"/>
      <c r="AA313" s="3"/>
    </row>
    <row r="314">
      <c r="L314" s="26"/>
      <c r="T314" s="5" t="s">
        <v>355</v>
      </c>
      <c r="U314" s="3">
        <v>4.0</v>
      </c>
      <c r="V314" s="19" t="str">
        <f>vlookup(T314,'Player Codes'!A:D,4,)</f>
        <v>0065</v>
      </c>
      <c r="W314" s="3"/>
      <c r="X314" s="5" t="s">
        <v>1451</v>
      </c>
      <c r="Y314" s="3">
        <v>4.0</v>
      </c>
      <c r="Z314" s="3"/>
      <c r="AA314" s="3"/>
    </row>
    <row r="315">
      <c r="L315" s="26"/>
      <c r="T315" s="5" t="s">
        <v>482</v>
      </c>
      <c r="U315" s="3">
        <v>5.0</v>
      </c>
      <c r="V315" s="19" t="str">
        <f>vlookup(T315,'Player Codes'!A:D,4,)</f>
        <v>0066</v>
      </c>
      <c r="W315" s="3"/>
      <c r="X315" s="5" t="s">
        <v>303</v>
      </c>
      <c r="Y315" s="3">
        <v>2.0</v>
      </c>
      <c r="Z315" s="3"/>
      <c r="AA315" s="3"/>
    </row>
    <row r="316">
      <c r="L316" s="26"/>
      <c r="T316" s="5" t="s">
        <v>1303</v>
      </c>
      <c r="U316" s="3">
        <v>5.0</v>
      </c>
      <c r="V316" s="23">
        <v>0.0</v>
      </c>
      <c r="W316" s="3"/>
      <c r="X316" s="5" t="s">
        <v>1519</v>
      </c>
      <c r="Y316" s="3">
        <v>3.0</v>
      </c>
      <c r="Z316" s="3"/>
      <c r="AA316" s="3"/>
    </row>
    <row r="317">
      <c r="L317" s="26"/>
      <c r="T317" s="5" t="s">
        <v>188</v>
      </c>
      <c r="U317" s="3">
        <v>4.0</v>
      </c>
      <c r="V317" s="19" t="str">
        <f>vlookup(T317,'Player Codes'!A:D,4,)</f>
        <v>0100</v>
      </c>
      <c r="W317" s="3"/>
      <c r="X317" s="2" t="s">
        <v>905</v>
      </c>
      <c r="Y317" s="3">
        <v>3.0</v>
      </c>
      <c r="Z317" s="3"/>
      <c r="AA317" s="3"/>
    </row>
    <row r="318">
      <c r="L318" s="26"/>
      <c r="T318" s="5" t="s">
        <v>209</v>
      </c>
      <c r="U318" s="3">
        <v>3.0</v>
      </c>
      <c r="V318" s="19" t="str">
        <f>vlookup(T318,'Player Codes'!A:D,4,)</f>
        <v>0101</v>
      </c>
      <c r="W318" s="3"/>
      <c r="X318" s="5" t="s">
        <v>1498</v>
      </c>
      <c r="Y318" s="3">
        <v>3.0</v>
      </c>
      <c r="Z318" s="3"/>
      <c r="AA318" s="3"/>
    </row>
    <row r="319">
      <c r="L319" s="26"/>
      <c r="T319" s="5" t="s">
        <v>1309</v>
      </c>
      <c r="U319" s="3">
        <v>5.0</v>
      </c>
      <c r="V319" s="23">
        <v>0.0</v>
      </c>
      <c r="W319" s="3"/>
      <c r="X319" s="5" t="s">
        <v>337</v>
      </c>
      <c r="Y319" s="3">
        <v>3.0</v>
      </c>
      <c r="Z319" s="3"/>
      <c r="AA319" s="3"/>
    </row>
    <row r="320">
      <c r="L320" s="26"/>
      <c r="T320" s="5" t="s">
        <v>1311</v>
      </c>
      <c r="U320" s="3">
        <v>4.0</v>
      </c>
      <c r="V320" s="23">
        <v>0.0</v>
      </c>
      <c r="W320" s="3"/>
      <c r="X320" s="5" t="s">
        <v>231</v>
      </c>
      <c r="Y320" s="3">
        <v>4.0</v>
      </c>
      <c r="Z320" s="3"/>
      <c r="AA320" s="3"/>
    </row>
    <row r="321">
      <c r="L321" s="26"/>
      <c r="T321" s="5" t="s">
        <v>1313</v>
      </c>
      <c r="U321" s="3">
        <v>3.0</v>
      </c>
      <c r="V321" s="23">
        <v>0.0</v>
      </c>
      <c r="W321" s="3"/>
      <c r="X321" s="2" t="s">
        <v>1525</v>
      </c>
      <c r="Y321" s="3">
        <v>2.0</v>
      </c>
      <c r="Z321" s="3"/>
      <c r="AA321" s="3"/>
    </row>
    <row r="322">
      <c r="L322" s="26"/>
      <c r="T322" s="5" t="s">
        <v>702</v>
      </c>
      <c r="U322" s="3">
        <v>5.0</v>
      </c>
      <c r="V322" s="19" t="str">
        <f>vlookup(T322,'Player Codes'!A:D,4,)</f>
        <v>0078</v>
      </c>
      <c r="W322" s="3"/>
      <c r="X322" s="5" t="s">
        <v>852</v>
      </c>
      <c r="Y322" s="3">
        <v>2.0</v>
      </c>
      <c r="Z322" s="3"/>
      <c r="AA322" s="3"/>
    </row>
    <row r="323">
      <c r="L323" s="26"/>
      <c r="T323" s="5" t="s">
        <v>571</v>
      </c>
      <c r="U323" s="3">
        <v>4.0</v>
      </c>
      <c r="V323" s="19" t="str">
        <f>vlookup(T323,'Player Codes'!A:D,4,)</f>
        <v>0079</v>
      </c>
      <c r="W323" s="3"/>
      <c r="X323" s="5" t="s">
        <v>696</v>
      </c>
      <c r="Y323" s="3">
        <v>2.0</v>
      </c>
      <c r="Z323" s="3"/>
      <c r="AA323" s="3"/>
    </row>
    <row r="324">
      <c r="L324" s="26"/>
      <c r="T324" s="5" t="s">
        <v>86</v>
      </c>
      <c r="U324" s="3">
        <v>5.0</v>
      </c>
      <c r="V324" s="19" t="str">
        <f>vlookup(T324,'Player Codes'!A:D,4,)</f>
        <v>0081</v>
      </c>
      <c r="W324" s="3"/>
      <c r="X324" s="5" t="s">
        <v>1501</v>
      </c>
      <c r="Y324" s="3">
        <v>5.0</v>
      </c>
      <c r="Z324" s="3"/>
      <c r="AA324" s="3"/>
    </row>
    <row r="325">
      <c r="L325" s="26"/>
      <c r="T325" s="5" t="s">
        <v>102</v>
      </c>
      <c r="U325" s="3">
        <v>6.0</v>
      </c>
      <c r="V325" s="19" t="str">
        <f>vlookup(T325,'Player Codes'!A:D,4,)</f>
        <v>0085</v>
      </c>
      <c r="W325" s="3"/>
      <c r="X325" s="5" t="s">
        <v>585</v>
      </c>
      <c r="Y325" s="3">
        <v>2.0</v>
      </c>
      <c r="Z325" s="3"/>
      <c r="AA325" s="3"/>
    </row>
    <row r="326">
      <c r="L326" s="26"/>
      <c r="T326" s="5" t="s">
        <v>117</v>
      </c>
      <c r="U326" s="3">
        <v>5.0</v>
      </c>
      <c r="V326" s="19" t="str">
        <f>vlookup(T326,'Player Codes'!A:D,4,)</f>
        <v>0086</v>
      </c>
      <c r="W326" s="3"/>
      <c r="X326" s="5" t="s">
        <v>1454</v>
      </c>
      <c r="Y326" s="3">
        <v>2.0</v>
      </c>
      <c r="Z326" s="3"/>
      <c r="AA326" s="3"/>
    </row>
    <row r="327">
      <c r="L327" s="26"/>
      <c r="T327" s="5" t="s">
        <v>1322</v>
      </c>
      <c r="U327" s="3">
        <v>2.0</v>
      </c>
      <c r="V327" s="23">
        <v>0.0</v>
      </c>
      <c r="W327" s="3"/>
      <c r="X327" s="5" t="s">
        <v>461</v>
      </c>
      <c r="Y327" s="3">
        <v>3.0</v>
      </c>
      <c r="Z327" s="3"/>
      <c r="AA327" s="3"/>
    </row>
    <row r="328">
      <c r="L328" s="26"/>
      <c r="T328" s="5" t="s">
        <v>1325</v>
      </c>
      <c r="U328" s="3">
        <v>3.0</v>
      </c>
      <c r="V328" s="23">
        <v>0.0</v>
      </c>
      <c r="W328" s="3"/>
      <c r="X328" s="5" t="s">
        <v>486</v>
      </c>
      <c r="Y328" s="3">
        <v>4.0</v>
      </c>
      <c r="Z328" s="3"/>
      <c r="AA328" s="3"/>
    </row>
    <row r="329">
      <c r="L329" s="26"/>
      <c r="T329" s="5" t="s">
        <v>494</v>
      </c>
      <c r="U329" s="3">
        <v>5.0</v>
      </c>
      <c r="V329" s="19" t="str">
        <f>vlookup(T329,'Player Codes'!A:D,4,)</f>
        <v>0093</v>
      </c>
      <c r="W329" s="3"/>
      <c r="X329" s="2" t="s">
        <v>803</v>
      </c>
      <c r="Y329" s="3">
        <v>3.0</v>
      </c>
      <c r="Z329" s="3"/>
      <c r="AA329" s="3"/>
    </row>
    <row r="330">
      <c r="L330" s="26"/>
      <c r="T330" s="5" t="s">
        <v>1329</v>
      </c>
      <c r="U330" s="3">
        <v>2.0</v>
      </c>
      <c r="V330" s="23">
        <v>0.0</v>
      </c>
      <c r="W330" s="3"/>
      <c r="X330" s="2" t="s">
        <v>590</v>
      </c>
      <c r="Y330" s="3">
        <v>5.0</v>
      </c>
      <c r="Z330" s="3"/>
      <c r="AA330" s="3"/>
    </row>
    <row r="331">
      <c r="L331" s="26"/>
      <c r="T331" s="5" t="s">
        <v>146</v>
      </c>
      <c r="U331" s="3">
        <v>4.0</v>
      </c>
      <c r="V331" s="19" t="str">
        <f>vlookup(T331,'Player Codes'!A:D,4,)</f>
        <v>0096</v>
      </c>
      <c r="W331" s="3"/>
      <c r="X331" s="5" t="s">
        <v>179</v>
      </c>
      <c r="Y331" s="3">
        <v>5.0</v>
      </c>
      <c r="Z331" s="3"/>
      <c r="AA331" s="3"/>
    </row>
    <row r="332">
      <c r="L332" s="26"/>
      <c r="T332" s="5" t="s">
        <v>257</v>
      </c>
      <c r="U332" s="3">
        <v>4.0</v>
      </c>
      <c r="V332" s="19" t="str">
        <f>vlookup(T332,'Player Codes'!A:D,4,)</f>
        <v>0098</v>
      </c>
      <c r="W332" s="3"/>
      <c r="X332" s="5" t="s">
        <v>893</v>
      </c>
      <c r="Y332" s="3">
        <v>2.0</v>
      </c>
      <c r="Z332" s="3"/>
      <c r="AA332" s="3"/>
    </row>
    <row r="333">
      <c r="L333" s="26"/>
      <c r="T333" s="5" t="s">
        <v>649</v>
      </c>
      <c r="U333" s="3">
        <v>3.0</v>
      </c>
      <c r="V333" s="19" t="str">
        <f>vlookup(T333,'Player Codes'!A:D,4,)</f>
        <v>0102</v>
      </c>
      <c r="W333" s="3"/>
      <c r="X333" s="5" t="s">
        <v>31</v>
      </c>
      <c r="Y333" s="3">
        <v>5.0</v>
      </c>
      <c r="Z333" s="3"/>
      <c r="AA333" s="3"/>
    </row>
    <row r="334">
      <c r="L334" s="26"/>
      <c r="T334" s="5" t="s">
        <v>262</v>
      </c>
      <c r="U334" s="3">
        <v>3.0</v>
      </c>
      <c r="V334" s="19" t="str">
        <f>vlookup(T334,'Player Codes'!A:D,4,)</f>
        <v>0103</v>
      </c>
      <c r="W334" s="3"/>
      <c r="X334" s="5" t="s">
        <v>1504</v>
      </c>
      <c r="Y334" s="3">
        <v>2.0</v>
      </c>
      <c r="Z334" s="3"/>
      <c r="AA334" s="3"/>
    </row>
    <row r="335">
      <c r="L335" s="26"/>
      <c r="T335" s="5" t="s">
        <v>1337</v>
      </c>
      <c r="U335" s="3">
        <v>3.0</v>
      </c>
      <c r="V335" s="23">
        <v>0.0</v>
      </c>
      <c r="W335" s="3"/>
      <c r="X335" s="5" t="s">
        <v>1521</v>
      </c>
      <c r="Y335" s="3">
        <v>6.0</v>
      </c>
      <c r="Z335" s="3"/>
      <c r="AA335" s="3"/>
    </row>
    <row r="336">
      <c r="L336" s="26"/>
      <c r="T336" s="5" t="s">
        <v>313</v>
      </c>
      <c r="U336" s="3">
        <v>4.0</v>
      </c>
      <c r="V336" s="19" t="str">
        <f>vlookup(T336,'Player Codes'!A:D,4,)</f>
        <v>0106</v>
      </c>
      <c r="W336" s="3"/>
      <c r="X336" s="5" t="s">
        <v>490</v>
      </c>
      <c r="Y336" s="3">
        <v>4.0</v>
      </c>
      <c r="Z336" s="3"/>
      <c r="AA336" s="3"/>
    </row>
    <row r="337">
      <c r="L337" s="26"/>
      <c r="T337" s="5" t="s">
        <v>1340</v>
      </c>
      <c r="U337" s="3">
        <v>4.0</v>
      </c>
      <c r="V337" s="23">
        <v>0.0</v>
      </c>
      <c r="W337" s="3"/>
      <c r="X337" s="5" t="s">
        <v>1458</v>
      </c>
      <c r="Y337" s="3">
        <v>4.0</v>
      </c>
      <c r="Z337" s="3"/>
      <c r="AA337" s="3"/>
    </row>
    <row r="338">
      <c r="L338" s="26"/>
      <c r="T338" s="5" t="s">
        <v>1342</v>
      </c>
      <c r="U338" s="3">
        <v>3.0</v>
      </c>
      <c r="V338" s="23">
        <v>0.0</v>
      </c>
      <c r="W338" s="3"/>
      <c r="X338" s="5" t="s">
        <v>1460</v>
      </c>
      <c r="Y338" s="3">
        <v>3.0</v>
      </c>
      <c r="Z338" s="3"/>
      <c r="AA338" s="3"/>
    </row>
    <row r="339">
      <c r="L339" s="26"/>
      <c r="T339" s="5" t="s">
        <v>149</v>
      </c>
      <c r="U339" s="3">
        <v>3.0</v>
      </c>
      <c r="V339" s="19" t="str">
        <f>vlookup(T339,'Player Codes'!A:D,4,)</f>
        <v>0111</v>
      </c>
      <c r="W339" s="3"/>
      <c r="X339" s="2" t="s">
        <v>1526</v>
      </c>
      <c r="Y339" s="3">
        <v>4.0</v>
      </c>
      <c r="Z339" s="3"/>
      <c r="AA339" s="3"/>
    </row>
    <row r="340">
      <c r="L340" s="26"/>
      <c r="T340" s="5" t="s">
        <v>292</v>
      </c>
      <c r="U340" s="3">
        <v>3.0</v>
      </c>
      <c r="V340" s="19" t="str">
        <f>vlookup(T340,'Player Codes'!A:D,4,)</f>
        <v>0114</v>
      </c>
      <c r="W340" s="3"/>
      <c r="X340" s="5" t="s">
        <v>1522</v>
      </c>
      <c r="Y340" s="3">
        <v>3.0</v>
      </c>
      <c r="Z340" s="3"/>
      <c r="AA340" s="3"/>
    </row>
    <row r="341">
      <c r="L341" s="26"/>
      <c r="T341" s="5" t="s">
        <v>1346</v>
      </c>
      <c r="U341" s="3">
        <v>3.0</v>
      </c>
      <c r="V341" s="23">
        <v>0.0</v>
      </c>
      <c r="W341" s="3"/>
      <c r="X341" s="5" t="s">
        <v>368</v>
      </c>
      <c r="Y341" s="3">
        <v>3.0</v>
      </c>
      <c r="Z341" s="3"/>
      <c r="AA341" s="3"/>
    </row>
    <row r="342">
      <c r="L342" s="26"/>
      <c r="T342" s="5" t="s">
        <v>745</v>
      </c>
      <c r="U342" s="3">
        <v>4.0</v>
      </c>
      <c r="V342" s="19" t="str">
        <f>vlookup(T342,'Player Codes'!A:D,4,)</f>
        <v>0126</v>
      </c>
      <c r="W342" s="3"/>
      <c r="X342" s="2" t="s">
        <v>793</v>
      </c>
      <c r="Y342" s="3">
        <v>6.0</v>
      </c>
      <c r="Z342" s="3"/>
      <c r="AA342" s="3"/>
    </row>
    <row r="343">
      <c r="L343" s="26"/>
      <c r="T343" s="5" t="s">
        <v>860</v>
      </c>
      <c r="U343" s="3">
        <v>2.0</v>
      </c>
      <c r="V343" s="19" t="str">
        <f>vlookup(T343,'Player Codes'!A:D,4,)</f>
        <v>0129</v>
      </c>
      <c r="W343" s="3"/>
      <c r="X343" s="5" t="s">
        <v>1523</v>
      </c>
      <c r="Y343" s="3">
        <v>3.0</v>
      </c>
      <c r="Z343" s="3"/>
      <c r="AA343" s="3"/>
    </row>
    <row r="344">
      <c r="L344" s="26"/>
      <c r="T344" s="5" t="s">
        <v>1350</v>
      </c>
      <c r="U344" s="3">
        <v>4.0</v>
      </c>
      <c r="V344" s="23">
        <v>0.0</v>
      </c>
      <c r="W344" s="3"/>
      <c r="X344" s="5" t="s">
        <v>1505</v>
      </c>
      <c r="Y344" s="3">
        <v>3.0</v>
      </c>
      <c r="Z344" s="3"/>
      <c r="AA344" s="3"/>
    </row>
    <row r="345">
      <c r="L345" s="26"/>
      <c r="T345" s="5" t="s">
        <v>67</v>
      </c>
      <c r="U345" s="3">
        <v>4.0</v>
      </c>
      <c r="V345" s="19" t="str">
        <f>vlookup(T345,'Player Codes'!A:D,4,)</f>
        <v>0132</v>
      </c>
      <c r="W345" s="3"/>
      <c r="X345" s="5" t="s">
        <v>790</v>
      </c>
      <c r="Y345" s="3">
        <v>2.0</v>
      </c>
      <c r="Z345" s="3"/>
      <c r="AA345" s="3"/>
    </row>
    <row r="346">
      <c r="L346" s="26"/>
      <c r="T346" s="5" t="s">
        <v>389</v>
      </c>
      <c r="U346" s="3">
        <v>3.0</v>
      </c>
      <c r="V346" s="19" t="str">
        <f>vlookup(T346,'Player Codes'!A:D,4,)</f>
        <v>0134</v>
      </c>
      <c r="W346" s="3"/>
      <c r="X346" s="5" t="s">
        <v>526</v>
      </c>
      <c r="Y346" s="3">
        <v>2.0</v>
      </c>
      <c r="Z346" s="3"/>
      <c r="AA346" s="3"/>
    </row>
    <row r="347">
      <c r="L347" s="26"/>
      <c r="T347" s="5" t="s">
        <v>415</v>
      </c>
      <c r="U347" s="3">
        <v>4.0</v>
      </c>
      <c r="V347" s="19" t="str">
        <f>vlookup(T347,'Player Codes'!A:D,4,)</f>
        <v>0139</v>
      </c>
      <c r="W347" s="3"/>
      <c r="X347" s="5" t="s">
        <v>454</v>
      </c>
      <c r="Y347" s="3">
        <v>4.0</v>
      </c>
      <c r="Z347" s="3"/>
      <c r="AA347" s="3"/>
    </row>
    <row r="348">
      <c r="L348" s="26"/>
      <c r="T348" s="5" t="s">
        <v>1358</v>
      </c>
      <c r="U348" s="3">
        <v>2.0</v>
      </c>
      <c r="V348" s="23">
        <v>0.0</v>
      </c>
      <c r="W348" s="3"/>
      <c r="X348" s="5" t="s">
        <v>1508</v>
      </c>
      <c r="Y348" s="3">
        <v>2.0</v>
      </c>
      <c r="Z348" s="3"/>
      <c r="AA348" s="3"/>
    </row>
    <row r="349">
      <c r="L349" s="26"/>
      <c r="T349" s="5" t="s">
        <v>779</v>
      </c>
      <c r="U349" s="3">
        <v>2.0</v>
      </c>
      <c r="V349" s="19" t="str">
        <f>vlookup(T349,'Player Codes'!A:D,4,)</f>
        <v>0141</v>
      </c>
      <c r="W349" s="3"/>
      <c r="X349" s="3"/>
      <c r="Y349" s="3"/>
      <c r="Z349" s="3"/>
      <c r="AA349" s="3"/>
    </row>
    <row r="350">
      <c r="L350" s="26"/>
      <c r="T350" s="5" t="s">
        <v>545</v>
      </c>
      <c r="U350" s="3">
        <v>3.0</v>
      </c>
      <c r="V350" s="19" t="str">
        <f>vlookup(T350,'Player Codes'!A:D,4,)</f>
        <v>0145</v>
      </c>
      <c r="W350" s="3"/>
      <c r="X350" s="3"/>
      <c r="Y350" s="3"/>
      <c r="Z350" s="3"/>
      <c r="AA350" s="3"/>
    </row>
    <row r="351">
      <c r="L351" s="26"/>
      <c r="T351" s="5" t="s">
        <v>1362</v>
      </c>
      <c r="U351" s="3">
        <v>5.0</v>
      </c>
      <c r="V351" s="23">
        <v>0.0</v>
      </c>
      <c r="W351" s="3"/>
      <c r="X351" s="3"/>
      <c r="Y351" s="3"/>
      <c r="Z351" s="3"/>
      <c r="AA351" s="3"/>
    </row>
    <row r="352">
      <c r="L352" s="26"/>
      <c r="T352" s="5" t="s">
        <v>1364</v>
      </c>
      <c r="U352" s="3">
        <v>5.0</v>
      </c>
      <c r="V352" s="23">
        <v>0.0</v>
      </c>
      <c r="W352" s="3"/>
      <c r="X352" s="3"/>
      <c r="Y352" s="3"/>
      <c r="Z352" s="3"/>
      <c r="AA352" s="3"/>
    </row>
    <row r="353">
      <c r="L353" s="26"/>
      <c r="T353" s="5" t="s">
        <v>1366</v>
      </c>
      <c r="U353" s="3">
        <v>3.0</v>
      </c>
      <c r="V353" s="23">
        <v>0.0</v>
      </c>
      <c r="W353" s="3"/>
      <c r="X353" s="3"/>
      <c r="Y353" s="3"/>
      <c r="Z353" s="3"/>
      <c r="AA353" s="3"/>
    </row>
    <row r="354">
      <c r="L354" s="26"/>
      <c r="T354" s="5" t="s">
        <v>403</v>
      </c>
      <c r="U354" s="3">
        <v>3.0</v>
      </c>
      <c r="V354" s="19" t="str">
        <f>vlookup(T354,'Player Codes'!A:D,4,)</f>
        <v>0150</v>
      </c>
      <c r="W354" s="3"/>
      <c r="X354" s="3"/>
      <c r="Y354" s="3"/>
      <c r="Z354" s="3"/>
      <c r="AA354" s="3"/>
    </row>
    <row r="355">
      <c r="L355" s="26"/>
      <c r="T355" s="5" t="s">
        <v>680</v>
      </c>
      <c r="U355" s="3">
        <v>4.0</v>
      </c>
      <c r="V355" s="19" t="str">
        <f>vlookup(T355,'Player Codes'!A:D,4,)</f>
        <v>0151</v>
      </c>
      <c r="W355" s="3"/>
      <c r="X355" s="3"/>
      <c r="Y355" s="3"/>
      <c r="Z355" s="3"/>
      <c r="AA355" s="3"/>
    </row>
    <row r="356">
      <c r="L356" s="26"/>
      <c r="T356" s="5" t="s">
        <v>202</v>
      </c>
      <c r="U356" s="3">
        <v>3.0</v>
      </c>
      <c r="V356" s="19" t="str">
        <f>vlookup(T356,'Player Codes'!A:D,4,)</f>
        <v>0152</v>
      </c>
      <c r="W356" s="3"/>
      <c r="X356" s="3"/>
      <c r="Y356" s="3"/>
      <c r="Z356" s="3"/>
      <c r="AA356" s="3"/>
    </row>
    <row r="357">
      <c r="L357" s="26"/>
      <c r="T357" s="5" t="s">
        <v>246</v>
      </c>
      <c r="U357" s="3">
        <v>4.0</v>
      </c>
      <c r="V357" s="19" t="str">
        <f>vlookup(T357,'Player Codes'!A:D,4,)</f>
        <v>0157</v>
      </c>
      <c r="W357" s="3"/>
      <c r="X357" s="3"/>
      <c r="Y357" s="3"/>
      <c r="Z357" s="3"/>
      <c r="AA357" s="3"/>
    </row>
    <row r="358">
      <c r="L358" s="26"/>
      <c r="T358" s="5" t="s">
        <v>1374</v>
      </c>
      <c r="U358" s="3">
        <v>4.0</v>
      </c>
      <c r="V358" s="23">
        <v>0.0</v>
      </c>
      <c r="W358" s="3"/>
      <c r="X358" s="3"/>
      <c r="Y358" s="3"/>
      <c r="Z358" s="3"/>
      <c r="AA358" s="3"/>
    </row>
    <row r="359">
      <c r="L359" s="26"/>
      <c r="T359" s="5" t="s">
        <v>539</v>
      </c>
      <c r="U359" s="3">
        <v>2.0</v>
      </c>
      <c r="V359" s="19" t="str">
        <f>vlookup(T359,'Player Codes'!A:D,4,)</f>
        <v>0163</v>
      </c>
      <c r="W359" s="3"/>
      <c r="X359" s="3"/>
      <c r="Y359" s="3"/>
      <c r="Z359" s="3"/>
      <c r="AA359" s="3"/>
    </row>
    <row r="360">
      <c r="L360" s="26"/>
      <c r="T360" s="5" t="s">
        <v>317</v>
      </c>
      <c r="U360" s="3">
        <v>3.0</v>
      </c>
      <c r="V360" s="19" t="str">
        <f>vlookup(T360,'Player Codes'!A:D,4,)</f>
        <v>0165</v>
      </c>
      <c r="W360" s="3"/>
      <c r="X360" s="3"/>
      <c r="Y360" s="3"/>
      <c r="Z360" s="3"/>
      <c r="AA360" s="3"/>
    </row>
    <row r="361">
      <c r="L361" s="26"/>
      <c r="T361" s="5" t="s">
        <v>1378</v>
      </c>
      <c r="U361" s="3">
        <v>3.0</v>
      </c>
      <c r="V361" s="23">
        <v>0.0</v>
      </c>
      <c r="W361" s="3"/>
      <c r="X361" s="3"/>
      <c r="Y361" s="3"/>
      <c r="Z361" s="3"/>
      <c r="AA361" s="3"/>
    </row>
    <row r="362">
      <c r="L362" s="26"/>
      <c r="T362" s="5" t="s">
        <v>1380</v>
      </c>
      <c r="U362" s="3">
        <v>3.0</v>
      </c>
      <c r="V362" s="23">
        <v>0.0</v>
      </c>
      <c r="W362" s="3"/>
      <c r="X362" s="3"/>
      <c r="Y362" s="3"/>
      <c r="Z362" s="3"/>
      <c r="AA362" s="3"/>
    </row>
    <row r="363">
      <c r="L363" s="26"/>
      <c r="T363" s="2" t="s">
        <v>817</v>
      </c>
      <c r="U363" s="3">
        <v>3.0</v>
      </c>
      <c r="V363" s="19" t="str">
        <f>vlookup(T363,'Player Codes'!A:D,4,)</f>
        <v>0169</v>
      </c>
      <c r="W363" s="3"/>
      <c r="X363" s="3"/>
      <c r="Y363" s="3"/>
      <c r="Z363" s="3"/>
      <c r="AA363" s="3"/>
    </row>
    <row r="364">
      <c r="L364" s="26"/>
      <c r="T364" s="5" t="s">
        <v>358</v>
      </c>
      <c r="U364" s="3">
        <v>5.0</v>
      </c>
      <c r="V364" s="19" t="str">
        <f>vlookup(T364,'Player Codes'!A:D,4,)</f>
        <v>0171</v>
      </c>
      <c r="W364" s="3"/>
      <c r="X364" s="3"/>
      <c r="Y364" s="3"/>
      <c r="Z364" s="3"/>
      <c r="AA364" s="3"/>
    </row>
    <row r="365">
      <c r="L365" s="26"/>
      <c r="T365" s="5" t="s">
        <v>95</v>
      </c>
      <c r="U365" s="3">
        <v>3.0</v>
      </c>
      <c r="V365" s="19" t="str">
        <f>vlookup(T365,'Player Codes'!A:D,4,)</f>
        <v>0174</v>
      </c>
      <c r="W365" s="3"/>
      <c r="X365" s="3"/>
      <c r="Y365" s="3"/>
      <c r="Z365" s="3"/>
      <c r="AA365" s="3"/>
    </row>
    <row r="366">
      <c r="L366" s="26"/>
      <c r="T366" s="5" t="s">
        <v>1386</v>
      </c>
      <c r="U366" s="3">
        <v>3.0</v>
      </c>
      <c r="V366" s="23">
        <v>0.0</v>
      </c>
      <c r="W366" s="3"/>
      <c r="X366" s="3"/>
      <c r="Y366" s="3"/>
      <c r="Z366" s="3"/>
      <c r="AA366" s="3"/>
    </row>
    <row r="367">
      <c r="L367" s="26"/>
      <c r="T367" s="5" t="s">
        <v>1389</v>
      </c>
      <c r="U367" s="3">
        <v>3.0</v>
      </c>
      <c r="V367" s="23">
        <v>0.0</v>
      </c>
      <c r="W367" s="3"/>
      <c r="X367" s="3"/>
      <c r="Y367" s="3"/>
      <c r="Z367" s="3"/>
      <c r="AA367" s="3"/>
    </row>
    <row r="368">
      <c r="L368" s="26"/>
      <c r="T368" s="5" t="s">
        <v>536</v>
      </c>
      <c r="U368" s="3">
        <v>4.0</v>
      </c>
      <c r="V368" s="19" t="str">
        <f>vlookup(T368,'Player Codes'!A:D,4,)</f>
        <v>0177</v>
      </c>
      <c r="W368" s="3"/>
      <c r="X368" s="3"/>
      <c r="Y368" s="3"/>
      <c r="Z368" s="3"/>
      <c r="AA368" s="3"/>
    </row>
    <row r="369">
      <c r="L369" s="26"/>
      <c r="T369" s="5" t="s">
        <v>386</v>
      </c>
      <c r="U369" s="3">
        <v>4.0</v>
      </c>
      <c r="V369" s="19" t="str">
        <f>vlookup(T369,'Player Codes'!A:D,4,)</f>
        <v>0179</v>
      </c>
      <c r="W369" s="3"/>
      <c r="X369" s="3"/>
      <c r="Y369" s="3"/>
      <c r="Z369" s="3"/>
      <c r="AA369" s="3"/>
    </row>
    <row r="370">
      <c r="L370" s="26"/>
      <c r="T370" s="5" t="s">
        <v>1393</v>
      </c>
      <c r="U370" s="3">
        <v>3.0</v>
      </c>
      <c r="V370" s="21" t="str">
        <f>vlookup(T370,'Player Codes'!A:D,4,)</f>
        <v>#N/A</v>
      </c>
      <c r="W370" s="3"/>
      <c r="X370" s="3"/>
      <c r="Y370" s="3"/>
      <c r="Z370" s="3"/>
      <c r="AA370" s="3"/>
    </row>
    <row r="371">
      <c r="L371" s="26"/>
      <c r="T371" s="5" t="s">
        <v>1395</v>
      </c>
      <c r="U371" s="3">
        <v>4.0</v>
      </c>
      <c r="V371" s="21" t="str">
        <f>vlookup(T371,'Player Codes'!A:D,4,)</f>
        <v>#N/A</v>
      </c>
      <c r="W371" s="3"/>
      <c r="X371" s="3"/>
      <c r="Y371" s="3"/>
      <c r="Z371" s="3"/>
      <c r="AA371" s="3"/>
    </row>
    <row r="372">
      <c r="L372" s="26"/>
      <c r="T372" s="5" t="s">
        <v>139</v>
      </c>
      <c r="U372" s="3">
        <v>5.0</v>
      </c>
      <c r="V372" s="19" t="str">
        <f>vlookup(T372,'Player Codes'!A:D,4,)</f>
        <v>0182</v>
      </c>
      <c r="W372" s="3"/>
      <c r="X372" s="3"/>
      <c r="Y372" s="3"/>
      <c r="Z372" s="3"/>
      <c r="AA372" s="3"/>
    </row>
    <row r="373">
      <c r="L373" s="26"/>
      <c r="T373" s="5" t="s">
        <v>810</v>
      </c>
      <c r="U373" s="3">
        <v>3.0</v>
      </c>
      <c r="V373" s="19" t="str">
        <f>vlookup(T373,'Player Codes'!A:D,4,)</f>
        <v>0184</v>
      </c>
      <c r="W373" s="3"/>
      <c r="X373" s="3"/>
      <c r="Y373" s="3"/>
      <c r="Z373" s="3"/>
      <c r="AA373" s="3"/>
    </row>
    <row r="374">
      <c r="L374" s="26"/>
      <c r="T374" s="5" t="s">
        <v>1401</v>
      </c>
      <c r="U374" s="3">
        <v>5.0</v>
      </c>
      <c r="V374" s="21" t="str">
        <f>vlookup(T374,'Player Codes'!A:D,4,)</f>
        <v>#N/A</v>
      </c>
      <c r="W374" s="3"/>
      <c r="X374" s="3"/>
      <c r="Y374" s="3"/>
      <c r="Z374" s="3"/>
      <c r="AA374" s="3"/>
    </row>
    <row r="375">
      <c r="L375" s="26"/>
      <c r="T375" s="5" t="s">
        <v>655</v>
      </c>
      <c r="U375" s="3">
        <v>3.0</v>
      </c>
      <c r="V375" s="19" t="str">
        <f>vlookup(T375,'Player Codes'!A:D,4,)</f>
        <v>0189</v>
      </c>
      <c r="W375" s="3"/>
      <c r="X375" s="3"/>
      <c r="Y375" s="3"/>
      <c r="Z375" s="3"/>
      <c r="AA375" s="3"/>
    </row>
    <row r="376">
      <c r="L376" s="26"/>
      <c r="T376" s="5" t="s">
        <v>1405</v>
      </c>
      <c r="U376" s="3">
        <v>3.0</v>
      </c>
      <c r="V376" s="21" t="str">
        <f>vlookup(T376,'Player Codes'!A:D,4,)</f>
        <v>#N/A</v>
      </c>
      <c r="W376" s="3"/>
      <c r="X376" s="3"/>
      <c r="Y376" s="3"/>
      <c r="Z376" s="3"/>
      <c r="AA376" s="3"/>
    </row>
    <row r="377">
      <c r="L377" s="26"/>
      <c r="T377" s="5" t="s">
        <v>832</v>
      </c>
      <c r="U377" s="3">
        <v>3.0</v>
      </c>
      <c r="V377" s="19" t="str">
        <f>vlookup(T377,'Player Codes'!A:D,4,)</f>
        <v>0201</v>
      </c>
      <c r="W377" s="3"/>
      <c r="X377" s="3"/>
      <c r="Y377" s="3"/>
      <c r="Z377" s="3"/>
      <c r="AA377" s="3"/>
    </row>
    <row r="378">
      <c r="L378" s="26"/>
      <c r="T378" s="5" t="s">
        <v>1408</v>
      </c>
      <c r="U378" s="3">
        <v>2.0</v>
      </c>
      <c r="V378" s="21" t="str">
        <f>vlookup(T378,'Player Codes'!A:D,4,)</f>
        <v>#N/A</v>
      </c>
      <c r="W378" s="3"/>
      <c r="X378" s="3"/>
      <c r="Y378" s="3"/>
      <c r="Z378" s="3"/>
      <c r="AA378" s="3"/>
    </row>
    <row r="379">
      <c r="L379" s="26"/>
      <c r="T379" s="5" t="s">
        <v>718</v>
      </c>
      <c r="U379" s="3">
        <v>4.0</v>
      </c>
      <c r="V379" s="19" t="str">
        <f>vlookup(T379,'Player Codes'!A:D,4,)</f>
        <v>0203</v>
      </c>
      <c r="W379" s="3"/>
      <c r="X379" s="3"/>
      <c r="Y379" s="3"/>
      <c r="Z379" s="3"/>
      <c r="AA379" s="3"/>
    </row>
    <row r="380">
      <c r="L380" s="26"/>
      <c r="T380" s="5" t="s">
        <v>214</v>
      </c>
      <c r="U380" s="3">
        <v>5.0</v>
      </c>
      <c r="V380" s="19" t="str">
        <f>vlookup(T380,'Player Codes'!A:D,4,)</f>
        <v>0204</v>
      </c>
      <c r="W380" s="3"/>
      <c r="X380" s="3"/>
      <c r="Y380" s="3"/>
      <c r="Z380" s="3"/>
      <c r="AA380" s="3"/>
    </row>
    <row r="381">
      <c r="L381" s="26"/>
      <c r="T381" s="5" t="s">
        <v>1415</v>
      </c>
      <c r="U381" s="3">
        <v>6.0</v>
      </c>
      <c r="V381" s="21" t="str">
        <f>vlookup(T381,'Player Codes'!A:D,4,)</f>
        <v>#N/A</v>
      </c>
      <c r="W381" s="3"/>
      <c r="X381" s="3"/>
      <c r="Y381" s="3"/>
      <c r="Z381" s="3"/>
      <c r="AA381" s="3"/>
    </row>
    <row r="382">
      <c r="L382" s="26"/>
      <c r="T382" s="5" t="s">
        <v>1417</v>
      </c>
      <c r="U382" s="3">
        <v>6.0</v>
      </c>
      <c r="V382" s="21" t="str">
        <f>vlookup(T382,'Player Codes'!A:D,4,)</f>
        <v>#N/A</v>
      </c>
      <c r="W382" s="3"/>
      <c r="X382" s="3"/>
      <c r="Y382" s="3"/>
      <c r="Z382" s="3"/>
      <c r="AA382" s="3"/>
    </row>
    <row r="383">
      <c r="L383" s="26"/>
      <c r="T383" s="5" t="s">
        <v>736</v>
      </c>
      <c r="U383" s="3">
        <v>2.0</v>
      </c>
      <c r="V383" s="19" t="str">
        <f>vlookup(T383,'Player Codes'!A:D,4,)</f>
        <v>0206</v>
      </c>
      <c r="W383" s="3"/>
      <c r="X383" s="3"/>
      <c r="Y383" s="3"/>
      <c r="Z383" s="3"/>
      <c r="AA383" s="3"/>
    </row>
    <row r="384">
      <c r="L384" s="26"/>
      <c r="T384" s="5" t="s">
        <v>1420</v>
      </c>
      <c r="U384" s="3">
        <v>4.0</v>
      </c>
      <c r="V384" s="21" t="str">
        <f>vlookup(T384,'Player Codes'!A:D,4,)</f>
        <v>#N/A</v>
      </c>
      <c r="W384" s="3"/>
      <c r="X384" s="3"/>
      <c r="Y384" s="3"/>
      <c r="Z384" s="3"/>
      <c r="AA384" s="3"/>
    </row>
    <row r="385">
      <c r="L385" s="26"/>
      <c r="T385" s="5" t="s">
        <v>472</v>
      </c>
      <c r="U385" s="3">
        <v>4.0</v>
      </c>
      <c r="V385" s="19" t="str">
        <f>vlookup(T385,'Player Codes'!A:D,4,)</f>
        <v>0213</v>
      </c>
      <c r="W385" s="3"/>
      <c r="X385" s="3"/>
      <c r="Y385" s="3"/>
      <c r="Z385" s="3"/>
      <c r="AA385" s="3"/>
    </row>
    <row r="386">
      <c r="L386" s="26"/>
      <c r="T386" s="5" t="s">
        <v>1423</v>
      </c>
      <c r="U386" s="3">
        <v>3.0</v>
      </c>
      <c r="V386" s="21" t="str">
        <f>vlookup(T386,'Player Codes'!A:D,4,)</f>
        <v>#N/A</v>
      </c>
      <c r="W386" s="3"/>
      <c r="X386" s="3"/>
      <c r="Y386" s="3"/>
      <c r="Z386" s="3"/>
      <c r="AA386" s="3"/>
    </row>
    <row r="387">
      <c r="L387" s="26"/>
      <c r="T387" s="5" t="s">
        <v>372</v>
      </c>
      <c r="U387" s="3">
        <v>5.0</v>
      </c>
      <c r="V387" s="19" t="str">
        <f>vlookup(T387,'Player Codes'!A:D,4,)</f>
        <v>0216</v>
      </c>
      <c r="W387" s="3"/>
      <c r="X387" s="3"/>
      <c r="Y387" s="3"/>
      <c r="Z387" s="3"/>
      <c r="AA387" s="3"/>
    </row>
    <row r="388">
      <c r="L388" s="26"/>
      <c r="T388" s="5" t="s">
        <v>871</v>
      </c>
      <c r="U388" s="3">
        <v>2.0</v>
      </c>
      <c r="V388" s="19" t="str">
        <f>vlookup(T388,'Player Codes'!A:D,4,)</f>
        <v>0217</v>
      </c>
      <c r="W388" s="3"/>
      <c r="X388" s="3"/>
      <c r="Y388" s="3"/>
      <c r="Z388" s="3"/>
      <c r="AA388" s="3"/>
    </row>
    <row r="389">
      <c r="L389" s="26"/>
      <c r="T389" s="5" t="s">
        <v>185</v>
      </c>
      <c r="U389" s="3">
        <v>5.0</v>
      </c>
      <c r="V389" s="19" t="str">
        <f>vlookup(T389,'Player Codes'!A:D,4,)</f>
        <v>0218</v>
      </c>
      <c r="W389" s="3"/>
      <c r="X389" s="3"/>
      <c r="Y389" s="3"/>
      <c r="Z389" s="3"/>
      <c r="AA389" s="3"/>
    </row>
    <row r="390">
      <c r="L390" s="26"/>
      <c r="T390" s="5" t="s">
        <v>155</v>
      </c>
      <c r="U390" s="3">
        <v>5.0</v>
      </c>
      <c r="V390" s="19" t="str">
        <f>vlookup(T390,'Player Codes'!A:D,4,)</f>
        <v>0220</v>
      </c>
      <c r="W390" s="3"/>
      <c r="X390" s="3"/>
      <c r="Y390" s="3"/>
      <c r="Z390" s="3"/>
      <c r="AA390" s="3"/>
    </row>
    <row r="391">
      <c r="L391" s="26"/>
      <c r="T391" s="5" t="s">
        <v>1428</v>
      </c>
      <c r="U391" s="3">
        <v>4.0</v>
      </c>
      <c r="V391" s="21" t="str">
        <f>vlookup(T391,'Player Codes'!A:D,4,)</f>
        <v>#N/A</v>
      </c>
      <c r="W391" s="3"/>
      <c r="X391" s="3"/>
      <c r="Y391" s="3"/>
      <c r="Z391" s="3"/>
      <c r="AA391" s="3"/>
    </row>
    <row r="392">
      <c r="L392" s="26"/>
      <c r="T392" s="5" t="s">
        <v>1429</v>
      </c>
      <c r="U392" s="3">
        <v>2.0</v>
      </c>
      <c r="V392" s="21" t="str">
        <f>vlookup(T392,'Player Codes'!A:D,4,)</f>
        <v>#N/A</v>
      </c>
      <c r="W392" s="3"/>
      <c r="X392" s="3"/>
      <c r="Y392" s="3"/>
      <c r="Z392" s="3"/>
      <c r="AA392" s="3"/>
    </row>
    <row r="393">
      <c r="L393" s="26"/>
      <c r="T393" s="5" t="s">
        <v>1430</v>
      </c>
      <c r="U393" s="3">
        <v>4.0</v>
      </c>
      <c r="V393" s="21" t="str">
        <f>vlookup(T393,'Player Codes'!A:D,4,)</f>
        <v>#N/A</v>
      </c>
      <c r="W393" s="3"/>
      <c r="X393" s="3"/>
      <c r="Y393" s="3"/>
      <c r="Z393" s="3"/>
      <c r="AA393" s="3"/>
    </row>
    <row r="394">
      <c r="L394" s="26"/>
      <c r="T394" s="5" t="s">
        <v>436</v>
      </c>
      <c r="U394" s="3">
        <v>4.0</v>
      </c>
      <c r="V394" s="19" t="str">
        <f>vlookup(T394,'Player Codes'!A:D,4,)</f>
        <v>0230</v>
      </c>
      <c r="W394" s="3"/>
      <c r="X394" s="3"/>
      <c r="Y394" s="3"/>
      <c r="Z394" s="3"/>
      <c r="AA394" s="3"/>
    </row>
    <row r="395">
      <c r="L395" s="26"/>
      <c r="T395" s="5" t="s">
        <v>430</v>
      </c>
      <c r="U395" s="3">
        <v>5.0</v>
      </c>
      <c r="V395" s="19" t="str">
        <f>vlookup(T395,'Player Codes'!A:D,4,)</f>
        <v>0232</v>
      </c>
      <c r="W395" s="3"/>
      <c r="X395" s="3"/>
      <c r="Y395" s="3"/>
      <c r="Z395" s="3"/>
      <c r="AA395" s="3"/>
    </row>
    <row r="396">
      <c r="L396" s="26"/>
      <c r="T396" s="5" t="s">
        <v>1431</v>
      </c>
      <c r="U396" s="3">
        <v>3.0</v>
      </c>
      <c r="V396" s="21" t="str">
        <f>vlookup(T396,'Player Codes'!A:D,4,)</f>
        <v>#N/A</v>
      </c>
      <c r="W396" s="3"/>
      <c r="X396" s="3"/>
      <c r="Y396" s="3"/>
      <c r="Z396" s="3"/>
      <c r="AA396" s="3"/>
    </row>
    <row r="397">
      <c r="L397" s="26"/>
      <c r="T397" s="5" t="s">
        <v>643</v>
      </c>
      <c r="U397" s="3">
        <v>4.0</v>
      </c>
      <c r="V397" s="19" t="str">
        <f>vlookup(T397,'Player Codes'!A:D,4,)</f>
        <v>0233</v>
      </c>
      <c r="W397" s="3"/>
      <c r="X397" s="3"/>
      <c r="Y397" s="3"/>
      <c r="Z397" s="3"/>
      <c r="AA397" s="3"/>
    </row>
    <row r="398">
      <c r="L398" s="26"/>
      <c r="T398" s="5" t="s">
        <v>1433</v>
      </c>
      <c r="U398" s="3">
        <v>4.0</v>
      </c>
      <c r="V398" s="21" t="str">
        <f>vlookup(T398,'Player Codes'!A:D,4,)</f>
        <v>#N/A</v>
      </c>
      <c r="W398" s="3"/>
      <c r="X398" s="3"/>
      <c r="Y398" s="3"/>
      <c r="Z398" s="3"/>
      <c r="AA398" s="3"/>
    </row>
    <row r="399">
      <c r="L399" s="26"/>
      <c r="T399" s="5" t="s">
        <v>380</v>
      </c>
      <c r="U399" s="3">
        <v>3.0</v>
      </c>
      <c r="V399" s="19" t="str">
        <f>vlookup(T399,'Player Codes'!A:D,4,)</f>
        <v>0239</v>
      </c>
      <c r="W399" s="3"/>
      <c r="X399" s="3"/>
      <c r="Y399" s="3"/>
      <c r="Z399" s="3"/>
      <c r="AA399" s="3"/>
    </row>
    <row r="400">
      <c r="L400" s="26"/>
      <c r="T400" s="5" t="s">
        <v>1435</v>
      </c>
      <c r="U400" s="3">
        <v>2.0</v>
      </c>
      <c r="V400" s="21" t="str">
        <f>vlookup(T400,'Player Codes'!A:D,4,)</f>
        <v>#N/A</v>
      </c>
      <c r="W400" s="3"/>
      <c r="X400" s="3"/>
      <c r="Y400" s="3"/>
      <c r="Z400" s="3"/>
      <c r="AA400" s="3"/>
    </row>
    <row r="401">
      <c r="L401" s="26"/>
      <c r="T401" s="5" t="s">
        <v>1436</v>
      </c>
      <c r="U401" s="3">
        <v>6.0</v>
      </c>
      <c r="V401" s="21" t="str">
        <f>vlookup(T401,'Player Codes'!A:D,4,)</f>
        <v>#N/A</v>
      </c>
      <c r="W401" s="3"/>
      <c r="X401" s="3"/>
      <c r="Y401" s="3"/>
      <c r="Z401" s="3"/>
      <c r="AA401" s="3"/>
    </row>
    <row r="402">
      <c r="L402" s="26"/>
      <c r="T402" s="5" t="s">
        <v>660</v>
      </c>
      <c r="U402" s="3">
        <v>2.0</v>
      </c>
      <c r="V402" s="19" t="str">
        <f>vlookup(T402,'Player Codes'!A:D,4,)</f>
        <v>0243</v>
      </c>
      <c r="W402" s="3"/>
      <c r="X402" s="3"/>
      <c r="Y402" s="3"/>
      <c r="Z402" s="3"/>
      <c r="AA402" s="3"/>
    </row>
    <row r="403">
      <c r="L403" s="26"/>
      <c r="T403" s="5" t="s">
        <v>652</v>
      </c>
      <c r="U403" s="3">
        <v>2.0</v>
      </c>
      <c r="V403" s="19" t="str">
        <f>vlookup(T403,'Player Codes'!A:D,4,)</f>
        <v>0244</v>
      </c>
      <c r="W403" s="3"/>
      <c r="X403" s="3"/>
      <c r="Y403" s="3"/>
      <c r="Z403" s="3"/>
      <c r="AA403" s="3"/>
    </row>
    <row r="404">
      <c r="L404" s="26"/>
      <c r="T404" s="5" t="s">
        <v>419</v>
      </c>
      <c r="U404" s="3">
        <v>3.0</v>
      </c>
      <c r="V404" s="19" t="str">
        <f>vlookup(T404,'Player Codes'!A:D,4,)</f>
        <v>0245</v>
      </c>
      <c r="W404" s="3"/>
      <c r="X404" s="3"/>
      <c r="Y404" s="3"/>
      <c r="Z404" s="3"/>
      <c r="AA404" s="3"/>
    </row>
    <row r="405">
      <c r="L405" s="26"/>
      <c r="T405" s="5" t="s">
        <v>1438</v>
      </c>
      <c r="U405" s="3">
        <v>3.0</v>
      </c>
      <c r="V405" s="21"/>
      <c r="W405" s="3"/>
      <c r="X405" s="3"/>
      <c r="Y405" s="3"/>
      <c r="Z405" s="3"/>
      <c r="AA405" s="3"/>
    </row>
    <row r="406">
      <c r="L406" s="26"/>
      <c r="T406" s="2" t="s">
        <v>627</v>
      </c>
      <c r="U406" s="3">
        <v>5.0</v>
      </c>
      <c r="V406" s="19" t="str">
        <f>vlookup(T406,'Player Codes'!A:D,4,)</f>
        <v>0249</v>
      </c>
      <c r="W406" s="3"/>
      <c r="X406" s="3"/>
      <c r="Y406" s="3"/>
      <c r="Z406" s="3"/>
      <c r="AA406" s="3"/>
    </row>
    <row r="407">
      <c r="L407" s="26"/>
      <c r="T407" s="5" t="s">
        <v>497</v>
      </c>
      <c r="U407" s="3">
        <v>2.0</v>
      </c>
      <c r="V407" s="19" t="str">
        <f>vlookup(T407,'Player Codes'!A:D,4,)</f>
        <v>0250</v>
      </c>
      <c r="W407" s="3"/>
      <c r="X407" s="3"/>
      <c r="Y407" s="3"/>
      <c r="Z407" s="3"/>
      <c r="AA407" s="3"/>
    </row>
    <row r="408">
      <c r="L408" s="26"/>
      <c r="T408" s="5" t="s">
        <v>551</v>
      </c>
      <c r="U408" s="3">
        <v>4.0</v>
      </c>
      <c r="V408" s="19" t="str">
        <f>vlookup(T408,'Player Codes'!A:D,4,)</f>
        <v>0251</v>
      </c>
      <c r="W408" s="3"/>
      <c r="X408" s="3"/>
      <c r="Y408" s="3"/>
      <c r="Z408" s="3"/>
      <c r="AA408" s="3"/>
    </row>
    <row r="409">
      <c r="L409" s="26"/>
      <c r="T409" s="5" t="s">
        <v>1441</v>
      </c>
      <c r="U409" s="3">
        <v>4.0</v>
      </c>
      <c r="V409" s="21"/>
      <c r="W409" s="3"/>
      <c r="X409" s="3"/>
      <c r="Y409" s="3"/>
      <c r="Z409" s="3"/>
      <c r="AA409" s="3"/>
    </row>
    <row r="410">
      <c r="L410" s="26"/>
      <c r="T410" s="5" t="s">
        <v>1442</v>
      </c>
      <c r="U410" s="3">
        <v>5.0</v>
      </c>
      <c r="V410" s="21"/>
      <c r="W410" s="3"/>
      <c r="X410" s="3"/>
      <c r="Y410" s="3"/>
      <c r="Z410" s="3"/>
      <c r="AA410" s="3"/>
    </row>
    <row r="411">
      <c r="L411" s="26"/>
      <c r="T411" s="5" t="s">
        <v>443</v>
      </c>
      <c r="U411" s="3">
        <v>4.0</v>
      </c>
      <c r="V411" s="19" t="str">
        <f>vlookup(T411,'Player Codes'!A:D,4,)</f>
        <v>0262</v>
      </c>
      <c r="W411" s="3"/>
      <c r="X411" s="3"/>
      <c r="Y411" s="3"/>
      <c r="Z411" s="3"/>
      <c r="AA411" s="3"/>
    </row>
    <row r="412">
      <c r="L412" s="26"/>
      <c r="T412" s="5" t="s">
        <v>89</v>
      </c>
      <c r="U412" s="3">
        <v>4.0</v>
      </c>
      <c r="V412" s="19" t="str">
        <f>vlookup(T412,'Player Codes'!A:D,4,)</f>
        <v>0263</v>
      </c>
      <c r="W412" s="3"/>
      <c r="X412" s="3"/>
      <c r="Y412" s="3"/>
      <c r="Z412" s="3"/>
      <c r="AA412" s="3"/>
    </row>
    <row r="413">
      <c r="L413" s="26"/>
      <c r="T413" s="5" t="s">
        <v>1444</v>
      </c>
      <c r="U413" s="3">
        <v>4.0</v>
      </c>
      <c r="V413" s="21"/>
      <c r="W413" s="3"/>
      <c r="X413" s="3"/>
      <c r="Y413" s="3"/>
      <c r="Z413" s="3"/>
      <c r="AA413" s="3"/>
    </row>
    <row r="414">
      <c r="L414" s="26"/>
      <c r="T414" s="5" t="s">
        <v>131</v>
      </c>
      <c r="U414" s="3">
        <v>4.0</v>
      </c>
      <c r="V414" s="19" t="str">
        <f>vlookup(T414,'Player Codes'!A:D,4,)</f>
        <v>0270</v>
      </c>
      <c r="W414" s="3"/>
      <c r="X414" s="3"/>
      <c r="Y414" s="3"/>
      <c r="Z414" s="3"/>
      <c r="AA414" s="3"/>
    </row>
    <row r="415">
      <c r="L415" s="26"/>
      <c r="T415" s="5" t="s">
        <v>1446</v>
      </c>
      <c r="U415" s="3">
        <v>4.0</v>
      </c>
      <c r="V415" s="21"/>
      <c r="W415" s="3"/>
      <c r="X415" s="3"/>
      <c r="Y415" s="3"/>
      <c r="Z415" s="3"/>
      <c r="AA415" s="3"/>
    </row>
    <row r="416">
      <c r="L416" s="26"/>
      <c r="T416" s="5" t="s">
        <v>124</v>
      </c>
      <c r="U416" s="3">
        <v>5.0</v>
      </c>
      <c r="V416" s="19" t="str">
        <f>vlookup(T416,'Player Codes'!A:D,4,)</f>
        <v>0273</v>
      </c>
      <c r="W416" s="3"/>
      <c r="X416" s="3"/>
      <c r="Y416" s="3"/>
      <c r="Z416" s="3"/>
      <c r="AA416" s="3"/>
    </row>
    <row r="417">
      <c r="L417" s="26"/>
      <c r="T417" s="5" t="s">
        <v>1449</v>
      </c>
      <c r="U417" s="3">
        <v>3.0</v>
      </c>
      <c r="V417" s="21"/>
      <c r="W417" s="3"/>
      <c r="X417" s="3"/>
      <c r="Y417" s="3"/>
      <c r="Z417" s="3"/>
      <c r="AA417" s="3"/>
    </row>
    <row r="418">
      <c r="L418" s="26"/>
      <c r="T418" s="5" t="s">
        <v>1451</v>
      </c>
      <c r="U418" s="3">
        <v>4.0</v>
      </c>
      <c r="V418" s="21"/>
      <c r="W418" s="3"/>
      <c r="X418" s="3"/>
      <c r="Y418" s="3"/>
      <c r="Z418" s="3"/>
      <c r="AA418" s="3"/>
    </row>
    <row r="419">
      <c r="L419" s="26"/>
      <c r="T419" s="5" t="s">
        <v>337</v>
      </c>
      <c r="U419" s="3">
        <v>3.0</v>
      </c>
      <c r="V419" s="19" t="str">
        <f>vlookup(T419,'Player Codes'!A:D,4,)</f>
        <v>0279</v>
      </c>
      <c r="W419" s="3"/>
      <c r="X419" s="3"/>
      <c r="Y419" s="3"/>
      <c r="Z419" s="3"/>
      <c r="AA419" s="3"/>
    </row>
    <row r="420">
      <c r="L420" s="26"/>
      <c r="T420" s="5" t="s">
        <v>852</v>
      </c>
      <c r="U420" s="3">
        <v>2.0</v>
      </c>
      <c r="V420" s="19" t="str">
        <f>vlookup(T420,'Player Codes'!A:D,4,)</f>
        <v>0281</v>
      </c>
      <c r="W420" s="3"/>
      <c r="X420" s="3"/>
      <c r="Y420" s="3"/>
      <c r="Z420" s="3"/>
      <c r="AA420" s="3"/>
    </row>
    <row r="421">
      <c r="L421" s="26"/>
      <c r="T421" s="5" t="s">
        <v>1454</v>
      </c>
      <c r="U421" s="3">
        <v>2.0</v>
      </c>
      <c r="V421" s="21"/>
      <c r="W421" s="3"/>
      <c r="X421" s="3"/>
      <c r="Y421" s="3"/>
      <c r="Z421" s="3"/>
      <c r="AA421" s="3"/>
    </row>
    <row r="422">
      <c r="L422" s="26"/>
      <c r="T422" s="5" t="s">
        <v>486</v>
      </c>
      <c r="U422" s="3">
        <v>4.0</v>
      </c>
      <c r="V422" s="19" t="str">
        <f>vlookup(T422,'Player Codes'!A:D,4,)</f>
        <v>0286</v>
      </c>
      <c r="W422" s="3"/>
      <c r="X422" s="3"/>
      <c r="Y422" s="3"/>
      <c r="Z422" s="3"/>
      <c r="AA422" s="3"/>
    </row>
    <row r="423">
      <c r="L423" s="26"/>
      <c r="T423" s="5" t="s">
        <v>179</v>
      </c>
      <c r="U423" s="3">
        <v>5.0</v>
      </c>
      <c r="V423" s="19" t="str">
        <f>vlookup(T423,'Player Codes'!A:D,4,)</f>
        <v>0289</v>
      </c>
      <c r="W423" s="3"/>
      <c r="X423" s="3"/>
      <c r="Y423" s="3"/>
      <c r="Z423" s="3"/>
      <c r="AA423" s="3"/>
    </row>
    <row r="424">
      <c r="L424" s="26"/>
      <c r="T424" s="5" t="s">
        <v>893</v>
      </c>
      <c r="U424" s="3">
        <v>2.0</v>
      </c>
      <c r="V424" s="19" t="str">
        <f>vlookup(T424,'Player Codes'!A:D,4,)</f>
        <v>0290</v>
      </c>
      <c r="W424" s="3"/>
      <c r="X424" s="3"/>
      <c r="Y424" s="3"/>
      <c r="Z424" s="3"/>
      <c r="AA424" s="3"/>
    </row>
    <row r="425">
      <c r="L425" s="26"/>
      <c r="T425" s="5" t="s">
        <v>31</v>
      </c>
      <c r="U425" s="3">
        <v>5.0</v>
      </c>
      <c r="V425" s="19" t="str">
        <f>vlookup(T425,'Player Codes'!A:D,4,)</f>
        <v>0291</v>
      </c>
      <c r="W425" s="3"/>
      <c r="X425" s="3"/>
      <c r="Y425" s="3"/>
      <c r="Z425" s="3"/>
      <c r="AA425" s="3"/>
    </row>
    <row r="426">
      <c r="L426" s="26"/>
      <c r="T426" s="5" t="s">
        <v>490</v>
      </c>
      <c r="U426" s="3">
        <v>4.0</v>
      </c>
      <c r="V426" s="19" t="str">
        <f>vlookup(T426,'Player Codes'!A:D,4,)</f>
        <v>0292</v>
      </c>
      <c r="W426" s="3"/>
      <c r="X426" s="3"/>
      <c r="Y426" s="3"/>
      <c r="Z426" s="3"/>
      <c r="AA426" s="3"/>
    </row>
    <row r="427">
      <c r="L427" s="26"/>
      <c r="T427" s="5" t="s">
        <v>1458</v>
      </c>
      <c r="U427" s="3">
        <v>4.0</v>
      </c>
      <c r="V427" s="21"/>
      <c r="W427" s="3"/>
      <c r="X427" s="3"/>
      <c r="Y427" s="3"/>
      <c r="Z427" s="3"/>
      <c r="AA427" s="3"/>
    </row>
    <row r="428">
      <c r="L428" s="26"/>
      <c r="T428" s="5" t="s">
        <v>1460</v>
      </c>
      <c r="U428" s="3">
        <v>3.0</v>
      </c>
      <c r="V428" s="21"/>
      <c r="W428" s="3"/>
      <c r="X428" s="3"/>
      <c r="Y428" s="3"/>
      <c r="Z428" s="3"/>
      <c r="AA428" s="3"/>
    </row>
    <row r="429">
      <c r="L429" s="26"/>
      <c r="T429" s="5" t="s">
        <v>526</v>
      </c>
      <c r="U429" s="3">
        <v>2.0</v>
      </c>
      <c r="V429" s="19" t="str">
        <f>vlookup(T429,'Player Codes'!A:D,4,)</f>
        <v>0299</v>
      </c>
      <c r="W429" s="3"/>
      <c r="X429" s="3"/>
      <c r="Y429" s="3"/>
      <c r="Z429" s="3"/>
      <c r="AA429" s="3"/>
    </row>
    <row r="430">
      <c r="L430" s="26"/>
      <c r="T430" s="5" t="s">
        <v>454</v>
      </c>
      <c r="U430" s="3">
        <v>4.0</v>
      </c>
      <c r="V430" s="19" t="str">
        <f>vlookup(T430,'Player Codes'!A:D,4,)</f>
        <v>0300</v>
      </c>
      <c r="W430" s="3"/>
      <c r="X430" s="3"/>
      <c r="Y430" s="3"/>
      <c r="Z430" s="3"/>
      <c r="AA430" s="3"/>
    </row>
    <row r="431">
      <c r="L431" s="26"/>
      <c r="T431" s="5" t="s">
        <v>309</v>
      </c>
      <c r="U431" s="3">
        <v>3.0</v>
      </c>
      <c r="V431" s="19" t="str">
        <f>vlookup(T431,'Player Codes'!A:D,4,)</f>
        <v>0005</v>
      </c>
      <c r="W431" s="3"/>
      <c r="X431" s="3"/>
      <c r="Y431" s="3"/>
      <c r="Z431" s="3"/>
      <c r="AA431" s="3"/>
    </row>
    <row r="432">
      <c r="L432" s="26"/>
      <c r="T432" s="5" t="s">
        <v>59</v>
      </c>
      <c r="U432" s="3">
        <v>5.0</v>
      </c>
      <c r="V432" s="19" t="str">
        <f>vlookup(T432,'Player Codes'!A:D,4,)</f>
        <v>0002</v>
      </c>
      <c r="W432" s="3"/>
      <c r="X432" s="3"/>
      <c r="Y432" s="3"/>
      <c r="Z432" s="3"/>
      <c r="AA432" s="3"/>
    </row>
    <row r="433">
      <c r="L433" s="26"/>
      <c r="T433" s="5" t="s">
        <v>135</v>
      </c>
      <c r="U433" s="3">
        <v>3.0</v>
      </c>
      <c r="V433" s="19" t="str">
        <f>vlookup(T433,'Player Codes'!A:D,4,)</f>
        <v>0007</v>
      </c>
      <c r="W433" s="3"/>
      <c r="X433" s="3"/>
      <c r="Y433" s="3"/>
      <c r="Z433" s="3"/>
      <c r="AA433" s="3"/>
    </row>
    <row r="434">
      <c r="L434" s="26"/>
      <c r="T434" s="5" t="s">
        <v>205</v>
      </c>
      <c r="U434" s="3">
        <v>5.0</v>
      </c>
      <c r="V434" s="19" t="str">
        <f>vlookup(T434,'Player Codes'!A:D,4,)</f>
        <v>0010</v>
      </c>
      <c r="W434" s="3"/>
      <c r="X434" s="3"/>
      <c r="Y434" s="3"/>
      <c r="Z434" s="3"/>
      <c r="AA434" s="3"/>
    </row>
    <row r="435">
      <c r="L435" s="26"/>
      <c r="T435" s="5" t="s">
        <v>1277</v>
      </c>
      <c r="U435" s="3">
        <v>3.0</v>
      </c>
      <c r="V435" s="21"/>
      <c r="W435" s="3"/>
      <c r="X435" s="3"/>
      <c r="Y435" s="3"/>
      <c r="Z435" s="3"/>
      <c r="AA435" s="3"/>
    </row>
    <row r="436">
      <c r="L436" s="26"/>
      <c r="T436" s="5" t="s">
        <v>295</v>
      </c>
      <c r="U436" s="3">
        <v>4.0</v>
      </c>
      <c r="V436" s="19" t="str">
        <f>vlookup(T436,'Player Codes'!A:D,4,)</f>
        <v>0015</v>
      </c>
      <c r="W436" s="3"/>
      <c r="X436" s="3"/>
      <c r="Y436" s="3"/>
      <c r="Z436" s="3"/>
      <c r="AA436" s="3"/>
    </row>
    <row r="437">
      <c r="L437" s="26"/>
      <c r="T437" s="5" t="s">
        <v>18</v>
      </c>
      <c r="U437" s="3">
        <v>5.0</v>
      </c>
      <c r="V437" s="19" t="str">
        <f>vlookup(T437,'Player Codes'!A:D,4,)</f>
        <v>0018</v>
      </c>
      <c r="W437" s="3"/>
      <c r="X437" s="3"/>
      <c r="Y437" s="3"/>
      <c r="Z437" s="3"/>
      <c r="AA437" s="3"/>
    </row>
    <row r="438">
      <c r="L438" s="26"/>
      <c r="T438" s="5" t="s">
        <v>47</v>
      </c>
      <c r="U438" s="3">
        <v>3.0</v>
      </c>
      <c r="V438" s="19" t="str">
        <f>vlookup(T438,'Player Codes'!A:D,4,)</f>
        <v>0021</v>
      </c>
      <c r="W438" s="3"/>
      <c r="X438" s="3"/>
      <c r="Y438" s="3"/>
      <c r="Z438" s="3"/>
      <c r="AA438" s="3"/>
    </row>
    <row r="439">
      <c r="L439" s="26"/>
      <c r="T439" s="5" t="s">
        <v>79</v>
      </c>
      <c r="U439" s="3">
        <v>4.0</v>
      </c>
      <c r="V439" s="19" t="str">
        <f>vlookup(T439,'Player Codes'!A:D,4,)</f>
        <v>0026</v>
      </c>
      <c r="W439" s="3"/>
      <c r="X439" s="3"/>
      <c r="Y439" s="3"/>
      <c r="Z439" s="3"/>
      <c r="AA439" s="3"/>
    </row>
    <row r="440">
      <c r="L440" s="26"/>
      <c r="T440" s="5" t="s">
        <v>298</v>
      </c>
      <c r="U440" s="3">
        <v>3.0</v>
      </c>
      <c r="V440" s="19" t="str">
        <f>vlookup(T440,'Player Codes'!A:D,4,)</f>
        <v>0028</v>
      </c>
      <c r="W440" s="3"/>
      <c r="X440" s="3"/>
      <c r="Y440" s="3"/>
      <c r="Z440" s="3"/>
      <c r="AA440" s="3"/>
    </row>
    <row r="441">
      <c r="L441" s="26"/>
      <c r="T441" s="5" t="s">
        <v>235</v>
      </c>
      <c r="U441" s="3">
        <v>3.0</v>
      </c>
      <c r="V441" s="19" t="str">
        <f>vlookup(T441,'Player Codes'!A:D,4,)</f>
        <v>0038</v>
      </c>
      <c r="W441" s="3"/>
      <c r="X441" s="3"/>
      <c r="Y441" s="3"/>
      <c r="Z441" s="3"/>
      <c r="AA441" s="3"/>
    </row>
    <row r="442">
      <c r="L442" s="26"/>
      <c r="T442" s="2" t="s">
        <v>1334</v>
      </c>
      <c r="U442" s="3">
        <v>5.0</v>
      </c>
      <c r="V442" s="21"/>
      <c r="W442" s="3"/>
      <c r="X442" s="3"/>
      <c r="Y442" s="3"/>
      <c r="Z442" s="3"/>
      <c r="AA442" s="3"/>
    </row>
    <row r="443">
      <c r="L443" s="26"/>
      <c r="T443" s="5" t="s">
        <v>14</v>
      </c>
      <c r="U443" s="3">
        <v>5.0</v>
      </c>
      <c r="V443" s="19" t="str">
        <f>vlookup(T443,'Player Codes'!A:D,4,)</f>
        <v>0055</v>
      </c>
      <c r="W443" s="3"/>
      <c r="X443" s="3"/>
      <c r="Y443" s="3"/>
      <c r="Z443" s="3"/>
      <c r="AA443" s="3"/>
    </row>
    <row r="444">
      <c r="L444" s="26"/>
      <c r="T444" s="5" t="s">
        <v>620</v>
      </c>
      <c r="U444" s="3">
        <v>3.0</v>
      </c>
      <c r="V444" s="19" t="str">
        <f>vlookup(T444,'Player Codes'!A:D,4,)</f>
        <v>0057</v>
      </c>
      <c r="W444" s="3"/>
      <c r="X444" s="3"/>
      <c r="Y444" s="3"/>
      <c r="Z444" s="3"/>
      <c r="AA444" s="3"/>
    </row>
    <row r="445">
      <c r="L445" s="26"/>
      <c r="T445" s="2" t="s">
        <v>668</v>
      </c>
      <c r="U445" s="3">
        <v>4.0</v>
      </c>
      <c r="V445" s="19" t="str">
        <f>vlookup(T445,'Player Codes'!A:D,4,)</f>
        <v>0060</v>
      </c>
      <c r="W445" s="3"/>
      <c r="X445" s="3"/>
      <c r="Y445" s="3"/>
      <c r="Z445" s="3"/>
      <c r="AA445" s="3"/>
    </row>
    <row r="446">
      <c r="L446" s="26"/>
      <c r="T446" s="5" t="s">
        <v>567</v>
      </c>
      <c r="U446" s="3">
        <v>6.0</v>
      </c>
      <c r="V446" s="19" t="str">
        <f>vlookup(T446,'Player Codes'!A:D,4,)</f>
        <v>0064</v>
      </c>
      <c r="W446" s="3"/>
      <c r="X446" s="3"/>
      <c r="Y446" s="3"/>
      <c r="Z446" s="3"/>
      <c r="AA446" s="3"/>
    </row>
    <row r="447">
      <c r="L447" s="26"/>
      <c r="T447" s="5" t="s">
        <v>272</v>
      </c>
      <c r="U447" s="3">
        <v>4.0</v>
      </c>
      <c r="V447" s="19" t="str">
        <f>vlookup(T447,'Player Codes'!A:D,4,)</f>
        <v>0067</v>
      </c>
      <c r="W447" s="3"/>
      <c r="X447" s="3"/>
      <c r="Y447" s="3"/>
      <c r="Z447" s="3"/>
      <c r="AA447" s="3"/>
    </row>
    <row r="448">
      <c r="L448" s="26"/>
      <c r="T448" s="2" t="s">
        <v>1370</v>
      </c>
      <c r="U448" s="3">
        <v>3.0</v>
      </c>
      <c r="V448" s="19" t="str">
        <f>vlookup(T448,'Player Codes'!A:D,4,)</f>
        <v>0301</v>
      </c>
      <c r="W448" s="3"/>
      <c r="X448" s="3"/>
      <c r="Y448" s="3"/>
      <c r="Z448" s="3"/>
      <c r="AA448" s="3"/>
    </row>
    <row r="449">
      <c r="L449" s="26"/>
      <c r="T449" s="5" t="s">
        <v>283</v>
      </c>
      <c r="U449" s="3">
        <v>5.0</v>
      </c>
      <c r="V449" s="19" t="str">
        <f>vlookup(T449,'Player Codes'!A:D,4,)</f>
        <v>0073</v>
      </c>
      <c r="W449" s="3"/>
      <c r="X449" s="3"/>
      <c r="Y449" s="3"/>
      <c r="Z449" s="3"/>
      <c r="AA449" s="3"/>
    </row>
    <row r="450">
      <c r="L450" s="26"/>
      <c r="T450" s="5" t="s">
        <v>163</v>
      </c>
      <c r="U450" s="3">
        <v>3.0</v>
      </c>
      <c r="V450" s="19" t="str">
        <f>vlookup(T450,'Player Codes'!A:D,4,)</f>
        <v>0074</v>
      </c>
      <c r="W450" s="3"/>
      <c r="X450" s="3"/>
      <c r="Y450" s="3"/>
      <c r="Z450" s="3"/>
      <c r="AA450" s="3"/>
    </row>
    <row r="451">
      <c r="L451" s="26"/>
      <c r="T451" s="5" t="s">
        <v>478</v>
      </c>
      <c r="U451" s="3">
        <v>5.0</v>
      </c>
      <c r="V451" s="19" t="str">
        <f>vlookup(T451,'Player Codes'!A:D,4,)</f>
        <v>0075</v>
      </c>
      <c r="W451" s="3"/>
      <c r="X451" s="3"/>
      <c r="Y451" s="3"/>
      <c r="Z451" s="3"/>
      <c r="AA451" s="3"/>
    </row>
    <row r="452">
      <c r="L452" s="26"/>
      <c r="T452" s="5" t="s">
        <v>1384</v>
      </c>
      <c r="U452" s="3">
        <v>6.0</v>
      </c>
      <c r="V452" s="21"/>
      <c r="W452" s="3"/>
      <c r="X452" s="3"/>
      <c r="Y452" s="3"/>
      <c r="Z452" s="3"/>
      <c r="AA452" s="3"/>
    </row>
    <row r="453">
      <c r="L453" s="26"/>
      <c r="T453" s="5" t="s">
        <v>1399</v>
      </c>
      <c r="U453" s="3">
        <v>4.0</v>
      </c>
      <c r="V453" s="21"/>
      <c r="W453" s="3"/>
      <c r="X453" s="3"/>
      <c r="Y453" s="3"/>
      <c r="Z453" s="3"/>
      <c r="AA453" s="3"/>
    </row>
    <row r="454">
      <c r="L454" s="26"/>
      <c r="T454" s="5" t="s">
        <v>109</v>
      </c>
      <c r="U454" s="3">
        <v>5.0</v>
      </c>
      <c r="V454" s="19" t="str">
        <f>vlookup(T454,'Player Codes'!A:D,4,)</f>
        <v>0082</v>
      </c>
      <c r="W454" s="3"/>
      <c r="X454" s="3"/>
      <c r="Y454" s="3"/>
      <c r="Z454" s="3"/>
      <c r="AA454" s="3"/>
    </row>
    <row r="455">
      <c r="L455" s="26"/>
      <c r="T455" s="5" t="s">
        <v>1413</v>
      </c>
      <c r="U455" s="3">
        <v>3.0</v>
      </c>
      <c r="V455" s="19" t="str">
        <f>vlookup(T455,'Player Codes'!A:D,4,)</f>
        <v>0302</v>
      </c>
      <c r="W455" s="3"/>
      <c r="X455" s="3"/>
      <c r="Y455" s="3"/>
      <c r="Z455" s="3"/>
      <c r="AA455" s="3"/>
    </row>
    <row r="456">
      <c r="L456" s="26"/>
      <c r="T456" s="5" t="s">
        <v>39</v>
      </c>
      <c r="U456" s="3">
        <v>4.0</v>
      </c>
      <c r="V456" s="19" t="str">
        <f>vlookup(T456,'Player Codes'!A:D,4,)</f>
        <v>0089</v>
      </c>
      <c r="W456" s="3"/>
      <c r="X456" s="3"/>
      <c r="Y456" s="3"/>
      <c r="Z456" s="3"/>
      <c r="AA456" s="3"/>
    </row>
    <row r="457">
      <c r="L457" s="26"/>
      <c r="T457" s="5" t="s">
        <v>513</v>
      </c>
      <c r="U457" s="3">
        <v>3.0</v>
      </c>
      <c r="V457" s="19" t="str">
        <f>vlookup(T457,'Player Codes'!A:D,4,)</f>
        <v>0094</v>
      </c>
      <c r="W457" s="3"/>
      <c r="X457" s="3"/>
      <c r="Y457" s="3"/>
      <c r="Z457" s="3"/>
      <c r="AA457" s="3"/>
    </row>
    <row r="458">
      <c r="L458" s="26"/>
      <c r="T458" s="5" t="s">
        <v>407</v>
      </c>
      <c r="U458" s="3">
        <v>4.0</v>
      </c>
      <c r="V458" s="19" t="str">
        <f>vlookup(T458,'Player Codes'!A:D,4,)</f>
        <v>0105</v>
      </c>
      <c r="W458" s="3"/>
      <c r="X458" s="3"/>
      <c r="Y458" s="3"/>
      <c r="Z458" s="3"/>
      <c r="AA458" s="3"/>
    </row>
    <row r="459">
      <c r="L459" s="26"/>
      <c r="T459" s="5" t="s">
        <v>396</v>
      </c>
      <c r="U459" s="3">
        <v>5.0</v>
      </c>
      <c r="V459" s="19" t="str">
        <f>vlookup(T459,'Player Codes'!A:D,4,)</f>
        <v>0109</v>
      </c>
      <c r="W459" s="3"/>
      <c r="X459" s="3"/>
      <c r="Y459" s="3"/>
      <c r="Z459" s="3"/>
      <c r="AA459" s="3"/>
    </row>
    <row r="460">
      <c r="L460" s="26"/>
      <c r="T460" s="2" t="s">
        <v>673</v>
      </c>
      <c r="U460" s="3">
        <v>4.0</v>
      </c>
      <c r="V460" s="19" t="str">
        <f>vlookup(T460,'Player Codes'!A:D,4,)</f>
        <v>0121</v>
      </c>
      <c r="W460" s="3"/>
      <c r="X460" s="3"/>
      <c r="Y460" s="3"/>
      <c r="Z460" s="3"/>
      <c r="AA460" s="3"/>
    </row>
    <row r="461">
      <c r="L461" s="26"/>
      <c r="T461" s="5" t="s">
        <v>1450</v>
      </c>
      <c r="U461" s="3">
        <v>2.0</v>
      </c>
      <c r="V461" s="21"/>
      <c r="W461" s="3"/>
      <c r="X461" s="3"/>
      <c r="Y461" s="3"/>
      <c r="Z461" s="3"/>
      <c r="AA461" s="3"/>
    </row>
    <row r="462">
      <c r="L462" s="26"/>
      <c r="T462" s="5" t="s">
        <v>1459</v>
      </c>
      <c r="U462" s="3">
        <v>3.0</v>
      </c>
      <c r="V462" s="21"/>
      <c r="W462" s="3"/>
      <c r="X462" s="3"/>
      <c r="Y462" s="3"/>
      <c r="Z462" s="3"/>
      <c r="AA462" s="3"/>
    </row>
    <row r="463">
      <c r="L463" s="26"/>
      <c r="T463" s="5" t="s">
        <v>142</v>
      </c>
      <c r="U463" s="3">
        <v>4.0</v>
      </c>
      <c r="V463" s="19" t="str">
        <f>vlookup(T463,'Player Codes'!A:D,4,)</f>
        <v>0130</v>
      </c>
      <c r="W463" s="3"/>
      <c r="X463" s="3"/>
      <c r="Y463" s="3"/>
      <c r="Z463" s="3"/>
      <c r="AA463" s="3"/>
    </row>
    <row r="464">
      <c r="L464" s="26"/>
      <c r="T464" s="5" t="s">
        <v>217</v>
      </c>
      <c r="U464" s="3">
        <v>3.0</v>
      </c>
      <c r="V464" s="19" t="str">
        <f>vlookup(T464,'Player Codes'!A:D,4,)</f>
        <v>0131</v>
      </c>
      <c r="W464" s="3"/>
      <c r="X464" s="3"/>
      <c r="Y464" s="3"/>
      <c r="Z464" s="3"/>
      <c r="AA464" s="3"/>
    </row>
    <row r="465">
      <c r="L465" s="26"/>
      <c r="T465" s="5" t="s">
        <v>113</v>
      </c>
      <c r="U465" s="3">
        <v>3.0</v>
      </c>
      <c r="V465" s="19" t="str">
        <f>vlookup(T465,'Player Codes'!A:D,4,)</f>
        <v>0135</v>
      </c>
      <c r="W465" s="3"/>
      <c r="X465" s="3"/>
      <c r="Y465" s="3"/>
      <c r="Z465" s="3"/>
      <c r="AA465" s="3"/>
    </row>
    <row r="466">
      <c r="L466" s="26"/>
      <c r="T466" s="5" t="s">
        <v>468</v>
      </c>
      <c r="U466" s="3">
        <v>5.0</v>
      </c>
      <c r="V466" s="19" t="str">
        <f>vlookup(T466,'Player Codes'!A:D,4,)</f>
        <v>0142</v>
      </c>
      <c r="W466" s="3"/>
      <c r="X466" s="3"/>
      <c r="Y466" s="3"/>
      <c r="Z466" s="3"/>
      <c r="AA466" s="3"/>
    </row>
    <row r="467">
      <c r="L467" s="26"/>
      <c r="T467" s="5" t="s">
        <v>98</v>
      </c>
      <c r="U467" s="3">
        <v>5.0</v>
      </c>
      <c r="V467" s="19" t="str">
        <f>vlookup(T467,'Player Codes'!A:D,4,)</f>
        <v>0143</v>
      </c>
      <c r="W467" s="3"/>
      <c r="X467" s="3"/>
      <c r="Y467" s="3"/>
      <c r="Z467" s="3"/>
      <c r="AA467" s="3"/>
    </row>
    <row r="468">
      <c r="L468" s="26"/>
      <c r="T468" s="5" t="s">
        <v>249</v>
      </c>
      <c r="U468" s="3">
        <v>3.0</v>
      </c>
      <c r="V468" s="19" t="str">
        <f>vlookup(T468,'Player Codes'!A:D,4,)</f>
        <v>0144</v>
      </c>
      <c r="W468" s="3"/>
      <c r="X468" s="3"/>
      <c r="Y468" s="3"/>
      <c r="Z468" s="3"/>
      <c r="AA468" s="3"/>
    </row>
    <row r="469">
      <c r="L469" s="26"/>
      <c r="T469" s="5" t="s">
        <v>1463</v>
      </c>
      <c r="U469" s="3">
        <v>2.0</v>
      </c>
      <c r="V469" s="21"/>
      <c r="W469" s="3"/>
      <c r="X469" s="3"/>
      <c r="Y469" s="3"/>
      <c r="Z469" s="3"/>
      <c r="AA469" s="3"/>
    </row>
    <row r="470">
      <c r="L470" s="26"/>
      <c r="T470" s="5" t="s">
        <v>260</v>
      </c>
      <c r="U470" s="3">
        <v>3.0</v>
      </c>
      <c r="V470" s="19" t="str">
        <f>vlookup(T470,'Player Codes'!A:D,4,)</f>
        <v>0149</v>
      </c>
      <c r="W470" s="3"/>
      <c r="X470" s="3"/>
      <c r="Y470" s="3"/>
      <c r="Z470" s="3"/>
      <c r="AA470" s="3"/>
    </row>
    <row r="471">
      <c r="L471" s="26"/>
      <c r="T471" s="5" t="s">
        <v>422</v>
      </c>
      <c r="U471" s="3">
        <v>3.0</v>
      </c>
      <c r="V471" s="19" t="str">
        <f>vlookup(T471,'Player Codes'!A:D,4,)</f>
        <v>0153</v>
      </c>
      <c r="W471" s="3"/>
      <c r="X471" s="3"/>
      <c r="Y471" s="3"/>
      <c r="Z471" s="3"/>
      <c r="AA471" s="3"/>
    </row>
    <row r="472">
      <c r="L472" s="26"/>
      <c r="T472" s="5" t="s">
        <v>440</v>
      </c>
      <c r="U472" s="3">
        <v>5.0</v>
      </c>
      <c r="V472" s="19" t="str">
        <f>vlookup(T472,'Player Codes'!A:D,4,)</f>
        <v>0154</v>
      </c>
      <c r="W472" s="3"/>
      <c r="X472" s="3"/>
      <c r="Y472" s="3"/>
      <c r="Z472" s="3"/>
      <c r="AA472" s="3"/>
    </row>
    <row r="473">
      <c r="L473" s="26"/>
      <c r="T473" s="5" t="s">
        <v>426</v>
      </c>
      <c r="U473" s="3">
        <v>4.0</v>
      </c>
      <c r="V473" s="19" t="str">
        <f>vlookup(T473,'Player Codes'!A:D,4,)</f>
        <v>0155</v>
      </c>
      <c r="W473" s="3"/>
      <c r="X473" s="3"/>
      <c r="Y473" s="3"/>
      <c r="Z473" s="3"/>
      <c r="AA473" s="3"/>
    </row>
    <row r="474">
      <c r="L474" s="26"/>
      <c r="T474" s="5" t="s">
        <v>558</v>
      </c>
      <c r="U474" s="3">
        <v>3.0</v>
      </c>
      <c r="V474" s="19" t="str">
        <f>vlookup(T474,'Player Codes'!A:D,4,)</f>
        <v>0156</v>
      </c>
      <c r="W474" s="3"/>
      <c r="X474" s="3"/>
      <c r="Y474" s="3"/>
      <c r="Z474" s="3"/>
      <c r="AA474" s="3"/>
    </row>
    <row r="475">
      <c r="L475" s="26"/>
      <c r="T475" s="5" t="s">
        <v>55</v>
      </c>
      <c r="U475" s="3">
        <v>5.0</v>
      </c>
      <c r="V475" s="19" t="str">
        <f>vlookup(T475,'Player Codes'!A:D,4,)</f>
        <v>0160</v>
      </c>
      <c r="W475" s="3"/>
      <c r="X475" s="3"/>
      <c r="Y475" s="3"/>
      <c r="Z475" s="3"/>
      <c r="AA475" s="3"/>
    </row>
    <row r="476">
      <c r="L476" s="26"/>
      <c r="T476" s="5" t="s">
        <v>1466</v>
      </c>
      <c r="U476" s="3">
        <v>3.0</v>
      </c>
      <c r="V476" s="21"/>
      <c r="W476" s="3"/>
      <c r="X476" s="3"/>
      <c r="Y476" s="3"/>
      <c r="Z476" s="3"/>
      <c r="AA476" s="3"/>
    </row>
    <row r="477">
      <c r="L477" s="26"/>
      <c r="T477" s="5" t="s">
        <v>51</v>
      </c>
      <c r="U477" s="3">
        <v>4.0</v>
      </c>
      <c r="V477" s="19" t="str">
        <f>vlookup(T477,'Player Codes'!A:D,4,)</f>
        <v>0164</v>
      </c>
      <c r="W477" s="3"/>
      <c r="X477" s="3"/>
      <c r="Y477" s="3"/>
      <c r="Z477" s="3"/>
      <c r="AA477" s="3"/>
    </row>
    <row r="478">
      <c r="L478" s="26"/>
      <c r="T478" s="5" t="s">
        <v>1470</v>
      </c>
      <c r="U478" s="3">
        <v>2.0</v>
      </c>
      <c r="V478" s="21"/>
      <c r="W478" s="3"/>
      <c r="X478" s="3"/>
      <c r="Y478" s="3"/>
      <c r="Z478" s="3"/>
      <c r="AA478" s="3"/>
    </row>
    <row r="479">
      <c r="L479" s="26"/>
      <c r="T479" s="5" t="s">
        <v>43</v>
      </c>
      <c r="U479" s="3">
        <v>4.0</v>
      </c>
      <c r="V479" s="19" t="str">
        <f>vlookup(T479,'Player Codes'!A:D,4,)</f>
        <v>0168</v>
      </c>
      <c r="W479" s="3"/>
      <c r="X479" s="3"/>
      <c r="Y479" s="3"/>
      <c r="Z479" s="3"/>
      <c r="AA479" s="3"/>
    </row>
    <row r="480">
      <c r="L480" s="26"/>
      <c r="T480" s="5" t="s">
        <v>1473</v>
      </c>
      <c r="U480" s="3">
        <v>3.0</v>
      </c>
      <c r="V480" s="19" t="str">
        <f>vlookup(T480,'Player Codes'!A:D,4,)</f>
        <v>0304</v>
      </c>
      <c r="W480" s="3"/>
      <c r="X480" s="3"/>
      <c r="Y480" s="3"/>
      <c r="Z480" s="3"/>
      <c r="AA480" s="3"/>
    </row>
    <row r="481">
      <c r="L481" s="26"/>
      <c r="T481" s="5" t="s">
        <v>1475</v>
      </c>
      <c r="U481" s="3">
        <v>2.0</v>
      </c>
      <c r="V481" s="21"/>
      <c r="W481" s="3"/>
      <c r="X481" s="3"/>
      <c r="Y481" s="3"/>
      <c r="Z481" s="3"/>
      <c r="AA481" s="3"/>
    </row>
    <row r="482">
      <c r="L482" s="26"/>
      <c r="T482" s="5" t="s">
        <v>1476</v>
      </c>
      <c r="U482" s="3">
        <v>4.0</v>
      </c>
      <c r="V482" s="21"/>
      <c r="W482" s="3"/>
      <c r="X482" s="3"/>
      <c r="Y482" s="3"/>
      <c r="Z482" s="3"/>
      <c r="AA482" s="3"/>
    </row>
    <row r="483">
      <c r="L483" s="26"/>
      <c r="T483" s="5" t="s">
        <v>1477</v>
      </c>
      <c r="U483" s="3">
        <v>3.0</v>
      </c>
      <c r="V483" s="21"/>
      <c r="W483" s="3"/>
      <c r="X483" s="3"/>
      <c r="Y483" s="3"/>
      <c r="Z483" s="3"/>
      <c r="AA483" s="3"/>
    </row>
    <row r="484">
      <c r="L484" s="26"/>
      <c r="T484" s="5" t="s">
        <v>530</v>
      </c>
      <c r="U484" s="3">
        <v>3.0</v>
      </c>
      <c r="V484" s="19" t="str">
        <f>vlookup(T484,'Player Codes'!A:D,4,)</f>
        <v>0183</v>
      </c>
      <c r="W484" s="3"/>
      <c r="X484" s="3"/>
      <c r="Y484" s="3"/>
      <c r="Z484" s="3"/>
      <c r="AA484" s="3"/>
    </row>
    <row r="485">
      <c r="L485" s="26"/>
      <c r="T485" s="5" t="s">
        <v>1480</v>
      </c>
      <c r="U485" s="3">
        <v>2.0</v>
      </c>
      <c r="V485" s="21"/>
      <c r="W485" s="3"/>
      <c r="X485" s="3"/>
      <c r="Y485" s="3"/>
      <c r="Z485" s="3"/>
      <c r="AA485" s="3"/>
    </row>
    <row r="486">
      <c r="L486" s="26"/>
      <c r="T486" s="5" t="s">
        <v>510</v>
      </c>
      <c r="U486" s="3">
        <v>2.0</v>
      </c>
      <c r="V486" s="19" t="str">
        <f>vlookup(T486,'Player Codes'!A:D,4,)</f>
        <v>0185</v>
      </c>
      <c r="W486" s="3"/>
      <c r="X486" s="3"/>
      <c r="Y486" s="3"/>
      <c r="Z486" s="3"/>
      <c r="AA486" s="3"/>
    </row>
    <row r="487">
      <c r="L487" s="26"/>
      <c r="T487" s="5" t="s">
        <v>1482</v>
      </c>
      <c r="U487" s="3">
        <v>4.0</v>
      </c>
      <c r="V487" s="21"/>
      <c r="W487" s="3"/>
      <c r="X487" s="3"/>
      <c r="Y487" s="3"/>
      <c r="Z487" s="3"/>
      <c r="AA487" s="3"/>
    </row>
    <row r="488">
      <c r="L488" s="26"/>
      <c r="T488" s="5" t="s">
        <v>1483</v>
      </c>
      <c r="U488" s="3">
        <v>4.0</v>
      </c>
      <c r="V488" s="21"/>
      <c r="W488" s="3"/>
      <c r="X488" s="3"/>
      <c r="Y488" s="3"/>
      <c r="Z488" s="3"/>
      <c r="AA488" s="3"/>
    </row>
    <row r="489">
      <c r="L489" s="26"/>
      <c r="T489" s="5" t="s">
        <v>1484</v>
      </c>
      <c r="U489" s="3">
        <v>2.0</v>
      </c>
      <c r="V489" s="21"/>
      <c r="W489" s="3"/>
      <c r="X489" s="3"/>
      <c r="Y489" s="3"/>
      <c r="Z489" s="3"/>
      <c r="AA489" s="3"/>
    </row>
    <row r="490">
      <c r="L490" s="26"/>
      <c r="T490" s="5" t="s">
        <v>225</v>
      </c>
      <c r="U490" s="3">
        <v>4.0</v>
      </c>
      <c r="V490" s="19" t="str">
        <f>vlookup(T490,'Player Codes'!A:D,4,)</f>
        <v>0188</v>
      </c>
      <c r="W490" s="3"/>
      <c r="X490" s="3"/>
      <c r="Y490" s="3"/>
      <c r="Z490" s="3"/>
      <c r="AA490" s="3"/>
    </row>
    <row r="491">
      <c r="L491" s="26"/>
      <c r="T491" s="5" t="s">
        <v>458</v>
      </c>
      <c r="U491" s="3">
        <v>3.0</v>
      </c>
      <c r="V491" s="19" t="str">
        <f>vlookup(T491,'Player Codes'!A:D,4,)</f>
        <v>0194</v>
      </c>
      <c r="W491" s="3"/>
      <c r="X491" s="3"/>
      <c r="Y491" s="3"/>
      <c r="Z491" s="3"/>
      <c r="AA491" s="3"/>
    </row>
    <row r="492">
      <c r="L492" s="26"/>
      <c r="T492" s="5" t="s">
        <v>1485</v>
      </c>
      <c r="U492" s="3">
        <v>5.0</v>
      </c>
      <c r="V492" s="21"/>
      <c r="W492" s="3"/>
      <c r="X492" s="3"/>
      <c r="Y492" s="3"/>
      <c r="Z492" s="3"/>
      <c r="AA492" s="3"/>
    </row>
    <row r="493">
      <c r="L493" s="26"/>
      <c r="T493" s="5" t="s">
        <v>1486</v>
      </c>
      <c r="U493" s="3">
        <v>5.0</v>
      </c>
      <c r="V493" s="21"/>
      <c r="W493" s="3"/>
      <c r="X493" s="3"/>
      <c r="Y493" s="3"/>
      <c r="Z493" s="3"/>
      <c r="AA493" s="3"/>
    </row>
    <row r="494">
      <c r="L494" s="26"/>
      <c r="T494" s="5" t="s">
        <v>594</v>
      </c>
      <c r="U494" s="3">
        <v>4.0</v>
      </c>
      <c r="V494" s="19" t="str">
        <f>vlookup(T494,'Player Codes'!A:D,4,)</f>
        <v>0207</v>
      </c>
      <c r="W494" s="3"/>
      <c r="X494" s="3"/>
      <c r="Y494" s="3"/>
      <c r="Z494" s="3"/>
      <c r="AA494" s="3"/>
    </row>
    <row r="495">
      <c r="L495" s="26"/>
      <c r="T495" s="5" t="s">
        <v>1487</v>
      </c>
      <c r="U495" s="3">
        <v>5.0</v>
      </c>
      <c r="V495" s="21"/>
      <c r="W495" s="3"/>
      <c r="X495" s="3"/>
      <c r="Y495" s="3"/>
      <c r="Z495" s="3"/>
      <c r="AA495" s="3"/>
    </row>
    <row r="496">
      <c r="L496" s="26"/>
      <c r="T496" s="5" t="s">
        <v>1471</v>
      </c>
      <c r="U496" s="3">
        <v>3.0</v>
      </c>
      <c r="V496" s="19" t="str">
        <f>vlookup(T496,'Player Codes'!A:D,4,)</f>
        <v>0303</v>
      </c>
      <c r="W496" s="3"/>
      <c r="X496" s="3"/>
      <c r="Y496" s="3"/>
      <c r="Z496" s="3"/>
      <c r="AA496" s="3"/>
    </row>
    <row r="497">
      <c r="L497" s="26"/>
      <c r="T497" s="5" t="s">
        <v>83</v>
      </c>
      <c r="U497" s="3">
        <v>5.0</v>
      </c>
      <c r="V497" s="19" t="str">
        <f>vlookup(T497,'Player Codes'!A:D,4,)</f>
        <v>0221</v>
      </c>
      <c r="W497" s="3"/>
      <c r="X497" s="3"/>
      <c r="Y497" s="3"/>
      <c r="Z497" s="3"/>
      <c r="AA497" s="3"/>
    </row>
    <row r="498">
      <c r="L498" s="26"/>
      <c r="T498" s="5" t="s">
        <v>75</v>
      </c>
      <c r="U498" s="3">
        <v>4.0</v>
      </c>
      <c r="V498" s="19" t="str">
        <f>vlookup(T498,'Player Codes'!A:D,4,)</f>
        <v>0223</v>
      </c>
      <c r="W498" s="3"/>
      <c r="X498" s="3"/>
      <c r="Y498" s="3"/>
      <c r="Z498" s="3"/>
      <c r="AA498" s="3"/>
    </row>
    <row r="499">
      <c r="L499" s="26"/>
      <c r="T499" s="5" t="s">
        <v>22</v>
      </c>
      <c r="U499" s="3">
        <v>5.0</v>
      </c>
      <c r="V499" s="19" t="str">
        <f>vlookup(T499,'Player Codes'!A:D,4,)</f>
        <v>0228</v>
      </c>
      <c r="W499" s="3"/>
      <c r="X499" s="3"/>
      <c r="Y499" s="3"/>
      <c r="Z499" s="3"/>
      <c r="AA499" s="3"/>
    </row>
    <row r="500">
      <c r="L500" s="26"/>
      <c r="T500" s="5" t="s">
        <v>1489</v>
      </c>
      <c r="U500" s="3">
        <v>3.0</v>
      </c>
      <c r="V500" s="21"/>
      <c r="W500" s="3"/>
      <c r="X500" s="3"/>
      <c r="Y500" s="3"/>
      <c r="Z500" s="3"/>
      <c r="AA500" s="3"/>
    </row>
    <row r="501">
      <c r="L501" s="26"/>
      <c r="T501" s="5" t="s">
        <v>1490</v>
      </c>
      <c r="U501" s="3">
        <v>3.0</v>
      </c>
      <c r="V501" s="21"/>
      <c r="W501" s="3"/>
      <c r="X501" s="3"/>
      <c r="Y501" s="3"/>
      <c r="Z501" s="3"/>
      <c r="AA501" s="3"/>
    </row>
    <row r="502">
      <c r="L502" s="26"/>
      <c r="T502" s="5" t="s">
        <v>254</v>
      </c>
      <c r="U502" s="3">
        <v>4.0</v>
      </c>
      <c r="V502" s="19" t="str">
        <f>vlookup(T502,'Player Codes'!A:D,4,)</f>
        <v>0240</v>
      </c>
      <c r="W502" s="3"/>
      <c r="X502" s="3"/>
      <c r="Y502" s="3"/>
      <c r="Z502" s="3"/>
      <c r="AA502" s="3"/>
    </row>
    <row r="503">
      <c r="L503" s="26"/>
      <c r="T503" s="5" t="s">
        <v>393</v>
      </c>
      <c r="U503" s="3">
        <v>6.0</v>
      </c>
      <c r="V503" s="19" t="str">
        <f>vlookup(T503,'Player Codes'!A:D,4,)</f>
        <v>0241</v>
      </c>
      <c r="W503" s="3"/>
      <c r="X503" s="3"/>
      <c r="Y503" s="3"/>
      <c r="Z503" s="3"/>
      <c r="AA503" s="3"/>
    </row>
    <row r="504">
      <c r="L504" s="26"/>
      <c r="T504" s="5" t="s">
        <v>400</v>
      </c>
      <c r="U504" s="3">
        <v>5.0</v>
      </c>
      <c r="V504" s="19" t="str">
        <f>vlookup(T504,'Player Codes'!A:D,4,)</f>
        <v>0242</v>
      </c>
      <c r="W504" s="3"/>
      <c r="X504" s="3"/>
      <c r="Y504" s="3"/>
      <c r="Z504" s="3"/>
      <c r="AA504" s="3"/>
    </row>
    <row r="505">
      <c r="L505" s="26"/>
      <c r="T505" s="5" t="s">
        <v>63</v>
      </c>
      <c r="U505" s="3">
        <v>4.0</v>
      </c>
      <c r="V505" s="19" t="str">
        <f>vlookup(T505,'Player Codes'!A:D,4,)</f>
        <v>0246</v>
      </c>
      <c r="W505" s="3"/>
      <c r="X505" s="3"/>
      <c r="Y505" s="3"/>
      <c r="Z505" s="3"/>
      <c r="AA505" s="3"/>
    </row>
    <row r="506">
      <c r="L506" s="26"/>
      <c r="T506" s="5" t="s">
        <v>1491</v>
      </c>
      <c r="U506" s="3">
        <v>5.0</v>
      </c>
      <c r="V506" s="21"/>
      <c r="W506" s="3"/>
      <c r="X506" s="3"/>
      <c r="Y506" s="3"/>
      <c r="Z506" s="3"/>
      <c r="AA506" s="3"/>
    </row>
    <row r="507">
      <c r="L507" s="26"/>
      <c r="T507" s="5" t="s">
        <v>341</v>
      </c>
      <c r="U507" s="3">
        <v>4.0</v>
      </c>
      <c r="V507" s="19" t="str">
        <f>vlookup(T507,'Player Codes'!A:D,4,)</f>
        <v>0257</v>
      </c>
      <c r="W507" s="3"/>
      <c r="X507" s="3"/>
      <c r="Y507" s="3"/>
      <c r="Z507" s="3"/>
      <c r="AA507" s="3"/>
    </row>
    <row r="508">
      <c r="L508" s="26"/>
      <c r="T508" s="5" t="s">
        <v>26</v>
      </c>
      <c r="U508" s="3">
        <v>5.0</v>
      </c>
      <c r="V508" s="19" t="str">
        <f>vlookup(T508,'Player Codes'!A:D,4,)</f>
        <v>0259</v>
      </c>
      <c r="W508" s="3"/>
      <c r="X508" s="3"/>
      <c r="Y508" s="3"/>
      <c r="Z508" s="3"/>
      <c r="AA508" s="3"/>
    </row>
    <row r="509">
      <c r="L509" s="26"/>
      <c r="T509" s="5" t="s">
        <v>451</v>
      </c>
      <c r="U509" s="3">
        <v>2.0</v>
      </c>
      <c r="V509" s="19" t="str">
        <f>vlookup(T509,'Player Codes'!A:D,4,)</f>
        <v>0266</v>
      </c>
      <c r="W509" s="3"/>
      <c r="X509" s="3"/>
      <c r="Y509" s="3"/>
      <c r="Z509" s="3"/>
      <c r="AA509" s="3"/>
    </row>
    <row r="510">
      <c r="L510" s="26"/>
      <c r="T510" s="5" t="s">
        <v>35</v>
      </c>
      <c r="U510" s="3">
        <v>4.0</v>
      </c>
      <c r="V510" s="19" t="str">
        <f>vlookup(T510,'Player Codes'!A:D,4,)</f>
        <v>0274</v>
      </c>
      <c r="W510" s="3"/>
      <c r="X510" s="3"/>
      <c r="Y510" s="3"/>
      <c r="Z510" s="3"/>
      <c r="AA510" s="3"/>
    </row>
    <row r="511">
      <c r="L511" s="26"/>
      <c r="T511" s="5" t="s">
        <v>1494</v>
      </c>
      <c r="U511" s="3">
        <v>3.0</v>
      </c>
      <c r="V511" s="21"/>
      <c r="W511" s="3"/>
      <c r="X511" s="3"/>
      <c r="Y511" s="3"/>
      <c r="Z511" s="3"/>
      <c r="AA511" s="3"/>
    </row>
    <row r="512">
      <c r="L512" s="26"/>
      <c r="T512" s="5" t="s">
        <v>1496</v>
      </c>
      <c r="U512" s="3">
        <v>2.0</v>
      </c>
      <c r="V512" s="21"/>
      <c r="W512" s="3"/>
      <c r="X512" s="3"/>
      <c r="Y512" s="3"/>
      <c r="Z512" s="3"/>
      <c r="AA512" s="3"/>
    </row>
    <row r="513">
      <c r="L513" s="26"/>
      <c r="T513" s="5" t="s">
        <v>1498</v>
      </c>
      <c r="U513" s="3">
        <v>3.0</v>
      </c>
      <c r="V513" s="21"/>
      <c r="W513" s="3"/>
      <c r="X513" s="3"/>
      <c r="Y513" s="3"/>
      <c r="Z513" s="3"/>
      <c r="AA513" s="3"/>
    </row>
    <row r="514">
      <c r="L514" s="26"/>
      <c r="T514" s="5" t="s">
        <v>696</v>
      </c>
      <c r="U514" s="3">
        <v>2.0</v>
      </c>
      <c r="V514" s="19" t="str">
        <f>vlookup(T514,'Player Codes'!A:D,4,)</f>
        <v>0282</v>
      </c>
      <c r="W514" s="3"/>
      <c r="X514" s="3"/>
      <c r="Y514" s="3"/>
      <c r="Z514" s="3"/>
      <c r="AA514" s="3"/>
    </row>
    <row r="515">
      <c r="L515" s="26"/>
      <c r="T515" s="5" t="s">
        <v>1501</v>
      </c>
      <c r="U515" s="3">
        <v>5.0</v>
      </c>
      <c r="V515" s="21"/>
      <c r="W515" s="3"/>
      <c r="X515" s="3"/>
      <c r="Y515" s="3"/>
      <c r="Z515" s="3"/>
      <c r="AA515" s="3"/>
    </row>
    <row r="516">
      <c r="L516" s="26"/>
      <c r="T516" s="5" t="s">
        <v>585</v>
      </c>
      <c r="U516" s="3">
        <v>2.0</v>
      </c>
      <c r="V516" s="19" t="str">
        <f>vlookup(T516,'Player Codes'!A:D,4,)</f>
        <v>0283</v>
      </c>
      <c r="W516" s="3"/>
      <c r="X516" s="3"/>
      <c r="Y516" s="3"/>
      <c r="Z516" s="3"/>
      <c r="AA516" s="3"/>
    </row>
    <row r="517">
      <c r="L517" s="26"/>
      <c r="T517" s="5" t="s">
        <v>461</v>
      </c>
      <c r="U517" s="3">
        <v>3.0</v>
      </c>
      <c r="V517" s="19" t="str">
        <f>vlookup(T517,'Player Codes'!A:D,4,)</f>
        <v>0284</v>
      </c>
      <c r="W517" s="3"/>
      <c r="X517" s="3"/>
      <c r="Y517" s="3"/>
      <c r="Z517" s="3"/>
      <c r="AA517" s="3"/>
    </row>
    <row r="518">
      <c r="L518" s="26"/>
      <c r="T518" s="5" t="s">
        <v>1504</v>
      </c>
      <c r="U518" s="3">
        <v>2.0</v>
      </c>
      <c r="V518" s="21"/>
      <c r="W518" s="3"/>
      <c r="X518" s="3"/>
      <c r="Y518" s="3"/>
      <c r="Z518" s="3"/>
      <c r="AA518" s="3"/>
    </row>
    <row r="519">
      <c r="L519" s="26"/>
      <c r="T519" s="5" t="s">
        <v>368</v>
      </c>
      <c r="U519" s="3">
        <v>3.0</v>
      </c>
      <c r="V519" s="19" t="str">
        <f>vlookup(T519,'Player Codes'!A:D,4,)</f>
        <v>0296</v>
      </c>
      <c r="W519" s="3"/>
      <c r="X519" s="3"/>
      <c r="Y519" s="3"/>
      <c r="Z519" s="3"/>
      <c r="AA519" s="3"/>
    </row>
    <row r="520">
      <c r="L520" s="26"/>
      <c r="T520" s="5" t="s">
        <v>1505</v>
      </c>
      <c r="U520" s="3">
        <v>3.0</v>
      </c>
      <c r="V520" s="21"/>
      <c r="W520" s="3"/>
      <c r="X520" s="3"/>
      <c r="Y520" s="3"/>
      <c r="Z520" s="3"/>
      <c r="AA520" s="3"/>
    </row>
    <row r="521">
      <c r="L521" s="26"/>
      <c r="T521" s="5" t="s">
        <v>790</v>
      </c>
      <c r="U521" s="3">
        <v>2.0</v>
      </c>
      <c r="V521" s="19" t="str">
        <f>vlookup(T521,'Player Codes'!A:D,4,)</f>
        <v>0298</v>
      </c>
      <c r="W521" s="3"/>
      <c r="X521" s="3"/>
      <c r="Y521" s="3"/>
      <c r="Z521" s="3"/>
      <c r="AA521" s="3"/>
    </row>
    <row r="522">
      <c r="L522" s="26"/>
      <c r="T522" s="5" t="s">
        <v>1508</v>
      </c>
      <c r="U522" s="3">
        <v>2.0</v>
      </c>
      <c r="V522" s="21"/>
      <c r="W522" s="3"/>
      <c r="X522" s="3"/>
      <c r="Y522" s="3"/>
      <c r="Z522" s="3"/>
      <c r="AA522" s="3"/>
    </row>
    <row r="523">
      <c r="L523" s="26"/>
      <c r="T523" s="5" t="s">
        <v>196</v>
      </c>
      <c r="U523" s="3">
        <v>5.0</v>
      </c>
      <c r="V523" s="19" t="str">
        <f>vlookup(T523,'Player Codes'!A:D,4,)</f>
        <v>0003</v>
      </c>
      <c r="W523" s="3"/>
      <c r="X523" s="3"/>
      <c r="Y523" s="3"/>
      <c r="Z523" s="3"/>
      <c r="AA523" s="3"/>
    </row>
    <row r="524">
      <c r="L524" s="26"/>
      <c r="T524" s="5" t="s">
        <v>1281</v>
      </c>
      <c r="U524" s="3">
        <v>5.0</v>
      </c>
      <c r="V524" s="21"/>
      <c r="W524" s="3"/>
      <c r="X524" s="3"/>
      <c r="Y524" s="3"/>
      <c r="Z524" s="3"/>
      <c r="AA524" s="3"/>
    </row>
    <row r="525">
      <c r="L525" s="26"/>
      <c r="T525" s="2" t="s">
        <v>288</v>
      </c>
      <c r="U525" s="3">
        <v>3.0</v>
      </c>
      <c r="V525" s="19" t="str">
        <f>vlookup(T525,'Player Codes'!A:D,4,)</f>
        <v>0014</v>
      </c>
      <c r="W525" s="3"/>
      <c r="X525" s="3"/>
      <c r="Y525" s="3"/>
      <c r="Z525" s="3"/>
      <c r="AA525" s="3"/>
    </row>
    <row r="526">
      <c r="L526" s="26"/>
      <c r="T526" s="5" t="s">
        <v>564</v>
      </c>
      <c r="U526" s="3">
        <v>4.0</v>
      </c>
      <c r="V526" s="19" t="str">
        <f>vlookup(T526,'Player Codes'!A:D,4,)</f>
        <v>0019</v>
      </c>
      <c r="W526" s="3"/>
      <c r="X526" s="3"/>
      <c r="Y526" s="3"/>
      <c r="Z526" s="3"/>
      <c r="AA526" s="3"/>
    </row>
    <row r="527">
      <c r="L527" s="26"/>
      <c r="T527" s="5" t="s">
        <v>1294</v>
      </c>
      <c r="U527" s="3">
        <v>4.0</v>
      </c>
      <c r="V527" s="21"/>
      <c r="W527" s="3"/>
      <c r="X527" s="3"/>
      <c r="Y527" s="3"/>
      <c r="Z527" s="3"/>
      <c r="AA527" s="3"/>
    </row>
    <row r="528">
      <c r="L528" s="26"/>
      <c r="T528" s="5" t="s">
        <v>382</v>
      </c>
      <c r="U528" s="3">
        <v>2.0</v>
      </c>
      <c r="V528" s="19" t="str">
        <f>vlookup(T528,'Player Codes'!A:D,4,)</f>
        <v>0029</v>
      </c>
      <c r="W528" s="3"/>
      <c r="X528" s="3"/>
      <c r="Y528" s="3"/>
      <c r="Z528" s="3"/>
      <c r="AA528" s="3"/>
    </row>
    <row r="529">
      <c r="L529" s="26"/>
      <c r="T529" s="5" t="s">
        <v>306</v>
      </c>
      <c r="U529" s="3">
        <v>3.0</v>
      </c>
      <c r="V529" s="19" t="str">
        <f>vlookup(T529,'Player Codes'!A:D,4,)</f>
        <v>0030</v>
      </c>
      <c r="W529" s="3"/>
      <c r="X529" s="3"/>
      <c r="Y529" s="3"/>
      <c r="Z529" s="3"/>
      <c r="AA529" s="3"/>
    </row>
    <row r="530">
      <c r="L530" s="26"/>
      <c r="T530" s="5" t="s">
        <v>346</v>
      </c>
      <c r="U530" s="3">
        <v>2.0</v>
      </c>
      <c r="V530" s="19" t="str">
        <f>vlookup(T530,'Player Codes'!A:D,4,)</f>
        <v>0032</v>
      </c>
      <c r="W530" s="3"/>
      <c r="X530" s="3"/>
      <c r="Y530" s="3"/>
      <c r="Z530" s="3"/>
      <c r="AA530" s="3"/>
    </row>
    <row r="531">
      <c r="L531" s="26"/>
      <c r="T531" s="5" t="s">
        <v>1327</v>
      </c>
      <c r="U531" s="3">
        <v>5.0</v>
      </c>
      <c r="V531" s="21"/>
      <c r="W531" s="3"/>
      <c r="X531" s="3"/>
      <c r="Y531" s="3"/>
      <c r="Z531" s="3"/>
      <c r="AA531" s="3"/>
    </row>
    <row r="532">
      <c r="L532" s="26"/>
      <c r="T532" s="5" t="s">
        <v>1356</v>
      </c>
      <c r="U532" s="3">
        <v>4.0</v>
      </c>
      <c r="V532" s="21"/>
      <c r="W532" s="3"/>
      <c r="X532" s="3"/>
      <c r="Y532" s="3"/>
      <c r="Z532" s="3"/>
      <c r="AA532" s="3"/>
    </row>
    <row r="533">
      <c r="L533" s="26"/>
      <c r="T533" s="5" t="s">
        <v>229</v>
      </c>
      <c r="U533" s="3">
        <v>4.0</v>
      </c>
      <c r="V533" s="19" t="str">
        <f>vlookup(T533,'Player Codes'!A:D,4,)</f>
        <v>0068</v>
      </c>
      <c r="W533" s="3"/>
      <c r="X533" s="3"/>
      <c r="Y533" s="3"/>
      <c r="Z533" s="3"/>
      <c r="AA533" s="3"/>
    </row>
    <row r="534">
      <c r="L534" s="26"/>
      <c r="T534" s="5" t="s">
        <v>173</v>
      </c>
      <c r="U534" s="3">
        <v>5.0</v>
      </c>
      <c r="V534" s="19" t="str">
        <f>vlookup(T534,'Player Codes'!A:D,4,)</f>
        <v>0077</v>
      </c>
      <c r="W534" s="3"/>
      <c r="X534" s="3"/>
      <c r="Y534" s="3"/>
      <c r="Z534" s="3"/>
      <c r="AA534" s="3"/>
    </row>
    <row r="535">
      <c r="L535" s="26"/>
      <c r="T535" s="5" t="s">
        <v>1409</v>
      </c>
      <c r="U535" s="3">
        <v>2.0</v>
      </c>
      <c r="V535" s="21"/>
      <c r="W535" s="3"/>
      <c r="X535" s="3"/>
      <c r="Y535" s="3"/>
      <c r="Z535" s="3"/>
      <c r="AA535" s="3"/>
    </row>
    <row r="536">
      <c r="L536" s="26"/>
      <c r="T536" s="5" t="s">
        <v>269</v>
      </c>
      <c r="U536" s="3">
        <v>4.0</v>
      </c>
      <c r="V536" s="19" t="str">
        <f>vlookup(T536,'Player Codes'!A:D,4,)</f>
        <v>0088</v>
      </c>
      <c r="W536" s="3"/>
      <c r="X536" s="3"/>
      <c r="Y536" s="3"/>
      <c r="Z536" s="3"/>
      <c r="AA536" s="3"/>
    </row>
    <row r="537">
      <c r="L537" s="26"/>
      <c r="T537" s="5" t="s">
        <v>275</v>
      </c>
      <c r="U537" s="3">
        <v>3.0</v>
      </c>
      <c r="V537" s="19" t="str">
        <f>vlookup(T537,'Player Codes'!A:D,4,)</f>
        <v>0090</v>
      </c>
      <c r="W537" s="3"/>
      <c r="X537" s="3"/>
      <c r="Y537" s="3"/>
      <c r="Z537" s="3"/>
      <c r="AA537" s="3"/>
    </row>
    <row r="538">
      <c r="L538" s="26"/>
      <c r="T538" s="5" t="s">
        <v>364</v>
      </c>
      <c r="U538" s="3">
        <v>2.0</v>
      </c>
      <c r="V538" s="19" t="str">
        <f>vlookup(T538,'Player Codes'!A:D,4,)</f>
        <v>0091</v>
      </c>
      <c r="W538" s="3"/>
      <c r="X538" s="3"/>
      <c r="Y538" s="3"/>
      <c r="Z538" s="3"/>
      <c r="AA538" s="3"/>
    </row>
    <row r="539">
      <c r="L539" s="26"/>
      <c r="T539" s="5" t="s">
        <v>1432</v>
      </c>
      <c r="U539" s="3">
        <v>3.0</v>
      </c>
      <c r="V539" s="21"/>
      <c r="W539" s="3"/>
      <c r="X539" s="3"/>
      <c r="Y539" s="3"/>
      <c r="Z539" s="3"/>
      <c r="AA539" s="3"/>
    </row>
    <row r="540">
      <c r="L540" s="26"/>
      <c r="T540" s="5" t="s">
        <v>1440</v>
      </c>
      <c r="U540" s="3">
        <v>3.0</v>
      </c>
      <c r="V540" s="21"/>
      <c r="W540" s="3"/>
      <c r="X540" s="3"/>
      <c r="Y540" s="3"/>
      <c r="Z540" s="3"/>
      <c r="AA540" s="3"/>
    </row>
    <row r="541">
      <c r="L541" s="26"/>
      <c r="T541" s="5" t="s">
        <v>227</v>
      </c>
      <c r="U541" s="3">
        <v>4.0</v>
      </c>
      <c r="V541" s="19" t="str">
        <f>vlookup(T541,'Player Codes'!A:D,4,)</f>
        <v>0112</v>
      </c>
      <c r="W541" s="3"/>
      <c r="X541" s="3"/>
      <c r="Y541" s="3"/>
      <c r="Z541" s="3"/>
      <c r="AA541" s="3"/>
    </row>
    <row r="542">
      <c r="L542" s="26"/>
      <c r="T542" s="5" t="s">
        <v>1452</v>
      </c>
      <c r="U542" s="3">
        <v>3.0</v>
      </c>
      <c r="V542" s="21"/>
      <c r="W542" s="3"/>
      <c r="X542" s="3"/>
      <c r="Y542" s="3"/>
      <c r="Z542" s="3"/>
      <c r="AA542" s="3"/>
    </row>
    <row r="543">
      <c r="L543" s="26"/>
      <c r="T543" s="5" t="s">
        <v>1461</v>
      </c>
      <c r="U543" s="3">
        <v>3.0</v>
      </c>
      <c r="V543" s="21"/>
      <c r="W543" s="3"/>
      <c r="X543" s="3"/>
      <c r="Y543" s="3"/>
      <c r="Z543" s="3"/>
      <c r="AA543" s="3"/>
    </row>
    <row r="544">
      <c r="L544" s="26"/>
      <c r="T544" s="5" t="s">
        <v>264</v>
      </c>
      <c r="U544" s="3">
        <v>3.0</v>
      </c>
      <c r="V544" s="19" t="str">
        <f>vlookup(T544,'Player Codes'!A:D,4,)</f>
        <v>0140</v>
      </c>
      <c r="W544" s="3"/>
      <c r="X544" s="3"/>
      <c r="Y544" s="3"/>
      <c r="Z544" s="3"/>
      <c r="AA544" s="3"/>
    </row>
    <row r="545">
      <c r="L545" s="26"/>
      <c r="T545" s="5" t="s">
        <v>290</v>
      </c>
      <c r="U545" s="3">
        <v>3.0</v>
      </c>
      <c r="V545" s="19" t="str">
        <f>vlookup(T545,'Player Codes'!A:D,4,)</f>
        <v>0146</v>
      </c>
      <c r="W545" s="3"/>
      <c r="X545" s="3"/>
      <c r="Y545" s="3"/>
      <c r="Z545" s="3"/>
      <c r="AA545" s="3"/>
    </row>
    <row r="546">
      <c r="L546" s="26"/>
      <c r="T546" s="5" t="s">
        <v>194</v>
      </c>
      <c r="U546" s="3">
        <v>6.0</v>
      </c>
      <c r="V546" s="19" t="str">
        <f>vlookup(T546,'Player Codes'!A:D,4,)</f>
        <v>0158</v>
      </c>
      <c r="W546" s="3"/>
      <c r="X546" s="3"/>
      <c r="Y546" s="3"/>
      <c r="Z546" s="3"/>
      <c r="AA546" s="3"/>
    </row>
    <row r="547">
      <c r="L547" s="26"/>
      <c r="T547" s="5" t="s">
        <v>207</v>
      </c>
      <c r="U547" s="3">
        <v>4.0</v>
      </c>
      <c r="V547" s="19" t="str">
        <f>vlookup(T547,'Player Codes'!A:D,4,)</f>
        <v>0159</v>
      </c>
      <c r="W547" s="3"/>
      <c r="X547" s="3"/>
      <c r="Y547" s="3"/>
      <c r="Z547" s="3"/>
      <c r="AA547" s="3"/>
    </row>
    <row r="548">
      <c r="L548" s="26"/>
      <c r="T548" s="5" t="s">
        <v>344</v>
      </c>
      <c r="U548" s="3">
        <v>2.0</v>
      </c>
      <c r="V548" s="19" t="str">
        <f>vlookup(T548,'Player Codes'!A:D,4,)</f>
        <v>0166</v>
      </c>
      <c r="W548" s="3"/>
      <c r="X548" s="3"/>
      <c r="Y548" s="3"/>
      <c r="Z548" s="3"/>
      <c r="AA548" s="3"/>
    </row>
    <row r="549">
      <c r="L549" s="26"/>
      <c r="T549" s="5" t="s">
        <v>251</v>
      </c>
      <c r="U549" s="3">
        <v>3.0</v>
      </c>
      <c r="V549" s="19" t="str">
        <f>vlookup(T549,'Player Codes'!A:D,4,)</f>
        <v>0167</v>
      </c>
      <c r="W549" s="3"/>
      <c r="X549" s="3"/>
      <c r="Y549" s="3"/>
      <c r="Z549" s="3"/>
      <c r="AA549" s="3"/>
    </row>
    <row r="550">
      <c r="L550" s="26"/>
      <c r="T550" s="2" t="s">
        <v>222</v>
      </c>
      <c r="U550" s="3">
        <v>4.0</v>
      </c>
      <c r="V550" s="19" t="str">
        <f>vlookup(T550,'Player Codes'!A:D,4,)</f>
        <v>0172</v>
      </c>
      <c r="W550" s="3"/>
      <c r="X550" s="3"/>
      <c r="Y550" s="3"/>
      <c r="Z550" s="3"/>
      <c r="AA550" s="3"/>
    </row>
    <row r="551">
      <c r="L551" s="26"/>
      <c r="T551" s="5" t="s">
        <v>219</v>
      </c>
      <c r="U551" s="3">
        <v>4.0</v>
      </c>
      <c r="V551" s="19" t="str">
        <f>vlookup(T551,'Player Codes'!A:D,4,)</f>
        <v>0173</v>
      </c>
      <c r="W551" s="3"/>
      <c r="X551" s="3"/>
      <c r="Y551" s="3"/>
      <c r="Z551" s="3"/>
      <c r="AA551" s="3"/>
    </row>
    <row r="552">
      <c r="L552" s="26"/>
      <c r="T552" s="5" t="s">
        <v>334</v>
      </c>
      <c r="U552" s="3">
        <v>2.0</v>
      </c>
      <c r="V552" s="19" t="str">
        <f>vlookup(T552,'Player Codes'!A:D,4,)</f>
        <v>0187</v>
      </c>
      <c r="W552" s="3"/>
      <c r="X552" s="3"/>
      <c r="Y552" s="3"/>
      <c r="Z552" s="3"/>
      <c r="AA552" s="3"/>
    </row>
    <row r="553">
      <c r="L553" s="26"/>
      <c r="T553" s="5" t="s">
        <v>237</v>
      </c>
      <c r="U553" s="3">
        <v>4.0</v>
      </c>
      <c r="V553" s="19" t="str">
        <f>vlookup(T553,'Player Codes'!A:D,4,)</f>
        <v>0190</v>
      </c>
      <c r="W553" s="3"/>
      <c r="X553" s="3"/>
      <c r="Y553" s="3"/>
      <c r="Z553" s="3"/>
      <c r="AA553" s="3"/>
    </row>
    <row r="554">
      <c r="L554" s="26"/>
      <c r="T554" s="5" t="s">
        <v>878</v>
      </c>
      <c r="U554" s="3">
        <v>2.0</v>
      </c>
      <c r="V554" s="19" t="str">
        <f>vlookup(T554,'Player Codes'!A:D,4,)</f>
        <v>0192</v>
      </c>
      <c r="W554" s="3"/>
      <c r="X554" s="3"/>
      <c r="Y554" s="3"/>
      <c r="Z554" s="3"/>
      <c r="AA554" s="3"/>
    </row>
    <row r="555">
      <c r="L555" s="26"/>
      <c r="T555" s="5" t="s">
        <v>352</v>
      </c>
      <c r="U555" s="3">
        <v>4.0</v>
      </c>
      <c r="V555" s="19" t="str">
        <f>vlookup(T555,'Player Codes'!A:D,4,)</f>
        <v>0193</v>
      </c>
      <c r="W555" s="3"/>
      <c r="X555" s="3"/>
      <c r="Y555" s="3"/>
      <c r="Z555" s="3"/>
      <c r="AA555" s="3"/>
    </row>
    <row r="556">
      <c r="L556" s="26"/>
      <c r="T556" s="5" t="s">
        <v>211</v>
      </c>
      <c r="U556" s="3">
        <v>4.0</v>
      </c>
      <c r="V556" s="19" t="str">
        <f>vlookup(T556,'Player Codes'!A:D,4,)</f>
        <v>0195</v>
      </c>
      <c r="W556" s="3"/>
      <c r="X556" s="3"/>
      <c r="Y556" s="3"/>
      <c r="Z556" s="3"/>
      <c r="AA556" s="3"/>
    </row>
    <row r="557">
      <c r="L557" s="26"/>
      <c r="T557" s="5" t="s">
        <v>331</v>
      </c>
      <c r="U557" s="3">
        <v>3.0</v>
      </c>
      <c r="V557" s="19" t="str">
        <f>vlookup(T557,'Player Codes'!A:D,4,)</f>
        <v>0200</v>
      </c>
      <c r="W557" s="3"/>
      <c r="X557" s="3"/>
      <c r="Y557" s="3"/>
      <c r="Z557" s="3"/>
      <c r="AA557" s="3"/>
    </row>
    <row r="558">
      <c r="L558" s="26"/>
      <c r="T558" s="5" t="s">
        <v>1506</v>
      </c>
      <c r="U558" s="3">
        <v>2.0</v>
      </c>
      <c r="V558" s="21"/>
      <c r="W558" s="3"/>
      <c r="X558" s="3"/>
      <c r="Y558" s="3"/>
      <c r="Z558" s="3"/>
      <c r="AA558" s="3"/>
    </row>
    <row r="559">
      <c r="L559" s="26"/>
      <c r="T559" s="5" t="s">
        <v>1507</v>
      </c>
      <c r="U559" s="3">
        <v>5.0</v>
      </c>
      <c r="V559" s="21"/>
      <c r="W559" s="3"/>
      <c r="X559" s="3"/>
      <c r="Y559" s="3"/>
      <c r="Z559" s="3"/>
      <c r="AA559" s="3"/>
    </row>
    <row r="560">
      <c r="L560" s="26"/>
      <c r="T560" s="5" t="s">
        <v>239</v>
      </c>
      <c r="U560" s="3">
        <v>5.0</v>
      </c>
      <c r="V560" s="19" t="str">
        <f>vlookup(T560,'Player Codes'!A:D,4,)</f>
        <v>0210</v>
      </c>
      <c r="W560" s="3"/>
      <c r="X560" s="3"/>
      <c r="Y560" s="3"/>
      <c r="Z560" s="3"/>
      <c r="AA560" s="3"/>
    </row>
    <row r="561">
      <c r="L561" s="26"/>
      <c r="T561" s="5" t="s">
        <v>267</v>
      </c>
      <c r="U561" s="3">
        <v>3.0</v>
      </c>
      <c r="V561" s="19" t="str">
        <f>vlookup(T561,'Player Codes'!A:D,4,)</f>
        <v>0235</v>
      </c>
      <c r="W561" s="3"/>
      <c r="X561" s="3"/>
      <c r="Y561" s="3"/>
      <c r="Z561" s="3"/>
      <c r="AA561" s="3"/>
    </row>
    <row r="562">
      <c r="L562" s="26"/>
      <c r="T562" s="5" t="s">
        <v>199</v>
      </c>
      <c r="U562" s="3">
        <v>5.0</v>
      </c>
      <c r="V562" s="19" t="str">
        <f>vlookup(T562,'Player Codes'!A:D,4,)</f>
        <v>0253</v>
      </c>
      <c r="W562" s="3"/>
      <c r="X562" s="3"/>
      <c r="Y562" s="3"/>
      <c r="Z562" s="3"/>
      <c r="AA562" s="3"/>
    </row>
    <row r="563">
      <c r="L563" s="26"/>
      <c r="T563" s="5" t="s">
        <v>319</v>
      </c>
      <c r="U563" s="3">
        <v>4.0</v>
      </c>
      <c r="V563" s="19" t="str">
        <f>vlookup(T563,'Player Codes'!A:D,4,)</f>
        <v>0254</v>
      </c>
      <c r="W563" s="3"/>
      <c r="X563" s="3"/>
      <c r="Y563" s="3"/>
      <c r="Z563" s="3"/>
      <c r="AA563" s="3"/>
    </row>
    <row r="564">
      <c r="L564" s="26"/>
      <c r="T564" s="5" t="s">
        <v>1516</v>
      </c>
      <c r="U564" s="3">
        <v>5.0</v>
      </c>
      <c r="V564" s="21"/>
      <c r="W564" s="3"/>
      <c r="X564" s="3"/>
      <c r="Y564" s="3"/>
      <c r="Z564" s="3"/>
      <c r="AA564" s="3"/>
    </row>
    <row r="565">
      <c r="L565" s="26"/>
      <c r="T565" s="5" t="s">
        <v>322</v>
      </c>
      <c r="U565" s="3">
        <v>3.0</v>
      </c>
      <c r="V565" s="19" t="str">
        <f>vlookup(T565,'Player Codes'!A:D,4,)</f>
        <v>0255</v>
      </c>
      <c r="W565" s="3"/>
      <c r="X565" s="3"/>
      <c r="Y565" s="3"/>
      <c r="Z565" s="3"/>
      <c r="AA565" s="3"/>
    </row>
    <row r="566">
      <c r="L566" s="26"/>
      <c r="T566" s="5" t="s">
        <v>1517</v>
      </c>
      <c r="U566" s="3">
        <v>3.0</v>
      </c>
      <c r="V566" s="21"/>
      <c r="W566" s="3"/>
      <c r="X566" s="3"/>
      <c r="Y566" s="3"/>
      <c r="Z566" s="3"/>
      <c r="AA566" s="3"/>
    </row>
    <row r="567">
      <c r="L567" s="26"/>
      <c r="T567" s="5" t="s">
        <v>1518</v>
      </c>
      <c r="U567" s="3">
        <v>4.0</v>
      </c>
      <c r="V567" s="21"/>
      <c r="W567" s="3"/>
      <c r="X567" s="3"/>
      <c r="Y567" s="3"/>
      <c r="Z567" s="3"/>
      <c r="AA567" s="3"/>
    </row>
    <row r="568">
      <c r="L568" s="26"/>
      <c r="T568" s="5" t="s">
        <v>303</v>
      </c>
      <c r="U568" s="3">
        <v>2.0</v>
      </c>
      <c r="V568" s="19" t="str">
        <f>vlookup(T568,'Player Codes'!A:D,4,)</f>
        <v>0277</v>
      </c>
      <c r="W568" s="3"/>
      <c r="X568" s="3"/>
      <c r="Y568" s="3"/>
      <c r="Z568" s="3"/>
      <c r="AA568" s="3"/>
    </row>
    <row r="569">
      <c r="L569" s="26"/>
      <c r="T569" s="5" t="s">
        <v>1519</v>
      </c>
      <c r="U569" s="3">
        <v>3.0</v>
      </c>
      <c r="V569" s="21"/>
      <c r="W569" s="3"/>
      <c r="X569" s="3"/>
      <c r="Y569" s="3"/>
      <c r="Z569" s="3"/>
      <c r="AA569" s="3"/>
    </row>
    <row r="570">
      <c r="L570" s="26"/>
      <c r="T570" s="5" t="s">
        <v>231</v>
      </c>
      <c r="U570" s="3">
        <v>4.0</v>
      </c>
      <c r="V570" s="19" t="str">
        <f>vlookup(T570,'Player Codes'!A:D,4,)</f>
        <v>0280</v>
      </c>
      <c r="W570" s="3"/>
      <c r="X570" s="3"/>
      <c r="Y570" s="3"/>
      <c r="Z570" s="3"/>
      <c r="AA570" s="3"/>
    </row>
    <row r="571">
      <c r="L571" s="26"/>
      <c r="T571" s="5" t="s">
        <v>1521</v>
      </c>
      <c r="U571" s="3">
        <v>6.0</v>
      </c>
      <c r="V571" s="21"/>
      <c r="W571" s="3"/>
      <c r="X571" s="3"/>
      <c r="Y571" s="3"/>
      <c r="Z571" s="3"/>
      <c r="AA571" s="3"/>
    </row>
    <row r="572">
      <c r="L572" s="26"/>
      <c r="T572" s="5" t="s">
        <v>1522</v>
      </c>
      <c r="U572" s="3">
        <v>3.0</v>
      </c>
      <c r="V572" s="21"/>
      <c r="W572" s="3"/>
      <c r="X572" s="3"/>
      <c r="Y572" s="3"/>
      <c r="Z572" s="3"/>
      <c r="AA572" s="3"/>
    </row>
    <row r="573">
      <c r="L573" s="26"/>
      <c r="T573" s="5" t="s">
        <v>1523</v>
      </c>
      <c r="U573" s="3">
        <v>3.0</v>
      </c>
      <c r="V573" s="21"/>
      <c r="W573" s="3"/>
      <c r="X573" s="3"/>
      <c r="Y573" s="3"/>
      <c r="Z573" s="3"/>
      <c r="AA573" s="3"/>
    </row>
    <row r="574">
      <c r="L574" s="26"/>
      <c r="T574" s="5" t="s">
        <v>93</v>
      </c>
      <c r="U574" s="3">
        <v>4.0</v>
      </c>
      <c r="V574" s="19" t="str">
        <f>vlookup(T574,'Player Codes'!A:D,4,)</f>
        <v>0001</v>
      </c>
      <c r="W574" s="3"/>
      <c r="X574" s="3"/>
      <c r="Y574" s="3"/>
      <c r="Z574" s="3"/>
      <c r="AA574" s="3"/>
    </row>
    <row r="575">
      <c r="L575" s="26"/>
      <c r="T575" s="5" t="s">
        <v>465</v>
      </c>
      <c r="U575" s="3">
        <v>5.0</v>
      </c>
      <c r="V575" s="19" t="str">
        <f>vlookup(T575,'Player Codes'!A:D,4,)</f>
        <v>0004</v>
      </c>
      <c r="W575" s="3"/>
      <c r="X575" s="3"/>
      <c r="Y575" s="3"/>
      <c r="Z575" s="3"/>
      <c r="AA575" s="3"/>
    </row>
    <row r="576">
      <c r="L576" s="26"/>
      <c r="T576" s="5" t="s">
        <v>721</v>
      </c>
      <c r="U576" s="3">
        <v>3.0</v>
      </c>
      <c r="V576" s="19" t="str">
        <f>vlookup(T576,'Player Codes'!A:D,4,)</f>
        <v>0006</v>
      </c>
      <c r="W576" s="3"/>
      <c r="X576" s="3"/>
      <c r="Y576" s="3"/>
      <c r="Z576" s="3"/>
      <c r="AA576" s="3"/>
    </row>
    <row r="577">
      <c r="L577" s="26"/>
      <c r="T577" s="5" t="s">
        <v>361</v>
      </c>
      <c r="U577" s="3">
        <v>4.0</v>
      </c>
      <c r="V577" s="19" t="str">
        <f>vlookup(T577,'Player Codes'!A:D,4,)</f>
        <v>0008</v>
      </c>
      <c r="W577" s="3"/>
      <c r="X577" s="3"/>
      <c r="Y577" s="3"/>
      <c r="Z577" s="3"/>
      <c r="AA577" s="3"/>
    </row>
    <row r="578">
      <c r="L578" s="26"/>
      <c r="T578" s="5" t="s">
        <v>1271</v>
      </c>
      <c r="U578" s="3">
        <v>5.0</v>
      </c>
      <c r="V578" s="21"/>
      <c r="W578" s="3"/>
      <c r="X578" s="3"/>
      <c r="Y578" s="3"/>
      <c r="Z578" s="3"/>
      <c r="AA578" s="3"/>
    </row>
    <row r="579">
      <c r="L579" s="26"/>
      <c r="T579" s="5" t="s">
        <v>182</v>
      </c>
      <c r="U579" s="3">
        <v>4.0</v>
      </c>
      <c r="V579" s="19" t="str">
        <f>vlookup(T579,'Player Codes'!A:D,4,)</f>
        <v>0011</v>
      </c>
      <c r="W579" s="3"/>
      <c r="X579" s="3"/>
      <c r="Y579" s="3"/>
      <c r="Z579" s="3"/>
      <c r="AA579" s="3"/>
    </row>
    <row r="580">
      <c r="L580" s="26"/>
      <c r="T580" s="5" t="s">
        <v>175</v>
      </c>
      <c r="U580" s="3">
        <v>3.0</v>
      </c>
      <c r="V580" s="19" t="str">
        <f>vlookup(T580,'Player Codes'!A:D,4,)</f>
        <v>0012</v>
      </c>
      <c r="W580" s="3"/>
      <c r="X580" s="3"/>
      <c r="Y580" s="3"/>
      <c r="Z580" s="3"/>
      <c r="AA580" s="3"/>
    </row>
    <row r="581">
      <c r="L581" s="26"/>
      <c r="T581" s="5" t="s">
        <v>376</v>
      </c>
      <c r="U581" s="3">
        <v>4.0</v>
      </c>
      <c r="V581" s="19" t="str">
        <f>vlookup(T581,'Player Codes'!A:D,4,)</f>
        <v>0022</v>
      </c>
      <c r="W581" s="3"/>
      <c r="X581" s="3"/>
      <c r="Y581" s="3"/>
      <c r="Z581" s="3"/>
      <c r="AA581" s="3"/>
    </row>
    <row r="582">
      <c r="L582" s="26"/>
      <c r="T582" s="5" t="s">
        <v>279</v>
      </c>
      <c r="U582" s="3">
        <v>3.0</v>
      </c>
      <c r="V582" s="19" t="str">
        <f>vlookup(T582,'Player Codes'!A:D,4,)</f>
        <v>0023</v>
      </c>
      <c r="W582" s="3"/>
      <c r="X582" s="3"/>
      <c r="Y582" s="3"/>
      <c r="Z582" s="3"/>
      <c r="AA582" s="3"/>
    </row>
    <row r="583">
      <c r="L583" s="26"/>
      <c r="T583" s="5" t="s">
        <v>1268</v>
      </c>
      <c r="U583" s="3">
        <v>3.0</v>
      </c>
      <c r="V583" s="21"/>
      <c r="W583" s="3"/>
      <c r="X583" s="3"/>
      <c r="Y583" s="3"/>
      <c r="Z583" s="3"/>
      <c r="AA583" s="3"/>
    </row>
    <row r="584">
      <c r="L584" s="26"/>
      <c r="T584" s="5" t="s">
        <v>1270</v>
      </c>
      <c r="U584" s="3">
        <v>5.0</v>
      </c>
      <c r="V584" s="21"/>
      <c r="W584" s="3"/>
      <c r="X584" s="3"/>
      <c r="Y584" s="3"/>
      <c r="Z584" s="3"/>
      <c r="AA584" s="3"/>
    </row>
    <row r="585">
      <c r="L585" s="26"/>
      <c r="T585" s="2" t="s">
        <v>1273</v>
      </c>
      <c r="U585" s="3">
        <v>3.0</v>
      </c>
      <c r="V585" s="21"/>
      <c r="W585" s="3"/>
      <c r="X585" s="3"/>
      <c r="Y585" s="3"/>
      <c r="Z585" s="3"/>
      <c r="AA585" s="3"/>
    </row>
    <row r="586">
      <c r="L586" s="26"/>
      <c r="T586" s="5" t="s">
        <v>1275</v>
      </c>
      <c r="U586" s="3">
        <v>2.0</v>
      </c>
      <c r="V586" s="21"/>
      <c r="W586" s="3"/>
      <c r="X586" s="3"/>
      <c r="Y586" s="3"/>
      <c r="Z586" s="3"/>
      <c r="AA586" s="3"/>
    </row>
    <row r="587">
      <c r="L587" s="26"/>
      <c r="T587" s="5" t="s">
        <v>152</v>
      </c>
      <c r="U587" s="3">
        <v>4.0</v>
      </c>
      <c r="V587" s="19" t="str">
        <f>vlookup(T587,'Player Codes'!A:D,4,)</f>
        <v>0037</v>
      </c>
      <c r="W587" s="3"/>
      <c r="X587" s="3"/>
      <c r="Y587" s="3"/>
      <c r="Z587" s="3"/>
      <c r="AA587" s="3"/>
    </row>
    <row r="588">
      <c r="L588" s="26"/>
      <c r="T588" s="5" t="s">
        <v>888</v>
      </c>
      <c r="U588" s="3">
        <v>2.0</v>
      </c>
      <c r="V588" s="19" t="str">
        <f>vlookup(T588,'Player Codes'!A:D,4,)</f>
        <v>0041</v>
      </c>
      <c r="W588" s="3"/>
      <c r="X588" s="3"/>
      <c r="Y588" s="3"/>
      <c r="Z588" s="3"/>
      <c r="AA588" s="3"/>
    </row>
    <row r="589">
      <c r="L589" s="26"/>
      <c r="T589" s="5" t="s">
        <v>1280</v>
      </c>
      <c r="U589" s="3">
        <v>3.0</v>
      </c>
      <c r="V589" s="21"/>
      <c r="W589" s="3"/>
      <c r="X589" s="3"/>
      <c r="Y589" s="3"/>
      <c r="Z589" s="3"/>
      <c r="AA589" s="3"/>
    </row>
    <row r="590">
      <c r="L590" s="26"/>
      <c r="T590" s="5" t="s">
        <v>106</v>
      </c>
      <c r="U590" s="3">
        <v>4.0</v>
      </c>
      <c r="V590" s="19" t="str">
        <f>vlookup(T590,'Player Codes'!A:D,4,)</f>
        <v>0042</v>
      </c>
      <c r="W590" s="3"/>
      <c r="X590" s="3"/>
      <c r="Y590" s="3"/>
      <c r="Z590" s="3"/>
      <c r="AA590" s="3"/>
    </row>
    <row r="591">
      <c r="L591" s="26"/>
      <c r="T591" s="5" t="s">
        <v>828</v>
      </c>
      <c r="U591" s="3">
        <v>3.0</v>
      </c>
      <c r="V591" s="19" t="str">
        <f>vlookup(T591,'Player Codes'!A:D,4,)</f>
        <v>0045</v>
      </c>
      <c r="W591" s="3"/>
      <c r="X591" s="3"/>
      <c r="Y591" s="3"/>
      <c r="Z591" s="3"/>
      <c r="AA591" s="3"/>
    </row>
    <row r="592">
      <c r="L592" s="26"/>
      <c r="T592" s="5" t="s">
        <v>801</v>
      </c>
      <c r="U592" s="3">
        <v>4.0</v>
      </c>
      <c r="V592" s="19" t="str">
        <f>vlookup(T592,'Player Codes'!A:D,4,)</f>
        <v>0049</v>
      </c>
      <c r="W592" s="3"/>
      <c r="X592" s="3"/>
      <c r="Y592" s="3"/>
      <c r="Z592" s="3"/>
      <c r="AA592" s="3"/>
    </row>
    <row r="593">
      <c r="L593" s="26"/>
      <c r="T593" s="5" t="s">
        <v>1288</v>
      </c>
      <c r="U593" s="3">
        <v>3.0</v>
      </c>
      <c r="V593" s="21"/>
      <c r="W593" s="3"/>
      <c r="X593" s="3"/>
      <c r="Y593" s="3"/>
      <c r="Z593" s="3"/>
      <c r="AA593" s="3"/>
    </row>
    <row r="594">
      <c r="L594" s="26"/>
      <c r="T594" s="5" t="s">
        <v>166</v>
      </c>
      <c r="U594" s="3">
        <v>5.0</v>
      </c>
      <c r="V594" s="19" t="str">
        <f>vlookup(T594,'Player Codes'!A:D,4,)</f>
        <v>0052</v>
      </c>
      <c r="W594" s="3"/>
      <c r="X594" s="3"/>
      <c r="Y594" s="3"/>
      <c r="Z594" s="3"/>
      <c r="AA594" s="3"/>
    </row>
    <row r="595">
      <c r="L595" s="26"/>
      <c r="T595" s="5" t="s">
        <v>121</v>
      </c>
      <c r="U595" s="3">
        <v>4.0</v>
      </c>
      <c r="V595" s="19" t="str">
        <f>vlookup(T595,'Player Codes'!A:D,4,)</f>
        <v>0053</v>
      </c>
      <c r="W595" s="3"/>
      <c r="X595" s="3"/>
      <c r="Y595" s="3"/>
      <c r="Z595" s="3"/>
      <c r="AA595" s="3"/>
    </row>
    <row r="596">
      <c r="L596" s="26"/>
      <c r="T596" s="5" t="s">
        <v>243</v>
      </c>
      <c r="U596" s="3">
        <v>4.0</v>
      </c>
      <c r="V596" s="19" t="str">
        <f>vlookup(T596,'Player Codes'!A:D,4,)</f>
        <v>0054</v>
      </c>
      <c r="W596" s="3"/>
      <c r="X596" s="3"/>
      <c r="Y596" s="3"/>
      <c r="Z596" s="3"/>
      <c r="AA596" s="3"/>
    </row>
    <row r="597">
      <c r="L597" s="26"/>
      <c r="T597" s="5" t="s">
        <v>169</v>
      </c>
      <c r="U597" s="3">
        <v>4.0</v>
      </c>
      <c r="V597" s="19" t="str">
        <f>vlookup(T597,'Player Codes'!A:D,4,)</f>
        <v>0056</v>
      </c>
      <c r="W597" s="3"/>
      <c r="X597" s="3"/>
      <c r="Y597" s="3"/>
      <c r="Z597" s="3"/>
      <c r="AA597" s="3"/>
    </row>
    <row r="598">
      <c r="L598" s="26"/>
      <c r="T598" s="5" t="s">
        <v>1297</v>
      </c>
      <c r="U598" s="3">
        <v>4.0</v>
      </c>
      <c r="V598" s="21"/>
      <c r="W598" s="3"/>
      <c r="X598" s="3"/>
      <c r="Y598" s="3"/>
      <c r="Z598" s="3"/>
      <c r="AA598" s="3"/>
    </row>
    <row r="599">
      <c r="L599" s="26"/>
      <c r="T599" s="5" t="s">
        <v>71</v>
      </c>
      <c r="U599" s="3">
        <v>4.0</v>
      </c>
      <c r="V599" s="19" t="str">
        <f>vlookup(T599,'Player Codes'!A:D,4,)</f>
        <v>0063</v>
      </c>
      <c r="W599" s="3"/>
      <c r="X599" s="3"/>
      <c r="Y599" s="3"/>
      <c r="Z599" s="3"/>
      <c r="AA599" s="3"/>
    </row>
    <row r="600">
      <c r="L600" s="26"/>
      <c r="T600" s="5" t="s">
        <v>355</v>
      </c>
      <c r="U600" s="3">
        <v>4.0</v>
      </c>
      <c r="V600" s="19" t="str">
        <f>vlookup(T600,'Player Codes'!A:D,4,)</f>
        <v>0065</v>
      </c>
      <c r="W600" s="3"/>
      <c r="X600" s="3"/>
      <c r="Y600" s="3"/>
      <c r="Z600" s="3"/>
      <c r="AA600" s="3"/>
    </row>
    <row r="601">
      <c r="L601" s="26"/>
      <c r="T601" s="5" t="s">
        <v>482</v>
      </c>
      <c r="U601" s="3">
        <v>5.0</v>
      </c>
      <c r="V601" s="19" t="str">
        <f>vlookup(T601,'Player Codes'!A:D,4,)</f>
        <v>0066</v>
      </c>
      <c r="W601" s="3"/>
      <c r="X601" s="3"/>
      <c r="Y601" s="3"/>
      <c r="Z601" s="3"/>
      <c r="AA601" s="3"/>
    </row>
    <row r="602">
      <c r="L602" s="26"/>
      <c r="T602" s="5" t="s">
        <v>1303</v>
      </c>
      <c r="U602" s="3">
        <v>5.0</v>
      </c>
      <c r="V602" s="21"/>
      <c r="W602" s="3"/>
      <c r="X602" s="3"/>
      <c r="Y602" s="3"/>
      <c r="Z602" s="3"/>
      <c r="AA602" s="3"/>
    </row>
    <row r="603">
      <c r="L603" s="26"/>
      <c r="T603" s="5" t="s">
        <v>188</v>
      </c>
      <c r="U603" s="3">
        <v>4.0</v>
      </c>
      <c r="V603" s="19" t="str">
        <f>vlookup(T603,'Player Codes'!A:D,4,)</f>
        <v>0100</v>
      </c>
      <c r="W603" s="3"/>
      <c r="X603" s="3"/>
      <c r="Y603" s="3"/>
      <c r="Z603" s="3"/>
      <c r="AA603" s="3"/>
    </row>
    <row r="604">
      <c r="L604" s="26"/>
      <c r="T604" s="5" t="s">
        <v>209</v>
      </c>
      <c r="U604" s="3">
        <v>3.0</v>
      </c>
      <c r="V604" s="19" t="str">
        <f>vlookup(T604,'Player Codes'!A:D,4,)</f>
        <v>0101</v>
      </c>
      <c r="W604" s="3"/>
      <c r="X604" s="3"/>
      <c r="Y604" s="3"/>
      <c r="Z604" s="3"/>
      <c r="AA604" s="3"/>
    </row>
    <row r="605">
      <c r="L605" s="26"/>
      <c r="T605" s="5" t="s">
        <v>1309</v>
      </c>
      <c r="U605" s="3">
        <v>5.0</v>
      </c>
      <c r="V605" s="21"/>
      <c r="W605" s="3"/>
      <c r="X605" s="3"/>
      <c r="Y605" s="3"/>
      <c r="Z605" s="3"/>
      <c r="AA605" s="3"/>
    </row>
    <row r="606">
      <c r="L606" s="26"/>
      <c r="T606" s="5" t="s">
        <v>1311</v>
      </c>
      <c r="U606" s="3">
        <v>4.0</v>
      </c>
      <c r="V606" s="21"/>
      <c r="W606" s="3"/>
      <c r="X606" s="3"/>
      <c r="Y606" s="3"/>
      <c r="Z606" s="3"/>
      <c r="AA606" s="3"/>
    </row>
    <row r="607">
      <c r="L607" s="26"/>
      <c r="T607" s="5" t="s">
        <v>1313</v>
      </c>
      <c r="U607" s="3">
        <v>3.0</v>
      </c>
      <c r="V607" s="21"/>
      <c r="W607" s="3"/>
      <c r="X607" s="3"/>
      <c r="Y607" s="3"/>
      <c r="Z607" s="3"/>
      <c r="AA607" s="3"/>
    </row>
    <row r="608">
      <c r="L608" s="26"/>
      <c r="T608" s="5" t="s">
        <v>702</v>
      </c>
      <c r="U608" s="3">
        <v>5.0</v>
      </c>
      <c r="V608" s="19" t="str">
        <f>vlookup(T608,'Player Codes'!A:D,4,)</f>
        <v>0078</v>
      </c>
      <c r="W608" s="3"/>
      <c r="X608" s="3"/>
      <c r="Y608" s="3"/>
      <c r="Z608" s="3"/>
      <c r="AA608" s="3"/>
    </row>
    <row r="609">
      <c r="L609" s="26"/>
      <c r="T609" s="5" t="s">
        <v>571</v>
      </c>
      <c r="U609" s="3">
        <v>4.0</v>
      </c>
      <c r="V609" s="19" t="str">
        <f>vlookup(T609,'Player Codes'!A:D,4,)</f>
        <v>0079</v>
      </c>
      <c r="W609" s="3"/>
      <c r="X609" s="3"/>
      <c r="Y609" s="3"/>
      <c r="Z609" s="3"/>
      <c r="AA609" s="3"/>
    </row>
    <row r="610">
      <c r="L610" s="26"/>
      <c r="T610" s="5" t="s">
        <v>86</v>
      </c>
      <c r="U610" s="3">
        <v>5.0</v>
      </c>
      <c r="V610" s="19" t="str">
        <f>vlookup(T610,'Player Codes'!A:D,4,)</f>
        <v>0081</v>
      </c>
      <c r="W610" s="3"/>
      <c r="X610" s="3"/>
      <c r="Y610" s="3"/>
      <c r="Z610" s="3"/>
      <c r="AA610" s="3"/>
    </row>
    <row r="611">
      <c r="L611" s="26"/>
      <c r="T611" s="5" t="s">
        <v>102</v>
      </c>
      <c r="U611" s="3">
        <v>6.0</v>
      </c>
      <c r="V611" s="19" t="str">
        <f>vlookup(T611,'Player Codes'!A:D,4,)</f>
        <v>0085</v>
      </c>
      <c r="W611" s="3"/>
      <c r="X611" s="3"/>
      <c r="Y611" s="3"/>
      <c r="Z611" s="3"/>
      <c r="AA611" s="3"/>
    </row>
    <row r="612">
      <c r="L612" s="26"/>
      <c r="T612" s="5" t="s">
        <v>117</v>
      </c>
      <c r="U612" s="3">
        <v>5.0</v>
      </c>
      <c r="V612" s="19" t="str">
        <f>vlookup(T612,'Player Codes'!A:D,4,)</f>
        <v>0086</v>
      </c>
      <c r="W612" s="3"/>
      <c r="X612" s="3"/>
      <c r="Y612" s="3"/>
      <c r="Z612" s="3"/>
      <c r="AA612" s="3"/>
    </row>
    <row r="613">
      <c r="L613" s="26"/>
      <c r="T613" s="5" t="s">
        <v>1322</v>
      </c>
      <c r="U613" s="3">
        <v>2.0</v>
      </c>
      <c r="V613" s="21"/>
      <c r="W613" s="3"/>
      <c r="X613" s="3"/>
      <c r="Y613" s="3"/>
      <c r="Z613" s="3"/>
      <c r="AA613" s="3"/>
    </row>
    <row r="614">
      <c r="L614" s="26"/>
      <c r="T614" s="5" t="s">
        <v>1325</v>
      </c>
      <c r="U614" s="3">
        <v>3.0</v>
      </c>
      <c r="V614" s="21"/>
      <c r="W614" s="3"/>
      <c r="X614" s="3"/>
      <c r="Y614" s="3"/>
      <c r="Z614" s="3"/>
      <c r="AA614" s="3"/>
    </row>
    <row r="615">
      <c r="L615" s="26"/>
      <c r="T615" s="5" t="s">
        <v>494</v>
      </c>
      <c r="U615" s="3">
        <v>5.0</v>
      </c>
      <c r="V615" s="19" t="str">
        <f>vlookup(T615,'Player Codes'!A:D,4,)</f>
        <v>0093</v>
      </c>
      <c r="W615" s="3"/>
      <c r="X615" s="3"/>
      <c r="Y615" s="3"/>
      <c r="Z615" s="3"/>
      <c r="AA615" s="3"/>
    </row>
    <row r="616">
      <c r="L616" s="26"/>
      <c r="T616" s="5" t="s">
        <v>1329</v>
      </c>
      <c r="U616" s="3">
        <v>2.0</v>
      </c>
      <c r="V616" s="21"/>
      <c r="W616" s="3"/>
      <c r="X616" s="3"/>
      <c r="Y616" s="3"/>
      <c r="Z616" s="3"/>
      <c r="AA616" s="3"/>
    </row>
    <row r="617">
      <c r="L617" s="26"/>
      <c r="T617" s="5" t="s">
        <v>146</v>
      </c>
      <c r="U617" s="3">
        <v>4.0</v>
      </c>
      <c r="V617" s="19" t="str">
        <f>vlookup(T617,'Player Codes'!A:D,4,)</f>
        <v>0096</v>
      </c>
      <c r="W617" s="3"/>
      <c r="X617" s="3"/>
      <c r="Y617" s="3"/>
      <c r="Z617" s="3"/>
      <c r="AA617" s="3"/>
    </row>
    <row r="618">
      <c r="L618" s="26"/>
      <c r="T618" s="5" t="s">
        <v>257</v>
      </c>
      <c r="U618" s="3">
        <v>4.0</v>
      </c>
      <c r="V618" s="19" t="str">
        <f>vlookup(T618,'Player Codes'!A:D,4,)</f>
        <v>0098</v>
      </c>
      <c r="W618" s="3"/>
      <c r="X618" s="3"/>
      <c r="Y618" s="3"/>
      <c r="Z618" s="3"/>
      <c r="AA618" s="3"/>
    </row>
    <row r="619">
      <c r="L619" s="26"/>
      <c r="T619" s="5" t="s">
        <v>649</v>
      </c>
      <c r="U619" s="3">
        <v>3.0</v>
      </c>
      <c r="V619" s="19" t="str">
        <f>vlookup(T619,'Player Codes'!A:D,4,)</f>
        <v>0102</v>
      </c>
      <c r="W619" s="3"/>
      <c r="X619" s="3"/>
      <c r="Y619" s="3"/>
      <c r="Z619" s="3"/>
      <c r="AA619" s="3"/>
    </row>
    <row r="620">
      <c r="L620" s="26"/>
      <c r="T620" s="5" t="s">
        <v>262</v>
      </c>
      <c r="U620" s="3">
        <v>3.0</v>
      </c>
      <c r="V620" s="19" t="str">
        <f>vlookup(T620,'Player Codes'!A:D,4,)</f>
        <v>0103</v>
      </c>
      <c r="W620" s="3"/>
      <c r="X620" s="3"/>
      <c r="Y620" s="3"/>
      <c r="Z620" s="3"/>
      <c r="AA620" s="3"/>
    </row>
    <row r="621">
      <c r="L621" s="26"/>
      <c r="T621" s="5" t="s">
        <v>1337</v>
      </c>
      <c r="U621" s="3">
        <v>3.0</v>
      </c>
      <c r="V621" s="21"/>
      <c r="W621" s="3"/>
      <c r="X621" s="3"/>
      <c r="Y621" s="3"/>
      <c r="Z621" s="3"/>
      <c r="AA621" s="3"/>
    </row>
    <row r="622">
      <c r="L622" s="26"/>
      <c r="T622" s="5" t="s">
        <v>313</v>
      </c>
      <c r="U622" s="3">
        <v>4.0</v>
      </c>
      <c r="V622" s="19" t="str">
        <f>vlookup(T622,'Player Codes'!A:D,4,)</f>
        <v>0106</v>
      </c>
      <c r="W622" s="3"/>
      <c r="X622" s="3"/>
      <c r="Y622" s="3"/>
      <c r="Z622" s="3"/>
      <c r="AA622" s="3"/>
    </row>
    <row r="623">
      <c r="L623" s="26"/>
      <c r="T623" s="5" t="s">
        <v>1340</v>
      </c>
      <c r="U623" s="3">
        <v>4.0</v>
      </c>
      <c r="V623" s="21"/>
      <c r="W623" s="3"/>
      <c r="X623" s="3"/>
      <c r="Y623" s="3"/>
      <c r="Z623" s="3"/>
      <c r="AA623" s="3"/>
    </row>
    <row r="624">
      <c r="L624" s="26"/>
      <c r="T624" s="5" t="s">
        <v>1342</v>
      </c>
      <c r="U624" s="3">
        <v>3.0</v>
      </c>
      <c r="V624" s="21"/>
      <c r="W624" s="3"/>
      <c r="X624" s="3"/>
      <c r="Y624" s="3"/>
      <c r="Z624" s="3"/>
      <c r="AA624" s="3"/>
    </row>
    <row r="625">
      <c r="L625" s="26"/>
      <c r="T625" s="5" t="s">
        <v>149</v>
      </c>
      <c r="U625" s="3">
        <v>3.0</v>
      </c>
      <c r="V625" s="19" t="str">
        <f>vlookup(T625,'Player Codes'!A:D,4,)</f>
        <v>0111</v>
      </c>
      <c r="W625" s="3"/>
      <c r="X625" s="3"/>
      <c r="Y625" s="3"/>
      <c r="Z625" s="3"/>
      <c r="AA625" s="3"/>
    </row>
    <row r="626">
      <c r="L626" s="26"/>
      <c r="T626" s="5" t="s">
        <v>292</v>
      </c>
      <c r="U626" s="3">
        <v>3.0</v>
      </c>
      <c r="V626" s="19" t="str">
        <f>vlookup(T626,'Player Codes'!A:D,4,)</f>
        <v>0114</v>
      </c>
      <c r="W626" s="3"/>
      <c r="X626" s="3"/>
      <c r="Y626" s="3"/>
      <c r="Z626" s="3"/>
      <c r="AA626" s="3"/>
    </row>
    <row r="627">
      <c r="L627" s="26"/>
      <c r="T627" s="5" t="s">
        <v>1346</v>
      </c>
      <c r="U627" s="3">
        <v>3.0</v>
      </c>
      <c r="V627" s="21"/>
      <c r="W627" s="3"/>
      <c r="X627" s="3"/>
      <c r="Y627" s="3"/>
      <c r="Z627" s="3"/>
      <c r="AA627" s="3"/>
    </row>
    <row r="628">
      <c r="L628" s="26"/>
      <c r="T628" s="5" t="s">
        <v>745</v>
      </c>
      <c r="U628" s="3">
        <v>4.0</v>
      </c>
      <c r="V628" s="19" t="str">
        <f>vlookup(T628,'Player Codes'!A:D,4,)</f>
        <v>0126</v>
      </c>
      <c r="W628" s="3"/>
      <c r="X628" s="3"/>
      <c r="Y628" s="3"/>
      <c r="Z628" s="3"/>
      <c r="AA628" s="3"/>
    </row>
    <row r="629">
      <c r="L629" s="26"/>
      <c r="T629" s="5" t="s">
        <v>860</v>
      </c>
      <c r="U629" s="3">
        <v>2.0</v>
      </c>
      <c r="V629" s="19" t="str">
        <f>vlookup(T629,'Player Codes'!A:D,4,)</f>
        <v>0129</v>
      </c>
      <c r="W629" s="3"/>
      <c r="X629" s="3"/>
      <c r="Y629" s="3"/>
      <c r="Z629" s="3"/>
      <c r="AA629" s="3"/>
    </row>
    <row r="630">
      <c r="L630" s="26"/>
      <c r="T630" s="5" t="s">
        <v>1350</v>
      </c>
      <c r="U630" s="3">
        <v>4.0</v>
      </c>
      <c r="V630" s="21"/>
      <c r="W630" s="3"/>
      <c r="X630" s="3"/>
      <c r="Y630" s="3"/>
      <c r="Z630" s="3"/>
      <c r="AA630" s="3"/>
    </row>
    <row r="631">
      <c r="L631" s="26"/>
      <c r="T631" s="5" t="s">
        <v>67</v>
      </c>
      <c r="U631" s="3">
        <v>4.0</v>
      </c>
      <c r="V631" s="19" t="str">
        <f>vlookup(T631,'Player Codes'!A:D,4,)</f>
        <v>0132</v>
      </c>
      <c r="W631" s="3"/>
      <c r="X631" s="3"/>
      <c r="Y631" s="3"/>
      <c r="Z631" s="3"/>
      <c r="AA631" s="3"/>
    </row>
    <row r="632">
      <c r="L632" s="26"/>
      <c r="T632" s="5" t="s">
        <v>389</v>
      </c>
      <c r="U632" s="3">
        <v>3.0</v>
      </c>
      <c r="V632" s="19" t="str">
        <f>vlookup(T632,'Player Codes'!A:D,4,)</f>
        <v>0134</v>
      </c>
      <c r="W632" s="3"/>
      <c r="X632" s="3"/>
      <c r="Y632" s="3"/>
      <c r="Z632" s="3"/>
      <c r="AA632" s="3"/>
    </row>
    <row r="633">
      <c r="L633" s="26"/>
      <c r="T633" s="5" t="s">
        <v>415</v>
      </c>
      <c r="U633" s="3">
        <v>4.0</v>
      </c>
      <c r="V633" s="19" t="str">
        <f>vlookup(T633,'Player Codes'!A:D,4,)</f>
        <v>0139</v>
      </c>
      <c r="W633" s="3"/>
      <c r="X633" s="3"/>
      <c r="Y633" s="3"/>
      <c r="Z633" s="3"/>
      <c r="AA633" s="3"/>
    </row>
    <row r="634">
      <c r="L634" s="26"/>
      <c r="T634" s="5" t="s">
        <v>1358</v>
      </c>
      <c r="U634" s="3">
        <v>2.0</v>
      </c>
      <c r="V634" s="21"/>
      <c r="W634" s="3"/>
      <c r="X634" s="3"/>
      <c r="Y634" s="3"/>
      <c r="Z634" s="3"/>
      <c r="AA634" s="3"/>
    </row>
    <row r="635">
      <c r="L635" s="26"/>
      <c r="T635" s="5" t="s">
        <v>779</v>
      </c>
      <c r="U635" s="3">
        <v>2.0</v>
      </c>
      <c r="V635" s="19" t="str">
        <f>vlookup(T635,'Player Codes'!A:D,4,)</f>
        <v>0141</v>
      </c>
      <c r="W635" s="3"/>
      <c r="X635" s="3"/>
      <c r="Y635" s="3"/>
      <c r="Z635" s="3"/>
      <c r="AA635" s="3"/>
    </row>
    <row r="636">
      <c r="L636" s="26"/>
      <c r="T636" s="5" t="s">
        <v>545</v>
      </c>
      <c r="U636" s="3">
        <v>3.0</v>
      </c>
      <c r="V636" s="19" t="str">
        <f>vlookup(T636,'Player Codes'!A:D,4,)</f>
        <v>0145</v>
      </c>
      <c r="W636" s="3"/>
      <c r="X636" s="3"/>
      <c r="Y636" s="3"/>
      <c r="Z636" s="3"/>
      <c r="AA636" s="3"/>
    </row>
    <row r="637">
      <c r="L637" s="26"/>
      <c r="T637" s="5" t="s">
        <v>1362</v>
      </c>
      <c r="U637" s="3">
        <v>5.0</v>
      </c>
      <c r="V637" s="21"/>
      <c r="W637" s="3"/>
      <c r="X637" s="3"/>
      <c r="Y637" s="3"/>
      <c r="Z637" s="3"/>
      <c r="AA637" s="3"/>
    </row>
    <row r="638">
      <c r="L638" s="26"/>
      <c r="T638" s="5" t="s">
        <v>1364</v>
      </c>
      <c r="U638" s="3">
        <v>5.0</v>
      </c>
      <c r="V638" s="21"/>
      <c r="W638" s="3"/>
      <c r="X638" s="3"/>
      <c r="Y638" s="3"/>
      <c r="Z638" s="3"/>
      <c r="AA638" s="3"/>
    </row>
    <row r="639">
      <c r="L639" s="26"/>
      <c r="T639" s="5" t="s">
        <v>1366</v>
      </c>
      <c r="U639" s="3">
        <v>3.0</v>
      </c>
      <c r="V639" s="21"/>
      <c r="W639" s="3"/>
      <c r="X639" s="3"/>
      <c r="Y639" s="3"/>
      <c r="Z639" s="3"/>
      <c r="AA639" s="3"/>
    </row>
    <row r="640">
      <c r="L640" s="26"/>
      <c r="T640" s="5" t="s">
        <v>403</v>
      </c>
      <c r="U640" s="3">
        <v>3.0</v>
      </c>
      <c r="V640" s="19" t="str">
        <f>vlookup(T640,'Player Codes'!A:D,4,)</f>
        <v>0150</v>
      </c>
      <c r="W640" s="3"/>
      <c r="X640" s="3"/>
      <c r="Y640" s="3"/>
      <c r="Z640" s="3"/>
      <c r="AA640" s="3"/>
    </row>
    <row r="641">
      <c r="L641" s="26"/>
      <c r="T641" s="5" t="s">
        <v>680</v>
      </c>
      <c r="U641" s="3">
        <v>4.0</v>
      </c>
      <c r="V641" s="19" t="str">
        <f>vlookup(T641,'Player Codes'!A:D,4,)</f>
        <v>0151</v>
      </c>
      <c r="W641" s="3"/>
      <c r="X641" s="3"/>
      <c r="Y641" s="3"/>
      <c r="Z641" s="3"/>
      <c r="AA641" s="3"/>
    </row>
    <row r="642">
      <c r="L642" s="26"/>
      <c r="T642" s="5" t="s">
        <v>202</v>
      </c>
      <c r="U642" s="3">
        <v>3.0</v>
      </c>
      <c r="V642" s="19" t="str">
        <f>vlookup(T642,'Player Codes'!A:D,4,)</f>
        <v>0152</v>
      </c>
      <c r="W642" s="3"/>
      <c r="X642" s="3"/>
      <c r="Y642" s="3"/>
      <c r="Z642" s="3"/>
      <c r="AA642" s="3"/>
    </row>
    <row r="643">
      <c r="L643" s="26"/>
      <c r="T643" s="5" t="s">
        <v>246</v>
      </c>
      <c r="U643" s="3">
        <v>4.0</v>
      </c>
      <c r="V643" s="19" t="str">
        <f>vlookup(T643,'Player Codes'!A:D,4,)</f>
        <v>0157</v>
      </c>
      <c r="W643" s="3"/>
      <c r="X643" s="3"/>
      <c r="Y643" s="3"/>
      <c r="Z643" s="3"/>
      <c r="AA643" s="3"/>
    </row>
    <row r="644">
      <c r="L644" s="26"/>
      <c r="T644" s="5" t="s">
        <v>1374</v>
      </c>
      <c r="U644" s="3">
        <v>4.0</v>
      </c>
      <c r="V644" s="21"/>
      <c r="W644" s="3"/>
      <c r="X644" s="3"/>
      <c r="Y644" s="3"/>
      <c r="Z644" s="3"/>
      <c r="AA644" s="3"/>
    </row>
    <row r="645">
      <c r="L645" s="26"/>
      <c r="T645" s="5" t="s">
        <v>539</v>
      </c>
      <c r="U645" s="3">
        <v>2.0</v>
      </c>
      <c r="V645" s="19" t="str">
        <f>vlookup(T645,'Player Codes'!A:D,4,)</f>
        <v>0163</v>
      </c>
      <c r="W645" s="3"/>
      <c r="X645" s="3"/>
      <c r="Y645" s="3"/>
      <c r="Z645" s="3"/>
      <c r="AA645" s="3"/>
    </row>
    <row r="646">
      <c r="L646" s="26"/>
      <c r="T646" s="5" t="s">
        <v>317</v>
      </c>
      <c r="U646" s="3">
        <v>3.0</v>
      </c>
      <c r="V646" s="19" t="str">
        <f>vlookup(T646,'Player Codes'!A:D,4,)</f>
        <v>0165</v>
      </c>
      <c r="W646" s="3"/>
      <c r="X646" s="3"/>
      <c r="Y646" s="3"/>
      <c r="Z646" s="3"/>
      <c r="AA646" s="3"/>
    </row>
    <row r="647">
      <c r="L647" s="26"/>
      <c r="T647" s="5" t="s">
        <v>1378</v>
      </c>
      <c r="U647" s="3">
        <v>3.0</v>
      </c>
      <c r="V647" s="21"/>
      <c r="W647" s="3"/>
      <c r="X647" s="3"/>
      <c r="Y647" s="3"/>
      <c r="Z647" s="3"/>
      <c r="AA647" s="3"/>
    </row>
    <row r="648">
      <c r="L648" s="26"/>
      <c r="T648" s="5" t="s">
        <v>1380</v>
      </c>
      <c r="U648" s="3">
        <v>3.0</v>
      </c>
      <c r="V648" s="21"/>
      <c r="W648" s="3"/>
      <c r="X648" s="3"/>
      <c r="Y648" s="3"/>
      <c r="Z648" s="3"/>
      <c r="AA648" s="3"/>
    </row>
    <row r="649">
      <c r="L649" s="26"/>
      <c r="T649" s="2" t="s">
        <v>817</v>
      </c>
      <c r="U649" s="3">
        <v>3.0</v>
      </c>
      <c r="V649" s="19" t="str">
        <f>vlookup(T649,'Player Codes'!A:D,4,)</f>
        <v>0169</v>
      </c>
      <c r="W649" s="3"/>
      <c r="X649" s="3"/>
      <c r="Y649" s="3"/>
      <c r="Z649" s="3"/>
      <c r="AA649" s="3"/>
    </row>
    <row r="650">
      <c r="L650" s="26"/>
      <c r="T650" s="5" t="s">
        <v>358</v>
      </c>
      <c r="U650" s="3">
        <v>5.0</v>
      </c>
      <c r="V650" s="19" t="str">
        <f>vlookup(T650,'Player Codes'!A:D,4,)</f>
        <v>0171</v>
      </c>
      <c r="W650" s="3"/>
      <c r="X650" s="3"/>
      <c r="Y650" s="3"/>
      <c r="Z650" s="3"/>
      <c r="AA650" s="3"/>
    </row>
    <row r="651">
      <c r="L651" s="26"/>
      <c r="T651" s="5" t="s">
        <v>95</v>
      </c>
      <c r="U651" s="3">
        <v>3.0</v>
      </c>
      <c r="V651" s="19" t="str">
        <f>vlookup(T651,'Player Codes'!A:D,4,)</f>
        <v>0174</v>
      </c>
      <c r="W651" s="3"/>
      <c r="X651" s="3"/>
      <c r="Y651" s="3"/>
      <c r="Z651" s="3"/>
      <c r="AA651" s="3"/>
    </row>
    <row r="652">
      <c r="L652" s="26"/>
      <c r="T652" s="5" t="s">
        <v>1386</v>
      </c>
      <c r="U652" s="3">
        <v>3.0</v>
      </c>
      <c r="V652" s="21"/>
      <c r="W652" s="3"/>
      <c r="X652" s="3"/>
      <c r="Y652" s="3"/>
      <c r="Z652" s="3"/>
      <c r="AA652" s="3"/>
    </row>
    <row r="653">
      <c r="L653" s="26"/>
      <c r="T653" s="5" t="s">
        <v>1389</v>
      </c>
      <c r="U653" s="3">
        <v>3.0</v>
      </c>
      <c r="V653" s="21"/>
      <c r="W653" s="3"/>
      <c r="X653" s="3"/>
      <c r="Y653" s="3"/>
      <c r="Z653" s="3"/>
      <c r="AA653" s="3"/>
    </row>
    <row r="654">
      <c r="L654" s="26"/>
      <c r="T654" s="5" t="s">
        <v>536</v>
      </c>
      <c r="U654" s="3">
        <v>4.0</v>
      </c>
      <c r="V654" s="19" t="str">
        <f>vlookup(T654,'Player Codes'!A:D,4,)</f>
        <v>0177</v>
      </c>
      <c r="W654" s="3"/>
      <c r="X654" s="3"/>
      <c r="Y654" s="3"/>
      <c r="Z654" s="3"/>
      <c r="AA654" s="3"/>
    </row>
    <row r="655">
      <c r="L655" s="26"/>
      <c r="T655" s="5" t="s">
        <v>386</v>
      </c>
      <c r="U655" s="3">
        <v>4.0</v>
      </c>
      <c r="V655" s="19" t="str">
        <f>vlookup(T655,'Player Codes'!A:D,4,)</f>
        <v>0179</v>
      </c>
      <c r="W655" s="3"/>
      <c r="X655" s="3"/>
      <c r="Y655" s="3"/>
      <c r="Z655" s="3"/>
      <c r="AA655" s="3"/>
    </row>
    <row r="656">
      <c r="L656" s="26"/>
      <c r="T656" s="5" t="s">
        <v>1393</v>
      </c>
      <c r="U656" s="3">
        <v>3.0</v>
      </c>
      <c r="V656" s="21"/>
      <c r="W656" s="3"/>
      <c r="X656" s="3"/>
      <c r="Y656" s="3"/>
      <c r="Z656" s="3"/>
      <c r="AA656" s="3"/>
    </row>
    <row r="657">
      <c r="L657" s="26"/>
      <c r="T657" s="5" t="s">
        <v>1395</v>
      </c>
      <c r="U657" s="3">
        <v>4.0</v>
      </c>
      <c r="V657" s="21"/>
      <c r="W657" s="3"/>
      <c r="X657" s="3"/>
      <c r="Y657" s="3"/>
      <c r="Z657" s="3"/>
      <c r="AA657" s="3"/>
    </row>
    <row r="658">
      <c r="L658" s="26"/>
      <c r="T658" s="5" t="s">
        <v>139</v>
      </c>
      <c r="U658" s="3">
        <v>5.0</v>
      </c>
      <c r="V658" s="19" t="str">
        <f>vlookup(T658,'Player Codes'!A:D,4,)</f>
        <v>0182</v>
      </c>
      <c r="W658" s="3"/>
      <c r="X658" s="3"/>
      <c r="Y658" s="3"/>
      <c r="Z658" s="3"/>
      <c r="AA658" s="3"/>
    </row>
    <row r="659">
      <c r="L659" s="26"/>
      <c r="T659" s="5" t="s">
        <v>810</v>
      </c>
      <c r="U659" s="3">
        <v>3.0</v>
      </c>
      <c r="V659" s="19" t="str">
        <f>vlookup(T659,'Player Codes'!A:D,4,)</f>
        <v>0184</v>
      </c>
      <c r="W659" s="3"/>
      <c r="X659" s="3"/>
      <c r="Y659" s="3"/>
      <c r="Z659" s="3"/>
      <c r="AA659" s="3"/>
    </row>
    <row r="660">
      <c r="L660" s="26"/>
      <c r="T660" s="5" t="s">
        <v>1401</v>
      </c>
      <c r="U660" s="3">
        <v>5.0</v>
      </c>
      <c r="V660" s="21"/>
      <c r="W660" s="3"/>
      <c r="X660" s="3"/>
      <c r="Y660" s="3"/>
      <c r="Z660" s="3"/>
      <c r="AA660" s="3"/>
    </row>
    <row r="661">
      <c r="L661" s="26"/>
      <c r="T661" s="5" t="s">
        <v>655</v>
      </c>
      <c r="U661" s="3">
        <v>3.0</v>
      </c>
      <c r="V661" s="19" t="str">
        <f>vlookup(T661,'Player Codes'!A:D,4,)</f>
        <v>0189</v>
      </c>
      <c r="W661" s="3"/>
      <c r="X661" s="3"/>
      <c r="Y661" s="3"/>
      <c r="Z661" s="3"/>
      <c r="AA661" s="3"/>
    </row>
    <row r="662">
      <c r="L662" s="26"/>
      <c r="T662" s="5" t="s">
        <v>1405</v>
      </c>
      <c r="U662" s="3">
        <v>3.0</v>
      </c>
      <c r="V662" s="21"/>
      <c r="W662" s="3"/>
      <c r="X662" s="3"/>
      <c r="Y662" s="3"/>
      <c r="Z662" s="3"/>
      <c r="AA662" s="3"/>
    </row>
    <row r="663">
      <c r="L663" s="26"/>
      <c r="T663" s="5" t="s">
        <v>832</v>
      </c>
      <c r="U663" s="3">
        <v>3.0</v>
      </c>
      <c r="V663" s="19" t="str">
        <f>vlookup(T663,'Player Codes'!A:D,4,)</f>
        <v>0201</v>
      </c>
      <c r="W663" s="3"/>
      <c r="X663" s="3"/>
      <c r="Y663" s="3"/>
      <c r="Z663" s="3"/>
      <c r="AA663" s="3"/>
    </row>
    <row r="664">
      <c r="L664" s="26"/>
      <c r="T664" s="5" t="s">
        <v>1408</v>
      </c>
      <c r="U664" s="3">
        <v>2.0</v>
      </c>
      <c r="V664" s="21"/>
      <c r="W664" s="3"/>
      <c r="X664" s="3"/>
      <c r="Y664" s="3"/>
      <c r="Z664" s="3"/>
      <c r="AA664" s="3"/>
    </row>
    <row r="665">
      <c r="L665" s="26"/>
      <c r="T665" s="5" t="s">
        <v>718</v>
      </c>
      <c r="U665" s="3">
        <v>4.0</v>
      </c>
      <c r="V665" s="19" t="str">
        <f>vlookup(T665,'Player Codes'!A:D,4,)</f>
        <v>0203</v>
      </c>
      <c r="W665" s="3"/>
      <c r="X665" s="3"/>
      <c r="Y665" s="3"/>
      <c r="Z665" s="3"/>
      <c r="AA665" s="3"/>
    </row>
    <row r="666">
      <c r="L666" s="26"/>
      <c r="T666" s="5" t="s">
        <v>214</v>
      </c>
      <c r="U666" s="3">
        <v>5.0</v>
      </c>
      <c r="V666" s="19" t="str">
        <f>vlookup(T666,'Player Codes'!A:D,4,)</f>
        <v>0204</v>
      </c>
      <c r="W666" s="3"/>
      <c r="X666" s="3"/>
      <c r="Y666" s="3"/>
      <c r="Z666" s="3"/>
      <c r="AA666" s="3"/>
    </row>
    <row r="667">
      <c r="L667" s="26"/>
      <c r="T667" s="5" t="s">
        <v>1415</v>
      </c>
      <c r="U667" s="3">
        <v>6.0</v>
      </c>
      <c r="V667" s="21"/>
      <c r="W667" s="3"/>
      <c r="X667" s="3"/>
      <c r="Y667" s="3"/>
      <c r="Z667" s="3"/>
      <c r="AA667" s="3"/>
    </row>
    <row r="668">
      <c r="L668" s="26"/>
      <c r="T668" s="5" t="s">
        <v>1417</v>
      </c>
      <c r="U668" s="3">
        <v>6.0</v>
      </c>
      <c r="V668" s="21"/>
      <c r="W668" s="3"/>
      <c r="X668" s="3"/>
      <c r="Y668" s="3"/>
      <c r="Z668" s="3"/>
      <c r="AA668" s="3"/>
    </row>
    <row r="669">
      <c r="L669" s="26"/>
      <c r="T669" s="5" t="s">
        <v>736</v>
      </c>
      <c r="U669" s="3">
        <v>2.0</v>
      </c>
      <c r="V669" s="19" t="str">
        <f>vlookup(T669,'Player Codes'!A:D,4,)</f>
        <v>0206</v>
      </c>
      <c r="W669" s="3"/>
      <c r="X669" s="3"/>
      <c r="Y669" s="3"/>
      <c r="Z669" s="3"/>
      <c r="AA669" s="3"/>
    </row>
    <row r="670">
      <c r="L670" s="26"/>
      <c r="T670" s="5" t="s">
        <v>1420</v>
      </c>
      <c r="U670" s="3">
        <v>4.0</v>
      </c>
      <c r="V670" s="21"/>
      <c r="W670" s="3"/>
      <c r="X670" s="3"/>
      <c r="Y670" s="3"/>
      <c r="Z670" s="3"/>
      <c r="AA670" s="3"/>
    </row>
    <row r="671">
      <c r="L671" s="26"/>
      <c r="T671" s="5" t="s">
        <v>472</v>
      </c>
      <c r="U671" s="3">
        <v>4.0</v>
      </c>
      <c r="V671" s="19" t="str">
        <f>vlookup(T671,'Player Codes'!A:D,4,)</f>
        <v>0213</v>
      </c>
      <c r="W671" s="3"/>
      <c r="X671" s="3"/>
      <c r="Y671" s="3"/>
      <c r="Z671" s="3"/>
      <c r="AA671" s="3"/>
    </row>
    <row r="672">
      <c r="L672" s="26"/>
      <c r="T672" s="5" t="s">
        <v>1423</v>
      </c>
      <c r="U672" s="3">
        <v>3.0</v>
      </c>
      <c r="V672" s="21"/>
      <c r="W672" s="3"/>
      <c r="X672" s="3"/>
      <c r="Y672" s="3"/>
      <c r="Z672" s="3"/>
      <c r="AA672" s="3"/>
    </row>
    <row r="673">
      <c r="L673" s="26"/>
      <c r="T673" s="5" t="s">
        <v>372</v>
      </c>
      <c r="U673" s="3">
        <v>5.0</v>
      </c>
      <c r="V673" s="19" t="str">
        <f>vlookup(T673,'Player Codes'!A:D,4,)</f>
        <v>0216</v>
      </c>
      <c r="W673" s="3"/>
      <c r="X673" s="3"/>
      <c r="Y673" s="3"/>
      <c r="Z673" s="3"/>
      <c r="AA673" s="3"/>
    </row>
    <row r="674">
      <c r="L674" s="26"/>
      <c r="T674" s="5" t="s">
        <v>871</v>
      </c>
      <c r="U674" s="3">
        <v>2.0</v>
      </c>
      <c r="V674" s="19" t="str">
        <f>vlookup(T674,'Player Codes'!A:D,4,)</f>
        <v>0217</v>
      </c>
      <c r="W674" s="3"/>
      <c r="X674" s="3"/>
      <c r="Y674" s="3"/>
      <c r="Z674" s="3"/>
      <c r="AA674" s="3"/>
    </row>
    <row r="675">
      <c r="L675" s="26"/>
      <c r="T675" s="5" t="s">
        <v>185</v>
      </c>
      <c r="U675" s="3">
        <v>5.0</v>
      </c>
      <c r="V675" s="19" t="str">
        <f>vlookup(T675,'Player Codes'!A:D,4,)</f>
        <v>0218</v>
      </c>
      <c r="W675" s="3"/>
      <c r="X675" s="3"/>
      <c r="Y675" s="3"/>
      <c r="Z675" s="3"/>
      <c r="AA675" s="3"/>
    </row>
    <row r="676">
      <c r="L676" s="26"/>
      <c r="T676" s="5" t="s">
        <v>155</v>
      </c>
      <c r="U676" s="3">
        <v>5.0</v>
      </c>
      <c r="V676" s="19" t="str">
        <f>vlookup(T676,'Player Codes'!A:D,4,)</f>
        <v>0220</v>
      </c>
      <c r="W676" s="3"/>
      <c r="X676" s="3"/>
      <c r="Y676" s="3"/>
      <c r="Z676" s="3"/>
      <c r="AA676" s="3"/>
    </row>
    <row r="677">
      <c r="L677" s="26"/>
      <c r="T677" s="5" t="s">
        <v>1428</v>
      </c>
      <c r="U677" s="3">
        <v>4.0</v>
      </c>
      <c r="V677" s="21"/>
      <c r="W677" s="3"/>
      <c r="X677" s="3"/>
      <c r="Y677" s="3"/>
      <c r="Z677" s="3"/>
      <c r="AA677" s="3"/>
    </row>
    <row r="678">
      <c r="L678" s="26"/>
      <c r="T678" s="5" t="s">
        <v>1429</v>
      </c>
      <c r="U678" s="3">
        <v>2.0</v>
      </c>
      <c r="V678" s="21"/>
      <c r="W678" s="3"/>
      <c r="X678" s="3"/>
      <c r="Y678" s="3"/>
      <c r="Z678" s="3"/>
      <c r="AA678" s="3"/>
    </row>
    <row r="679">
      <c r="L679" s="26"/>
      <c r="T679" s="5" t="s">
        <v>1430</v>
      </c>
      <c r="U679" s="3">
        <v>4.0</v>
      </c>
      <c r="V679" s="21"/>
      <c r="W679" s="3"/>
      <c r="X679" s="3"/>
      <c r="Y679" s="3"/>
      <c r="Z679" s="3"/>
      <c r="AA679" s="3"/>
    </row>
    <row r="680">
      <c r="L680" s="26"/>
      <c r="T680" s="5" t="s">
        <v>436</v>
      </c>
      <c r="U680" s="3">
        <v>4.0</v>
      </c>
      <c r="V680" s="19" t="str">
        <f>vlookup(T680,'Player Codes'!A:D,4,)</f>
        <v>0230</v>
      </c>
      <c r="W680" s="3"/>
      <c r="X680" s="3"/>
      <c r="Y680" s="3"/>
      <c r="Z680" s="3"/>
      <c r="AA680" s="3"/>
    </row>
    <row r="681">
      <c r="L681" s="26"/>
      <c r="T681" s="5" t="s">
        <v>430</v>
      </c>
      <c r="U681" s="3">
        <v>5.0</v>
      </c>
      <c r="V681" s="19" t="str">
        <f>vlookup(T681,'Player Codes'!A:D,4,)</f>
        <v>0232</v>
      </c>
      <c r="W681" s="3"/>
      <c r="X681" s="3"/>
      <c r="Y681" s="3"/>
      <c r="Z681" s="3"/>
      <c r="AA681" s="3"/>
    </row>
    <row r="682">
      <c r="L682" s="26"/>
      <c r="T682" s="5" t="s">
        <v>1431</v>
      </c>
      <c r="U682" s="3">
        <v>3.0</v>
      </c>
      <c r="V682" s="21"/>
      <c r="W682" s="3"/>
      <c r="X682" s="3"/>
      <c r="Y682" s="3"/>
      <c r="Z682" s="3"/>
      <c r="AA682" s="3"/>
    </row>
    <row r="683">
      <c r="L683" s="26"/>
      <c r="T683" s="5" t="s">
        <v>643</v>
      </c>
      <c r="U683" s="3">
        <v>4.0</v>
      </c>
      <c r="V683" s="19" t="str">
        <f>vlookup(T683,'Player Codes'!A:D,4,)</f>
        <v>0233</v>
      </c>
      <c r="W683" s="3"/>
      <c r="X683" s="3"/>
      <c r="Y683" s="3"/>
      <c r="Z683" s="3"/>
      <c r="AA683" s="3"/>
    </row>
    <row r="684">
      <c r="L684" s="26"/>
      <c r="T684" s="5" t="s">
        <v>1433</v>
      </c>
      <c r="U684" s="3">
        <v>4.0</v>
      </c>
      <c r="V684" s="21"/>
      <c r="W684" s="3"/>
      <c r="X684" s="3"/>
      <c r="Y684" s="3"/>
      <c r="Z684" s="3"/>
      <c r="AA684" s="3"/>
    </row>
    <row r="685">
      <c r="L685" s="26"/>
      <c r="T685" s="5" t="s">
        <v>380</v>
      </c>
      <c r="U685" s="3">
        <v>3.0</v>
      </c>
      <c r="V685" s="19" t="str">
        <f>vlookup(T685,'Player Codes'!A:D,4,)</f>
        <v>0239</v>
      </c>
      <c r="W685" s="3"/>
      <c r="X685" s="3"/>
      <c r="Y685" s="3"/>
      <c r="Z685" s="3"/>
      <c r="AA685" s="3"/>
    </row>
    <row r="686">
      <c r="L686" s="26"/>
      <c r="T686" s="5" t="s">
        <v>1435</v>
      </c>
      <c r="U686" s="3">
        <v>2.0</v>
      </c>
      <c r="V686" s="21"/>
      <c r="W686" s="3"/>
      <c r="X686" s="3"/>
      <c r="Y686" s="3"/>
      <c r="Z686" s="3"/>
      <c r="AA686" s="3"/>
    </row>
    <row r="687">
      <c r="L687" s="26"/>
      <c r="T687" s="5" t="s">
        <v>1436</v>
      </c>
      <c r="U687" s="3">
        <v>6.0</v>
      </c>
      <c r="V687" s="21"/>
      <c r="W687" s="3"/>
      <c r="X687" s="3"/>
      <c r="Y687" s="3"/>
      <c r="Z687" s="3"/>
      <c r="AA687" s="3"/>
    </row>
    <row r="688">
      <c r="L688" s="26"/>
      <c r="T688" s="5" t="s">
        <v>660</v>
      </c>
      <c r="U688" s="3">
        <v>2.0</v>
      </c>
      <c r="V688" s="19" t="str">
        <f>vlookup(T688,'Player Codes'!A:D,4,)</f>
        <v>0243</v>
      </c>
      <c r="W688" s="3"/>
      <c r="X688" s="3"/>
      <c r="Y688" s="3"/>
      <c r="Z688" s="3"/>
      <c r="AA688" s="3"/>
    </row>
    <row r="689">
      <c r="L689" s="26"/>
      <c r="T689" s="5" t="s">
        <v>652</v>
      </c>
      <c r="U689" s="3">
        <v>2.0</v>
      </c>
      <c r="V689" s="19" t="str">
        <f>vlookup(T689,'Player Codes'!A:D,4,)</f>
        <v>0244</v>
      </c>
      <c r="W689" s="3"/>
      <c r="X689" s="3"/>
      <c r="Y689" s="3"/>
      <c r="Z689" s="3"/>
      <c r="AA689" s="3"/>
    </row>
    <row r="690">
      <c r="L690" s="26"/>
      <c r="T690" s="5" t="s">
        <v>419</v>
      </c>
      <c r="U690" s="3">
        <v>3.0</v>
      </c>
      <c r="V690" s="19" t="str">
        <f>vlookup(T690,'Player Codes'!A:D,4,)</f>
        <v>0245</v>
      </c>
      <c r="W690" s="3"/>
      <c r="X690" s="3"/>
      <c r="Y690" s="3"/>
      <c r="Z690" s="3"/>
      <c r="AA690" s="3"/>
    </row>
    <row r="691">
      <c r="L691" s="26"/>
      <c r="T691" s="5" t="s">
        <v>1438</v>
      </c>
      <c r="U691" s="3">
        <v>3.0</v>
      </c>
      <c r="V691" s="21"/>
      <c r="W691" s="3"/>
      <c r="X691" s="3"/>
      <c r="Y691" s="3"/>
      <c r="Z691" s="3"/>
      <c r="AA691" s="3"/>
    </row>
    <row r="692">
      <c r="L692" s="26"/>
      <c r="T692" s="2" t="s">
        <v>627</v>
      </c>
      <c r="U692" s="3">
        <v>5.0</v>
      </c>
      <c r="V692" s="19" t="str">
        <f>vlookup(T692,'Player Codes'!A:D,4,)</f>
        <v>0249</v>
      </c>
      <c r="W692" s="3"/>
      <c r="X692" s="3"/>
      <c r="Y692" s="3"/>
      <c r="Z692" s="3"/>
      <c r="AA692" s="3"/>
    </row>
    <row r="693">
      <c r="L693" s="26"/>
      <c r="T693" s="5" t="s">
        <v>497</v>
      </c>
      <c r="U693" s="3">
        <v>2.0</v>
      </c>
      <c r="V693" s="19" t="str">
        <f>vlookup(T693,'Player Codes'!A:D,4,)</f>
        <v>0250</v>
      </c>
      <c r="W693" s="3"/>
      <c r="X693" s="3"/>
      <c r="Y693" s="3"/>
      <c r="Z693" s="3"/>
      <c r="AA693" s="3"/>
    </row>
    <row r="694">
      <c r="L694" s="26"/>
      <c r="T694" s="5" t="s">
        <v>551</v>
      </c>
      <c r="U694" s="3">
        <v>4.0</v>
      </c>
      <c r="V694" s="19" t="str">
        <f>vlookup(T694,'Player Codes'!A:D,4,)</f>
        <v>0251</v>
      </c>
      <c r="W694" s="3"/>
      <c r="X694" s="3"/>
      <c r="Y694" s="3"/>
      <c r="Z694" s="3"/>
      <c r="AA694" s="3"/>
    </row>
    <row r="695">
      <c r="L695" s="26"/>
      <c r="T695" s="5" t="s">
        <v>1441</v>
      </c>
      <c r="U695" s="3">
        <v>4.0</v>
      </c>
      <c r="V695" s="21"/>
      <c r="W695" s="3"/>
      <c r="X695" s="3"/>
      <c r="Y695" s="3"/>
      <c r="Z695" s="3"/>
      <c r="AA695" s="3"/>
    </row>
    <row r="696">
      <c r="L696" s="26"/>
      <c r="T696" s="5" t="s">
        <v>1442</v>
      </c>
      <c r="U696" s="3">
        <v>5.0</v>
      </c>
      <c r="V696" s="21"/>
      <c r="W696" s="3"/>
      <c r="X696" s="3"/>
      <c r="Y696" s="3"/>
      <c r="Z696" s="3"/>
      <c r="AA696" s="3"/>
    </row>
    <row r="697">
      <c r="L697" s="26"/>
      <c r="T697" s="5" t="s">
        <v>443</v>
      </c>
      <c r="U697" s="3">
        <v>4.0</v>
      </c>
      <c r="V697" s="19" t="str">
        <f>vlookup(T697,'Player Codes'!A:D,4,)</f>
        <v>0262</v>
      </c>
      <c r="W697" s="3"/>
      <c r="X697" s="3"/>
      <c r="Y697" s="3"/>
      <c r="Z697" s="3"/>
      <c r="AA697" s="3"/>
    </row>
    <row r="698">
      <c r="L698" s="26"/>
      <c r="T698" s="5" t="s">
        <v>89</v>
      </c>
      <c r="U698" s="3">
        <v>4.0</v>
      </c>
      <c r="V698" s="19" t="str">
        <f>vlookup(T698,'Player Codes'!A:D,4,)</f>
        <v>0263</v>
      </c>
      <c r="W698" s="3"/>
      <c r="X698" s="3"/>
      <c r="Y698" s="3"/>
      <c r="Z698" s="3"/>
      <c r="AA698" s="3"/>
    </row>
    <row r="699">
      <c r="L699" s="26"/>
      <c r="T699" s="5" t="s">
        <v>1444</v>
      </c>
      <c r="U699" s="3">
        <v>4.0</v>
      </c>
      <c r="V699" s="21"/>
      <c r="W699" s="3"/>
      <c r="X699" s="3"/>
      <c r="Y699" s="3"/>
      <c r="Z699" s="3"/>
      <c r="AA699" s="3"/>
    </row>
    <row r="700">
      <c r="L700" s="26"/>
      <c r="T700" s="5" t="s">
        <v>131</v>
      </c>
      <c r="U700" s="3">
        <v>4.0</v>
      </c>
      <c r="V700" s="19" t="str">
        <f>vlookup(T700,'Player Codes'!A:D,4,)</f>
        <v>0270</v>
      </c>
      <c r="W700" s="3"/>
      <c r="X700" s="3"/>
      <c r="Y700" s="3"/>
      <c r="Z700" s="3"/>
      <c r="AA700" s="3"/>
    </row>
    <row r="701">
      <c r="L701" s="26"/>
      <c r="T701" s="5" t="s">
        <v>1446</v>
      </c>
      <c r="U701" s="3">
        <v>4.0</v>
      </c>
      <c r="V701" s="21"/>
      <c r="W701" s="3"/>
      <c r="X701" s="3"/>
      <c r="Y701" s="3"/>
      <c r="Z701" s="3"/>
      <c r="AA701" s="3"/>
    </row>
    <row r="702">
      <c r="L702" s="26"/>
      <c r="T702" s="5" t="s">
        <v>124</v>
      </c>
      <c r="U702" s="3">
        <v>5.0</v>
      </c>
      <c r="V702" s="19" t="str">
        <f>vlookup(T702,'Player Codes'!A:D,4,)</f>
        <v>0273</v>
      </c>
      <c r="W702" s="3"/>
      <c r="X702" s="3"/>
      <c r="Y702" s="3"/>
      <c r="Z702" s="3"/>
      <c r="AA702" s="3"/>
    </row>
    <row r="703">
      <c r="L703" s="26"/>
      <c r="T703" s="5" t="s">
        <v>1449</v>
      </c>
      <c r="U703" s="3">
        <v>3.0</v>
      </c>
      <c r="V703" s="21"/>
      <c r="W703" s="3"/>
      <c r="X703" s="3"/>
      <c r="Y703" s="3"/>
      <c r="Z703" s="3"/>
      <c r="AA703" s="3"/>
    </row>
    <row r="704">
      <c r="L704" s="26"/>
      <c r="T704" s="5" t="s">
        <v>1451</v>
      </c>
      <c r="U704" s="3">
        <v>4.0</v>
      </c>
      <c r="V704" s="21"/>
      <c r="W704" s="3"/>
      <c r="X704" s="3"/>
      <c r="Y704" s="3"/>
      <c r="Z704" s="3"/>
      <c r="AA704" s="3"/>
    </row>
    <row r="705">
      <c r="L705" s="26"/>
      <c r="T705" s="5" t="s">
        <v>337</v>
      </c>
      <c r="U705" s="3">
        <v>3.0</v>
      </c>
      <c r="V705" s="19" t="str">
        <f>vlookup(T705,'Player Codes'!A:D,4,)</f>
        <v>0279</v>
      </c>
      <c r="W705" s="3"/>
      <c r="X705" s="3"/>
      <c r="Y705" s="3"/>
      <c r="Z705" s="3"/>
      <c r="AA705" s="3"/>
    </row>
    <row r="706">
      <c r="L706" s="26"/>
      <c r="T706" s="5" t="s">
        <v>852</v>
      </c>
      <c r="U706" s="3">
        <v>2.0</v>
      </c>
      <c r="V706" s="19" t="str">
        <f>vlookup(T706,'Player Codes'!A:D,4,)</f>
        <v>0281</v>
      </c>
      <c r="W706" s="3"/>
      <c r="X706" s="3"/>
      <c r="Y706" s="3"/>
      <c r="Z706" s="3"/>
      <c r="AA706" s="3"/>
    </row>
    <row r="707">
      <c r="L707" s="26"/>
      <c r="T707" s="5" t="s">
        <v>1454</v>
      </c>
      <c r="U707" s="3">
        <v>2.0</v>
      </c>
      <c r="V707" s="21"/>
      <c r="W707" s="3"/>
      <c r="X707" s="3"/>
      <c r="Y707" s="3"/>
      <c r="Z707" s="3"/>
      <c r="AA707" s="3"/>
    </row>
    <row r="708">
      <c r="L708" s="26"/>
      <c r="T708" s="5" t="s">
        <v>486</v>
      </c>
      <c r="U708" s="3">
        <v>4.0</v>
      </c>
      <c r="V708" s="19" t="str">
        <f>vlookup(T708,'Player Codes'!A:D,4,)</f>
        <v>0286</v>
      </c>
      <c r="W708" s="3"/>
      <c r="X708" s="3"/>
      <c r="Y708" s="3"/>
      <c r="Z708" s="3"/>
      <c r="AA708" s="3"/>
    </row>
    <row r="709">
      <c r="L709" s="26"/>
      <c r="T709" s="5" t="s">
        <v>179</v>
      </c>
      <c r="U709" s="3">
        <v>5.0</v>
      </c>
      <c r="V709" s="19" t="str">
        <f>vlookup(T709,'Player Codes'!A:D,4,)</f>
        <v>0289</v>
      </c>
      <c r="W709" s="3"/>
      <c r="X709" s="3"/>
      <c r="Y709" s="3"/>
      <c r="Z709" s="3"/>
      <c r="AA709" s="3"/>
    </row>
    <row r="710">
      <c r="L710" s="26"/>
      <c r="T710" s="5" t="s">
        <v>893</v>
      </c>
      <c r="U710" s="3">
        <v>2.0</v>
      </c>
      <c r="V710" s="19" t="str">
        <f>vlookup(T710,'Player Codes'!A:D,4,)</f>
        <v>0290</v>
      </c>
      <c r="W710" s="3"/>
      <c r="X710" s="3"/>
      <c r="Y710" s="3"/>
      <c r="Z710" s="3"/>
      <c r="AA710" s="3"/>
    </row>
    <row r="711">
      <c r="L711" s="26"/>
      <c r="T711" s="5" t="s">
        <v>31</v>
      </c>
      <c r="U711" s="3">
        <v>5.0</v>
      </c>
      <c r="V711" s="19" t="str">
        <f>vlookup(T711,'Player Codes'!A:D,4,)</f>
        <v>0291</v>
      </c>
      <c r="W711" s="3"/>
      <c r="X711" s="3"/>
      <c r="Y711" s="3"/>
      <c r="Z711" s="3"/>
      <c r="AA711" s="3"/>
    </row>
    <row r="712">
      <c r="L712" s="26"/>
      <c r="T712" s="5" t="s">
        <v>490</v>
      </c>
      <c r="U712" s="3">
        <v>4.0</v>
      </c>
      <c r="V712" s="19" t="str">
        <f>vlookup(T712,'Player Codes'!A:D,4,)</f>
        <v>0292</v>
      </c>
      <c r="W712" s="3"/>
      <c r="X712" s="3"/>
      <c r="Y712" s="3"/>
      <c r="Z712" s="3"/>
      <c r="AA712" s="3"/>
    </row>
    <row r="713">
      <c r="L713" s="26"/>
      <c r="T713" s="5" t="s">
        <v>1458</v>
      </c>
      <c r="U713" s="3">
        <v>4.0</v>
      </c>
      <c r="V713" s="21"/>
      <c r="W713" s="3"/>
      <c r="X713" s="3"/>
      <c r="Y713" s="3"/>
      <c r="Z713" s="3"/>
      <c r="AA713" s="3"/>
    </row>
    <row r="714">
      <c r="L714" s="26"/>
      <c r="T714" s="5" t="s">
        <v>1460</v>
      </c>
      <c r="U714" s="3">
        <v>3.0</v>
      </c>
      <c r="V714" s="21"/>
      <c r="W714" s="3"/>
      <c r="X714" s="3"/>
      <c r="Y714" s="3"/>
      <c r="Z714" s="3"/>
      <c r="AA714" s="3"/>
    </row>
    <row r="715">
      <c r="L715" s="26"/>
      <c r="T715" s="5" t="s">
        <v>526</v>
      </c>
      <c r="U715" s="3">
        <v>2.0</v>
      </c>
      <c r="V715" s="19" t="str">
        <f>vlookup(T715,'Player Codes'!A:D,4,)</f>
        <v>0299</v>
      </c>
      <c r="W715" s="3"/>
      <c r="X715" s="3"/>
      <c r="Y715" s="3"/>
      <c r="Z715" s="3"/>
      <c r="AA715" s="3"/>
    </row>
    <row r="716">
      <c r="L716" s="26"/>
      <c r="T716" s="5" t="s">
        <v>454</v>
      </c>
      <c r="U716" s="3">
        <v>4.0</v>
      </c>
      <c r="V716" s="19" t="str">
        <f>vlookup(T716,'Player Codes'!A:D,4,)</f>
        <v>0300</v>
      </c>
      <c r="W716" s="3"/>
      <c r="X716" s="3"/>
      <c r="Y716" s="3"/>
      <c r="Z716" s="3"/>
      <c r="AA716" s="3"/>
    </row>
    <row r="717">
      <c r="L717" s="26"/>
      <c r="T717" s="5" t="s">
        <v>309</v>
      </c>
      <c r="U717" s="3">
        <v>3.0</v>
      </c>
      <c r="V717" s="19" t="str">
        <f>vlookup(T717,'Player Codes'!A:D,4,)</f>
        <v>0005</v>
      </c>
      <c r="W717" s="3"/>
      <c r="X717" s="3"/>
      <c r="Y717" s="3"/>
      <c r="Z717" s="3"/>
      <c r="AA717" s="3"/>
    </row>
    <row r="718">
      <c r="L718" s="26"/>
      <c r="T718" s="5" t="s">
        <v>59</v>
      </c>
      <c r="U718" s="3">
        <v>5.0</v>
      </c>
      <c r="V718" s="19" t="str">
        <f>vlookup(T718,'Player Codes'!A:D,4,)</f>
        <v>0002</v>
      </c>
      <c r="W718" s="3"/>
      <c r="X718" s="3"/>
      <c r="Y718" s="3"/>
      <c r="Z718" s="3"/>
      <c r="AA718" s="3"/>
    </row>
    <row r="719">
      <c r="L719" s="26"/>
      <c r="T719" s="5" t="s">
        <v>135</v>
      </c>
      <c r="U719" s="3">
        <v>3.0</v>
      </c>
      <c r="V719" s="19" t="str">
        <f>vlookup(T719,'Player Codes'!A:D,4,)</f>
        <v>0007</v>
      </c>
      <c r="W719" s="3"/>
      <c r="X719" s="3"/>
      <c r="Y719" s="3"/>
      <c r="Z719" s="3"/>
      <c r="AA719" s="3"/>
    </row>
    <row r="720">
      <c r="L720" s="26"/>
      <c r="T720" s="5" t="s">
        <v>205</v>
      </c>
      <c r="U720" s="3">
        <v>5.0</v>
      </c>
      <c r="V720" s="19" t="str">
        <f>vlookup(T720,'Player Codes'!A:D,4,)</f>
        <v>0010</v>
      </c>
      <c r="W720" s="3"/>
      <c r="X720" s="3"/>
      <c r="Y720" s="3"/>
      <c r="Z720" s="3"/>
      <c r="AA720" s="3"/>
    </row>
    <row r="721">
      <c r="L721" s="26"/>
      <c r="T721" s="5" t="s">
        <v>1277</v>
      </c>
      <c r="U721" s="3">
        <v>3.0</v>
      </c>
      <c r="V721" s="21"/>
      <c r="W721" s="3"/>
      <c r="X721" s="3"/>
      <c r="Y721" s="3"/>
      <c r="Z721" s="3"/>
      <c r="AA721" s="3"/>
    </row>
    <row r="722">
      <c r="L722" s="26"/>
      <c r="T722" s="5" t="s">
        <v>295</v>
      </c>
      <c r="U722" s="3">
        <v>4.0</v>
      </c>
      <c r="V722" s="19" t="str">
        <f>vlookup(T722,'Player Codes'!A:D,4,)</f>
        <v>0015</v>
      </c>
      <c r="W722" s="3"/>
      <c r="X722" s="3"/>
      <c r="Y722" s="3"/>
      <c r="Z722" s="3"/>
      <c r="AA722" s="3"/>
    </row>
    <row r="723">
      <c r="L723" s="26"/>
      <c r="T723" s="5" t="s">
        <v>18</v>
      </c>
      <c r="U723" s="3">
        <v>5.0</v>
      </c>
      <c r="V723" s="19" t="str">
        <f>vlookup(T723,'Player Codes'!A:D,4,)</f>
        <v>0018</v>
      </c>
      <c r="W723" s="3"/>
      <c r="X723" s="3"/>
      <c r="Y723" s="3"/>
      <c r="Z723" s="3"/>
      <c r="AA723" s="3"/>
    </row>
    <row r="724">
      <c r="L724" s="26"/>
      <c r="T724" s="5" t="s">
        <v>47</v>
      </c>
      <c r="U724" s="3">
        <v>3.0</v>
      </c>
      <c r="V724" s="19" t="str">
        <f>vlookup(T724,'Player Codes'!A:D,4,)</f>
        <v>0021</v>
      </c>
      <c r="W724" s="3"/>
      <c r="X724" s="3"/>
      <c r="Y724" s="3"/>
      <c r="Z724" s="3"/>
      <c r="AA724" s="3"/>
    </row>
    <row r="725">
      <c r="L725" s="26"/>
      <c r="T725" s="5" t="s">
        <v>79</v>
      </c>
      <c r="U725" s="3">
        <v>4.0</v>
      </c>
      <c r="V725" s="19" t="str">
        <f>vlookup(T725,'Player Codes'!A:D,4,)</f>
        <v>0026</v>
      </c>
      <c r="W725" s="3"/>
      <c r="X725" s="3"/>
      <c r="Y725" s="3"/>
      <c r="Z725" s="3"/>
      <c r="AA725" s="3"/>
    </row>
    <row r="726">
      <c r="L726" s="26"/>
      <c r="T726" s="5" t="s">
        <v>298</v>
      </c>
      <c r="U726" s="3">
        <v>3.0</v>
      </c>
      <c r="V726" s="19" t="str">
        <f>vlookup(T726,'Player Codes'!A:D,4,)</f>
        <v>0028</v>
      </c>
      <c r="W726" s="3"/>
      <c r="X726" s="3"/>
      <c r="Y726" s="3"/>
      <c r="Z726" s="3"/>
      <c r="AA726" s="3"/>
    </row>
    <row r="727">
      <c r="L727" s="26"/>
      <c r="T727" s="5" t="s">
        <v>235</v>
      </c>
      <c r="U727" s="3">
        <v>3.0</v>
      </c>
      <c r="V727" s="19" t="str">
        <f>vlookup(T727,'Player Codes'!A:D,4,)</f>
        <v>0038</v>
      </c>
      <c r="W727" s="3"/>
      <c r="X727" s="3"/>
      <c r="Y727" s="3"/>
      <c r="Z727" s="3"/>
      <c r="AA727" s="3"/>
    </row>
    <row r="728">
      <c r="L728" s="26"/>
      <c r="T728" s="2" t="s">
        <v>1334</v>
      </c>
      <c r="U728" s="3">
        <v>5.0</v>
      </c>
      <c r="V728" s="21"/>
      <c r="W728" s="3"/>
      <c r="X728" s="3"/>
      <c r="Y728" s="3"/>
      <c r="Z728" s="3"/>
      <c r="AA728" s="3"/>
    </row>
    <row r="729">
      <c r="L729" s="26"/>
      <c r="T729" s="5" t="s">
        <v>14</v>
      </c>
      <c r="U729" s="3">
        <v>5.0</v>
      </c>
      <c r="V729" s="19" t="str">
        <f>vlookup(T729,'Player Codes'!A:D,4,)</f>
        <v>0055</v>
      </c>
      <c r="W729" s="3"/>
      <c r="X729" s="3"/>
      <c r="Y729" s="3"/>
      <c r="Z729" s="3"/>
      <c r="AA729" s="3"/>
    </row>
    <row r="730">
      <c r="L730" s="26"/>
      <c r="T730" s="5" t="s">
        <v>620</v>
      </c>
      <c r="U730" s="3">
        <v>3.0</v>
      </c>
      <c r="V730" s="19" t="str">
        <f>vlookup(T730,'Player Codes'!A:D,4,)</f>
        <v>0057</v>
      </c>
      <c r="W730" s="3"/>
      <c r="X730" s="3"/>
      <c r="Y730" s="3"/>
      <c r="Z730" s="3"/>
      <c r="AA730" s="3"/>
    </row>
    <row r="731">
      <c r="L731" s="26"/>
      <c r="T731" s="2" t="s">
        <v>668</v>
      </c>
      <c r="U731" s="3">
        <v>4.0</v>
      </c>
      <c r="V731" s="19" t="str">
        <f>vlookup(T731,'Player Codes'!A:D,4,)</f>
        <v>0060</v>
      </c>
      <c r="W731" s="3"/>
      <c r="X731" s="3"/>
      <c r="Y731" s="3"/>
      <c r="Z731" s="3"/>
      <c r="AA731" s="3"/>
    </row>
    <row r="732">
      <c r="L732" s="26"/>
      <c r="T732" s="5" t="s">
        <v>567</v>
      </c>
      <c r="U732" s="3">
        <v>6.0</v>
      </c>
      <c r="V732" s="19" t="str">
        <f>vlookup(T732,'Player Codes'!A:D,4,)</f>
        <v>0064</v>
      </c>
      <c r="W732" s="3"/>
      <c r="X732" s="3"/>
      <c r="Y732" s="3"/>
      <c r="Z732" s="3"/>
      <c r="AA732" s="3"/>
    </row>
    <row r="733">
      <c r="L733" s="26"/>
      <c r="T733" s="5" t="s">
        <v>272</v>
      </c>
      <c r="U733" s="3">
        <v>4.0</v>
      </c>
      <c r="V733" s="19" t="str">
        <f>vlookup(T733,'Player Codes'!A:D,4,)</f>
        <v>0067</v>
      </c>
      <c r="W733" s="3"/>
      <c r="X733" s="3"/>
      <c r="Y733" s="3"/>
      <c r="Z733" s="3"/>
      <c r="AA733" s="3"/>
    </row>
    <row r="734">
      <c r="L734" s="26"/>
      <c r="T734" s="2" t="s">
        <v>1370</v>
      </c>
      <c r="U734" s="3">
        <v>3.0</v>
      </c>
      <c r="V734" s="19" t="str">
        <f>vlookup(T734,'Player Codes'!A:D,4,)</f>
        <v>0301</v>
      </c>
      <c r="W734" s="3"/>
      <c r="X734" s="3"/>
      <c r="Y734" s="3"/>
      <c r="Z734" s="3"/>
      <c r="AA734" s="3"/>
    </row>
    <row r="735">
      <c r="L735" s="26"/>
      <c r="T735" s="5" t="s">
        <v>283</v>
      </c>
      <c r="U735" s="3">
        <v>5.0</v>
      </c>
      <c r="V735" s="19" t="str">
        <f>vlookup(T735,'Player Codes'!A:D,4,)</f>
        <v>0073</v>
      </c>
      <c r="W735" s="3"/>
      <c r="X735" s="3"/>
      <c r="Y735" s="3"/>
      <c r="Z735" s="3"/>
      <c r="AA735" s="3"/>
    </row>
    <row r="736">
      <c r="L736" s="26"/>
      <c r="T736" s="5" t="s">
        <v>163</v>
      </c>
      <c r="U736" s="3">
        <v>3.0</v>
      </c>
      <c r="V736" s="19" t="str">
        <f>vlookup(T736,'Player Codes'!A:D,4,)</f>
        <v>0074</v>
      </c>
      <c r="W736" s="3"/>
      <c r="X736" s="3"/>
      <c r="Y736" s="3"/>
      <c r="Z736" s="3"/>
      <c r="AA736" s="3"/>
    </row>
    <row r="737">
      <c r="L737" s="26"/>
      <c r="T737" s="5" t="s">
        <v>478</v>
      </c>
      <c r="U737" s="3">
        <v>5.0</v>
      </c>
      <c r="V737" s="19" t="str">
        <f>vlookup(T737,'Player Codes'!A:D,4,)</f>
        <v>0075</v>
      </c>
      <c r="W737" s="3"/>
      <c r="X737" s="3"/>
      <c r="Y737" s="3"/>
      <c r="Z737" s="3"/>
      <c r="AA737" s="3"/>
    </row>
    <row r="738">
      <c r="L738" s="26"/>
      <c r="T738" s="5" t="s">
        <v>1384</v>
      </c>
      <c r="U738" s="3">
        <v>6.0</v>
      </c>
      <c r="V738" s="21"/>
      <c r="W738" s="3"/>
      <c r="X738" s="3"/>
      <c r="Y738" s="3"/>
      <c r="Z738" s="3"/>
      <c r="AA738" s="3"/>
    </row>
    <row r="739">
      <c r="L739" s="26"/>
      <c r="T739" s="5" t="s">
        <v>1399</v>
      </c>
      <c r="U739" s="3">
        <v>4.0</v>
      </c>
      <c r="V739" s="21"/>
      <c r="W739" s="3"/>
      <c r="X739" s="3"/>
      <c r="Y739" s="3"/>
      <c r="Z739" s="3"/>
      <c r="AA739" s="3"/>
    </row>
    <row r="740">
      <c r="L740" s="26"/>
      <c r="T740" s="5" t="s">
        <v>109</v>
      </c>
      <c r="U740" s="3">
        <v>5.0</v>
      </c>
      <c r="V740" s="19" t="str">
        <f>vlookup(T740,'Player Codes'!A:D,4,)</f>
        <v>0082</v>
      </c>
      <c r="W740" s="3"/>
      <c r="X740" s="3"/>
      <c r="Y740" s="3"/>
      <c r="Z740" s="3"/>
      <c r="AA740" s="3"/>
    </row>
    <row r="741">
      <c r="L741" s="26"/>
      <c r="T741" s="5" t="s">
        <v>1413</v>
      </c>
      <c r="U741" s="3">
        <v>3.0</v>
      </c>
      <c r="V741" s="19" t="str">
        <f>vlookup(T741,'Player Codes'!A:D,4,)</f>
        <v>0302</v>
      </c>
      <c r="W741" s="3"/>
      <c r="X741" s="3"/>
      <c r="Y741" s="3"/>
      <c r="Z741" s="3"/>
      <c r="AA741" s="3"/>
    </row>
    <row r="742">
      <c r="L742" s="26"/>
      <c r="T742" s="5" t="s">
        <v>39</v>
      </c>
      <c r="U742" s="3">
        <v>4.0</v>
      </c>
      <c r="V742" s="19" t="str">
        <f>vlookup(T742,'Player Codes'!A:D,4,)</f>
        <v>0089</v>
      </c>
      <c r="W742" s="3"/>
      <c r="X742" s="3"/>
      <c r="Y742" s="3"/>
      <c r="Z742" s="3"/>
      <c r="AA742" s="3"/>
    </row>
    <row r="743">
      <c r="L743" s="26"/>
      <c r="T743" s="5" t="s">
        <v>513</v>
      </c>
      <c r="U743" s="3">
        <v>3.0</v>
      </c>
      <c r="V743" s="19" t="str">
        <f>vlookup(T743,'Player Codes'!A:D,4,)</f>
        <v>0094</v>
      </c>
      <c r="W743" s="3"/>
      <c r="X743" s="3"/>
      <c r="Y743" s="3"/>
      <c r="Z743" s="3"/>
      <c r="AA743" s="3"/>
    </row>
    <row r="744">
      <c r="L744" s="26"/>
      <c r="T744" s="5" t="s">
        <v>407</v>
      </c>
      <c r="U744" s="3">
        <v>4.0</v>
      </c>
      <c r="V744" s="19" t="str">
        <f>vlookup(T744,'Player Codes'!A:D,4,)</f>
        <v>0105</v>
      </c>
      <c r="W744" s="3"/>
      <c r="X744" s="3"/>
      <c r="Y744" s="3"/>
      <c r="Z744" s="3"/>
      <c r="AA744" s="3"/>
    </row>
    <row r="745">
      <c r="L745" s="26"/>
      <c r="T745" s="5" t="s">
        <v>396</v>
      </c>
      <c r="U745" s="3">
        <v>5.0</v>
      </c>
      <c r="V745" s="19" t="str">
        <f>vlookup(T745,'Player Codes'!A:D,4,)</f>
        <v>0109</v>
      </c>
      <c r="W745" s="3"/>
      <c r="X745" s="3"/>
      <c r="Y745" s="3"/>
      <c r="Z745" s="3"/>
      <c r="AA745" s="3"/>
    </row>
    <row r="746">
      <c r="L746" s="26"/>
      <c r="T746" s="2" t="s">
        <v>673</v>
      </c>
      <c r="U746" s="3">
        <v>4.0</v>
      </c>
      <c r="V746" s="19" t="str">
        <f>vlookup(T746,'Player Codes'!A:D,4,)</f>
        <v>0121</v>
      </c>
      <c r="W746" s="3"/>
      <c r="X746" s="3"/>
      <c r="Y746" s="3"/>
      <c r="Z746" s="3"/>
      <c r="AA746" s="3"/>
    </row>
    <row r="747">
      <c r="L747" s="26"/>
      <c r="T747" s="5" t="s">
        <v>1450</v>
      </c>
      <c r="U747" s="3">
        <v>2.0</v>
      </c>
      <c r="V747" s="21"/>
      <c r="W747" s="3"/>
      <c r="X747" s="3"/>
      <c r="Y747" s="3"/>
      <c r="Z747" s="3"/>
      <c r="AA747" s="3"/>
    </row>
    <row r="748">
      <c r="L748" s="26"/>
      <c r="T748" s="5" t="s">
        <v>1459</v>
      </c>
      <c r="U748" s="3">
        <v>3.0</v>
      </c>
      <c r="V748" s="21"/>
      <c r="W748" s="3"/>
      <c r="X748" s="3"/>
      <c r="Y748" s="3"/>
      <c r="Z748" s="3"/>
      <c r="AA748" s="3"/>
    </row>
    <row r="749">
      <c r="L749" s="26"/>
      <c r="T749" s="5" t="s">
        <v>142</v>
      </c>
      <c r="U749" s="3">
        <v>4.0</v>
      </c>
      <c r="V749" s="19" t="str">
        <f>vlookup(T749,'Player Codes'!A:D,4,)</f>
        <v>0130</v>
      </c>
      <c r="W749" s="3"/>
      <c r="X749" s="3"/>
      <c r="Y749" s="3"/>
      <c r="Z749" s="3"/>
      <c r="AA749" s="3"/>
    </row>
    <row r="750">
      <c r="L750" s="26"/>
      <c r="T750" s="5" t="s">
        <v>217</v>
      </c>
      <c r="U750" s="3">
        <v>3.0</v>
      </c>
      <c r="V750" s="19" t="str">
        <f>vlookup(T750,'Player Codes'!A:D,4,)</f>
        <v>0131</v>
      </c>
      <c r="W750" s="3"/>
      <c r="X750" s="3"/>
      <c r="Y750" s="3"/>
      <c r="Z750" s="3"/>
      <c r="AA750" s="3"/>
    </row>
    <row r="751">
      <c r="L751" s="26"/>
      <c r="T751" s="5" t="s">
        <v>113</v>
      </c>
      <c r="U751" s="3">
        <v>3.0</v>
      </c>
      <c r="V751" s="19" t="str">
        <f>vlookup(T751,'Player Codes'!A:D,4,)</f>
        <v>0135</v>
      </c>
      <c r="W751" s="3"/>
      <c r="X751" s="3"/>
      <c r="Y751" s="3"/>
      <c r="Z751" s="3"/>
      <c r="AA751" s="3"/>
    </row>
    <row r="752">
      <c r="L752" s="26"/>
      <c r="T752" s="5" t="s">
        <v>468</v>
      </c>
      <c r="U752" s="3">
        <v>5.0</v>
      </c>
      <c r="V752" s="19" t="str">
        <f>vlookup(T752,'Player Codes'!A:D,4,)</f>
        <v>0142</v>
      </c>
      <c r="W752" s="3"/>
      <c r="X752" s="3"/>
      <c r="Y752" s="3"/>
      <c r="Z752" s="3"/>
      <c r="AA752" s="3"/>
    </row>
    <row r="753">
      <c r="L753" s="26"/>
      <c r="T753" s="5" t="s">
        <v>98</v>
      </c>
      <c r="U753" s="3">
        <v>5.0</v>
      </c>
      <c r="V753" s="19" t="str">
        <f>vlookup(T753,'Player Codes'!A:D,4,)</f>
        <v>0143</v>
      </c>
      <c r="W753" s="3"/>
      <c r="X753" s="3"/>
      <c r="Y753" s="3"/>
      <c r="Z753" s="3"/>
      <c r="AA753" s="3"/>
    </row>
    <row r="754">
      <c r="L754" s="26"/>
      <c r="T754" s="5" t="s">
        <v>249</v>
      </c>
      <c r="U754" s="3">
        <v>3.0</v>
      </c>
      <c r="V754" s="19" t="str">
        <f>vlookup(T754,'Player Codes'!A:D,4,)</f>
        <v>0144</v>
      </c>
      <c r="W754" s="3"/>
      <c r="X754" s="3"/>
      <c r="Y754" s="3"/>
      <c r="Z754" s="3"/>
      <c r="AA754" s="3"/>
    </row>
    <row r="755">
      <c r="L755" s="26"/>
      <c r="T755" s="5" t="s">
        <v>1463</v>
      </c>
      <c r="U755" s="3">
        <v>2.0</v>
      </c>
      <c r="V755" s="21"/>
      <c r="W755" s="3"/>
      <c r="X755" s="3"/>
      <c r="Y755" s="3"/>
      <c r="Z755" s="3"/>
      <c r="AA755" s="3"/>
    </row>
    <row r="756">
      <c r="L756" s="26"/>
      <c r="T756" s="5" t="s">
        <v>260</v>
      </c>
      <c r="U756" s="3">
        <v>3.0</v>
      </c>
      <c r="V756" s="19" t="str">
        <f>vlookup(T756,'Player Codes'!A:D,4,)</f>
        <v>0149</v>
      </c>
      <c r="W756" s="3"/>
      <c r="X756" s="3"/>
      <c r="Y756" s="3"/>
      <c r="Z756" s="3"/>
      <c r="AA756" s="3"/>
    </row>
    <row r="757">
      <c r="L757" s="26"/>
      <c r="T757" s="5" t="s">
        <v>422</v>
      </c>
      <c r="U757" s="3">
        <v>3.0</v>
      </c>
      <c r="V757" s="19" t="str">
        <f>vlookup(T757,'Player Codes'!A:D,4,)</f>
        <v>0153</v>
      </c>
      <c r="W757" s="3"/>
      <c r="X757" s="3"/>
      <c r="Y757" s="3"/>
      <c r="Z757" s="3"/>
      <c r="AA757" s="3"/>
    </row>
    <row r="758">
      <c r="L758" s="26"/>
      <c r="T758" s="5" t="s">
        <v>440</v>
      </c>
      <c r="U758" s="3">
        <v>5.0</v>
      </c>
      <c r="V758" s="19" t="str">
        <f>vlookup(T758,'Player Codes'!A:D,4,)</f>
        <v>0154</v>
      </c>
      <c r="W758" s="3"/>
      <c r="X758" s="3"/>
      <c r="Y758" s="3"/>
      <c r="Z758" s="3"/>
      <c r="AA758" s="3"/>
    </row>
    <row r="759">
      <c r="L759" s="26"/>
      <c r="T759" s="5" t="s">
        <v>426</v>
      </c>
      <c r="U759" s="3">
        <v>4.0</v>
      </c>
      <c r="V759" s="19" t="str">
        <f>vlookup(T759,'Player Codes'!A:D,4,)</f>
        <v>0155</v>
      </c>
      <c r="W759" s="3"/>
      <c r="X759" s="3"/>
      <c r="Y759" s="3"/>
      <c r="Z759" s="3"/>
      <c r="AA759" s="3"/>
    </row>
    <row r="760">
      <c r="L760" s="26"/>
      <c r="T760" s="5" t="s">
        <v>558</v>
      </c>
      <c r="U760" s="3">
        <v>3.0</v>
      </c>
      <c r="V760" s="19" t="str">
        <f>vlookup(T760,'Player Codes'!A:D,4,)</f>
        <v>0156</v>
      </c>
      <c r="W760" s="3"/>
      <c r="X760" s="3"/>
      <c r="Y760" s="3"/>
      <c r="Z760" s="3"/>
      <c r="AA760" s="3"/>
    </row>
    <row r="761">
      <c r="L761" s="26"/>
      <c r="T761" s="5" t="s">
        <v>55</v>
      </c>
      <c r="U761" s="3">
        <v>5.0</v>
      </c>
      <c r="V761" s="19" t="str">
        <f>vlookup(T761,'Player Codes'!A:D,4,)</f>
        <v>0160</v>
      </c>
      <c r="W761" s="3"/>
      <c r="X761" s="3"/>
      <c r="Y761" s="3"/>
      <c r="Z761" s="3"/>
      <c r="AA761" s="3"/>
    </row>
    <row r="762">
      <c r="L762" s="26"/>
      <c r="T762" s="5" t="s">
        <v>1466</v>
      </c>
      <c r="U762" s="3">
        <v>3.0</v>
      </c>
      <c r="V762" s="21"/>
      <c r="W762" s="3"/>
      <c r="X762" s="3"/>
      <c r="Y762" s="3"/>
      <c r="Z762" s="3"/>
      <c r="AA762" s="3"/>
    </row>
    <row r="763">
      <c r="L763" s="26"/>
      <c r="T763" s="5" t="s">
        <v>51</v>
      </c>
      <c r="U763" s="3">
        <v>4.0</v>
      </c>
      <c r="V763" s="19" t="str">
        <f>vlookup(T763,'Player Codes'!A:D,4,)</f>
        <v>0164</v>
      </c>
      <c r="W763" s="3"/>
      <c r="X763" s="3"/>
      <c r="Y763" s="3"/>
      <c r="Z763" s="3"/>
      <c r="AA763" s="3"/>
    </row>
    <row r="764">
      <c r="L764" s="26"/>
      <c r="T764" s="5" t="s">
        <v>1470</v>
      </c>
      <c r="U764" s="3">
        <v>2.0</v>
      </c>
      <c r="V764" s="21"/>
      <c r="W764" s="3"/>
      <c r="X764" s="3"/>
      <c r="Y764" s="3"/>
      <c r="Z764" s="3"/>
      <c r="AA764" s="3"/>
    </row>
    <row r="765">
      <c r="L765" s="26"/>
      <c r="T765" s="5" t="s">
        <v>43</v>
      </c>
      <c r="U765" s="3">
        <v>4.0</v>
      </c>
      <c r="V765" s="19" t="str">
        <f>vlookup(T765,'Player Codes'!A:D,4,)</f>
        <v>0168</v>
      </c>
      <c r="W765" s="3"/>
      <c r="X765" s="3"/>
      <c r="Y765" s="3"/>
      <c r="Z765" s="3"/>
      <c r="AA765" s="3"/>
    </row>
    <row r="766">
      <c r="L766" s="26"/>
      <c r="T766" s="5" t="s">
        <v>1473</v>
      </c>
      <c r="U766" s="3">
        <v>3.0</v>
      </c>
      <c r="V766" s="19" t="str">
        <f>vlookup(T766,'Player Codes'!A:D,4,)</f>
        <v>0304</v>
      </c>
      <c r="W766" s="3"/>
      <c r="X766" s="3"/>
      <c r="Y766" s="3"/>
      <c r="Z766" s="3"/>
      <c r="AA766" s="3"/>
    </row>
    <row r="767">
      <c r="L767" s="26"/>
      <c r="T767" s="5" t="s">
        <v>1475</v>
      </c>
      <c r="U767" s="3">
        <v>2.0</v>
      </c>
      <c r="V767" s="21"/>
      <c r="W767" s="3"/>
      <c r="X767" s="3"/>
      <c r="Y767" s="3"/>
      <c r="Z767" s="3"/>
      <c r="AA767" s="3"/>
    </row>
    <row r="768">
      <c r="L768" s="26"/>
      <c r="T768" s="5" t="s">
        <v>1476</v>
      </c>
      <c r="U768" s="3">
        <v>4.0</v>
      </c>
      <c r="V768" s="21"/>
      <c r="W768" s="3"/>
      <c r="X768" s="3"/>
      <c r="Y768" s="3"/>
      <c r="Z768" s="3"/>
      <c r="AA768" s="3"/>
    </row>
    <row r="769">
      <c r="L769" s="26"/>
      <c r="T769" s="5" t="s">
        <v>1477</v>
      </c>
      <c r="U769" s="3">
        <v>3.0</v>
      </c>
      <c r="V769" s="21"/>
      <c r="W769" s="3"/>
      <c r="X769" s="3"/>
      <c r="Y769" s="3"/>
      <c r="Z769" s="3"/>
      <c r="AA769" s="3"/>
    </row>
    <row r="770">
      <c r="L770" s="26"/>
      <c r="T770" s="5" t="s">
        <v>530</v>
      </c>
      <c r="U770" s="3">
        <v>3.0</v>
      </c>
      <c r="V770" s="19" t="str">
        <f>vlookup(T770,'Player Codes'!A:D,4,)</f>
        <v>0183</v>
      </c>
      <c r="W770" s="3"/>
      <c r="X770" s="3"/>
      <c r="Y770" s="3"/>
      <c r="Z770" s="3"/>
      <c r="AA770" s="3"/>
    </row>
    <row r="771">
      <c r="L771" s="26"/>
      <c r="T771" s="5" t="s">
        <v>1480</v>
      </c>
      <c r="U771" s="3">
        <v>2.0</v>
      </c>
      <c r="V771" s="21"/>
      <c r="W771" s="3"/>
      <c r="X771" s="3"/>
      <c r="Y771" s="3"/>
      <c r="Z771" s="3"/>
      <c r="AA771" s="3"/>
    </row>
    <row r="772">
      <c r="L772" s="26"/>
      <c r="T772" s="5" t="s">
        <v>510</v>
      </c>
      <c r="U772" s="3">
        <v>2.0</v>
      </c>
      <c r="V772" s="19" t="str">
        <f>vlookup(T772,'Player Codes'!A:D,4,)</f>
        <v>0185</v>
      </c>
      <c r="W772" s="3"/>
      <c r="X772" s="3"/>
      <c r="Y772" s="3"/>
      <c r="Z772" s="3"/>
      <c r="AA772" s="3"/>
    </row>
    <row r="773">
      <c r="L773" s="26"/>
      <c r="T773" s="5" t="s">
        <v>1482</v>
      </c>
      <c r="U773" s="3">
        <v>4.0</v>
      </c>
      <c r="V773" s="21"/>
      <c r="W773" s="3"/>
      <c r="X773" s="3"/>
      <c r="Y773" s="3"/>
      <c r="Z773" s="3"/>
      <c r="AA773" s="3"/>
    </row>
    <row r="774">
      <c r="L774" s="26"/>
      <c r="T774" s="5" t="s">
        <v>1483</v>
      </c>
      <c r="U774" s="3">
        <v>4.0</v>
      </c>
      <c r="V774" s="21"/>
      <c r="W774" s="3"/>
      <c r="X774" s="3"/>
      <c r="Y774" s="3"/>
      <c r="Z774" s="3"/>
      <c r="AA774" s="3"/>
    </row>
    <row r="775">
      <c r="L775" s="26"/>
      <c r="T775" s="5" t="s">
        <v>1484</v>
      </c>
      <c r="U775" s="3">
        <v>2.0</v>
      </c>
      <c r="V775" s="21"/>
      <c r="W775" s="3"/>
      <c r="X775" s="3"/>
      <c r="Y775" s="3"/>
      <c r="Z775" s="3"/>
      <c r="AA775" s="3"/>
    </row>
    <row r="776">
      <c r="L776" s="26"/>
      <c r="T776" s="5" t="s">
        <v>225</v>
      </c>
      <c r="U776" s="3">
        <v>4.0</v>
      </c>
      <c r="V776" s="19" t="str">
        <f>vlookup(T776,'Player Codes'!A:D,4,)</f>
        <v>0188</v>
      </c>
      <c r="W776" s="3"/>
      <c r="X776" s="3"/>
      <c r="Y776" s="3"/>
      <c r="Z776" s="3"/>
      <c r="AA776" s="3"/>
    </row>
    <row r="777">
      <c r="L777" s="26"/>
      <c r="T777" s="5" t="s">
        <v>458</v>
      </c>
      <c r="U777" s="3">
        <v>3.0</v>
      </c>
      <c r="V777" s="19" t="str">
        <f>vlookup(T777,'Player Codes'!A:D,4,)</f>
        <v>0194</v>
      </c>
      <c r="W777" s="3"/>
      <c r="X777" s="3"/>
      <c r="Y777" s="3"/>
      <c r="Z777" s="3"/>
      <c r="AA777" s="3"/>
    </row>
    <row r="778">
      <c r="L778" s="26"/>
      <c r="T778" s="5" t="s">
        <v>1485</v>
      </c>
      <c r="U778" s="3">
        <v>5.0</v>
      </c>
      <c r="V778" s="21"/>
      <c r="W778" s="3"/>
      <c r="X778" s="3"/>
      <c r="Y778" s="3"/>
      <c r="Z778" s="3"/>
      <c r="AA778" s="3"/>
    </row>
    <row r="779">
      <c r="L779" s="26"/>
      <c r="T779" s="5" t="s">
        <v>1486</v>
      </c>
      <c r="U779" s="3">
        <v>5.0</v>
      </c>
      <c r="V779" s="21"/>
      <c r="W779" s="3"/>
      <c r="X779" s="3"/>
      <c r="Y779" s="3"/>
      <c r="Z779" s="3"/>
      <c r="AA779" s="3"/>
    </row>
    <row r="780">
      <c r="L780" s="26"/>
      <c r="T780" s="5" t="s">
        <v>594</v>
      </c>
      <c r="U780" s="3">
        <v>4.0</v>
      </c>
      <c r="V780" s="19" t="str">
        <f>vlookup(T780,'Player Codes'!A:D,4,)</f>
        <v>0207</v>
      </c>
      <c r="W780" s="3"/>
      <c r="X780" s="3"/>
      <c r="Y780" s="3"/>
      <c r="Z780" s="3"/>
      <c r="AA780" s="3"/>
    </row>
    <row r="781">
      <c r="L781" s="26"/>
      <c r="T781" s="5" t="s">
        <v>1487</v>
      </c>
      <c r="U781" s="3">
        <v>5.0</v>
      </c>
      <c r="V781" s="21"/>
      <c r="W781" s="3"/>
      <c r="X781" s="3"/>
      <c r="Y781" s="3"/>
      <c r="Z781" s="3"/>
      <c r="AA781" s="3"/>
    </row>
    <row r="782">
      <c r="L782" s="26"/>
      <c r="T782" s="5" t="s">
        <v>1471</v>
      </c>
      <c r="U782" s="3">
        <v>3.0</v>
      </c>
      <c r="V782" s="19" t="str">
        <f>vlookup(T782,'Player Codes'!A:D,4,)</f>
        <v>0303</v>
      </c>
      <c r="W782" s="3"/>
      <c r="X782" s="3"/>
      <c r="Y782" s="3"/>
      <c r="Z782" s="3"/>
      <c r="AA782" s="3"/>
    </row>
    <row r="783">
      <c r="L783" s="26"/>
      <c r="T783" s="5" t="s">
        <v>83</v>
      </c>
      <c r="U783" s="3">
        <v>5.0</v>
      </c>
      <c r="V783" s="19" t="str">
        <f>vlookup(T783,'Player Codes'!A:D,4,)</f>
        <v>0221</v>
      </c>
      <c r="W783" s="3"/>
      <c r="X783" s="3"/>
      <c r="Y783" s="3"/>
      <c r="Z783" s="3"/>
      <c r="AA783" s="3"/>
    </row>
    <row r="784">
      <c r="L784" s="26"/>
      <c r="T784" s="5" t="s">
        <v>75</v>
      </c>
      <c r="U784" s="3">
        <v>4.0</v>
      </c>
      <c r="V784" s="19" t="str">
        <f>vlookup(T784,'Player Codes'!A:D,4,)</f>
        <v>0223</v>
      </c>
      <c r="W784" s="3"/>
      <c r="X784" s="3"/>
      <c r="Y784" s="3"/>
      <c r="Z784" s="3"/>
      <c r="AA784" s="3"/>
    </row>
    <row r="785">
      <c r="L785" s="26"/>
      <c r="T785" s="5" t="s">
        <v>22</v>
      </c>
      <c r="U785" s="3">
        <v>5.0</v>
      </c>
      <c r="V785" s="19" t="str">
        <f>vlookup(T785,'Player Codes'!A:D,4,)</f>
        <v>0228</v>
      </c>
      <c r="W785" s="3"/>
      <c r="X785" s="3"/>
      <c r="Y785" s="3"/>
      <c r="Z785" s="3"/>
      <c r="AA785" s="3"/>
    </row>
    <row r="786">
      <c r="L786" s="26"/>
      <c r="T786" s="5" t="s">
        <v>1489</v>
      </c>
      <c r="U786" s="3">
        <v>3.0</v>
      </c>
      <c r="V786" s="21"/>
      <c r="W786" s="3"/>
      <c r="X786" s="3"/>
      <c r="Y786" s="3"/>
      <c r="Z786" s="3"/>
      <c r="AA786" s="3"/>
    </row>
    <row r="787">
      <c r="L787" s="26"/>
      <c r="T787" s="5" t="s">
        <v>1490</v>
      </c>
      <c r="U787" s="3">
        <v>3.0</v>
      </c>
      <c r="V787" s="21"/>
      <c r="W787" s="3"/>
      <c r="X787" s="3"/>
      <c r="Y787" s="3"/>
      <c r="Z787" s="3"/>
      <c r="AA787" s="3"/>
    </row>
    <row r="788">
      <c r="L788" s="26"/>
      <c r="T788" s="5" t="s">
        <v>254</v>
      </c>
      <c r="U788" s="3">
        <v>4.0</v>
      </c>
      <c r="V788" s="19" t="str">
        <f>vlookup(T788,'Player Codes'!A:D,4,)</f>
        <v>0240</v>
      </c>
      <c r="W788" s="3"/>
      <c r="X788" s="3"/>
      <c r="Y788" s="3"/>
      <c r="Z788" s="3"/>
      <c r="AA788" s="3"/>
    </row>
    <row r="789">
      <c r="L789" s="26"/>
      <c r="T789" s="5" t="s">
        <v>393</v>
      </c>
      <c r="U789" s="3">
        <v>6.0</v>
      </c>
      <c r="V789" s="19" t="str">
        <f>vlookup(T789,'Player Codes'!A:D,4,)</f>
        <v>0241</v>
      </c>
      <c r="W789" s="3"/>
      <c r="X789" s="3"/>
      <c r="Y789" s="3"/>
      <c r="Z789" s="3"/>
      <c r="AA789" s="3"/>
    </row>
    <row r="790">
      <c r="L790" s="26"/>
      <c r="T790" s="5" t="s">
        <v>400</v>
      </c>
      <c r="U790" s="3">
        <v>5.0</v>
      </c>
      <c r="V790" s="19" t="str">
        <f>vlookup(T790,'Player Codes'!A:D,4,)</f>
        <v>0242</v>
      </c>
      <c r="W790" s="3"/>
      <c r="X790" s="3"/>
      <c r="Y790" s="3"/>
      <c r="Z790" s="3"/>
      <c r="AA790" s="3"/>
    </row>
    <row r="791">
      <c r="L791" s="26"/>
      <c r="T791" s="5" t="s">
        <v>63</v>
      </c>
      <c r="U791" s="3">
        <v>4.0</v>
      </c>
      <c r="V791" s="19" t="str">
        <f>vlookup(T791,'Player Codes'!A:D,4,)</f>
        <v>0246</v>
      </c>
      <c r="W791" s="3"/>
      <c r="X791" s="3"/>
      <c r="Y791" s="3"/>
      <c r="Z791" s="3"/>
      <c r="AA791" s="3"/>
    </row>
    <row r="792">
      <c r="L792" s="26"/>
      <c r="T792" s="5" t="s">
        <v>1491</v>
      </c>
      <c r="U792" s="3">
        <v>5.0</v>
      </c>
      <c r="V792" s="21"/>
      <c r="W792" s="3"/>
      <c r="X792" s="3"/>
      <c r="Y792" s="3"/>
      <c r="Z792" s="3"/>
      <c r="AA792" s="3"/>
    </row>
    <row r="793">
      <c r="L793" s="26"/>
      <c r="T793" s="5" t="s">
        <v>341</v>
      </c>
      <c r="U793" s="3">
        <v>4.0</v>
      </c>
      <c r="V793" s="19" t="str">
        <f>vlookup(T793,'Player Codes'!A:D,4,)</f>
        <v>0257</v>
      </c>
      <c r="W793" s="3"/>
      <c r="X793" s="3"/>
      <c r="Y793" s="3"/>
      <c r="Z793" s="3"/>
      <c r="AA793" s="3"/>
    </row>
    <row r="794">
      <c r="L794" s="26"/>
      <c r="T794" s="5" t="s">
        <v>26</v>
      </c>
      <c r="U794" s="3">
        <v>5.0</v>
      </c>
      <c r="V794" s="19" t="str">
        <f>vlookup(T794,'Player Codes'!A:D,4,)</f>
        <v>0259</v>
      </c>
      <c r="W794" s="3"/>
      <c r="X794" s="3"/>
      <c r="Y794" s="3"/>
      <c r="Z794" s="3"/>
      <c r="AA794" s="3"/>
    </row>
    <row r="795">
      <c r="L795" s="26"/>
      <c r="T795" s="5" t="s">
        <v>451</v>
      </c>
      <c r="U795" s="3">
        <v>2.0</v>
      </c>
      <c r="V795" s="19" t="str">
        <f>vlookup(T795,'Player Codes'!A:D,4,)</f>
        <v>0266</v>
      </c>
      <c r="W795" s="3"/>
      <c r="X795" s="3"/>
      <c r="Y795" s="3"/>
      <c r="Z795" s="3"/>
      <c r="AA795" s="3"/>
    </row>
    <row r="796">
      <c r="L796" s="26"/>
      <c r="T796" s="5" t="s">
        <v>35</v>
      </c>
      <c r="U796" s="3">
        <v>4.0</v>
      </c>
      <c r="V796" s="19" t="str">
        <f>vlookup(T796,'Player Codes'!A:D,4,)</f>
        <v>0274</v>
      </c>
      <c r="W796" s="3"/>
      <c r="X796" s="3"/>
      <c r="Y796" s="3"/>
      <c r="Z796" s="3"/>
      <c r="AA796" s="3"/>
    </row>
    <row r="797">
      <c r="L797" s="26"/>
      <c r="T797" s="5" t="s">
        <v>1494</v>
      </c>
      <c r="U797" s="3">
        <v>3.0</v>
      </c>
      <c r="V797" s="21"/>
      <c r="W797" s="3"/>
      <c r="X797" s="3"/>
      <c r="Y797" s="3"/>
      <c r="Z797" s="3"/>
      <c r="AA797" s="3"/>
    </row>
    <row r="798">
      <c r="L798" s="26"/>
      <c r="T798" s="5" t="s">
        <v>1496</v>
      </c>
      <c r="U798" s="3">
        <v>2.0</v>
      </c>
      <c r="V798" s="21"/>
      <c r="W798" s="3"/>
      <c r="X798" s="3"/>
      <c r="Y798" s="3"/>
      <c r="Z798" s="3"/>
      <c r="AA798" s="3"/>
    </row>
    <row r="799">
      <c r="L799" s="26"/>
      <c r="T799" s="5" t="s">
        <v>1498</v>
      </c>
      <c r="U799" s="3">
        <v>3.0</v>
      </c>
      <c r="V799" s="21"/>
      <c r="W799" s="3"/>
      <c r="X799" s="3"/>
      <c r="Y799" s="3"/>
      <c r="Z799" s="3"/>
      <c r="AA799" s="3"/>
    </row>
    <row r="800">
      <c r="L800" s="26"/>
      <c r="T800" s="5" t="s">
        <v>696</v>
      </c>
      <c r="U800" s="3">
        <v>2.0</v>
      </c>
      <c r="V800" s="19" t="str">
        <f>vlookup(T800,'Player Codes'!A:D,4,)</f>
        <v>0282</v>
      </c>
      <c r="W800" s="3"/>
      <c r="X800" s="3"/>
      <c r="Y800" s="3"/>
      <c r="Z800" s="3"/>
      <c r="AA800" s="3"/>
    </row>
    <row r="801">
      <c r="L801" s="26"/>
      <c r="T801" s="5" t="s">
        <v>1501</v>
      </c>
      <c r="U801" s="3">
        <v>5.0</v>
      </c>
      <c r="V801" s="21"/>
      <c r="W801" s="3"/>
      <c r="X801" s="3"/>
      <c r="Y801" s="3"/>
      <c r="Z801" s="3"/>
      <c r="AA801" s="3"/>
    </row>
    <row r="802">
      <c r="L802" s="26"/>
      <c r="T802" s="5" t="s">
        <v>585</v>
      </c>
      <c r="U802" s="3">
        <v>2.0</v>
      </c>
      <c r="V802" s="19" t="str">
        <f>vlookup(T802,'Player Codes'!A:D,4,)</f>
        <v>0283</v>
      </c>
      <c r="W802" s="3"/>
      <c r="X802" s="3"/>
      <c r="Y802" s="3"/>
      <c r="Z802" s="3"/>
      <c r="AA802" s="3"/>
    </row>
    <row r="803">
      <c r="L803" s="26"/>
      <c r="T803" s="5" t="s">
        <v>461</v>
      </c>
      <c r="U803" s="3">
        <v>3.0</v>
      </c>
      <c r="V803" s="19" t="str">
        <f>vlookup(T803,'Player Codes'!A:D,4,)</f>
        <v>0284</v>
      </c>
      <c r="W803" s="3"/>
      <c r="X803" s="3"/>
      <c r="Y803" s="3"/>
      <c r="Z803" s="3"/>
      <c r="AA803" s="3"/>
    </row>
    <row r="804">
      <c r="L804" s="26"/>
      <c r="T804" s="5" t="s">
        <v>1504</v>
      </c>
      <c r="U804" s="3">
        <v>2.0</v>
      </c>
      <c r="V804" s="21"/>
      <c r="W804" s="3"/>
      <c r="X804" s="3"/>
      <c r="Y804" s="3"/>
      <c r="Z804" s="3"/>
      <c r="AA804" s="3"/>
    </row>
    <row r="805">
      <c r="L805" s="26"/>
      <c r="T805" s="5" t="s">
        <v>368</v>
      </c>
      <c r="U805" s="3">
        <v>3.0</v>
      </c>
      <c r="V805" s="19" t="str">
        <f>vlookup(T805,'Player Codes'!A:D,4,)</f>
        <v>0296</v>
      </c>
      <c r="W805" s="3"/>
      <c r="X805" s="3"/>
      <c r="Y805" s="3"/>
      <c r="Z805" s="3"/>
      <c r="AA805" s="3"/>
    </row>
    <row r="806">
      <c r="L806" s="26"/>
      <c r="T806" s="5" t="s">
        <v>1505</v>
      </c>
      <c r="U806" s="3">
        <v>3.0</v>
      </c>
      <c r="V806" s="21"/>
      <c r="W806" s="3"/>
      <c r="X806" s="3"/>
      <c r="Y806" s="3"/>
      <c r="Z806" s="3"/>
      <c r="AA806" s="3"/>
    </row>
    <row r="807">
      <c r="L807" s="26"/>
      <c r="T807" s="5" t="s">
        <v>790</v>
      </c>
      <c r="U807" s="3">
        <v>2.0</v>
      </c>
      <c r="V807" s="19" t="str">
        <f>vlookup(T807,'Player Codes'!A:D,4,)</f>
        <v>0298</v>
      </c>
      <c r="W807" s="3"/>
      <c r="X807" s="3"/>
      <c r="Y807" s="3"/>
      <c r="Z807" s="3"/>
      <c r="AA807" s="3"/>
    </row>
    <row r="808">
      <c r="L808" s="26"/>
      <c r="T808" s="5" t="s">
        <v>1508</v>
      </c>
      <c r="U808" s="3">
        <v>2.0</v>
      </c>
      <c r="V808" s="21"/>
      <c r="W808" s="3"/>
      <c r="X808" s="3"/>
      <c r="Y808" s="3"/>
      <c r="Z808" s="3"/>
      <c r="AA808" s="3"/>
    </row>
    <row r="809">
      <c r="L809" s="26"/>
      <c r="U809" s="3"/>
      <c r="V809" s="21"/>
      <c r="W809" s="3"/>
      <c r="X809" s="3"/>
      <c r="Y809" s="3"/>
      <c r="Z809" s="3"/>
      <c r="AA809" s="3"/>
    </row>
    <row r="810">
      <c r="L810" s="26"/>
      <c r="U810" s="3"/>
      <c r="V810" s="21"/>
      <c r="W810" s="3"/>
      <c r="X810" s="3"/>
      <c r="Y810" s="3"/>
      <c r="Z810" s="3"/>
      <c r="AA810" s="3"/>
    </row>
    <row r="811">
      <c r="L811" s="26"/>
      <c r="U811" s="3"/>
      <c r="V811" s="21"/>
      <c r="W811" s="3"/>
      <c r="X811" s="3"/>
      <c r="Y811" s="3"/>
      <c r="Z811" s="3"/>
      <c r="AA811" s="3"/>
    </row>
    <row r="812">
      <c r="L812" s="26"/>
      <c r="U812" s="3"/>
      <c r="V812" s="21"/>
      <c r="W812" s="3"/>
      <c r="X812" s="3"/>
      <c r="Y812" s="3"/>
      <c r="Z812" s="3"/>
      <c r="AA812" s="3"/>
    </row>
    <row r="813">
      <c r="L813" s="26"/>
      <c r="U813" s="3"/>
      <c r="V813" s="21"/>
      <c r="W813" s="3"/>
      <c r="X813" s="3"/>
      <c r="Y813" s="3"/>
      <c r="Z813" s="3"/>
      <c r="AA813" s="3"/>
    </row>
    <row r="814">
      <c r="L814" s="26"/>
      <c r="U814" s="3"/>
      <c r="V814" s="21"/>
      <c r="W814" s="3"/>
      <c r="X814" s="3"/>
      <c r="Y814" s="3"/>
      <c r="Z814" s="3"/>
      <c r="AA814" s="3"/>
    </row>
    <row r="815">
      <c r="L815" s="26"/>
      <c r="U815" s="3"/>
      <c r="V815" s="21"/>
      <c r="W815" s="3"/>
      <c r="X815" s="3"/>
      <c r="Y815" s="3"/>
      <c r="Z815" s="3"/>
      <c r="AA815" s="3"/>
    </row>
    <row r="816">
      <c r="L816" s="26"/>
      <c r="U816" s="3"/>
      <c r="V816" s="21"/>
      <c r="W816" s="3"/>
      <c r="X816" s="3"/>
      <c r="Y816" s="3"/>
      <c r="Z816" s="3"/>
      <c r="AA816" s="3"/>
    </row>
    <row r="817">
      <c r="L817" s="26"/>
      <c r="U817" s="3"/>
      <c r="V817" s="21"/>
      <c r="W817" s="3"/>
      <c r="X817" s="3"/>
      <c r="Y817" s="3"/>
      <c r="Z817" s="3"/>
      <c r="AA817" s="3"/>
    </row>
    <row r="818">
      <c r="L818" s="26"/>
      <c r="U818" s="3"/>
      <c r="V818" s="21"/>
      <c r="W818" s="3"/>
      <c r="X818" s="3"/>
      <c r="Y818" s="3"/>
      <c r="Z818" s="3"/>
      <c r="AA818" s="3"/>
    </row>
    <row r="819">
      <c r="L819" s="26"/>
      <c r="U819" s="3"/>
      <c r="V819" s="21"/>
      <c r="W819" s="3"/>
      <c r="X819" s="3"/>
      <c r="Y819" s="3"/>
      <c r="Z819" s="3"/>
      <c r="AA819" s="3"/>
    </row>
    <row r="820">
      <c r="L820" s="26"/>
      <c r="U820" s="3"/>
      <c r="V820" s="21"/>
      <c r="W820" s="3"/>
      <c r="X820" s="3"/>
      <c r="Y820" s="3"/>
      <c r="Z820" s="3"/>
      <c r="AA820" s="3"/>
    </row>
    <row r="821">
      <c r="L821" s="26"/>
      <c r="U821" s="3"/>
      <c r="V821" s="21"/>
      <c r="W821" s="3"/>
      <c r="X821" s="3"/>
      <c r="Y821" s="3"/>
      <c r="Z821" s="3"/>
      <c r="AA821" s="3"/>
    </row>
    <row r="822">
      <c r="L822" s="26"/>
      <c r="U822" s="3"/>
      <c r="V822" s="21"/>
      <c r="W822" s="3"/>
      <c r="X822" s="3"/>
      <c r="Y822" s="3"/>
      <c r="Z822" s="3"/>
      <c r="AA822" s="3"/>
    </row>
    <row r="823">
      <c r="L823" s="26"/>
      <c r="U823" s="3"/>
      <c r="V823" s="21"/>
      <c r="W823" s="3"/>
      <c r="X823" s="3"/>
      <c r="Y823" s="3"/>
      <c r="Z823" s="3"/>
      <c r="AA823" s="3"/>
    </row>
    <row r="824">
      <c r="L824" s="26"/>
      <c r="U824" s="3"/>
      <c r="V824" s="21"/>
      <c r="W824" s="3"/>
      <c r="X824" s="3"/>
      <c r="Y824" s="3"/>
      <c r="Z824" s="3"/>
      <c r="AA824" s="3"/>
    </row>
    <row r="825">
      <c r="L825" s="26"/>
      <c r="U825" s="3"/>
      <c r="V825" s="21"/>
      <c r="W825" s="3"/>
      <c r="X825" s="3"/>
      <c r="Y825" s="3"/>
      <c r="Z825" s="3"/>
      <c r="AA825" s="3"/>
    </row>
    <row r="826">
      <c r="L826" s="26"/>
      <c r="U826" s="3"/>
      <c r="V826" s="21"/>
      <c r="W826" s="3"/>
      <c r="X826" s="3"/>
      <c r="Y826" s="3"/>
      <c r="Z826" s="3"/>
      <c r="AA826" s="3"/>
    </row>
    <row r="827">
      <c r="L827" s="26"/>
      <c r="U827" s="3"/>
      <c r="V827" s="21"/>
      <c r="W827" s="3"/>
      <c r="X827" s="3"/>
      <c r="Y827" s="3"/>
      <c r="Z827" s="3"/>
      <c r="AA827" s="3"/>
    </row>
    <row r="828">
      <c r="L828" s="26"/>
      <c r="U828" s="3"/>
      <c r="V828" s="21"/>
      <c r="W828" s="3"/>
      <c r="X828" s="3"/>
      <c r="Y828" s="3"/>
      <c r="Z828" s="3"/>
      <c r="AA828" s="3"/>
    </row>
    <row r="829">
      <c r="L829" s="26"/>
      <c r="U829" s="3"/>
      <c r="V829" s="21"/>
      <c r="W829" s="3"/>
      <c r="X829" s="3"/>
      <c r="Y829" s="3"/>
      <c r="Z829" s="3"/>
      <c r="AA829" s="3"/>
    </row>
    <row r="830">
      <c r="L830" s="26"/>
      <c r="U830" s="3"/>
      <c r="V830" s="21"/>
      <c r="W830" s="3"/>
      <c r="X830" s="3"/>
      <c r="Y830" s="3"/>
      <c r="Z830" s="3"/>
      <c r="AA830" s="3"/>
    </row>
    <row r="831">
      <c r="L831" s="26"/>
      <c r="U831" s="3"/>
      <c r="V831" s="21"/>
      <c r="W831" s="3"/>
      <c r="X831" s="3"/>
      <c r="Y831" s="3"/>
      <c r="Z831" s="3"/>
      <c r="AA831" s="3"/>
    </row>
    <row r="832">
      <c r="L832" s="26"/>
      <c r="U832" s="3"/>
      <c r="V832" s="21"/>
      <c r="W832" s="3"/>
      <c r="X832" s="3"/>
      <c r="Y832" s="3"/>
      <c r="Z832" s="3"/>
      <c r="AA832" s="3"/>
    </row>
    <row r="833">
      <c r="L833" s="26"/>
      <c r="U833" s="3"/>
      <c r="V833" s="21"/>
      <c r="W833" s="3"/>
      <c r="X833" s="3"/>
      <c r="Y833" s="3"/>
      <c r="Z833" s="3"/>
      <c r="AA833" s="3"/>
    </row>
    <row r="834">
      <c r="L834" s="26"/>
      <c r="U834" s="3"/>
      <c r="V834" s="21"/>
      <c r="W834" s="3"/>
      <c r="X834" s="3"/>
      <c r="Y834" s="3"/>
      <c r="Z834" s="3"/>
      <c r="AA834" s="3"/>
    </row>
    <row r="835">
      <c r="L835" s="26"/>
      <c r="U835" s="3"/>
      <c r="V835" s="21"/>
      <c r="W835" s="3"/>
      <c r="X835" s="3"/>
      <c r="Y835" s="3"/>
      <c r="Z835" s="3"/>
      <c r="AA835" s="3"/>
    </row>
    <row r="836">
      <c r="L836" s="26"/>
      <c r="U836" s="3"/>
      <c r="V836" s="21"/>
      <c r="W836" s="3"/>
      <c r="X836" s="3"/>
      <c r="Y836" s="3"/>
      <c r="Z836" s="3"/>
      <c r="AA836" s="3"/>
    </row>
    <row r="837">
      <c r="L837" s="26"/>
      <c r="U837" s="3"/>
      <c r="V837" s="21"/>
      <c r="W837" s="3"/>
      <c r="X837" s="3"/>
      <c r="Y837" s="3"/>
      <c r="Z837" s="3"/>
      <c r="AA837" s="3"/>
    </row>
    <row r="838">
      <c r="L838" s="26"/>
      <c r="U838" s="3"/>
      <c r="V838" s="21"/>
      <c r="W838" s="3"/>
      <c r="X838" s="3"/>
      <c r="Y838" s="3"/>
      <c r="Z838" s="3"/>
      <c r="AA838" s="3"/>
    </row>
    <row r="839">
      <c r="L839" s="26"/>
      <c r="U839" s="3"/>
      <c r="V839" s="21"/>
      <c r="W839" s="3"/>
      <c r="X839" s="3"/>
      <c r="Y839" s="3"/>
      <c r="Z839" s="3"/>
      <c r="AA839" s="3"/>
    </row>
    <row r="840">
      <c r="L840" s="26"/>
      <c r="U840" s="3"/>
      <c r="V840" s="21"/>
      <c r="W840" s="3"/>
      <c r="X840" s="3"/>
      <c r="Y840" s="3"/>
      <c r="Z840" s="3"/>
      <c r="AA840" s="3"/>
    </row>
    <row r="841">
      <c r="L841" s="26"/>
      <c r="U841" s="3"/>
      <c r="V841" s="21"/>
      <c r="W841" s="3"/>
      <c r="X841" s="3"/>
      <c r="Y841" s="3"/>
      <c r="Z841" s="3"/>
      <c r="AA841" s="3"/>
    </row>
    <row r="842">
      <c r="L842" s="26"/>
      <c r="U842" s="3"/>
      <c r="V842" s="21"/>
      <c r="W842" s="3"/>
      <c r="X842" s="3"/>
      <c r="Y842" s="3"/>
      <c r="Z842" s="3"/>
      <c r="AA842" s="3"/>
    </row>
    <row r="843">
      <c r="L843" s="26"/>
      <c r="U843" s="3"/>
      <c r="V843" s="21"/>
      <c r="W843" s="3"/>
      <c r="X843" s="3"/>
      <c r="Y843" s="3"/>
      <c r="Z843" s="3"/>
      <c r="AA843" s="3"/>
    </row>
    <row r="844">
      <c r="L844" s="26"/>
      <c r="U844" s="3"/>
      <c r="V844" s="21"/>
      <c r="W844" s="3"/>
      <c r="X844" s="3"/>
      <c r="Y844" s="3"/>
      <c r="Z844" s="3"/>
      <c r="AA844" s="3"/>
    </row>
    <row r="845">
      <c r="L845" s="26"/>
      <c r="U845" s="3"/>
      <c r="V845" s="21"/>
      <c r="W845" s="3"/>
      <c r="X845" s="3"/>
      <c r="Y845" s="3"/>
      <c r="Z845" s="3"/>
      <c r="AA845" s="3"/>
    </row>
    <row r="846">
      <c r="L846" s="26"/>
      <c r="U846" s="3"/>
      <c r="V846" s="21"/>
      <c r="W846" s="3"/>
      <c r="X846" s="3"/>
      <c r="Y846" s="3"/>
      <c r="Z846" s="3"/>
      <c r="AA846" s="3"/>
    </row>
    <row r="847">
      <c r="L847" s="26"/>
      <c r="U847" s="3"/>
      <c r="V847" s="21"/>
      <c r="W847" s="3"/>
      <c r="X847" s="3"/>
      <c r="Y847" s="3"/>
      <c r="Z847" s="3"/>
      <c r="AA847" s="3"/>
    </row>
    <row r="848">
      <c r="L848" s="26"/>
      <c r="U848" s="3"/>
      <c r="V848" s="21"/>
      <c r="W848" s="3"/>
      <c r="X848" s="3"/>
      <c r="Y848" s="3"/>
      <c r="Z848" s="3"/>
      <c r="AA848" s="3"/>
    </row>
    <row r="849">
      <c r="L849" s="26"/>
      <c r="U849" s="3"/>
      <c r="V849" s="21"/>
      <c r="W849" s="3"/>
      <c r="X849" s="3"/>
      <c r="Y849" s="3"/>
      <c r="Z849" s="3"/>
      <c r="AA849" s="3"/>
    </row>
    <row r="850">
      <c r="L850" s="26"/>
      <c r="U850" s="3"/>
      <c r="V850" s="21"/>
      <c r="W850" s="3"/>
      <c r="X850" s="3"/>
      <c r="Y850" s="3"/>
      <c r="Z850" s="3"/>
      <c r="AA850" s="3"/>
    </row>
    <row r="851">
      <c r="L851" s="26"/>
      <c r="U851" s="3"/>
      <c r="V851" s="21"/>
      <c r="W851" s="3"/>
      <c r="X851" s="3"/>
      <c r="Y851" s="3"/>
      <c r="Z851" s="3"/>
      <c r="AA851" s="3"/>
    </row>
    <row r="852">
      <c r="L852" s="26"/>
      <c r="U852" s="3"/>
      <c r="V852" s="21"/>
      <c r="W852" s="3"/>
      <c r="X852" s="3"/>
      <c r="Y852" s="3"/>
      <c r="Z852" s="3"/>
      <c r="AA852" s="3"/>
    </row>
    <row r="853">
      <c r="L853" s="26"/>
      <c r="U853" s="3"/>
      <c r="V853" s="21"/>
      <c r="W853" s="3"/>
      <c r="X853" s="3"/>
      <c r="Y853" s="3"/>
      <c r="Z853" s="3"/>
      <c r="AA853" s="3"/>
    </row>
    <row r="854">
      <c r="L854" s="26"/>
      <c r="U854" s="3"/>
      <c r="V854" s="21"/>
      <c r="W854" s="3"/>
      <c r="X854" s="3"/>
      <c r="Y854" s="3"/>
      <c r="Z854" s="3"/>
      <c r="AA854" s="3"/>
    </row>
    <row r="855">
      <c r="L855" s="26"/>
      <c r="U855" s="3"/>
      <c r="V855" s="21"/>
      <c r="W855" s="3"/>
      <c r="X855" s="3"/>
      <c r="Y855" s="3"/>
      <c r="Z855" s="3"/>
      <c r="AA855" s="3"/>
    </row>
    <row r="856">
      <c r="L856" s="26"/>
      <c r="U856" s="3"/>
      <c r="V856" s="21"/>
      <c r="W856" s="3"/>
      <c r="X856" s="3"/>
      <c r="Y856" s="3"/>
      <c r="Z856" s="3"/>
      <c r="AA856" s="3"/>
    </row>
    <row r="857">
      <c r="L857" s="26"/>
      <c r="U857" s="3"/>
      <c r="V857" s="21"/>
      <c r="W857" s="3"/>
      <c r="X857" s="3"/>
      <c r="Y857" s="3"/>
      <c r="Z857" s="3"/>
      <c r="AA857" s="3"/>
    </row>
    <row r="858">
      <c r="L858" s="26"/>
      <c r="U858" s="3"/>
      <c r="V858" s="21"/>
      <c r="W858" s="3"/>
      <c r="X858" s="3"/>
      <c r="Y858" s="3"/>
      <c r="Z858" s="3"/>
      <c r="AA858" s="3"/>
    </row>
    <row r="859">
      <c r="L859" s="26"/>
      <c r="U859" s="3"/>
      <c r="V859" s="21"/>
      <c r="W859" s="3"/>
      <c r="X859" s="3"/>
      <c r="Y859" s="3"/>
      <c r="Z859" s="3"/>
      <c r="AA859" s="3"/>
    </row>
    <row r="860">
      <c r="L860" s="26"/>
    </row>
    <row r="861">
      <c r="L861" s="26"/>
    </row>
    <row r="862">
      <c r="L862" s="26"/>
    </row>
    <row r="863">
      <c r="L863" s="26"/>
    </row>
    <row r="864">
      <c r="L864" s="26"/>
    </row>
    <row r="865">
      <c r="L865" s="26"/>
    </row>
    <row r="866">
      <c r="L866" s="26"/>
    </row>
    <row r="867">
      <c r="L867" s="26"/>
    </row>
    <row r="868">
      <c r="L868" s="26"/>
    </row>
    <row r="869">
      <c r="L869" s="26"/>
    </row>
    <row r="870">
      <c r="L870" s="26"/>
    </row>
    <row r="871">
      <c r="L871" s="26"/>
    </row>
    <row r="872">
      <c r="L872" s="26"/>
    </row>
    <row r="873">
      <c r="L873" s="26"/>
    </row>
    <row r="874">
      <c r="L874" s="26"/>
    </row>
    <row r="875">
      <c r="L875" s="26"/>
    </row>
    <row r="876">
      <c r="L876" s="26"/>
    </row>
    <row r="877">
      <c r="L877" s="26"/>
    </row>
    <row r="878">
      <c r="L878" s="26"/>
    </row>
    <row r="879">
      <c r="L879" s="26"/>
    </row>
    <row r="880">
      <c r="L880" s="26"/>
    </row>
    <row r="881">
      <c r="L881" s="26"/>
    </row>
    <row r="882">
      <c r="L882" s="26"/>
    </row>
    <row r="883">
      <c r="L883" s="26"/>
    </row>
    <row r="884">
      <c r="L884" s="26"/>
    </row>
    <row r="885">
      <c r="L885" s="26"/>
    </row>
    <row r="886">
      <c r="L886" s="26"/>
    </row>
    <row r="887">
      <c r="L887" s="26"/>
    </row>
    <row r="888">
      <c r="L888" s="26"/>
    </row>
    <row r="889">
      <c r="L889" s="26"/>
    </row>
    <row r="890">
      <c r="L890" s="26"/>
    </row>
    <row r="891">
      <c r="L891" s="26"/>
    </row>
    <row r="892">
      <c r="L892" s="26"/>
    </row>
    <row r="893">
      <c r="L893" s="26"/>
    </row>
    <row r="894">
      <c r="L894" s="26"/>
    </row>
    <row r="895">
      <c r="L895" s="26"/>
    </row>
    <row r="896">
      <c r="L896" s="26"/>
    </row>
    <row r="897">
      <c r="L897" s="26"/>
    </row>
    <row r="898">
      <c r="L898" s="26"/>
    </row>
    <row r="899">
      <c r="L899" s="26"/>
    </row>
    <row r="900">
      <c r="L900" s="26"/>
    </row>
    <row r="901">
      <c r="L901" s="26"/>
    </row>
    <row r="902">
      <c r="L902" s="26"/>
    </row>
    <row r="903">
      <c r="L903" s="26"/>
    </row>
    <row r="904">
      <c r="L904" s="26"/>
    </row>
    <row r="905">
      <c r="L905" s="26"/>
    </row>
    <row r="906">
      <c r="L906" s="26"/>
    </row>
    <row r="907">
      <c r="L907" s="26"/>
    </row>
    <row r="908">
      <c r="L908" s="26"/>
    </row>
    <row r="909">
      <c r="L909" s="26"/>
    </row>
    <row r="910">
      <c r="L910" s="26"/>
    </row>
    <row r="911">
      <c r="L911" s="26"/>
    </row>
    <row r="912">
      <c r="L912" s="26"/>
    </row>
    <row r="913">
      <c r="L913" s="26"/>
    </row>
    <row r="914">
      <c r="L914" s="26"/>
    </row>
    <row r="915">
      <c r="L915" s="26"/>
    </row>
    <row r="916">
      <c r="L916" s="26"/>
    </row>
    <row r="917">
      <c r="L917" s="26"/>
    </row>
    <row r="918">
      <c r="L918" s="26"/>
    </row>
    <row r="919">
      <c r="L919" s="26"/>
    </row>
    <row r="920">
      <c r="L920" s="26"/>
    </row>
    <row r="921">
      <c r="L921" s="26"/>
    </row>
    <row r="922">
      <c r="L922" s="26"/>
    </row>
    <row r="923">
      <c r="L923" s="26"/>
    </row>
    <row r="924">
      <c r="L924" s="26"/>
    </row>
    <row r="925">
      <c r="L925" s="26"/>
    </row>
    <row r="926">
      <c r="L926" s="26"/>
    </row>
    <row r="927">
      <c r="L927" s="26"/>
    </row>
    <row r="928">
      <c r="L928" s="26"/>
    </row>
    <row r="929">
      <c r="L929" s="26"/>
    </row>
    <row r="930">
      <c r="L930" s="26"/>
    </row>
    <row r="931">
      <c r="L931" s="26"/>
    </row>
    <row r="932">
      <c r="L932" s="26"/>
    </row>
    <row r="933">
      <c r="L933" s="26"/>
    </row>
    <row r="934">
      <c r="L934" s="26"/>
    </row>
    <row r="935">
      <c r="L935" s="26"/>
    </row>
    <row r="936">
      <c r="L936" s="26"/>
    </row>
    <row r="937">
      <c r="L937" s="26"/>
    </row>
    <row r="938">
      <c r="L938" s="26"/>
    </row>
    <row r="939">
      <c r="L939" s="26"/>
    </row>
    <row r="940">
      <c r="L940" s="26"/>
    </row>
    <row r="941">
      <c r="L941" s="26"/>
    </row>
    <row r="942">
      <c r="L942" s="26"/>
    </row>
    <row r="943">
      <c r="L943" s="26"/>
    </row>
    <row r="944">
      <c r="L944" s="26"/>
    </row>
    <row r="945">
      <c r="L945" s="26"/>
    </row>
    <row r="946">
      <c r="L946" s="26"/>
    </row>
    <row r="947">
      <c r="L947" s="26"/>
    </row>
    <row r="948">
      <c r="L948" s="26"/>
    </row>
    <row r="949">
      <c r="L949" s="26"/>
    </row>
    <row r="950">
      <c r="L950" s="26"/>
    </row>
    <row r="951">
      <c r="L951" s="26"/>
    </row>
    <row r="952">
      <c r="L952" s="26"/>
    </row>
    <row r="953">
      <c r="L953" s="26"/>
    </row>
    <row r="954">
      <c r="L954" s="26"/>
    </row>
    <row r="955">
      <c r="L955" s="26"/>
    </row>
    <row r="956">
      <c r="L956" s="26"/>
    </row>
    <row r="957">
      <c r="L957" s="26"/>
    </row>
    <row r="958">
      <c r="L958" s="26"/>
    </row>
    <row r="959">
      <c r="L959" s="26"/>
    </row>
    <row r="960">
      <c r="L960" s="26"/>
    </row>
    <row r="961">
      <c r="L961" s="26"/>
    </row>
    <row r="962">
      <c r="L962" s="26"/>
    </row>
    <row r="963">
      <c r="L963" s="26"/>
    </row>
    <row r="964">
      <c r="L964" s="26"/>
    </row>
    <row r="965">
      <c r="L965" s="26"/>
    </row>
    <row r="966">
      <c r="L966" s="26"/>
    </row>
    <row r="967">
      <c r="L967" s="26"/>
    </row>
    <row r="968">
      <c r="L968" s="26"/>
    </row>
    <row r="969">
      <c r="L969" s="26"/>
    </row>
    <row r="970">
      <c r="L970" s="26"/>
    </row>
    <row r="971">
      <c r="L971" s="26"/>
    </row>
    <row r="972">
      <c r="L972" s="26"/>
    </row>
    <row r="973">
      <c r="L973" s="26"/>
    </row>
    <row r="974">
      <c r="L974" s="26"/>
    </row>
    <row r="975">
      <c r="L975" s="26"/>
    </row>
    <row r="976">
      <c r="L976" s="26"/>
    </row>
    <row r="977">
      <c r="L977" s="26"/>
    </row>
    <row r="978">
      <c r="L978" s="26"/>
    </row>
    <row r="979">
      <c r="L979" s="26"/>
    </row>
    <row r="980">
      <c r="L980" s="26"/>
    </row>
    <row r="981">
      <c r="L981" s="26"/>
    </row>
    <row r="982">
      <c r="L982" s="26"/>
    </row>
    <row r="983">
      <c r="L983" s="26"/>
    </row>
    <row r="984">
      <c r="L984" s="26"/>
    </row>
    <row r="985">
      <c r="L985" s="26"/>
    </row>
    <row r="986">
      <c r="L986" s="26"/>
    </row>
    <row r="987">
      <c r="L987" s="26"/>
    </row>
    <row r="988">
      <c r="L988" s="26"/>
    </row>
    <row r="989">
      <c r="L989" s="26"/>
    </row>
    <row r="990">
      <c r="L990" s="26"/>
    </row>
    <row r="991">
      <c r="L991" s="26"/>
    </row>
    <row r="992">
      <c r="L992" s="26"/>
    </row>
    <row r="993">
      <c r="L993" s="26"/>
    </row>
    <row r="994">
      <c r="L994" s="26"/>
    </row>
    <row r="995">
      <c r="L995" s="26"/>
    </row>
    <row r="996">
      <c r="L996" s="26"/>
    </row>
    <row r="997">
      <c r="L997" s="26"/>
    </row>
    <row r="998">
      <c r="L998" s="26"/>
    </row>
    <row r="999">
      <c r="L999" s="26"/>
    </row>
    <row r="1000">
      <c r="L1000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</cols>
  <sheetData>
    <row r="1">
      <c r="A1" s="2" t="s">
        <v>4</v>
      </c>
      <c r="B1" s="2" t="s">
        <v>3</v>
      </c>
      <c r="C1" s="2" t="s">
        <v>921</v>
      </c>
      <c r="D1" s="2" t="s">
        <v>1250</v>
      </c>
    </row>
    <row r="2">
      <c r="A2" s="5" t="s">
        <v>93</v>
      </c>
      <c r="B2" s="5" t="s">
        <v>971</v>
      </c>
      <c r="C2" s="5" t="s">
        <v>931</v>
      </c>
      <c r="D2" s="1" t="s">
        <v>91</v>
      </c>
    </row>
    <row r="3">
      <c r="A3" s="5" t="s">
        <v>59</v>
      </c>
      <c r="B3" s="5" t="s">
        <v>1032</v>
      </c>
      <c r="C3" s="5" t="s">
        <v>988</v>
      </c>
      <c r="D3" s="1" t="s">
        <v>57</v>
      </c>
    </row>
    <row r="4">
      <c r="A4" s="5" t="s">
        <v>196</v>
      </c>
      <c r="B4" s="5" t="s">
        <v>966</v>
      </c>
      <c r="C4" s="5" t="s">
        <v>967</v>
      </c>
      <c r="D4" s="1" t="s">
        <v>195</v>
      </c>
    </row>
    <row r="5">
      <c r="A5" s="5" t="s">
        <v>465</v>
      </c>
      <c r="B5" s="5" t="s">
        <v>1100</v>
      </c>
      <c r="C5" s="5" t="s">
        <v>996</v>
      </c>
      <c r="D5" s="1" t="s">
        <v>463</v>
      </c>
    </row>
    <row r="6">
      <c r="A6" s="2" t="s">
        <v>309</v>
      </c>
      <c r="B6" s="5" t="s">
        <v>1071</v>
      </c>
      <c r="C6" s="5" t="s">
        <v>988</v>
      </c>
      <c r="D6" s="1" t="s">
        <v>308</v>
      </c>
    </row>
    <row r="7">
      <c r="A7" s="5" t="s">
        <v>721</v>
      </c>
      <c r="B7" s="5" t="s">
        <v>1217</v>
      </c>
      <c r="C7" s="5" t="s">
        <v>961</v>
      </c>
      <c r="D7" s="1" t="s">
        <v>720</v>
      </c>
    </row>
    <row r="8">
      <c r="A8" s="5" t="s">
        <v>135</v>
      </c>
      <c r="B8" s="5" t="s">
        <v>1026</v>
      </c>
      <c r="C8" s="5" t="s">
        <v>950</v>
      </c>
      <c r="D8" s="1" t="s">
        <v>133</v>
      </c>
    </row>
    <row r="9">
      <c r="A9" s="5" t="s">
        <v>361</v>
      </c>
      <c r="B9" s="5" t="s">
        <v>1060</v>
      </c>
      <c r="C9" s="5" t="s">
        <v>967</v>
      </c>
      <c r="D9" s="1" t="s">
        <v>360</v>
      </c>
    </row>
    <row r="10">
      <c r="A10" s="5" t="s">
        <v>856</v>
      </c>
      <c r="B10" s="5" t="s">
        <v>1239</v>
      </c>
      <c r="C10" s="5" t="s">
        <v>985</v>
      </c>
      <c r="D10" s="1" t="s">
        <v>854</v>
      </c>
    </row>
    <row r="11">
      <c r="A11" s="5" t="s">
        <v>205</v>
      </c>
      <c r="B11" s="5" t="s">
        <v>1069</v>
      </c>
      <c r="C11" s="5" t="s">
        <v>983</v>
      </c>
      <c r="D11" s="1" t="s">
        <v>204</v>
      </c>
    </row>
    <row r="12">
      <c r="A12" s="5" t="s">
        <v>182</v>
      </c>
      <c r="B12" s="5" t="s">
        <v>1012</v>
      </c>
      <c r="C12" s="5" t="s">
        <v>944</v>
      </c>
      <c r="D12" s="1" t="s">
        <v>181</v>
      </c>
    </row>
    <row r="13">
      <c r="A13" s="5" t="s">
        <v>175</v>
      </c>
      <c r="B13" s="5" t="s">
        <v>978</v>
      </c>
      <c r="C13" s="5" t="s">
        <v>965</v>
      </c>
      <c r="D13" s="1" t="s">
        <v>174</v>
      </c>
    </row>
    <row r="14">
      <c r="A14" s="5" t="s">
        <v>686</v>
      </c>
      <c r="B14" s="5" t="s">
        <v>1170</v>
      </c>
      <c r="C14" s="5" t="s">
        <v>988</v>
      </c>
      <c r="D14" s="1" t="s">
        <v>684</v>
      </c>
    </row>
    <row r="15">
      <c r="A15" s="2" t="s">
        <v>288</v>
      </c>
      <c r="B15" s="5" t="s">
        <v>960</v>
      </c>
      <c r="C15" s="5" t="s">
        <v>961</v>
      </c>
      <c r="D15" s="1" t="s">
        <v>286</v>
      </c>
    </row>
    <row r="16">
      <c r="A16" s="5" t="s">
        <v>295</v>
      </c>
      <c r="B16" s="5" t="s">
        <v>1073</v>
      </c>
      <c r="C16" s="5" t="s">
        <v>1016</v>
      </c>
      <c r="D16" s="1" t="s">
        <v>294</v>
      </c>
    </row>
    <row r="17">
      <c r="A17" s="2" t="s">
        <v>914</v>
      </c>
      <c r="B17" s="2" t="s">
        <v>1207</v>
      </c>
      <c r="C17" s="5" t="s">
        <v>1040</v>
      </c>
      <c r="D17" s="1" t="s">
        <v>913</v>
      </c>
    </row>
    <row r="18">
      <c r="A18" s="2" t="s">
        <v>901</v>
      </c>
      <c r="B18" s="2" t="s">
        <v>1194</v>
      </c>
      <c r="C18" s="5" t="s">
        <v>974</v>
      </c>
      <c r="D18" s="1" t="s">
        <v>900</v>
      </c>
    </row>
    <row r="19">
      <c r="A19" s="5" t="s">
        <v>18</v>
      </c>
      <c r="B19" s="5" t="s">
        <v>970</v>
      </c>
      <c r="C19" s="5" t="s">
        <v>938</v>
      </c>
      <c r="D19" s="1" t="s">
        <v>16</v>
      </c>
    </row>
    <row r="20">
      <c r="A20" s="5" t="s">
        <v>564</v>
      </c>
      <c r="B20" s="5" t="s">
        <v>1174</v>
      </c>
      <c r="C20" s="5" t="s">
        <v>1024</v>
      </c>
      <c r="D20" s="1" t="s">
        <v>562</v>
      </c>
    </row>
    <row r="21">
      <c r="A21" s="2" t="s">
        <v>683</v>
      </c>
      <c r="B21" s="2" t="s">
        <v>1085</v>
      </c>
      <c r="C21" s="5" t="s">
        <v>1007</v>
      </c>
      <c r="D21" s="1" t="s">
        <v>681</v>
      </c>
    </row>
    <row r="22">
      <c r="A22" s="5" t="s">
        <v>47</v>
      </c>
      <c r="B22" s="5" t="s">
        <v>973</v>
      </c>
      <c r="C22" s="5" t="s">
        <v>974</v>
      </c>
      <c r="D22" s="1" t="s">
        <v>45</v>
      </c>
    </row>
    <row r="23">
      <c r="A23" s="5" t="s">
        <v>376</v>
      </c>
      <c r="B23" s="5" t="s">
        <v>1062</v>
      </c>
      <c r="C23" s="5" t="s">
        <v>952</v>
      </c>
      <c r="D23" s="1" t="s">
        <v>374</v>
      </c>
    </row>
    <row r="24">
      <c r="A24" s="5" t="s">
        <v>279</v>
      </c>
      <c r="B24" s="5" t="s">
        <v>1025</v>
      </c>
      <c r="C24" s="5" t="s">
        <v>963</v>
      </c>
      <c r="D24" s="1" t="s">
        <v>278</v>
      </c>
    </row>
    <row r="25">
      <c r="A25" s="5" t="s">
        <v>577</v>
      </c>
      <c r="B25" s="5" t="s">
        <v>1156</v>
      </c>
      <c r="C25" s="5" t="s">
        <v>952</v>
      </c>
      <c r="D25" s="1" t="s">
        <v>575</v>
      </c>
    </row>
    <row r="26">
      <c r="A26" s="5" t="s">
        <v>597</v>
      </c>
      <c r="B26" s="5" t="s">
        <v>1159</v>
      </c>
      <c r="C26" s="5" t="s">
        <v>942</v>
      </c>
      <c r="D26" s="1" t="s">
        <v>595</v>
      </c>
    </row>
    <row r="27">
      <c r="A27" s="5" t="s">
        <v>79</v>
      </c>
      <c r="B27" s="5" t="s">
        <v>1020</v>
      </c>
      <c r="C27" s="5" t="s">
        <v>967</v>
      </c>
      <c r="D27" s="1" t="s">
        <v>77</v>
      </c>
    </row>
    <row r="28">
      <c r="A28" s="5" t="s">
        <v>633</v>
      </c>
      <c r="B28" s="5" t="s">
        <v>1163</v>
      </c>
      <c r="C28" s="5" t="s">
        <v>976</v>
      </c>
      <c r="D28" s="1" t="s">
        <v>632</v>
      </c>
    </row>
    <row r="29">
      <c r="A29" s="5" t="s">
        <v>298</v>
      </c>
      <c r="B29" s="5" t="s">
        <v>1067</v>
      </c>
      <c r="C29" s="5" t="s">
        <v>1016</v>
      </c>
      <c r="D29" s="1" t="s">
        <v>297</v>
      </c>
    </row>
    <row r="30">
      <c r="A30" s="5" t="s">
        <v>382</v>
      </c>
      <c r="B30" s="5" t="s">
        <v>1152</v>
      </c>
      <c r="C30" s="5" t="s">
        <v>963</v>
      </c>
      <c r="D30" s="1" t="s">
        <v>381</v>
      </c>
    </row>
    <row r="31">
      <c r="A31" s="5" t="s">
        <v>306</v>
      </c>
      <c r="B31" s="5" t="s">
        <v>995</v>
      </c>
      <c r="C31" s="5" t="s">
        <v>996</v>
      </c>
      <c r="D31" s="1" t="s">
        <v>304</v>
      </c>
    </row>
    <row r="32">
      <c r="A32" s="2" t="s">
        <v>739</v>
      </c>
      <c r="B32" s="2" t="s">
        <v>1092</v>
      </c>
      <c r="C32" s="5" t="s">
        <v>929</v>
      </c>
      <c r="D32" s="1" t="s">
        <v>737</v>
      </c>
    </row>
    <row r="33">
      <c r="A33" s="5" t="s">
        <v>346</v>
      </c>
      <c r="B33" s="5" t="s">
        <v>991</v>
      </c>
      <c r="C33" s="5" t="s">
        <v>992</v>
      </c>
      <c r="D33" s="1" t="s">
        <v>345</v>
      </c>
    </row>
    <row r="34">
      <c r="A34" s="5" t="s">
        <v>869</v>
      </c>
      <c r="B34" s="5" t="s">
        <v>1219</v>
      </c>
      <c r="C34" s="5" t="s">
        <v>1024</v>
      </c>
      <c r="D34" s="1" t="s">
        <v>868</v>
      </c>
    </row>
    <row r="35">
      <c r="A35" s="5" t="s">
        <v>617</v>
      </c>
      <c r="B35" s="5" t="s">
        <v>1162</v>
      </c>
      <c r="C35" s="5" t="s">
        <v>944</v>
      </c>
      <c r="D35" s="1" t="s">
        <v>616</v>
      </c>
    </row>
    <row r="36">
      <c r="A36" s="5" t="s">
        <v>699</v>
      </c>
      <c r="B36" s="5" t="s">
        <v>1171</v>
      </c>
      <c r="C36" s="5" t="s">
        <v>940</v>
      </c>
      <c r="D36" s="1" t="s">
        <v>697</v>
      </c>
    </row>
    <row r="37">
      <c r="A37" s="5" t="s">
        <v>748</v>
      </c>
      <c r="B37" s="5" t="s">
        <v>1173</v>
      </c>
      <c r="C37" s="5" t="s">
        <v>990</v>
      </c>
      <c r="D37" s="1" t="s">
        <v>746</v>
      </c>
    </row>
    <row r="38">
      <c r="A38" s="5" t="s">
        <v>152</v>
      </c>
      <c r="B38" s="5" t="s">
        <v>1005</v>
      </c>
      <c r="C38" s="5" t="s">
        <v>942</v>
      </c>
      <c r="D38" s="1" t="s">
        <v>151</v>
      </c>
    </row>
    <row r="39">
      <c r="A39" s="5" t="s">
        <v>235</v>
      </c>
      <c r="B39" s="5" t="s">
        <v>1053</v>
      </c>
      <c r="C39" s="5" t="s">
        <v>958</v>
      </c>
      <c r="D39" s="1" t="s">
        <v>233</v>
      </c>
    </row>
    <row r="40">
      <c r="A40" s="5" t="s">
        <v>522</v>
      </c>
      <c r="B40" s="5" t="s">
        <v>698</v>
      </c>
      <c r="C40" s="5" t="s">
        <v>938</v>
      </c>
      <c r="D40" s="1" t="s">
        <v>521</v>
      </c>
    </row>
    <row r="41">
      <c r="A41" s="2" t="s">
        <v>766</v>
      </c>
      <c r="B41" s="2" t="s">
        <v>1176</v>
      </c>
      <c r="C41" s="5" t="s">
        <v>996</v>
      </c>
      <c r="D41" s="1" t="s">
        <v>765</v>
      </c>
    </row>
    <row r="42">
      <c r="A42" s="5" t="s">
        <v>888</v>
      </c>
      <c r="B42" s="5" t="s">
        <v>1240</v>
      </c>
      <c r="C42" s="5" t="s">
        <v>944</v>
      </c>
      <c r="D42" s="1" t="s">
        <v>887</v>
      </c>
    </row>
    <row r="43">
      <c r="A43" s="5" t="s">
        <v>106</v>
      </c>
      <c r="B43" s="5" t="s">
        <v>977</v>
      </c>
      <c r="C43" s="5" t="s">
        <v>952</v>
      </c>
      <c r="D43" s="1" t="s">
        <v>104</v>
      </c>
    </row>
    <row r="44">
      <c r="A44" s="5" t="s">
        <v>840</v>
      </c>
      <c r="B44" s="5" t="s">
        <v>1236</v>
      </c>
      <c r="C44" s="5" t="s">
        <v>935</v>
      </c>
      <c r="D44" s="1" t="s">
        <v>839</v>
      </c>
    </row>
    <row r="45">
      <c r="A45" s="5" t="s">
        <v>771</v>
      </c>
      <c r="B45" s="5" t="s">
        <v>1248</v>
      </c>
      <c r="C45" s="5" t="s">
        <v>935</v>
      </c>
      <c r="D45" s="1" t="s">
        <v>770</v>
      </c>
    </row>
    <row r="46">
      <c r="A46" s="5" t="s">
        <v>828</v>
      </c>
      <c r="B46" s="5" t="s">
        <v>1233</v>
      </c>
      <c r="C46" s="5" t="s">
        <v>940</v>
      </c>
      <c r="D46" s="1" t="s">
        <v>827</v>
      </c>
    </row>
    <row r="47">
      <c r="A47" s="5" t="s">
        <v>635</v>
      </c>
      <c r="B47" s="5" t="s">
        <v>1164</v>
      </c>
      <c r="C47" s="5" t="s">
        <v>1024</v>
      </c>
      <c r="D47" s="1" t="s">
        <v>634</v>
      </c>
    </row>
    <row r="48">
      <c r="A48" s="2" t="s">
        <v>916</v>
      </c>
      <c r="B48" s="2" t="s">
        <v>1208</v>
      </c>
      <c r="C48" s="5" t="s">
        <v>940</v>
      </c>
      <c r="D48" s="1" t="s">
        <v>915</v>
      </c>
    </row>
    <row r="49">
      <c r="A49" s="5" t="s">
        <v>646</v>
      </c>
      <c r="B49" s="5" t="s">
        <v>1081</v>
      </c>
      <c r="C49" s="5" t="s">
        <v>990</v>
      </c>
      <c r="D49" s="1" t="s">
        <v>644</v>
      </c>
    </row>
    <row r="50">
      <c r="A50" s="5" t="s">
        <v>801</v>
      </c>
      <c r="B50" s="5" t="s">
        <v>1243</v>
      </c>
      <c r="C50" s="5" t="s">
        <v>954</v>
      </c>
      <c r="D50" s="1" t="s">
        <v>800</v>
      </c>
    </row>
    <row r="51">
      <c r="A51" s="5" t="s">
        <v>676</v>
      </c>
      <c r="B51" s="5" t="s">
        <v>1169</v>
      </c>
      <c r="C51" s="5" t="s">
        <v>985</v>
      </c>
      <c r="D51" s="1" t="s">
        <v>674</v>
      </c>
    </row>
    <row r="52">
      <c r="A52" s="5" t="s">
        <v>754</v>
      </c>
      <c r="B52" s="5" t="s">
        <v>1245</v>
      </c>
      <c r="C52" s="5" t="s">
        <v>935</v>
      </c>
      <c r="D52" s="1" t="s">
        <v>753</v>
      </c>
    </row>
    <row r="53">
      <c r="A53" s="5" t="s">
        <v>166</v>
      </c>
      <c r="B53" s="5" t="s">
        <v>1023</v>
      </c>
      <c r="C53" s="5" t="s">
        <v>1024</v>
      </c>
      <c r="D53" s="1" t="s">
        <v>165</v>
      </c>
    </row>
    <row r="54">
      <c r="A54" s="5" t="s">
        <v>121</v>
      </c>
      <c r="B54" s="5" t="s">
        <v>994</v>
      </c>
      <c r="C54" s="5" t="s">
        <v>983</v>
      </c>
      <c r="D54" s="1" t="s">
        <v>119</v>
      </c>
    </row>
    <row r="55">
      <c r="A55" s="5" t="s">
        <v>243</v>
      </c>
      <c r="B55" s="5" t="s">
        <v>1031</v>
      </c>
      <c r="C55" s="5" t="s">
        <v>942</v>
      </c>
      <c r="D55" s="1" t="s">
        <v>241</v>
      </c>
    </row>
    <row r="56">
      <c r="A56" s="5" t="s">
        <v>14</v>
      </c>
      <c r="B56" s="5" t="s">
        <v>962</v>
      </c>
      <c r="C56" s="5" t="s">
        <v>963</v>
      </c>
      <c r="D56" s="1" t="s">
        <v>11</v>
      </c>
    </row>
    <row r="57">
      <c r="A57" s="5" t="s">
        <v>169</v>
      </c>
      <c r="B57" s="5" t="s">
        <v>1010</v>
      </c>
      <c r="C57" s="5" t="s">
        <v>988</v>
      </c>
      <c r="D57" s="1" t="s">
        <v>168</v>
      </c>
    </row>
    <row r="58">
      <c r="A58" s="5" t="s">
        <v>620</v>
      </c>
      <c r="B58" s="5" t="s">
        <v>1139</v>
      </c>
      <c r="C58" s="5" t="s">
        <v>996</v>
      </c>
      <c r="D58" s="1" t="s">
        <v>619</v>
      </c>
    </row>
    <row r="59">
      <c r="A59" s="2" t="s">
        <v>807</v>
      </c>
      <c r="B59" s="2" t="s">
        <v>1101</v>
      </c>
      <c r="C59" s="5" t="s">
        <v>935</v>
      </c>
      <c r="D59" s="1" t="s">
        <v>806</v>
      </c>
    </row>
    <row r="60">
      <c r="A60" s="2" t="s">
        <v>786</v>
      </c>
      <c r="B60" s="2" t="s">
        <v>1178</v>
      </c>
      <c r="C60" s="5" t="s">
        <v>944</v>
      </c>
      <c r="D60" s="1" t="s">
        <v>784</v>
      </c>
    </row>
    <row r="61">
      <c r="A61" s="2" t="s">
        <v>668</v>
      </c>
      <c r="B61" s="5" t="s">
        <v>1147</v>
      </c>
      <c r="C61" s="5" t="s">
        <v>933</v>
      </c>
      <c r="D61" s="1" t="s">
        <v>667</v>
      </c>
    </row>
    <row r="62">
      <c r="A62" s="5" t="s">
        <v>821</v>
      </c>
      <c r="B62" s="5" t="s">
        <v>1102</v>
      </c>
      <c r="C62" s="5" t="s">
        <v>940</v>
      </c>
      <c r="D62" s="1" t="s">
        <v>820</v>
      </c>
    </row>
    <row r="63">
      <c r="A63" s="5" t="s">
        <v>908</v>
      </c>
      <c r="B63" s="5" t="s">
        <v>1246</v>
      </c>
      <c r="C63" s="5" t="s">
        <v>1016</v>
      </c>
      <c r="D63" s="1" t="s">
        <v>907</v>
      </c>
    </row>
    <row r="64">
      <c r="A64" s="5" t="s">
        <v>71</v>
      </c>
      <c r="B64" s="5" t="s">
        <v>957</v>
      </c>
      <c r="C64" s="5" t="s">
        <v>958</v>
      </c>
      <c r="D64" s="1" t="s">
        <v>69</v>
      </c>
    </row>
    <row r="65">
      <c r="A65" s="5" t="s">
        <v>567</v>
      </c>
      <c r="B65" s="5" t="s">
        <v>1149</v>
      </c>
      <c r="C65" s="5" t="s">
        <v>974</v>
      </c>
      <c r="D65" s="1" t="s">
        <v>566</v>
      </c>
    </row>
    <row r="66">
      <c r="A66" s="5" t="s">
        <v>355</v>
      </c>
      <c r="B66" s="5" t="s">
        <v>1058</v>
      </c>
      <c r="C66" s="5" t="s">
        <v>976</v>
      </c>
      <c r="D66" s="1" t="s">
        <v>354</v>
      </c>
    </row>
    <row r="67">
      <c r="A67" s="5" t="s">
        <v>482</v>
      </c>
      <c r="B67" s="5" t="s">
        <v>1106</v>
      </c>
      <c r="C67" s="5" t="s">
        <v>1016</v>
      </c>
      <c r="D67" s="1" t="s">
        <v>480</v>
      </c>
    </row>
    <row r="68">
      <c r="A68" s="5" t="s">
        <v>272</v>
      </c>
      <c r="B68" s="5" t="s">
        <v>1070</v>
      </c>
      <c r="C68" s="5" t="s">
        <v>931</v>
      </c>
      <c r="D68" s="1" t="s">
        <v>271</v>
      </c>
    </row>
    <row r="69">
      <c r="A69" s="5" t="s">
        <v>229</v>
      </c>
      <c r="B69" s="5" t="s">
        <v>951</v>
      </c>
      <c r="C69" s="5" t="s">
        <v>952</v>
      </c>
      <c r="D69" s="1" t="s">
        <v>228</v>
      </c>
    </row>
    <row r="70">
      <c r="A70" s="2" t="s">
        <v>623</v>
      </c>
      <c r="B70" s="2" t="s">
        <v>1075</v>
      </c>
      <c r="C70" s="5" t="s">
        <v>952</v>
      </c>
      <c r="D70" s="1" t="s">
        <v>621</v>
      </c>
    </row>
    <row r="71">
      <c r="A71" s="5" t="s">
        <v>411</v>
      </c>
      <c r="B71" s="5" t="s">
        <v>1063</v>
      </c>
      <c r="C71" s="5" t="s">
        <v>931</v>
      </c>
      <c r="D71" s="1" t="s">
        <v>409</v>
      </c>
    </row>
    <row r="72">
      <c r="A72" s="5" t="s">
        <v>768</v>
      </c>
      <c r="B72" s="5" t="s">
        <v>1096</v>
      </c>
      <c r="C72" s="5" t="s">
        <v>929</v>
      </c>
      <c r="D72" s="1" t="s">
        <v>767</v>
      </c>
    </row>
    <row r="73">
      <c r="A73" s="5" t="s">
        <v>603</v>
      </c>
      <c r="B73" s="5" t="s">
        <v>1094</v>
      </c>
      <c r="C73" s="5" t="s">
        <v>992</v>
      </c>
      <c r="D73" s="1" t="s">
        <v>602</v>
      </c>
    </row>
    <row r="74">
      <c r="A74" s="5" t="s">
        <v>283</v>
      </c>
      <c r="B74" s="5" t="s">
        <v>1083</v>
      </c>
      <c r="C74" s="5" t="s">
        <v>967</v>
      </c>
      <c r="D74" s="1" t="s">
        <v>281</v>
      </c>
    </row>
    <row r="75">
      <c r="A75" s="5" t="s">
        <v>163</v>
      </c>
      <c r="B75" s="5" t="s">
        <v>1037</v>
      </c>
      <c r="C75" s="5" t="s">
        <v>992</v>
      </c>
      <c r="D75" s="1" t="s">
        <v>161</v>
      </c>
    </row>
    <row r="76">
      <c r="A76" s="5" t="s">
        <v>478</v>
      </c>
      <c r="B76" s="5" t="s">
        <v>1146</v>
      </c>
      <c r="C76" s="5" t="s">
        <v>929</v>
      </c>
      <c r="D76" s="1" t="s">
        <v>477</v>
      </c>
    </row>
    <row r="77">
      <c r="A77" s="5" t="s">
        <v>600</v>
      </c>
      <c r="B77" s="5" t="s">
        <v>1125</v>
      </c>
      <c r="C77" s="5" t="s">
        <v>980</v>
      </c>
      <c r="D77" s="1" t="s">
        <v>598</v>
      </c>
    </row>
    <row r="78">
      <c r="A78" s="5" t="s">
        <v>173</v>
      </c>
      <c r="B78" s="5" t="s">
        <v>947</v>
      </c>
      <c r="C78" s="5" t="s">
        <v>948</v>
      </c>
      <c r="D78" s="1" t="s">
        <v>170</v>
      </c>
    </row>
    <row r="79">
      <c r="A79" s="5" t="s">
        <v>702</v>
      </c>
      <c r="B79" s="5" t="s">
        <v>1242</v>
      </c>
      <c r="C79" s="5" t="s">
        <v>948</v>
      </c>
      <c r="D79" s="1" t="s">
        <v>701</v>
      </c>
    </row>
    <row r="80">
      <c r="A80" s="5" t="s">
        <v>571</v>
      </c>
      <c r="B80" s="5" t="s">
        <v>1109</v>
      </c>
      <c r="C80" s="5" t="s">
        <v>940</v>
      </c>
      <c r="D80" s="1" t="s">
        <v>569</v>
      </c>
    </row>
    <row r="81">
      <c r="A81" s="5" t="s">
        <v>325</v>
      </c>
      <c r="B81" s="5" t="s">
        <v>1044</v>
      </c>
      <c r="C81" s="5" t="s">
        <v>948</v>
      </c>
      <c r="D81" s="1" t="s">
        <v>324</v>
      </c>
    </row>
    <row r="82">
      <c r="A82" s="5" t="s">
        <v>86</v>
      </c>
      <c r="B82" s="5" t="s">
        <v>979</v>
      </c>
      <c r="C82" s="5" t="s">
        <v>980</v>
      </c>
      <c r="D82" s="1" t="s">
        <v>85</v>
      </c>
    </row>
    <row r="83">
      <c r="A83" s="5" t="s">
        <v>109</v>
      </c>
      <c r="B83" s="5" t="s">
        <v>1052</v>
      </c>
      <c r="C83" s="5" t="s">
        <v>965</v>
      </c>
      <c r="D83" s="1" t="s">
        <v>108</v>
      </c>
    </row>
    <row r="84">
      <c r="A84" s="5" t="s">
        <v>580</v>
      </c>
      <c r="B84" s="5" t="s">
        <v>1091</v>
      </c>
      <c r="C84" s="5" t="s">
        <v>944</v>
      </c>
      <c r="D84" s="1" t="s">
        <v>579</v>
      </c>
    </row>
    <row r="85">
      <c r="A85" s="5" t="s">
        <v>814</v>
      </c>
      <c r="B85" s="5" t="s">
        <v>1126</v>
      </c>
      <c r="C85" s="5" t="s">
        <v>929</v>
      </c>
      <c r="D85" s="1" t="s">
        <v>812</v>
      </c>
    </row>
    <row r="86">
      <c r="A86" s="5" t="s">
        <v>102</v>
      </c>
      <c r="B86" s="5" t="s">
        <v>1023</v>
      </c>
      <c r="C86" s="5" t="s">
        <v>990</v>
      </c>
      <c r="D86" s="1" t="s">
        <v>100</v>
      </c>
    </row>
    <row r="87">
      <c r="A87" s="5" t="s">
        <v>117</v>
      </c>
      <c r="B87" s="5" t="s">
        <v>1011</v>
      </c>
      <c r="C87" s="5" t="s">
        <v>963</v>
      </c>
      <c r="D87" s="1" t="s">
        <v>115</v>
      </c>
    </row>
    <row r="88">
      <c r="A88" s="2" t="s">
        <v>880</v>
      </c>
      <c r="B88" s="2" t="s">
        <v>1124</v>
      </c>
      <c r="C88" s="5" t="s">
        <v>976</v>
      </c>
      <c r="D88" s="1" t="s">
        <v>879</v>
      </c>
    </row>
    <row r="89">
      <c r="A89" s="5" t="s">
        <v>269</v>
      </c>
      <c r="B89" s="5" t="s">
        <v>982</v>
      </c>
      <c r="C89" s="5" t="s">
        <v>983</v>
      </c>
      <c r="D89" s="1" t="s">
        <v>268</v>
      </c>
    </row>
    <row r="90">
      <c r="A90" s="5" t="s">
        <v>39</v>
      </c>
      <c r="B90" s="5" t="s">
        <v>989</v>
      </c>
      <c r="C90" s="5" t="s">
        <v>990</v>
      </c>
      <c r="D90" s="1" t="s">
        <v>37</v>
      </c>
    </row>
    <row r="91">
      <c r="A91" s="5" t="s">
        <v>275</v>
      </c>
      <c r="B91" s="5" t="s">
        <v>943</v>
      </c>
      <c r="C91" s="5" t="s">
        <v>944</v>
      </c>
      <c r="D91" s="1" t="s">
        <v>273</v>
      </c>
    </row>
    <row r="92">
      <c r="A92" s="5" t="s">
        <v>364</v>
      </c>
      <c r="B92" s="5" t="s">
        <v>1151</v>
      </c>
      <c r="C92" s="5" t="s">
        <v>974</v>
      </c>
      <c r="D92" s="1" t="s">
        <v>362</v>
      </c>
    </row>
    <row r="93">
      <c r="A93" s="2" t="s">
        <v>862</v>
      </c>
      <c r="B93" s="2" t="s">
        <v>1185</v>
      </c>
      <c r="C93" s="5" t="s">
        <v>965</v>
      </c>
      <c r="D93" s="1" t="s">
        <v>861</v>
      </c>
    </row>
    <row r="94">
      <c r="A94" s="5" t="s">
        <v>494</v>
      </c>
      <c r="B94" s="5" t="s">
        <v>1198</v>
      </c>
      <c r="C94" s="5" t="s">
        <v>1009</v>
      </c>
      <c r="D94" s="1" t="s">
        <v>492</v>
      </c>
    </row>
    <row r="95">
      <c r="A95" s="5" t="s">
        <v>513</v>
      </c>
      <c r="B95" s="5" t="s">
        <v>1128</v>
      </c>
      <c r="C95" s="5" t="s">
        <v>992</v>
      </c>
      <c r="D95" s="1" t="s">
        <v>512</v>
      </c>
    </row>
    <row r="96">
      <c r="A96" s="5" t="s">
        <v>500</v>
      </c>
      <c r="B96" s="5" t="s">
        <v>1199</v>
      </c>
      <c r="C96" s="5" t="s">
        <v>954</v>
      </c>
      <c r="D96" s="1" t="s">
        <v>499</v>
      </c>
    </row>
    <row r="97">
      <c r="A97" s="5" t="s">
        <v>146</v>
      </c>
      <c r="B97" s="5" t="s">
        <v>1003</v>
      </c>
      <c r="C97" s="5" t="s">
        <v>931</v>
      </c>
      <c r="D97" s="1" t="s">
        <v>144</v>
      </c>
    </row>
    <row r="98">
      <c r="A98" s="5" t="s">
        <v>764</v>
      </c>
      <c r="B98" s="5" t="s">
        <v>1247</v>
      </c>
      <c r="C98" s="5" t="s">
        <v>950</v>
      </c>
      <c r="D98" s="1" t="s">
        <v>762</v>
      </c>
    </row>
    <row r="99">
      <c r="A99" s="5" t="s">
        <v>257</v>
      </c>
      <c r="B99" s="5" t="s">
        <v>1038</v>
      </c>
      <c r="C99" s="5" t="s">
        <v>985</v>
      </c>
      <c r="D99" s="1" t="s">
        <v>256</v>
      </c>
    </row>
    <row r="100">
      <c r="A100" s="5" t="s">
        <v>504</v>
      </c>
      <c r="B100" s="5" t="s">
        <v>1090</v>
      </c>
      <c r="C100" s="5" t="s">
        <v>996</v>
      </c>
      <c r="D100" s="1" t="s">
        <v>502</v>
      </c>
    </row>
    <row r="101">
      <c r="A101" s="2" t="s">
        <v>188</v>
      </c>
      <c r="B101" s="5" t="s">
        <v>1013</v>
      </c>
      <c r="C101" s="5" t="s">
        <v>940</v>
      </c>
      <c r="D101" s="1" t="s">
        <v>187</v>
      </c>
    </row>
    <row r="102">
      <c r="A102" s="2" t="s">
        <v>209</v>
      </c>
      <c r="B102" s="5" t="s">
        <v>1001</v>
      </c>
      <c r="C102" s="5" t="s">
        <v>946</v>
      </c>
      <c r="D102" s="1" t="s">
        <v>208</v>
      </c>
    </row>
    <row r="103">
      <c r="A103" s="5" t="s">
        <v>649</v>
      </c>
      <c r="B103" s="5" t="s">
        <v>1203</v>
      </c>
      <c r="C103" s="5" t="s">
        <v>944</v>
      </c>
      <c r="D103" s="1" t="s">
        <v>648</v>
      </c>
    </row>
    <row r="104">
      <c r="A104" s="5" t="s">
        <v>262</v>
      </c>
      <c r="B104" s="5" t="s">
        <v>1017</v>
      </c>
      <c r="C104" s="5" t="s">
        <v>974</v>
      </c>
      <c r="D104" s="1" t="s">
        <v>261</v>
      </c>
    </row>
    <row r="105">
      <c r="A105" s="5" t="s">
        <v>657</v>
      </c>
      <c r="B105" s="5" t="s">
        <v>1166</v>
      </c>
      <c r="C105" s="5" t="s">
        <v>996</v>
      </c>
      <c r="D105" s="1" t="s">
        <v>656</v>
      </c>
    </row>
    <row r="106">
      <c r="A106" s="5" t="s">
        <v>407</v>
      </c>
      <c r="B106" s="5" t="s">
        <v>1120</v>
      </c>
      <c r="C106" s="5" t="s">
        <v>963</v>
      </c>
      <c r="D106" s="1" t="s">
        <v>405</v>
      </c>
    </row>
    <row r="107">
      <c r="A107" s="5" t="s">
        <v>313</v>
      </c>
      <c r="B107" s="5" t="s">
        <v>1051</v>
      </c>
      <c r="C107" s="5" t="s">
        <v>944</v>
      </c>
      <c r="D107" s="1" t="s">
        <v>311</v>
      </c>
    </row>
    <row r="108">
      <c r="A108" s="5" t="s">
        <v>507</v>
      </c>
      <c r="B108" s="5" t="s">
        <v>1076</v>
      </c>
      <c r="C108" s="5" t="s">
        <v>942</v>
      </c>
      <c r="D108" s="1" t="s">
        <v>506</v>
      </c>
    </row>
    <row r="109">
      <c r="A109" s="5" t="s">
        <v>554</v>
      </c>
      <c r="B109" s="5" t="s">
        <v>553</v>
      </c>
      <c r="C109" s="5" t="s">
        <v>935</v>
      </c>
      <c r="D109" s="1" t="s">
        <v>552</v>
      </c>
    </row>
    <row r="110">
      <c r="A110" s="5" t="s">
        <v>396</v>
      </c>
      <c r="B110" s="5" t="s">
        <v>1123</v>
      </c>
      <c r="C110" s="5" t="s">
        <v>1009</v>
      </c>
      <c r="D110" s="1" t="s">
        <v>395</v>
      </c>
    </row>
    <row r="111">
      <c r="A111" s="5" t="s">
        <v>300</v>
      </c>
      <c r="B111" s="5" t="s">
        <v>1036</v>
      </c>
      <c r="C111" s="5" t="s">
        <v>929</v>
      </c>
      <c r="D111" s="1" t="s">
        <v>299</v>
      </c>
    </row>
    <row r="112">
      <c r="A112" s="5" t="s">
        <v>149</v>
      </c>
      <c r="B112" s="5" t="s">
        <v>972</v>
      </c>
      <c r="C112" s="5" t="s">
        <v>967</v>
      </c>
      <c r="D112" s="1" t="s">
        <v>148</v>
      </c>
    </row>
    <row r="113">
      <c r="A113" s="5" t="s">
        <v>227</v>
      </c>
      <c r="B113" s="5" t="s">
        <v>945</v>
      </c>
      <c r="C113" s="5" t="s">
        <v>946</v>
      </c>
      <c r="D113" s="1" t="s">
        <v>226</v>
      </c>
    </row>
    <row r="114">
      <c r="A114" s="5" t="s">
        <v>329</v>
      </c>
      <c r="B114" s="5" t="s">
        <v>1045</v>
      </c>
      <c r="C114" s="5" t="s">
        <v>963</v>
      </c>
      <c r="D114" s="1" t="s">
        <v>327</v>
      </c>
    </row>
    <row r="115">
      <c r="A115" s="5" t="s">
        <v>292</v>
      </c>
      <c r="B115" s="5" t="s">
        <v>1033</v>
      </c>
      <c r="C115" s="5" t="s">
        <v>985</v>
      </c>
      <c r="D115" s="1" t="s">
        <v>291</v>
      </c>
    </row>
    <row r="116">
      <c r="A116" s="5" t="s">
        <v>805</v>
      </c>
      <c r="B116" s="5" t="s">
        <v>1115</v>
      </c>
      <c r="C116" s="5" t="s">
        <v>938</v>
      </c>
      <c r="D116" s="1" t="s">
        <v>804</v>
      </c>
    </row>
    <row r="117">
      <c r="A117" s="5" t="s">
        <v>688</v>
      </c>
      <c r="B117" s="5" t="s">
        <v>1142</v>
      </c>
      <c r="C117" s="5" t="s">
        <v>948</v>
      </c>
      <c r="D117" s="1" t="s">
        <v>687</v>
      </c>
    </row>
    <row r="118">
      <c r="A118" s="2" t="s">
        <v>876</v>
      </c>
      <c r="B118" s="2" t="s">
        <v>1189</v>
      </c>
      <c r="C118" s="5" t="s">
        <v>988</v>
      </c>
      <c r="D118" s="1" t="s">
        <v>875</v>
      </c>
    </row>
    <row r="119">
      <c r="A119" s="5" t="s">
        <v>705</v>
      </c>
      <c r="B119" s="5" t="s">
        <v>1114</v>
      </c>
      <c r="C119" s="5" t="s">
        <v>976</v>
      </c>
      <c r="D119" s="1" t="s">
        <v>704</v>
      </c>
    </row>
    <row r="120">
      <c r="A120" s="5" t="s">
        <v>561</v>
      </c>
      <c r="B120" s="5" t="s">
        <v>1155</v>
      </c>
      <c r="C120" s="5" t="s">
        <v>950</v>
      </c>
      <c r="D120" s="1" t="s">
        <v>559</v>
      </c>
    </row>
    <row r="121">
      <c r="A121" s="5" t="s">
        <v>541</v>
      </c>
      <c r="B121" s="5" t="s">
        <v>1154</v>
      </c>
      <c r="C121" s="5" t="s">
        <v>967</v>
      </c>
      <c r="D121" s="1" t="s">
        <v>540</v>
      </c>
    </row>
    <row r="122">
      <c r="A122" s="2" t="s">
        <v>673</v>
      </c>
      <c r="B122" s="5" t="s">
        <v>1148</v>
      </c>
      <c r="C122" s="5" t="s">
        <v>1007</v>
      </c>
      <c r="D122" s="1" t="s">
        <v>672</v>
      </c>
    </row>
    <row r="123">
      <c r="A123" s="5" t="s">
        <v>533</v>
      </c>
      <c r="B123" s="5" t="s">
        <v>1113</v>
      </c>
      <c r="C123" s="5" t="s">
        <v>933</v>
      </c>
      <c r="D123" s="1" t="s">
        <v>531</v>
      </c>
    </row>
    <row r="124">
      <c r="A124" s="5" t="s">
        <v>837</v>
      </c>
      <c r="B124" s="5" t="s">
        <v>1131</v>
      </c>
      <c r="C124" s="5" t="s">
        <v>996</v>
      </c>
      <c r="D124" s="1" t="s">
        <v>836</v>
      </c>
    </row>
    <row r="125">
      <c r="A125" s="2" t="s">
        <v>910</v>
      </c>
      <c r="B125" s="2" t="s">
        <v>1200</v>
      </c>
      <c r="C125" s="5" t="s">
        <v>992</v>
      </c>
      <c r="D125" s="1" t="s">
        <v>909</v>
      </c>
    </row>
    <row r="126">
      <c r="A126" s="5" t="s">
        <v>843</v>
      </c>
      <c r="B126" s="5" t="s">
        <v>1210</v>
      </c>
      <c r="C126" s="5" t="s">
        <v>1009</v>
      </c>
      <c r="D126" s="1" t="s">
        <v>841</v>
      </c>
    </row>
    <row r="127">
      <c r="A127" s="5" t="s">
        <v>745</v>
      </c>
      <c r="B127" s="5" t="s">
        <v>1141</v>
      </c>
      <c r="C127" s="5" t="s">
        <v>980</v>
      </c>
      <c r="D127" s="1" t="s">
        <v>744</v>
      </c>
    </row>
    <row r="128">
      <c r="A128" s="2" t="s">
        <v>858</v>
      </c>
      <c r="B128" s="2" t="s">
        <v>1184</v>
      </c>
      <c r="C128" s="5" t="s">
        <v>961</v>
      </c>
      <c r="D128" s="1" t="s">
        <v>857</v>
      </c>
    </row>
    <row r="129">
      <c r="A129" s="5" t="s">
        <v>783</v>
      </c>
      <c r="B129" s="5" t="s">
        <v>1111</v>
      </c>
      <c r="C129" s="5" t="s">
        <v>935</v>
      </c>
      <c r="D129" s="1" t="s">
        <v>782</v>
      </c>
    </row>
    <row r="130">
      <c r="A130" s="5" t="s">
        <v>860</v>
      </c>
      <c r="B130" s="5" t="s">
        <v>1228</v>
      </c>
      <c r="C130" s="5" t="s">
        <v>948</v>
      </c>
      <c r="D130" s="1" t="s">
        <v>859</v>
      </c>
    </row>
    <row r="131">
      <c r="A131" s="5" t="s">
        <v>142</v>
      </c>
      <c r="B131" s="5" t="s">
        <v>1047</v>
      </c>
      <c r="C131" s="5" t="s">
        <v>933</v>
      </c>
      <c r="D131" s="1" t="s">
        <v>141</v>
      </c>
    </row>
    <row r="132">
      <c r="A132" s="5" t="s">
        <v>217</v>
      </c>
      <c r="B132" s="5" t="s">
        <v>1049</v>
      </c>
      <c r="C132" s="5" t="s">
        <v>1007</v>
      </c>
      <c r="D132" s="1" t="s">
        <v>216</v>
      </c>
    </row>
    <row r="133">
      <c r="A133" s="5" t="s">
        <v>67</v>
      </c>
      <c r="B133" s="5" t="s">
        <v>956</v>
      </c>
      <c r="C133" s="5" t="s">
        <v>935</v>
      </c>
      <c r="D133" s="1" t="s">
        <v>65</v>
      </c>
    </row>
    <row r="134">
      <c r="A134" s="2" t="s">
        <v>798</v>
      </c>
      <c r="B134" s="2" t="s">
        <v>1180</v>
      </c>
      <c r="C134" s="5" t="s">
        <v>942</v>
      </c>
      <c r="D134" s="1" t="s">
        <v>796</v>
      </c>
    </row>
    <row r="135">
      <c r="A135" s="5" t="s">
        <v>389</v>
      </c>
      <c r="B135" s="5" t="s">
        <v>1055</v>
      </c>
      <c r="C135" s="5" t="s">
        <v>1016</v>
      </c>
      <c r="D135" s="1" t="s">
        <v>388</v>
      </c>
    </row>
    <row r="136">
      <c r="A136" s="5" t="s">
        <v>113</v>
      </c>
      <c r="B136" s="5" t="s">
        <v>1018</v>
      </c>
      <c r="C136" s="5" t="s">
        <v>965</v>
      </c>
      <c r="D136" s="1" t="s">
        <v>111</v>
      </c>
    </row>
    <row r="137">
      <c r="A137" s="5" t="s">
        <v>609</v>
      </c>
      <c r="B137" s="5" t="s">
        <v>1129</v>
      </c>
      <c r="C137" s="5" t="s">
        <v>931</v>
      </c>
      <c r="D137" s="1" t="s">
        <v>607</v>
      </c>
    </row>
    <row r="138">
      <c r="A138" s="5" t="s">
        <v>890</v>
      </c>
      <c r="B138" s="5" t="s">
        <v>1229</v>
      </c>
      <c r="C138" s="5" t="s">
        <v>952</v>
      </c>
      <c r="D138" s="1" t="s">
        <v>889</v>
      </c>
    </row>
    <row r="139">
      <c r="A139" s="5" t="s">
        <v>587</v>
      </c>
      <c r="B139" s="5" t="s">
        <v>1158</v>
      </c>
      <c r="C139" s="5" t="s">
        <v>963</v>
      </c>
      <c r="D139" s="1" t="s">
        <v>586</v>
      </c>
    </row>
    <row r="140">
      <c r="A140" s="5" t="s">
        <v>415</v>
      </c>
      <c r="B140" s="5" t="s">
        <v>1077</v>
      </c>
      <c r="C140" s="5" t="s">
        <v>980</v>
      </c>
      <c r="D140" s="1" t="s">
        <v>413</v>
      </c>
    </row>
    <row r="141">
      <c r="A141" s="5" t="s">
        <v>264</v>
      </c>
      <c r="B141" s="5" t="s">
        <v>930</v>
      </c>
      <c r="C141" s="5" t="s">
        <v>931</v>
      </c>
      <c r="D141" s="1" t="s">
        <v>263</v>
      </c>
    </row>
    <row r="142">
      <c r="A142" s="5" t="s">
        <v>779</v>
      </c>
      <c r="B142" s="5" t="s">
        <v>1211</v>
      </c>
      <c r="C142" s="5" t="s">
        <v>948</v>
      </c>
      <c r="D142" s="1" t="s">
        <v>777</v>
      </c>
    </row>
    <row r="143">
      <c r="A143" s="5" t="s">
        <v>468</v>
      </c>
      <c r="B143" s="5" t="s">
        <v>1138</v>
      </c>
      <c r="C143" s="5" t="s">
        <v>983</v>
      </c>
      <c r="D143" s="1" t="s">
        <v>467</v>
      </c>
    </row>
    <row r="144">
      <c r="A144" s="5" t="s">
        <v>98</v>
      </c>
      <c r="B144" s="5" t="s">
        <v>1050</v>
      </c>
      <c r="C144" s="5" t="s">
        <v>1040</v>
      </c>
      <c r="D144" s="1" t="s">
        <v>97</v>
      </c>
    </row>
    <row r="145">
      <c r="A145" s="5" t="s">
        <v>249</v>
      </c>
      <c r="B145" s="5" t="s">
        <v>1057</v>
      </c>
      <c r="C145" s="5" t="s">
        <v>929</v>
      </c>
      <c r="D145" s="1" t="s">
        <v>248</v>
      </c>
    </row>
    <row r="146">
      <c r="A146" s="5" t="s">
        <v>545</v>
      </c>
      <c r="B146" s="5" t="s">
        <v>1098</v>
      </c>
      <c r="C146" s="5" t="s">
        <v>965</v>
      </c>
      <c r="D146" s="1" t="s">
        <v>543</v>
      </c>
    </row>
    <row r="147">
      <c r="A147" s="5" t="s">
        <v>290</v>
      </c>
      <c r="B147" s="5" t="s">
        <v>964</v>
      </c>
      <c r="C147" s="5" t="s">
        <v>965</v>
      </c>
      <c r="D147" s="1" t="s">
        <v>289</v>
      </c>
    </row>
    <row r="148">
      <c r="A148" s="5" t="s">
        <v>520</v>
      </c>
      <c r="B148" s="5" t="s">
        <v>1110</v>
      </c>
      <c r="C148" s="5" t="s">
        <v>946</v>
      </c>
      <c r="D148" s="1" t="s">
        <v>518</v>
      </c>
    </row>
    <row r="149">
      <c r="A149" s="5" t="s">
        <v>548</v>
      </c>
      <c r="B149" s="5" t="s">
        <v>1117</v>
      </c>
      <c r="C149" s="5" t="s">
        <v>954</v>
      </c>
      <c r="D149" s="1" t="s">
        <v>546</v>
      </c>
    </row>
    <row r="150">
      <c r="A150" s="5" t="s">
        <v>260</v>
      </c>
      <c r="B150" s="5" t="s">
        <v>1059</v>
      </c>
      <c r="C150" s="5" t="s">
        <v>976</v>
      </c>
      <c r="D150" s="1" t="s">
        <v>259</v>
      </c>
    </row>
    <row r="151">
      <c r="A151" s="5" t="s">
        <v>403</v>
      </c>
      <c r="B151" s="5" t="s">
        <v>1060</v>
      </c>
      <c r="C151" s="5" t="s">
        <v>946</v>
      </c>
      <c r="D151" s="1" t="s">
        <v>402</v>
      </c>
    </row>
    <row r="152">
      <c r="A152" s="5" t="s">
        <v>680</v>
      </c>
      <c r="B152" s="5" t="s">
        <v>1222</v>
      </c>
      <c r="C152" s="5" t="s">
        <v>988</v>
      </c>
      <c r="D152" s="1" t="s">
        <v>678</v>
      </c>
    </row>
    <row r="153">
      <c r="A153" s="5" t="s">
        <v>202</v>
      </c>
      <c r="B153" s="5" t="s">
        <v>1000</v>
      </c>
      <c r="C153" s="5" t="s">
        <v>954</v>
      </c>
      <c r="D153" s="1" t="s">
        <v>200</v>
      </c>
    </row>
    <row r="154">
      <c r="A154" s="5" t="s">
        <v>422</v>
      </c>
      <c r="B154" s="5" t="s">
        <v>1112</v>
      </c>
      <c r="C154" s="5" t="s">
        <v>985</v>
      </c>
      <c r="D154" s="1" t="s">
        <v>421</v>
      </c>
    </row>
    <row r="155">
      <c r="A155" s="5" t="s">
        <v>440</v>
      </c>
      <c r="B155" s="5" t="s">
        <v>1133</v>
      </c>
      <c r="C155" s="5" t="s">
        <v>954</v>
      </c>
      <c r="D155" s="1" t="s">
        <v>438</v>
      </c>
    </row>
    <row r="156">
      <c r="A156" s="5" t="s">
        <v>426</v>
      </c>
      <c r="B156" s="5" t="s">
        <v>1122</v>
      </c>
      <c r="C156" s="5" t="s">
        <v>933</v>
      </c>
      <c r="D156" s="1" t="s">
        <v>424</v>
      </c>
    </row>
    <row r="157">
      <c r="A157" s="5" t="s">
        <v>558</v>
      </c>
      <c r="B157" s="5" t="s">
        <v>1227</v>
      </c>
      <c r="C157" s="5" t="s">
        <v>944</v>
      </c>
      <c r="D157" s="1" t="s">
        <v>556</v>
      </c>
    </row>
    <row r="158">
      <c r="A158" s="5" t="s">
        <v>246</v>
      </c>
      <c r="B158" s="5" t="s">
        <v>1034</v>
      </c>
      <c r="C158" s="5" t="s">
        <v>976</v>
      </c>
      <c r="D158" s="1" t="s">
        <v>245</v>
      </c>
    </row>
    <row r="159">
      <c r="A159" s="5" t="s">
        <v>194</v>
      </c>
      <c r="B159" s="5" t="s">
        <v>1002</v>
      </c>
      <c r="C159" s="5" t="s">
        <v>980</v>
      </c>
      <c r="D159" s="1" t="s">
        <v>193</v>
      </c>
    </row>
    <row r="160">
      <c r="A160" s="5" t="s">
        <v>207</v>
      </c>
      <c r="B160" s="5" t="s">
        <v>934</v>
      </c>
      <c r="C160" s="5" t="s">
        <v>935</v>
      </c>
      <c r="D160" s="1" t="s">
        <v>206</v>
      </c>
    </row>
    <row r="161">
      <c r="A161" s="5" t="s">
        <v>55</v>
      </c>
      <c r="B161" s="5" t="s">
        <v>1027</v>
      </c>
      <c r="C161" s="5" t="s">
        <v>935</v>
      </c>
      <c r="D161" s="1" t="s">
        <v>53</v>
      </c>
    </row>
    <row r="162">
      <c r="A162" s="5" t="s">
        <v>665</v>
      </c>
      <c r="B162" s="5" t="s">
        <v>1167</v>
      </c>
      <c r="C162" s="5" t="s">
        <v>1016</v>
      </c>
      <c r="D162" s="1" t="s">
        <v>663</v>
      </c>
    </row>
    <row r="163">
      <c r="A163" s="5" t="s">
        <v>708</v>
      </c>
      <c r="B163" s="5" t="s">
        <v>1215</v>
      </c>
      <c r="C163" s="5" t="s">
        <v>992</v>
      </c>
      <c r="D163" s="1" t="s">
        <v>707</v>
      </c>
    </row>
    <row r="164">
      <c r="A164" s="5" t="s">
        <v>539</v>
      </c>
      <c r="B164" s="5" t="s">
        <v>1183</v>
      </c>
      <c r="C164" s="5" t="s">
        <v>996</v>
      </c>
      <c r="D164" s="1" t="s">
        <v>538</v>
      </c>
    </row>
    <row r="165">
      <c r="A165" s="5" t="s">
        <v>51</v>
      </c>
      <c r="B165" s="5" t="s">
        <v>1004</v>
      </c>
      <c r="C165" s="5" t="s">
        <v>961</v>
      </c>
      <c r="D165" s="1" t="s">
        <v>49</v>
      </c>
    </row>
    <row r="166">
      <c r="A166" s="5" t="s">
        <v>317</v>
      </c>
      <c r="B166" s="5" t="s">
        <v>1043</v>
      </c>
      <c r="C166" s="5" t="s">
        <v>950</v>
      </c>
      <c r="D166" s="1" t="s">
        <v>315</v>
      </c>
    </row>
    <row r="167">
      <c r="A167" s="5" t="s">
        <v>344</v>
      </c>
      <c r="B167" s="5" t="s">
        <v>987</v>
      </c>
      <c r="C167" s="5" t="s">
        <v>988</v>
      </c>
      <c r="D167" s="1" t="s">
        <v>342</v>
      </c>
    </row>
    <row r="168">
      <c r="A168" s="5" t="s">
        <v>251</v>
      </c>
      <c r="B168" s="5" t="s">
        <v>928</v>
      </c>
      <c r="C168" s="5" t="s">
        <v>929</v>
      </c>
      <c r="D168" s="1" t="s">
        <v>250</v>
      </c>
    </row>
    <row r="169">
      <c r="A169" s="5" t="s">
        <v>43</v>
      </c>
      <c r="B169" s="5" t="s">
        <v>999</v>
      </c>
      <c r="C169" s="5" t="s">
        <v>980</v>
      </c>
      <c r="D169" s="1" t="s">
        <v>41</v>
      </c>
    </row>
    <row r="170">
      <c r="A170" s="2" t="s">
        <v>817</v>
      </c>
      <c r="B170" s="5" t="s">
        <v>1231</v>
      </c>
      <c r="C170" s="5" t="s">
        <v>965</v>
      </c>
      <c r="D170" s="1" t="s">
        <v>816</v>
      </c>
    </row>
    <row r="171">
      <c r="A171" s="5" t="s">
        <v>846</v>
      </c>
      <c r="B171" s="5" t="s">
        <v>1237</v>
      </c>
      <c r="C171" s="5" t="s">
        <v>938</v>
      </c>
      <c r="D171" s="1" t="s">
        <v>845</v>
      </c>
    </row>
    <row r="172">
      <c r="A172" s="5" t="s">
        <v>358</v>
      </c>
      <c r="B172" s="5" t="s">
        <v>1072</v>
      </c>
      <c r="C172" s="5" t="s">
        <v>1009</v>
      </c>
      <c r="D172" s="1" t="s">
        <v>357</v>
      </c>
    </row>
    <row r="173">
      <c r="A173" s="2" t="s">
        <v>222</v>
      </c>
      <c r="B173" s="5" t="s">
        <v>939</v>
      </c>
      <c r="C173" s="5" t="s">
        <v>940</v>
      </c>
      <c r="D173" s="1" t="s">
        <v>220</v>
      </c>
    </row>
    <row r="174">
      <c r="A174" s="5" t="s">
        <v>219</v>
      </c>
      <c r="B174" s="5" t="s">
        <v>937</v>
      </c>
      <c r="C174" s="5" t="s">
        <v>938</v>
      </c>
      <c r="D174" s="1" t="s">
        <v>218</v>
      </c>
    </row>
    <row r="175">
      <c r="A175" s="5" t="s">
        <v>95</v>
      </c>
      <c r="B175" s="5" t="s">
        <v>949</v>
      </c>
      <c r="C175" s="5" t="s">
        <v>950</v>
      </c>
      <c r="D175" s="1" t="s">
        <v>94</v>
      </c>
    </row>
    <row r="176">
      <c r="A176" s="5" t="s">
        <v>517</v>
      </c>
      <c r="B176" s="5" t="s">
        <v>599</v>
      </c>
      <c r="C176" s="5" t="s">
        <v>1007</v>
      </c>
      <c r="D176" s="1" t="s">
        <v>514</v>
      </c>
    </row>
    <row r="177">
      <c r="A177" s="5" t="s">
        <v>757</v>
      </c>
      <c r="B177" s="5" t="s">
        <v>1116</v>
      </c>
      <c r="C177" s="5" t="s">
        <v>983</v>
      </c>
      <c r="D177" s="1" t="s">
        <v>756</v>
      </c>
    </row>
    <row r="178">
      <c r="A178" s="5" t="s">
        <v>536</v>
      </c>
      <c r="B178" s="5" t="s">
        <v>1107</v>
      </c>
      <c r="C178" s="5" t="s">
        <v>950</v>
      </c>
      <c r="D178" s="1" t="s">
        <v>535</v>
      </c>
    </row>
    <row r="179">
      <c r="A179" s="5" t="s">
        <v>670</v>
      </c>
      <c r="B179" s="5" t="s">
        <v>1168</v>
      </c>
      <c r="C179" s="5" t="s">
        <v>992</v>
      </c>
      <c r="D179" s="1" t="s">
        <v>669</v>
      </c>
    </row>
    <row r="180">
      <c r="A180" s="5" t="s">
        <v>386</v>
      </c>
      <c r="B180" s="5" t="s">
        <v>1064</v>
      </c>
      <c r="C180" s="5" t="s">
        <v>933</v>
      </c>
      <c r="D180" s="1" t="s">
        <v>384</v>
      </c>
    </row>
    <row r="181">
      <c r="A181" s="2" t="s">
        <v>781</v>
      </c>
      <c r="B181" s="2" t="s">
        <v>1177</v>
      </c>
      <c r="C181" s="5" t="s">
        <v>933</v>
      </c>
      <c r="D181" s="1" t="s">
        <v>780</v>
      </c>
    </row>
    <row r="182">
      <c r="A182" s="5" t="s">
        <v>727</v>
      </c>
      <c r="B182" s="5" t="s">
        <v>1244</v>
      </c>
      <c r="C182" s="5" t="s">
        <v>1040</v>
      </c>
      <c r="D182" s="1" t="s">
        <v>726</v>
      </c>
    </row>
    <row r="183">
      <c r="A183" s="5" t="s">
        <v>139</v>
      </c>
      <c r="B183" s="5" t="s">
        <v>1019</v>
      </c>
      <c r="C183" s="5" t="s">
        <v>938</v>
      </c>
      <c r="D183" s="1" t="s">
        <v>137</v>
      </c>
    </row>
    <row r="184">
      <c r="A184" s="5" t="s">
        <v>530</v>
      </c>
      <c r="B184" s="5" t="s">
        <v>1136</v>
      </c>
      <c r="C184" s="5" t="s">
        <v>983</v>
      </c>
      <c r="D184" s="1" t="s">
        <v>528</v>
      </c>
    </row>
    <row r="185">
      <c r="A185" s="5" t="s">
        <v>810</v>
      </c>
      <c r="B185" s="5" t="s">
        <v>1230</v>
      </c>
      <c r="C185" s="5" t="s">
        <v>1009</v>
      </c>
      <c r="D185" s="1" t="s">
        <v>809</v>
      </c>
    </row>
    <row r="186">
      <c r="A186" s="5" t="s">
        <v>510</v>
      </c>
      <c r="B186" s="5" t="s">
        <v>1122</v>
      </c>
      <c r="C186" s="5" t="s">
        <v>931</v>
      </c>
      <c r="D186" s="1" t="s">
        <v>509</v>
      </c>
    </row>
    <row r="187">
      <c r="A187" s="5" t="s">
        <v>128</v>
      </c>
      <c r="B187" s="5" t="s">
        <v>1022</v>
      </c>
      <c r="C187" s="5" t="s">
        <v>946</v>
      </c>
      <c r="D187" s="1" t="s">
        <v>126</v>
      </c>
    </row>
    <row r="188">
      <c r="A188" s="5" t="s">
        <v>334</v>
      </c>
      <c r="B188" s="5" t="s">
        <v>984</v>
      </c>
      <c r="C188" s="5" t="s">
        <v>985</v>
      </c>
      <c r="D188" s="1" t="s">
        <v>332</v>
      </c>
    </row>
    <row r="189">
      <c r="A189" s="5" t="s">
        <v>225</v>
      </c>
      <c r="B189" s="5" t="s">
        <v>1061</v>
      </c>
      <c r="C189" s="5" t="s">
        <v>940</v>
      </c>
      <c r="D189" s="1" t="s">
        <v>224</v>
      </c>
    </row>
    <row r="190">
      <c r="A190" s="5" t="s">
        <v>655</v>
      </c>
      <c r="B190" s="5" t="s">
        <v>1204</v>
      </c>
      <c r="C190" s="5" t="s">
        <v>929</v>
      </c>
      <c r="D190" s="1" t="s">
        <v>654</v>
      </c>
    </row>
    <row r="191">
      <c r="A191" s="5" t="s">
        <v>237</v>
      </c>
      <c r="B191" s="5" t="s">
        <v>959</v>
      </c>
      <c r="C191" s="5" t="s">
        <v>950</v>
      </c>
      <c r="D191" s="1" t="s">
        <v>236</v>
      </c>
    </row>
    <row r="192">
      <c r="A192" s="5" t="s">
        <v>433</v>
      </c>
      <c r="B192" s="5" t="s">
        <v>1056</v>
      </c>
      <c r="C192" s="5" t="s">
        <v>974</v>
      </c>
      <c r="D192" s="1" t="s">
        <v>432</v>
      </c>
    </row>
    <row r="193">
      <c r="A193" s="5" t="s">
        <v>878</v>
      </c>
      <c r="B193" s="5" t="s">
        <v>1195</v>
      </c>
      <c r="C193" s="5" t="s">
        <v>1024</v>
      </c>
      <c r="D193" s="1" t="s">
        <v>877</v>
      </c>
    </row>
    <row r="194">
      <c r="A194" s="5" t="s">
        <v>352</v>
      </c>
      <c r="B194" s="5" t="s">
        <v>1046</v>
      </c>
      <c r="C194" s="5" t="s">
        <v>1040</v>
      </c>
      <c r="D194" s="1" t="s">
        <v>350</v>
      </c>
    </row>
    <row r="195">
      <c r="A195" s="5" t="s">
        <v>458</v>
      </c>
      <c r="B195" s="5" t="s">
        <v>1118</v>
      </c>
      <c r="C195" s="5" t="s">
        <v>958</v>
      </c>
      <c r="D195" s="1" t="s">
        <v>456</v>
      </c>
    </row>
    <row r="196">
      <c r="A196" s="5" t="s">
        <v>211</v>
      </c>
      <c r="B196" s="5" t="s">
        <v>936</v>
      </c>
      <c r="C196" s="5" t="s">
        <v>1007</v>
      </c>
      <c r="D196" s="1" t="s">
        <v>210</v>
      </c>
    </row>
    <row r="197">
      <c r="A197" s="2" t="s">
        <v>918</v>
      </c>
      <c r="B197" s="2" t="s">
        <v>1213</v>
      </c>
      <c r="C197" s="5" t="s">
        <v>980</v>
      </c>
      <c r="D197" s="1" t="s">
        <v>917</v>
      </c>
    </row>
    <row r="198">
      <c r="A198" s="2" t="s">
        <v>865</v>
      </c>
      <c r="B198" s="2" t="s">
        <v>1186</v>
      </c>
      <c r="C198" s="5" t="s">
        <v>938</v>
      </c>
      <c r="D198" s="1" t="s">
        <v>863</v>
      </c>
    </row>
    <row r="199">
      <c r="A199" s="2" t="s">
        <v>912</v>
      </c>
      <c r="B199" s="2" t="s">
        <v>1201</v>
      </c>
      <c r="C199" s="5" t="s">
        <v>958</v>
      </c>
      <c r="D199" s="1" t="s">
        <v>911</v>
      </c>
    </row>
    <row r="200">
      <c r="A200" s="5" t="s">
        <v>903</v>
      </c>
      <c r="B200" s="5" t="s">
        <v>1224</v>
      </c>
      <c r="C200" s="5" t="s">
        <v>988</v>
      </c>
      <c r="D200" s="1" t="s">
        <v>902</v>
      </c>
    </row>
    <row r="201">
      <c r="A201" s="5" t="s">
        <v>331</v>
      </c>
      <c r="B201" s="5" t="s">
        <v>1151</v>
      </c>
      <c r="C201" s="5" t="s">
        <v>1009</v>
      </c>
      <c r="D201" s="1" t="s">
        <v>330</v>
      </c>
    </row>
    <row r="202">
      <c r="A202" s="5" t="s">
        <v>832</v>
      </c>
      <c r="B202" s="5" t="s">
        <v>1235</v>
      </c>
      <c r="C202" s="5" t="s">
        <v>974</v>
      </c>
      <c r="D202" s="1" t="s">
        <v>830</v>
      </c>
    </row>
    <row r="203">
      <c r="A203" s="5" t="s">
        <v>277</v>
      </c>
      <c r="B203" s="5" t="s">
        <v>1006</v>
      </c>
      <c r="C203" s="5" t="s">
        <v>1007</v>
      </c>
      <c r="D203" s="1" t="s">
        <v>276</v>
      </c>
    </row>
    <row r="204">
      <c r="A204" s="5" t="s">
        <v>718</v>
      </c>
      <c r="B204" s="5" t="s">
        <v>1137</v>
      </c>
      <c r="C204" s="5" t="s">
        <v>933</v>
      </c>
      <c r="D204" s="1" t="s">
        <v>716</v>
      </c>
    </row>
    <row r="205">
      <c r="A205" s="5" t="s">
        <v>214</v>
      </c>
      <c r="B205" s="5" t="s">
        <v>1039</v>
      </c>
      <c r="C205" s="5" t="s">
        <v>1040</v>
      </c>
      <c r="D205" s="1" t="s">
        <v>213</v>
      </c>
    </row>
    <row r="206">
      <c r="A206" s="5" t="s">
        <v>711</v>
      </c>
      <c r="B206" s="5" t="s">
        <v>1216</v>
      </c>
      <c r="C206" s="5" t="s">
        <v>965</v>
      </c>
      <c r="D206" s="1" t="s">
        <v>710</v>
      </c>
    </row>
    <row r="207">
      <c r="A207" s="5" t="s">
        <v>736</v>
      </c>
      <c r="B207" s="5" t="s">
        <v>1206</v>
      </c>
      <c r="C207" s="5" t="s">
        <v>976</v>
      </c>
      <c r="D207" s="1" t="s">
        <v>734</v>
      </c>
    </row>
    <row r="208">
      <c r="A208" s="5" t="s">
        <v>594</v>
      </c>
      <c r="B208" s="5" t="s">
        <v>1225</v>
      </c>
      <c r="C208" s="5" t="s">
        <v>948</v>
      </c>
      <c r="D208" s="1" t="s">
        <v>592</v>
      </c>
    </row>
    <row r="209">
      <c r="A209" s="5" t="s">
        <v>690</v>
      </c>
      <c r="B209" s="5" t="s">
        <v>1142</v>
      </c>
      <c r="C209" s="5" t="s">
        <v>961</v>
      </c>
      <c r="D209" s="1" t="s">
        <v>689</v>
      </c>
    </row>
    <row r="210">
      <c r="A210" s="5" t="s">
        <v>760</v>
      </c>
      <c r="B210" s="5" t="s">
        <v>1175</v>
      </c>
      <c r="C210" s="5" t="s">
        <v>1040</v>
      </c>
      <c r="D210" s="1" t="s">
        <v>758</v>
      </c>
    </row>
    <row r="211">
      <c r="A211" s="5" t="s">
        <v>239</v>
      </c>
      <c r="B211" s="5" t="s">
        <v>998</v>
      </c>
      <c r="C211" s="5" t="s">
        <v>958</v>
      </c>
      <c r="D211" s="1" t="s">
        <v>238</v>
      </c>
    </row>
    <row r="212">
      <c r="A212" s="5" t="s">
        <v>724</v>
      </c>
      <c r="B212" s="5" t="s">
        <v>1218</v>
      </c>
      <c r="C212" s="5" t="s">
        <v>967</v>
      </c>
      <c r="D212" s="1" t="s">
        <v>723</v>
      </c>
    </row>
    <row r="213">
      <c r="A213" s="2" t="s">
        <v>897</v>
      </c>
      <c r="B213" s="2" t="s">
        <v>1132</v>
      </c>
      <c r="C213" s="5" t="s">
        <v>954</v>
      </c>
      <c r="D213" s="1" t="s">
        <v>896</v>
      </c>
    </row>
    <row r="214">
      <c r="A214" s="5" t="s">
        <v>472</v>
      </c>
      <c r="B214" s="5" t="s">
        <v>1089</v>
      </c>
      <c r="C214" s="5" t="s">
        <v>952</v>
      </c>
      <c r="D214" s="1" t="s">
        <v>470</v>
      </c>
    </row>
    <row r="215">
      <c r="A215" s="5" t="s">
        <v>834</v>
      </c>
      <c r="B215" s="5" t="s">
        <v>1209</v>
      </c>
      <c r="C215" s="5" t="s">
        <v>980</v>
      </c>
      <c r="D215" s="1" t="s">
        <v>833</v>
      </c>
    </row>
    <row r="216">
      <c r="A216" s="5" t="s">
        <v>285</v>
      </c>
      <c r="B216" s="5" t="s">
        <v>1029</v>
      </c>
      <c r="C216" s="5" t="s">
        <v>961</v>
      </c>
      <c r="D216" s="1" t="s">
        <v>284</v>
      </c>
    </row>
    <row r="217">
      <c r="A217" s="5" t="s">
        <v>372</v>
      </c>
      <c r="B217" s="5" t="s">
        <v>1074</v>
      </c>
      <c r="C217" s="5" t="s">
        <v>983</v>
      </c>
      <c r="D217" s="1" t="s">
        <v>370</v>
      </c>
    </row>
    <row r="218">
      <c r="A218" s="5" t="s">
        <v>871</v>
      </c>
      <c r="B218" s="5" t="s">
        <v>1232</v>
      </c>
      <c r="C218" s="5" t="s">
        <v>1040</v>
      </c>
      <c r="D218" s="1" t="s">
        <v>870</v>
      </c>
    </row>
    <row r="219">
      <c r="A219" s="5" t="s">
        <v>185</v>
      </c>
      <c r="B219" s="5" t="s">
        <v>1030</v>
      </c>
      <c r="C219" s="5" t="s">
        <v>1024</v>
      </c>
      <c r="D219" s="1" t="s">
        <v>184</v>
      </c>
    </row>
    <row r="220">
      <c r="A220" s="5" t="s">
        <v>899</v>
      </c>
      <c r="B220" s="5" t="s">
        <v>1140</v>
      </c>
      <c r="C220" s="5" t="s">
        <v>1009</v>
      </c>
      <c r="D220" s="1" t="s">
        <v>898</v>
      </c>
    </row>
    <row r="221">
      <c r="A221" s="5" t="s">
        <v>155</v>
      </c>
      <c r="B221" s="5" t="s">
        <v>1021</v>
      </c>
      <c r="C221" s="5" t="s">
        <v>938</v>
      </c>
      <c r="D221" s="1" t="s">
        <v>154</v>
      </c>
    </row>
    <row r="222">
      <c r="A222" s="5" t="s">
        <v>83</v>
      </c>
      <c r="B222" s="5" t="s">
        <v>1042</v>
      </c>
      <c r="C222" s="5" t="s">
        <v>996</v>
      </c>
      <c r="D222" s="1" t="s">
        <v>81</v>
      </c>
    </row>
    <row r="223">
      <c r="A223" s="2" t="s">
        <v>874</v>
      </c>
      <c r="B223" s="2" t="s">
        <v>1188</v>
      </c>
      <c r="C223" s="5" t="s">
        <v>950</v>
      </c>
      <c r="D223" s="1" t="s">
        <v>872</v>
      </c>
    </row>
    <row r="224">
      <c r="A224" s="5" t="s">
        <v>75</v>
      </c>
      <c r="B224" s="5" t="s">
        <v>1014</v>
      </c>
      <c r="C224" s="5" t="s">
        <v>985</v>
      </c>
      <c r="D224" s="1" t="s">
        <v>73</v>
      </c>
    </row>
    <row r="225">
      <c r="A225" s="2" t="s">
        <v>714</v>
      </c>
      <c r="B225" s="2" t="s">
        <v>1172</v>
      </c>
      <c r="C225" s="5" t="s">
        <v>1009</v>
      </c>
      <c r="D225" s="1" t="s">
        <v>712</v>
      </c>
    </row>
    <row r="226">
      <c r="A226" s="2" t="s">
        <v>823</v>
      </c>
      <c r="B226" s="2" t="s">
        <v>1104</v>
      </c>
      <c r="C226" s="5" t="s">
        <v>983</v>
      </c>
      <c r="D226" s="1" t="s">
        <v>822</v>
      </c>
    </row>
    <row r="227">
      <c r="A227" s="2" t="s">
        <v>795</v>
      </c>
      <c r="B227" s="2" t="s">
        <v>1180</v>
      </c>
      <c r="C227" s="5" t="s">
        <v>948</v>
      </c>
      <c r="D227" s="1" t="s">
        <v>794</v>
      </c>
    </row>
    <row r="228">
      <c r="A228" s="2" t="s">
        <v>819</v>
      </c>
      <c r="B228" s="2" t="s">
        <v>1103</v>
      </c>
      <c r="C228" s="5" t="s">
        <v>967</v>
      </c>
      <c r="D228" s="1" t="s">
        <v>818</v>
      </c>
    </row>
    <row r="229">
      <c r="A229" s="5" t="s">
        <v>22</v>
      </c>
      <c r="B229" s="5" t="s">
        <v>981</v>
      </c>
      <c r="C229" s="5" t="s">
        <v>944</v>
      </c>
      <c r="D229" s="1" t="s">
        <v>20</v>
      </c>
    </row>
    <row r="230">
      <c r="A230" s="5" t="s">
        <v>606</v>
      </c>
      <c r="B230" s="5" t="s">
        <v>1160</v>
      </c>
      <c r="C230" s="5" t="s">
        <v>1009</v>
      </c>
      <c r="D230" s="1" t="s">
        <v>604</v>
      </c>
    </row>
    <row r="231">
      <c r="A231" s="5" t="s">
        <v>436</v>
      </c>
      <c r="B231" s="5" t="s">
        <v>1080</v>
      </c>
      <c r="C231" s="5" t="s">
        <v>992</v>
      </c>
      <c r="D231" s="1" t="s">
        <v>435</v>
      </c>
    </row>
    <row r="232">
      <c r="A232" s="5" t="s">
        <v>885</v>
      </c>
      <c r="B232" s="5" t="s">
        <v>1135</v>
      </c>
      <c r="C232" s="5" t="s">
        <v>946</v>
      </c>
      <c r="D232" s="1" t="s">
        <v>884</v>
      </c>
    </row>
    <row r="233">
      <c r="A233" s="5" t="s">
        <v>430</v>
      </c>
      <c r="B233" s="5" t="s">
        <v>1093</v>
      </c>
      <c r="C233" s="5" t="s">
        <v>1007</v>
      </c>
      <c r="D233" s="1" t="s">
        <v>428</v>
      </c>
    </row>
    <row r="234">
      <c r="A234" s="5" t="s">
        <v>643</v>
      </c>
      <c r="B234" s="5" t="s">
        <v>1214</v>
      </c>
      <c r="C234" s="5" t="s">
        <v>948</v>
      </c>
      <c r="D234" s="1" t="s">
        <v>642</v>
      </c>
    </row>
    <row r="235">
      <c r="A235" s="5" t="s">
        <v>475</v>
      </c>
      <c r="B235" s="5" t="s">
        <v>1065</v>
      </c>
      <c r="C235" s="5" t="s">
        <v>985</v>
      </c>
      <c r="D235" s="1" t="s">
        <v>474</v>
      </c>
    </row>
    <row r="236">
      <c r="A236" s="5" t="s">
        <v>267</v>
      </c>
      <c r="B236" s="5" t="s">
        <v>932</v>
      </c>
      <c r="C236" s="5" t="s">
        <v>933</v>
      </c>
      <c r="D236" s="1" t="s">
        <v>265</v>
      </c>
    </row>
    <row r="237">
      <c r="A237" s="2" t="s">
        <v>662</v>
      </c>
      <c r="B237" s="2" t="s">
        <v>1079</v>
      </c>
      <c r="C237" s="5" t="s">
        <v>931</v>
      </c>
      <c r="D237" s="1" t="s">
        <v>661</v>
      </c>
    </row>
    <row r="238">
      <c r="A238" s="2" t="s">
        <v>825</v>
      </c>
      <c r="B238" s="2" t="s">
        <v>1181</v>
      </c>
      <c r="C238" s="5" t="s">
        <v>985</v>
      </c>
      <c r="D238" s="1" t="s">
        <v>824</v>
      </c>
    </row>
    <row r="239">
      <c r="A239" s="5" t="s">
        <v>751</v>
      </c>
      <c r="B239" s="5" t="s">
        <v>1221</v>
      </c>
      <c r="C239" s="5" t="s">
        <v>958</v>
      </c>
      <c r="D239" s="1" t="s">
        <v>750</v>
      </c>
    </row>
    <row r="240">
      <c r="A240" s="5" t="s">
        <v>380</v>
      </c>
      <c r="B240" s="5" t="s">
        <v>1054</v>
      </c>
      <c r="C240" s="5" t="s">
        <v>938</v>
      </c>
      <c r="D240" s="1" t="s">
        <v>378</v>
      </c>
    </row>
    <row r="241">
      <c r="A241" s="5" t="s">
        <v>254</v>
      </c>
      <c r="B241" s="5" t="s">
        <v>1068</v>
      </c>
      <c r="C241" s="5" t="s">
        <v>1024</v>
      </c>
      <c r="D241" s="1" t="s">
        <v>253</v>
      </c>
    </row>
    <row r="242">
      <c r="A242" s="5" t="s">
        <v>393</v>
      </c>
      <c r="B242" s="5" t="s">
        <v>1127</v>
      </c>
      <c r="C242" s="5" t="s">
        <v>954</v>
      </c>
      <c r="D242" s="1" t="s">
        <v>391</v>
      </c>
    </row>
    <row r="243">
      <c r="A243" s="5" t="s">
        <v>400</v>
      </c>
      <c r="B243" s="5" t="s">
        <v>1123</v>
      </c>
      <c r="C243" s="5" t="s">
        <v>931</v>
      </c>
      <c r="D243" s="1" t="s">
        <v>398</v>
      </c>
    </row>
    <row r="244">
      <c r="A244" s="5" t="s">
        <v>660</v>
      </c>
      <c r="B244" s="5" t="s">
        <v>1197</v>
      </c>
      <c r="C244" s="5" t="s">
        <v>933</v>
      </c>
      <c r="D244" s="1" t="s">
        <v>659</v>
      </c>
    </row>
    <row r="245">
      <c r="A245" s="5" t="s">
        <v>652</v>
      </c>
      <c r="B245" s="5" t="s">
        <v>1196</v>
      </c>
      <c r="C245" s="5" t="s">
        <v>983</v>
      </c>
      <c r="D245" s="1" t="s">
        <v>651</v>
      </c>
    </row>
    <row r="246">
      <c r="A246" s="5" t="s">
        <v>419</v>
      </c>
      <c r="B246" s="5" t="s">
        <v>1066</v>
      </c>
      <c r="C246" s="5" t="s">
        <v>1007</v>
      </c>
      <c r="D246" s="1" t="s">
        <v>417</v>
      </c>
    </row>
    <row r="247">
      <c r="A247" s="5" t="s">
        <v>63</v>
      </c>
      <c r="B247" s="5" t="s">
        <v>1008</v>
      </c>
      <c r="C247" s="5" t="s">
        <v>1009</v>
      </c>
      <c r="D247" s="1" t="s">
        <v>61</v>
      </c>
    </row>
    <row r="248">
      <c r="A248" s="5" t="s">
        <v>775</v>
      </c>
      <c r="B248" s="5" t="s">
        <v>1249</v>
      </c>
      <c r="C248" s="5" t="s">
        <v>952</v>
      </c>
      <c r="D248" s="1" t="s">
        <v>773</v>
      </c>
    </row>
    <row r="249">
      <c r="A249" s="5" t="s">
        <v>582</v>
      </c>
      <c r="B249" s="5" t="s">
        <v>1157</v>
      </c>
      <c r="C249" s="5" t="s">
        <v>965</v>
      </c>
      <c r="D249" s="1" t="s">
        <v>581</v>
      </c>
    </row>
    <row r="250">
      <c r="A250" s="2" t="s">
        <v>627</v>
      </c>
      <c r="B250" s="5" t="s">
        <v>1134</v>
      </c>
      <c r="C250" s="5" t="s">
        <v>992</v>
      </c>
      <c r="D250" s="1" t="s">
        <v>625</v>
      </c>
    </row>
    <row r="251">
      <c r="A251" s="5" t="s">
        <v>497</v>
      </c>
      <c r="B251" s="5" t="s">
        <v>1179</v>
      </c>
      <c r="C251" s="5" t="s">
        <v>988</v>
      </c>
      <c r="D251" s="1" t="s">
        <v>496</v>
      </c>
    </row>
    <row r="252">
      <c r="A252" s="5" t="s">
        <v>551</v>
      </c>
      <c r="B252" s="5" t="s">
        <v>1108</v>
      </c>
      <c r="C252" s="5" t="s">
        <v>1040</v>
      </c>
      <c r="D252" s="1" t="s">
        <v>550</v>
      </c>
    </row>
    <row r="253">
      <c r="A253" s="5" t="s">
        <v>447</v>
      </c>
      <c r="B253" s="5" t="s">
        <v>1190</v>
      </c>
      <c r="C253" s="5" t="s">
        <v>940</v>
      </c>
      <c r="D253" s="1" t="s">
        <v>445</v>
      </c>
    </row>
    <row r="254">
      <c r="A254" s="5" t="s">
        <v>199</v>
      </c>
      <c r="B254" s="5" t="s">
        <v>975</v>
      </c>
      <c r="C254" s="5" t="s">
        <v>976</v>
      </c>
      <c r="D254" s="1" t="s">
        <v>197</v>
      </c>
    </row>
    <row r="255">
      <c r="A255" s="5" t="s">
        <v>319</v>
      </c>
      <c r="B255" s="5" t="s">
        <v>1153</v>
      </c>
      <c r="C255" s="5" t="s">
        <v>990</v>
      </c>
      <c r="D255" s="1" t="s">
        <v>318</v>
      </c>
    </row>
    <row r="256">
      <c r="A256" s="5" t="s">
        <v>322</v>
      </c>
      <c r="B256" s="5" t="s">
        <v>1150</v>
      </c>
      <c r="C256" s="5" t="s">
        <v>1016</v>
      </c>
      <c r="D256" s="1" t="s">
        <v>320</v>
      </c>
    </row>
    <row r="257">
      <c r="A257" s="5" t="s">
        <v>732</v>
      </c>
      <c r="B257" s="5" t="s">
        <v>1105</v>
      </c>
      <c r="C257" s="5" t="s">
        <v>965</v>
      </c>
      <c r="D257" s="1" t="s">
        <v>731</v>
      </c>
    </row>
    <row r="258">
      <c r="A258" s="5" t="s">
        <v>341</v>
      </c>
      <c r="B258" s="5" t="s">
        <v>1088</v>
      </c>
      <c r="C258" s="5" t="s">
        <v>976</v>
      </c>
      <c r="D258" s="1" t="s">
        <v>339</v>
      </c>
    </row>
    <row r="259">
      <c r="A259" s="2" t="s">
        <v>640</v>
      </c>
      <c r="B259" s="2" t="s">
        <v>1078</v>
      </c>
      <c r="C259" s="5" t="s">
        <v>963</v>
      </c>
      <c r="D259" s="1" t="s">
        <v>638</v>
      </c>
    </row>
    <row r="260">
      <c r="A260" s="5" t="s">
        <v>26</v>
      </c>
      <c r="B260" s="5" t="s">
        <v>993</v>
      </c>
      <c r="C260" s="5" t="s">
        <v>948</v>
      </c>
      <c r="D260" s="1" t="s">
        <v>24</v>
      </c>
    </row>
    <row r="261">
      <c r="A261" s="5" t="s">
        <v>631</v>
      </c>
      <c r="B261" s="5" t="s">
        <v>1144</v>
      </c>
      <c r="C261" s="5" t="s">
        <v>1024</v>
      </c>
      <c r="D261" s="1" t="s">
        <v>629</v>
      </c>
    </row>
    <row r="262">
      <c r="A262" s="2" t="s">
        <v>849</v>
      </c>
      <c r="B262" s="2" t="s">
        <v>1182</v>
      </c>
      <c r="C262" s="5" t="s">
        <v>946</v>
      </c>
      <c r="D262" s="1" t="s">
        <v>847</v>
      </c>
    </row>
    <row r="263">
      <c r="A263" s="5" t="s">
        <v>443</v>
      </c>
      <c r="B263" s="5" t="s">
        <v>1082</v>
      </c>
      <c r="C263" s="5" t="s">
        <v>933</v>
      </c>
      <c r="D263" s="1" t="s">
        <v>442</v>
      </c>
    </row>
    <row r="264">
      <c r="A264" s="5" t="s">
        <v>89</v>
      </c>
      <c r="B264" s="5" t="s">
        <v>969</v>
      </c>
      <c r="C264" s="5" t="s">
        <v>929</v>
      </c>
      <c r="D264" s="1" t="s">
        <v>88</v>
      </c>
    </row>
    <row r="265">
      <c r="A265" s="5" t="s">
        <v>349</v>
      </c>
      <c r="B265" s="5" t="s">
        <v>1041</v>
      </c>
      <c r="C265" s="5" t="s">
        <v>950</v>
      </c>
      <c r="D265" s="1" t="s">
        <v>347</v>
      </c>
    </row>
    <row r="266">
      <c r="A266" s="2" t="s">
        <v>867</v>
      </c>
      <c r="B266" s="2" t="s">
        <v>1187</v>
      </c>
      <c r="C266" s="5" t="s">
        <v>1024</v>
      </c>
      <c r="D266" s="1" t="s">
        <v>866</v>
      </c>
    </row>
    <row r="267">
      <c r="A267" s="5" t="s">
        <v>451</v>
      </c>
      <c r="B267" s="5" t="s">
        <v>1097</v>
      </c>
      <c r="C267" s="5" t="s">
        <v>942</v>
      </c>
      <c r="D267" s="1" t="s">
        <v>449</v>
      </c>
    </row>
    <row r="268">
      <c r="A268" s="5" t="s">
        <v>730</v>
      </c>
      <c r="B268" s="5" t="s">
        <v>1220</v>
      </c>
      <c r="C268" s="5" t="s">
        <v>992</v>
      </c>
      <c r="D268" s="1" t="s">
        <v>729</v>
      </c>
    </row>
    <row r="269">
      <c r="A269" s="5" t="s">
        <v>637</v>
      </c>
      <c r="B269" s="5" t="s">
        <v>1165</v>
      </c>
      <c r="C269" s="5" t="s">
        <v>958</v>
      </c>
      <c r="D269" s="1" t="s">
        <v>636</v>
      </c>
    </row>
    <row r="270">
      <c r="A270" s="5" t="s">
        <v>742</v>
      </c>
      <c r="B270" s="5" t="s">
        <v>1234</v>
      </c>
      <c r="C270" s="5" t="s">
        <v>983</v>
      </c>
      <c r="D270" s="1" t="s">
        <v>741</v>
      </c>
    </row>
    <row r="271">
      <c r="A271" s="5" t="s">
        <v>131</v>
      </c>
      <c r="B271" s="5" t="s">
        <v>997</v>
      </c>
      <c r="C271" s="5" t="s">
        <v>935</v>
      </c>
      <c r="D271" s="1" t="s">
        <v>130</v>
      </c>
    </row>
    <row r="272">
      <c r="A272" s="2" t="s">
        <v>895</v>
      </c>
      <c r="B272" s="2" t="s">
        <v>1193</v>
      </c>
      <c r="C272" s="5" t="s">
        <v>990</v>
      </c>
      <c r="D272" s="1" t="s">
        <v>894</v>
      </c>
    </row>
    <row r="273">
      <c r="A273" s="5" t="s">
        <v>693</v>
      </c>
      <c r="B273" s="5" t="s">
        <v>1212</v>
      </c>
      <c r="C273" s="5" t="s">
        <v>996</v>
      </c>
      <c r="D273" s="1" t="s">
        <v>692</v>
      </c>
    </row>
    <row r="274">
      <c r="A274" s="5" t="s">
        <v>124</v>
      </c>
      <c r="B274" s="5" t="s">
        <v>1015</v>
      </c>
      <c r="C274" s="5" t="s">
        <v>1016</v>
      </c>
      <c r="D274" s="1" t="s">
        <v>123</v>
      </c>
    </row>
    <row r="275">
      <c r="A275" s="5" t="s">
        <v>35</v>
      </c>
      <c r="B275" s="5" t="s">
        <v>986</v>
      </c>
      <c r="C275" s="5" t="s">
        <v>952</v>
      </c>
      <c r="D275" s="1" t="s">
        <v>33</v>
      </c>
    </row>
    <row r="276">
      <c r="A276" s="5" t="s">
        <v>159</v>
      </c>
      <c r="B276" s="5" t="s">
        <v>1035</v>
      </c>
      <c r="C276" s="5" t="s">
        <v>942</v>
      </c>
      <c r="D276" s="1" t="s">
        <v>157</v>
      </c>
    </row>
    <row r="277">
      <c r="A277" s="5" t="s">
        <v>192</v>
      </c>
      <c r="B277" s="5" t="s">
        <v>968</v>
      </c>
      <c r="C277" s="5" t="s">
        <v>933</v>
      </c>
      <c r="D277" s="1" t="s">
        <v>189</v>
      </c>
    </row>
    <row r="278">
      <c r="A278" s="5" t="s">
        <v>303</v>
      </c>
      <c r="B278" s="5" t="s">
        <v>941</v>
      </c>
      <c r="C278" s="5" t="s">
        <v>942</v>
      </c>
      <c r="D278" s="1" t="s">
        <v>301</v>
      </c>
    </row>
    <row r="279">
      <c r="A279" s="5" t="s">
        <v>905</v>
      </c>
      <c r="B279" s="5" t="s">
        <v>1143</v>
      </c>
      <c r="C279" s="5" t="s">
        <v>1040</v>
      </c>
      <c r="D279" s="1" t="s">
        <v>904</v>
      </c>
    </row>
    <row r="280">
      <c r="A280" s="5" t="s">
        <v>337</v>
      </c>
      <c r="B280" s="5" t="s">
        <v>1048</v>
      </c>
      <c r="C280" s="5" t="s">
        <v>990</v>
      </c>
      <c r="D280" s="1" t="s">
        <v>336</v>
      </c>
    </row>
    <row r="281">
      <c r="A281" s="5" t="s">
        <v>231</v>
      </c>
      <c r="B281" s="5" t="s">
        <v>955</v>
      </c>
      <c r="C281" s="5" t="s">
        <v>954</v>
      </c>
      <c r="D281" s="1" t="s">
        <v>230</v>
      </c>
    </row>
    <row r="282">
      <c r="A282" s="5" t="s">
        <v>852</v>
      </c>
      <c r="B282" s="5" t="s">
        <v>1226</v>
      </c>
      <c r="C282" s="5" t="s">
        <v>958</v>
      </c>
      <c r="D282" s="1" t="s">
        <v>850</v>
      </c>
    </row>
    <row r="283">
      <c r="A283" s="5" t="s">
        <v>696</v>
      </c>
      <c r="B283" s="5" t="s">
        <v>1223</v>
      </c>
      <c r="C283" s="5" t="s">
        <v>950</v>
      </c>
      <c r="D283" s="1" t="s">
        <v>695</v>
      </c>
    </row>
    <row r="284">
      <c r="A284" s="5" t="s">
        <v>585</v>
      </c>
      <c r="B284" s="5" t="s">
        <v>1202</v>
      </c>
      <c r="C284" s="5" t="s">
        <v>990</v>
      </c>
      <c r="D284" s="1" t="s">
        <v>584</v>
      </c>
    </row>
    <row r="285">
      <c r="A285" s="5" t="s">
        <v>461</v>
      </c>
      <c r="B285" s="5" t="s">
        <v>1119</v>
      </c>
      <c r="C285" s="5" t="s">
        <v>974</v>
      </c>
      <c r="D285" s="1" t="s">
        <v>460</v>
      </c>
    </row>
    <row r="286">
      <c r="A286" s="5" t="s">
        <v>574</v>
      </c>
      <c r="B286" s="5" t="s">
        <v>1121</v>
      </c>
      <c r="C286" s="5" t="s">
        <v>929</v>
      </c>
      <c r="D286" s="1" t="s">
        <v>572</v>
      </c>
    </row>
    <row r="287">
      <c r="A287" s="5" t="s">
        <v>486</v>
      </c>
      <c r="B287" s="5" t="s">
        <v>1095</v>
      </c>
      <c r="C287" s="5" t="s">
        <v>935</v>
      </c>
      <c r="D287" s="1" t="s">
        <v>484</v>
      </c>
    </row>
    <row r="288">
      <c r="A288" s="5" t="s">
        <v>803</v>
      </c>
      <c r="B288" s="5" t="s">
        <v>1205</v>
      </c>
      <c r="C288" s="5" t="s">
        <v>967</v>
      </c>
      <c r="D288" s="1" t="s">
        <v>802</v>
      </c>
    </row>
    <row r="289">
      <c r="A289" s="5" t="s">
        <v>590</v>
      </c>
      <c r="B289" s="5" t="s">
        <v>1099</v>
      </c>
      <c r="C289" s="5" t="s">
        <v>958</v>
      </c>
      <c r="D289" s="1" t="s">
        <v>589</v>
      </c>
    </row>
    <row r="290">
      <c r="A290" s="5" t="s">
        <v>179</v>
      </c>
      <c r="B290" s="5" t="s">
        <v>1028</v>
      </c>
      <c r="C290" s="5" t="s">
        <v>946</v>
      </c>
      <c r="D290" s="1" t="s">
        <v>177</v>
      </c>
    </row>
    <row r="291">
      <c r="A291" s="5" t="s">
        <v>893</v>
      </c>
      <c r="B291" s="5" t="s">
        <v>1241</v>
      </c>
      <c r="C291" s="5" t="s">
        <v>1009</v>
      </c>
      <c r="D291" s="1" t="s">
        <v>892</v>
      </c>
    </row>
    <row r="292">
      <c r="A292" s="5" t="s">
        <v>31</v>
      </c>
      <c r="B292" s="5" t="s">
        <v>953</v>
      </c>
      <c r="C292" s="5" t="s">
        <v>954</v>
      </c>
      <c r="D292" s="1" t="s">
        <v>28</v>
      </c>
    </row>
    <row r="293">
      <c r="A293" s="5" t="s">
        <v>490</v>
      </c>
      <c r="B293" s="5" t="s">
        <v>1192</v>
      </c>
      <c r="C293" s="5" t="s">
        <v>958</v>
      </c>
      <c r="D293" s="1" t="s">
        <v>488</v>
      </c>
    </row>
    <row r="294">
      <c r="A294" s="2" t="s">
        <v>883</v>
      </c>
      <c r="B294" s="2" t="s">
        <v>1191</v>
      </c>
      <c r="C294" s="5" t="s">
        <v>1016</v>
      </c>
      <c r="D294" s="1" t="s">
        <v>881</v>
      </c>
    </row>
    <row r="295">
      <c r="A295" s="5" t="s">
        <v>615</v>
      </c>
      <c r="B295" s="5" t="s">
        <v>1161</v>
      </c>
      <c r="C295" s="5" t="s">
        <v>983</v>
      </c>
      <c r="D295" s="1" t="s">
        <v>613</v>
      </c>
    </row>
    <row r="296">
      <c r="A296" s="5" t="s">
        <v>612</v>
      </c>
      <c r="B296" s="5" t="s">
        <v>1130</v>
      </c>
      <c r="C296" s="5" t="s">
        <v>974</v>
      </c>
      <c r="D296" s="1" t="s">
        <v>610</v>
      </c>
    </row>
    <row r="297">
      <c r="A297" s="5" t="s">
        <v>368</v>
      </c>
      <c r="B297" s="5" t="s">
        <v>1087</v>
      </c>
      <c r="C297" s="5" t="s">
        <v>946</v>
      </c>
      <c r="D297" s="1" t="s">
        <v>366</v>
      </c>
    </row>
    <row r="298">
      <c r="A298" s="5" t="s">
        <v>793</v>
      </c>
      <c r="B298" s="5" t="s">
        <v>1145</v>
      </c>
      <c r="C298" s="5" t="s">
        <v>1040</v>
      </c>
      <c r="D298" s="1" t="s">
        <v>792</v>
      </c>
    </row>
    <row r="299">
      <c r="A299" s="5" t="s">
        <v>790</v>
      </c>
      <c r="B299" s="5" t="s">
        <v>1238</v>
      </c>
      <c r="C299" s="5" t="s">
        <v>980</v>
      </c>
      <c r="D299" s="1" t="s">
        <v>788</v>
      </c>
    </row>
    <row r="300">
      <c r="A300" s="5" t="s">
        <v>526</v>
      </c>
      <c r="B300" s="5" t="s">
        <v>1084</v>
      </c>
      <c r="C300" s="5" t="s">
        <v>1007</v>
      </c>
      <c r="D300" s="1" t="s">
        <v>524</v>
      </c>
    </row>
    <row r="301">
      <c r="A301" s="5" t="s">
        <v>454</v>
      </c>
      <c r="B301" s="5" t="s">
        <v>1086</v>
      </c>
      <c r="C301" s="5" t="s">
        <v>942</v>
      </c>
      <c r="D301" s="1" t="s">
        <v>453</v>
      </c>
    </row>
    <row r="302">
      <c r="A302" s="23" t="s">
        <v>1527</v>
      </c>
      <c r="B302" s="2" t="s">
        <v>13</v>
      </c>
      <c r="C302" s="2" t="s">
        <v>940</v>
      </c>
      <c r="D302" s="1" t="s">
        <v>1528</v>
      </c>
    </row>
    <row r="303">
      <c r="A303" s="2" t="s">
        <v>1413</v>
      </c>
      <c r="B303" s="2" t="s">
        <v>13</v>
      </c>
      <c r="C303" s="2" t="s">
        <v>954</v>
      </c>
      <c r="D303" s="1" t="s">
        <v>1529</v>
      </c>
    </row>
    <row r="304">
      <c r="A304" s="2" t="s">
        <v>1471</v>
      </c>
      <c r="B304" s="2" t="s">
        <v>13</v>
      </c>
      <c r="C304" s="2" t="s">
        <v>967</v>
      </c>
      <c r="D304" s="1" t="s">
        <v>1530</v>
      </c>
    </row>
    <row r="305">
      <c r="A305" s="2" t="s">
        <v>1473</v>
      </c>
      <c r="B305" s="2" t="s">
        <v>13</v>
      </c>
      <c r="C305" s="2" t="s">
        <v>938</v>
      </c>
      <c r="D305" s="1" t="s">
        <v>1531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2" width="25.25"/>
    <col customWidth="1" min="8" max="12" width="14.25"/>
  </cols>
  <sheetData>
    <row r="1">
      <c r="A1" s="2" t="s">
        <v>1250</v>
      </c>
      <c r="B1" s="5" t="s">
        <v>919</v>
      </c>
      <c r="D1" s="5" t="s">
        <v>921</v>
      </c>
      <c r="E1" s="5" t="s">
        <v>923</v>
      </c>
      <c r="F1" s="27" t="s">
        <v>1532</v>
      </c>
      <c r="G1" s="2" t="s">
        <v>1253</v>
      </c>
      <c r="H1" s="17" t="s">
        <v>925</v>
      </c>
      <c r="I1" s="17" t="s">
        <v>1533</v>
      </c>
      <c r="J1" s="28" t="s">
        <v>1534</v>
      </c>
      <c r="K1" s="29"/>
      <c r="L1" s="29"/>
    </row>
    <row r="2">
      <c r="A2" s="19" t="str">
        <f>vlookup(B2,'Player Codes'!A:D,4,)</f>
        <v>0167</v>
      </c>
      <c r="B2" s="5" t="s">
        <v>251</v>
      </c>
      <c r="C2" s="5" t="s">
        <v>172</v>
      </c>
      <c r="D2" s="5" t="s">
        <v>929</v>
      </c>
      <c r="E2" s="5">
        <v>372.5</v>
      </c>
      <c r="F2" s="21">
        <f t="shared" ref="F2:F301" si="1">Ifna(VLOOKUP(C2,$K$3:$L$8,2,)," ")</f>
        <v>99.3</v>
      </c>
      <c r="G2" s="21">
        <f>vlookup(A2,'ESPN FF Rankings'!$C$2:$H$201,2,false)</f>
        <v>38</v>
      </c>
      <c r="H2" s="21">
        <f t="shared" ref="H2:H301" si="2">E2-F2</f>
        <v>273.2</v>
      </c>
      <c r="I2" s="23">
        <v>1.0</v>
      </c>
      <c r="J2" s="30">
        <f t="shared" ref="J2:J301" si="3">(301-I2)/300*0.25</f>
        <v>0.25</v>
      </c>
      <c r="K2" s="29" t="s">
        <v>1535</v>
      </c>
    </row>
    <row r="3">
      <c r="A3" s="19" t="str">
        <f>vlookup(B3,'Player Codes'!A:D,4,)</f>
        <v>0140</v>
      </c>
      <c r="B3" s="5" t="s">
        <v>264</v>
      </c>
      <c r="C3" s="5" t="s">
        <v>172</v>
      </c>
      <c r="D3" s="5" t="s">
        <v>931</v>
      </c>
      <c r="E3" s="5">
        <v>369.0</v>
      </c>
      <c r="F3" s="21">
        <f t="shared" si="1"/>
        <v>99.3</v>
      </c>
      <c r="G3" s="21">
        <f>vlookup(A3,'ESPN FF Rankings'!$C$2:$H$201,2,false)</f>
        <v>42</v>
      </c>
      <c r="H3" s="21">
        <f t="shared" si="2"/>
        <v>269.7</v>
      </c>
      <c r="I3" s="23">
        <v>2.0</v>
      </c>
      <c r="J3" s="30">
        <f t="shared" si="3"/>
        <v>0.2491666667</v>
      </c>
      <c r="K3" s="31" t="s">
        <v>172</v>
      </c>
      <c r="L3" s="31">
        <v>99.3</v>
      </c>
    </row>
    <row r="4">
      <c r="A4" s="19" t="str">
        <f>vlookup(B4,'Player Codes'!A:D,4,)</f>
        <v>0235</v>
      </c>
      <c r="B4" s="5" t="s">
        <v>267</v>
      </c>
      <c r="C4" s="5" t="s">
        <v>172</v>
      </c>
      <c r="D4" s="5" t="s">
        <v>933</v>
      </c>
      <c r="E4" s="5">
        <v>361.0</v>
      </c>
      <c r="F4" s="21">
        <f t="shared" si="1"/>
        <v>99.3</v>
      </c>
      <c r="G4" s="21">
        <f>vlookup(A4,'ESPN FF Rankings'!$C$2:$H$201,2,false)</f>
        <v>30</v>
      </c>
      <c r="H4" s="21">
        <f t="shared" si="2"/>
        <v>261.7</v>
      </c>
      <c r="I4" s="23">
        <v>3.0</v>
      </c>
      <c r="J4" s="30">
        <f t="shared" si="3"/>
        <v>0.2483333333</v>
      </c>
      <c r="K4" s="31" t="s">
        <v>13</v>
      </c>
      <c r="L4" s="31">
        <v>81.0</v>
      </c>
    </row>
    <row r="5">
      <c r="A5" s="19" t="str">
        <f>vlookup(B5,'Player Codes'!A:D,4,)</f>
        <v>0159</v>
      </c>
      <c r="B5" s="5" t="s">
        <v>207</v>
      </c>
      <c r="C5" s="5" t="s">
        <v>172</v>
      </c>
      <c r="D5" s="5" t="s">
        <v>935</v>
      </c>
      <c r="E5" s="5">
        <v>345.7</v>
      </c>
      <c r="F5" s="21">
        <f t="shared" si="1"/>
        <v>99.3</v>
      </c>
      <c r="G5" s="21">
        <f>vlookup(A5,'ESPN FF Rankings'!$C$2:$H$201,2,false)</f>
        <v>59</v>
      </c>
      <c r="H5" s="21">
        <f t="shared" si="2"/>
        <v>246.4</v>
      </c>
      <c r="I5" s="23">
        <v>4.0</v>
      </c>
      <c r="J5" s="30">
        <f t="shared" si="3"/>
        <v>0.2475</v>
      </c>
      <c r="K5" s="31" t="s">
        <v>191</v>
      </c>
      <c r="L5" s="31">
        <v>67.4</v>
      </c>
    </row>
    <row r="6">
      <c r="A6" s="19" t="str">
        <f>vlookup(B6,'Player Codes'!A:D,4,)</f>
        <v>0195</v>
      </c>
      <c r="B6" s="5" t="s">
        <v>211</v>
      </c>
      <c r="C6" s="5" t="s">
        <v>172</v>
      </c>
      <c r="D6" s="5" t="s">
        <v>1007</v>
      </c>
      <c r="E6" s="5">
        <v>325.4</v>
      </c>
      <c r="F6" s="21">
        <f t="shared" si="1"/>
        <v>99.3</v>
      </c>
      <c r="G6" s="21">
        <f>vlookup(A6,'ESPN FF Rankings'!$C$2:$H$201,2,false)</f>
        <v>56</v>
      </c>
      <c r="H6" s="21">
        <f t="shared" si="2"/>
        <v>226.1</v>
      </c>
      <c r="I6" s="23">
        <v>5.0</v>
      </c>
      <c r="J6" s="30">
        <f t="shared" si="3"/>
        <v>0.2466666667</v>
      </c>
      <c r="K6" s="31" t="s">
        <v>30</v>
      </c>
      <c r="L6" s="31">
        <v>69.6</v>
      </c>
    </row>
    <row r="7">
      <c r="A7" s="19" t="str">
        <f>vlookup(B7,'Player Codes'!A:D,4,)</f>
        <v>0173</v>
      </c>
      <c r="B7" s="5" t="s">
        <v>219</v>
      </c>
      <c r="C7" s="5" t="s">
        <v>172</v>
      </c>
      <c r="D7" s="5" t="s">
        <v>938</v>
      </c>
      <c r="E7" s="5">
        <v>314.0</v>
      </c>
      <c r="F7" s="21">
        <f t="shared" si="1"/>
        <v>99.3</v>
      </c>
      <c r="G7" s="21">
        <f>vlookup(A7,'ESPN FF Rankings'!$C$2:$H$201,2,false)</f>
        <v>78</v>
      </c>
      <c r="H7" s="21">
        <f t="shared" si="2"/>
        <v>214.7</v>
      </c>
      <c r="I7" s="23">
        <v>6.0</v>
      </c>
      <c r="J7" s="30">
        <f t="shared" si="3"/>
        <v>0.2458333333</v>
      </c>
      <c r="K7" s="31" t="s">
        <v>1536</v>
      </c>
      <c r="L7" s="31">
        <v>85.7</v>
      </c>
    </row>
    <row r="8">
      <c r="A8" s="19" t="str">
        <f>vlookup(B8,'Player Codes'!A:D,4,)</f>
        <v>0172</v>
      </c>
      <c r="B8" s="2" t="s">
        <v>222</v>
      </c>
      <c r="C8" s="5" t="s">
        <v>172</v>
      </c>
      <c r="D8" s="5" t="s">
        <v>940</v>
      </c>
      <c r="E8" s="5">
        <v>311.8</v>
      </c>
      <c r="F8" s="21">
        <f t="shared" si="1"/>
        <v>99.3</v>
      </c>
      <c r="G8" s="21">
        <f>vlookup(A8,'ESPN FF Rankings'!$C$2:$H$201,2,false)</f>
        <v>67</v>
      </c>
      <c r="H8" s="21">
        <f t="shared" si="2"/>
        <v>212.5</v>
      </c>
      <c r="I8" s="23">
        <v>7.0</v>
      </c>
      <c r="J8" s="30">
        <f t="shared" si="3"/>
        <v>0.245</v>
      </c>
      <c r="K8" s="31" t="s">
        <v>516</v>
      </c>
      <c r="L8" s="31">
        <v>119.1</v>
      </c>
    </row>
    <row r="9">
      <c r="A9" s="19" t="str">
        <f>vlookup(B9,'Player Codes'!A:D,4,)</f>
        <v>0277</v>
      </c>
      <c r="B9" s="5" t="s">
        <v>303</v>
      </c>
      <c r="C9" s="5" t="s">
        <v>172</v>
      </c>
      <c r="D9" s="5" t="s">
        <v>942</v>
      </c>
      <c r="E9" s="5">
        <v>301.4</v>
      </c>
      <c r="F9" s="21">
        <f t="shared" si="1"/>
        <v>99.3</v>
      </c>
      <c r="G9" s="21">
        <f>vlookup(A9,'ESPN FF Rankings'!$C$2:$H$201,2,false)</f>
        <v>74</v>
      </c>
      <c r="H9" s="21">
        <f t="shared" si="2"/>
        <v>202.1</v>
      </c>
      <c r="I9" s="23">
        <v>8.0</v>
      </c>
      <c r="J9" s="30">
        <f t="shared" si="3"/>
        <v>0.2441666667</v>
      </c>
      <c r="K9" s="21"/>
      <c r="L9" s="21"/>
    </row>
    <row r="10">
      <c r="A10" s="19" t="str">
        <f>vlookup(B10,'Player Codes'!A:D,4,)</f>
        <v>0090</v>
      </c>
      <c r="B10" s="5" t="s">
        <v>275</v>
      </c>
      <c r="C10" s="5" t="s">
        <v>172</v>
      </c>
      <c r="D10" s="5" t="s">
        <v>944</v>
      </c>
      <c r="E10" s="5">
        <v>293.2</v>
      </c>
      <c r="F10" s="21">
        <f t="shared" si="1"/>
        <v>99.3</v>
      </c>
      <c r="G10" s="21">
        <f>vlookup(A10,'ESPN FF Rankings'!$C$2:$H$201,2,false)</f>
        <v>84</v>
      </c>
      <c r="H10" s="21">
        <f t="shared" si="2"/>
        <v>193.9</v>
      </c>
      <c r="I10" s="23">
        <v>9.0</v>
      </c>
      <c r="J10" s="30">
        <f t="shared" si="3"/>
        <v>0.2433333333</v>
      </c>
      <c r="K10" s="21"/>
      <c r="L10" s="21"/>
    </row>
    <row r="11">
      <c r="A11" s="19" t="str">
        <f>vlookup(B11,'Player Codes'!A:D,4,)</f>
        <v>0112</v>
      </c>
      <c r="B11" s="5" t="s">
        <v>227</v>
      </c>
      <c r="C11" s="5" t="s">
        <v>172</v>
      </c>
      <c r="D11" s="5" t="s">
        <v>946</v>
      </c>
      <c r="E11" s="5">
        <v>285.9</v>
      </c>
      <c r="F11" s="21">
        <f t="shared" si="1"/>
        <v>99.3</v>
      </c>
      <c r="G11" s="21">
        <f>vlookup(A11,'ESPN FF Rankings'!$C$2:$H$201,2,false)</f>
        <v>122</v>
      </c>
      <c r="H11" s="21">
        <f t="shared" si="2"/>
        <v>186.6</v>
      </c>
      <c r="I11" s="23">
        <v>10.0</v>
      </c>
      <c r="J11" s="30">
        <f t="shared" si="3"/>
        <v>0.2425</v>
      </c>
      <c r="K11" s="21"/>
      <c r="L11" s="21"/>
    </row>
    <row r="12">
      <c r="A12" s="19" t="str">
        <f>vlookup(B12,'Player Codes'!A:D,4,)</f>
        <v>0077</v>
      </c>
      <c r="B12" s="5" t="s">
        <v>173</v>
      </c>
      <c r="C12" s="5" t="s">
        <v>172</v>
      </c>
      <c r="D12" s="5" t="s">
        <v>948</v>
      </c>
      <c r="E12" s="5">
        <v>284.1</v>
      </c>
      <c r="F12" s="21">
        <f t="shared" si="1"/>
        <v>99.3</v>
      </c>
      <c r="G12" s="21">
        <f>vlookup(A12,'ESPN FF Rankings'!$C$2:$H$201,2,false)</f>
        <v>110</v>
      </c>
      <c r="H12" s="21">
        <f t="shared" si="2"/>
        <v>184.8</v>
      </c>
      <c r="I12" s="23">
        <v>11.0</v>
      </c>
      <c r="J12" s="30">
        <f t="shared" si="3"/>
        <v>0.2416666667</v>
      </c>
      <c r="K12" s="21"/>
      <c r="L12" s="21"/>
    </row>
    <row r="13">
      <c r="A13" s="19" t="str">
        <f>vlookup(B13,'Player Codes'!A:D,4,)</f>
        <v>0068</v>
      </c>
      <c r="B13" s="5" t="s">
        <v>229</v>
      </c>
      <c r="C13" s="5" t="s">
        <v>172</v>
      </c>
      <c r="D13" s="5" t="s">
        <v>952</v>
      </c>
      <c r="E13" s="5">
        <v>278.0</v>
      </c>
      <c r="F13" s="21">
        <f t="shared" si="1"/>
        <v>99.3</v>
      </c>
      <c r="G13" s="21">
        <f>vlookup(A13,'ESPN FF Rankings'!$C$2:$H$201,2,false)</f>
        <v>92</v>
      </c>
      <c r="H13" s="21">
        <f t="shared" si="2"/>
        <v>178.7</v>
      </c>
      <c r="I13" s="23">
        <v>12.0</v>
      </c>
      <c r="J13" s="30">
        <f t="shared" si="3"/>
        <v>0.2408333333</v>
      </c>
      <c r="K13" s="21"/>
      <c r="L13" s="21"/>
    </row>
    <row r="14">
      <c r="A14" s="19" t="str">
        <f>vlookup(B14,'Player Codes'!A:D,4,)</f>
        <v>0280</v>
      </c>
      <c r="B14" s="5" t="s">
        <v>231</v>
      </c>
      <c r="C14" s="5" t="s">
        <v>172</v>
      </c>
      <c r="D14" s="5" t="s">
        <v>954</v>
      </c>
      <c r="E14" s="5">
        <v>274.5</v>
      </c>
      <c r="F14" s="21">
        <f t="shared" si="1"/>
        <v>99.3</v>
      </c>
      <c r="G14" s="21">
        <f>vlookup(A14,'ESPN FF Rankings'!$C$2:$H$201,2,false)</f>
        <v>98</v>
      </c>
      <c r="H14" s="21">
        <f t="shared" si="2"/>
        <v>175.2</v>
      </c>
      <c r="I14" s="23">
        <v>13.0</v>
      </c>
      <c r="J14" s="30">
        <f t="shared" si="3"/>
        <v>0.24</v>
      </c>
      <c r="K14" s="21"/>
      <c r="L14" s="21"/>
    </row>
    <row r="15">
      <c r="A15" s="19" t="str">
        <f>vlookup(B15,'Player Codes'!A:D,4,)</f>
        <v>0190</v>
      </c>
      <c r="B15" s="5" t="s">
        <v>237</v>
      </c>
      <c r="C15" s="5" t="s">
        <v>172</v>
      </c>
      <c r="D15" s="5" t="s">
        <v>950</v>
      </c>
      <c r="E15" s="5">
        <v>271.8</v>
      </c>
      <c r="F15" s="21">
        <f t="shared" si="1"/>
        <v>99.3</v>
      </c>
      <c r="G15" s="21">
        <f>vlookup(A15,'ESPN FF Rankings'!$C$2:$H$201,2,false)</f>
        <v>100</v>
      </c>
      <c r="H15" s="21">
        <f t="shared" si="2"/>
        <v>172.5</v>
      </c>
      <c r="I15" s="23">
        <v>14.0</v>
      </c>
      <c r="J15" s="30">
        <f t="shared" si="3"/>
        <v>0.2391666667</v>
      </c>
      <c r="K15" s="21"/>
      <c r="L15" s="21"/>
    </row>
    <row r="16">
      <c r="A16" s="19" t="str">
        <f>vlookup(B16,'Player Codes'!A:D,4,)</f>
        <v>0014</v>
      </c>
      <c r="B16" s="2" t="s">
        <v>288</v>
      </c>
      <c r="C16" s="5" t="s">
        <v>172</v>
      </c>
      <c r="D16" s="5" t="s">
        <v>961</v>
      </c>
      <c r="E16" s="5">
        <v>267.6</v>
      </c>
      <c r="F16" s="21">
        <f t="shared" si="1"/>
        <v>99.3</v>
      </c>
      <c r="G16" s="21">
        <f>vlookup(A16,'ESPN FF Rankings'!$C$2:$H$201,2,false)</f>
        <v>128</v>
      </c>
      <c r="H16" s="21">
        <f t="shared" si="2"/>
        <v>168.3</v>
      </c>
      <c r="I16" s="23">
        <v>15.0</v>
      </c>
      <c r="J16" s="30">
        <f t="shared" si="3"/>
        <v>0.2383333333</v>
      </c>
      <c r="K16" s="21"/>
      <c r="L16" s="21"/>
    </row>
    <row r="17">
      <c r="A17" s="19" t="str">
        <f>vlookup(B17,'Player Codes'!A:D,4,)</f>
        <v>0146</v>
      </c>
      <c r="B17" s="5" t="s">
        <v>290</v>
      </c>
      <c r="C17" s="5" t="s">
        <v>172</v>
      </c>
      <c r="D17" s="5" t="s">
        <v>965</v>
      </c>
      <c r="E17" s="5">
        <v>264.1</v>
      </c>
      <c r="F17" s="21">
        <f t="shared" si="1"/>
        <v>99.3</v>
      </c>
      <c r="G17" s="21">
        <f>vlookup(A17,'ESPN FF Rankings'!$C$2:$H$201,2,false)</f>
        <v>132</v>
      </c>
      <c r="H17" s="21">
        <f t="shared" si="2"/>
        <v>164.8</v>
      </c>
      <c r="I17" s="23">
        <v>16.0</v>
      </c>
      <c r="J17" s="30">
        <f t="shared" si="3"/>
        <v>0.2375</v>
      </c>
      <c r="K17" s="21"/>
      <c r="L17" s="21"/>
    </row>
    <row r="18">
      <c r="A18" s="19" t="str">
        <f>vlookup(B18,'Player Codes'!A:D,4,)</f>
        <v>0003</v>
      </c>
      <c r="B18" s="5" t="s">
        <v>196</v>
      </c>
      <c r="C18" s="5" t="s">
        <v>172</v>
      </c>
      <c r="D18" s="5" t="s">
        <v>967</v>
      </c>
      <c r="E18" s="5">
        <v>261.3</v>
      </c>
      <c r="F18" s="21">
        <f t="shared" si="1"/>
        <v>99.3</v>
      </c>
      <c r="G18" s="21">
        <f>vlookup(A18,'ESPN FF Rankings'!$C$2:$H$201,2,false)</f>
        <v>106</v>
      </c>
      <c r="H18" s="21">
        <f t="shared" si="2"/>
        <v>162</v>
      </c>
      <c r="I18" s="23">
        <v>17.0</v>
      </c>
      <c r="J18" s="30">
        <f t="shared" si="3"/>
        <v>0.2366666667</v>
      </c>
      <c r="K18" s="21"/>
      <c r="L18" s="21"/>
    </row>
    <row r="19">
      <c r="A19" s="19" t="str">
        <f>vlookup(B19,'Player Codes'!A:D,4,)</f>
        <v>0174</v>
      </c>
      <c r="B19" s="5" t="s">
        <v>95</v>
      </c>
      <c r="C19" s="5" t="s">
        <v>30</v>
      </c>
      <c r="D19" s="5" t="s">
        <v>950</v>
      </c>
      <c r="E19" s="5">
        <v>252.7</v>
      </c>
      <c r="F19" s="21">
        <f t="shared" si="1"/>
        <v>69.6</v>
      </c>
      <c r="G19" s="21">
        <f>vlookup(A19,'ESPN FF Rankings'!$C$2:$H$201,2,false)</f>
        <v>1</v>
      </c>
      <c r="H19" s="21">
        <f t="shared" si="2"/>
        <v>183.1</v>
      </c>
      <c r="I19" s="23">
        <v>18.0</v>
      </c>
      <c r="J19" s="30">
        <f t="shared" si="3"/>
        <v>0.2358333333</v>
      </c>
      <c r="K19" s="21"/>
      <c r="L19" s="21"/>
    </row>
    <row r="20">
      <c r="A20" s="19" t="str">
        <f>vlookup(B20,'Player Codes'!A:D,4,)</f>
        <v>0055</v>
      </c>
      <c r="B20" s="5" t="s">
        <v>14</v>
      </c>
      <c r="C20" s="5" t="s">
        <v>13</v>
      </c>
      <c r="D20" s="5" t="s">
        <v>963</v>
      </c>
      <c r="E20" s="5">
        <v>246.9</v>
      </c>
      <c r="F20" s="21">
        <f t="shared" si="1"/>
        <v>81</v>
      </c>
      <c r="G20" s="21">
        <f>vlookup(A20,'ESPN FF Rankings'!$C$2:$H$201,2,false)</f>
        <v>3</v>
      </c>
      <c r="H20" s="21">
        <f t="shared" si="2"/>
        <v>165.9</v>
      </c>
      <c r="I20" s="23">
        <v>19.0</v>
      </c>
      <c r="J20" s="30">
        <f t="shared" si="3"/>
        <v>0.235</v>
      </c>
      <c r="K20" s="21"/>
      <c r="L20" s="21"/>
    </row>
    <row r="21">
      <c r="A21" s="19" t="str">
        <f>vlookup(B21,'Player Codes'!A:D,4,)</f>
        <v>0291</v>
      </c>
      <c r="B21" s="5" t="s">
        <v>31</v>
      </c>
      <c r="C21" s="5" t="s">
        <v>30</v>
      </c>
      <c r="D21" s="5" t="s">
        <v>954</v>
      </c>
      <c r="E21" s="5">
        <v>245.4</v>
      </c>
      <c r="F21" s="21">
        <f t="shared" si="1"/>
        <v>69.6</v>
      </c>
      <c r="G21" s="21">
        <f>vlookup(A21,'ESPN FF Rankings'!$C$2:$H$201,2,false)</f>
        <v>9</v>
      </c>
      <c r="H21" s="21">
        <f t="shared" si="2"/>
        <v>175.8</v>
      </c>
      <c r="I21" s="23">
        <v>20.0</v>
      </c>
      <c r="J21" s="30">
        <f t="shared" si="3"/>
        <v>0.2341666667</v>
      </c>
      <c r="K21" s="21"/>
      <c r="L21" s="21"/>
    </row>
    <row r="22">
      <c r="A22" s="19" t="str">
        <f>vlookup(B22,'Player Codes'!A:D,4,)</f>
        <v>0253</v>
      </c>
      <c r="B22" s="5" t="s">
        <v>199</v>
      </c>
      <c r="C22" s="5" t="s">
        <v>172</v>
      </c>
      <c r="D22" s="5" t="s">
        <v>976</v>
      </c>
      <c r="E22" s="5">
        <v>244.5</v>
      </c>
      <c r="F22" s="21">
        <f t="shared" si="1"/>
        <v>99.3</v>
      </c>
      <c r="G22" s="21">
        <f>vlookup(A22,'ESPN FF Rankings'!$C$2:$H$201,2,false)</f>
        <v>119</v>
      </c>
      <c r="H22" s="21">
        <f t="shared" si="2"/>
        <v>145.2</v>
      </c>
      <c r="I22" s="23">
        <v>21.0</v>
      </c>
      <c r="J22" s="30">
        <f t="shared" si="3"/>
        <v>0.2333333333</v>
      </c>
      <c r="K22" s="21"/>
      <c r="L22" s="21"/>
    </row>
    <row r="23">
      <c r="A23" s="19" t="str">
        <f>vlookup(B23,'Player Codes'!A:D,4,)</f>
        <v>0132</v>
      </c>
      <c r="B23" s="5" t="s">
        <v>67</v>
      </c>
      <c r="C23" s="5" t="s">
        <v>30</v>
      </c>
      <c r="D23" s="5" t="s">
        <v>935</v>
      </c>
      <c r="E23" s="5">
        <v>244.0</v>
      </c>
      <c r="F23" s="21">
        <f t="shared" si="1"/>
        <v>69.6</v>
      </c>
      <c r="G23" s="21">
        <f>vlookup(A23,'ESPN FF Rankings'!$C$2:$H$201,2,false)</f>
        <v>2</v>
      </c>
      <c r="H23" s="21">
        <f t="shared" si="2"/>
        <v>174.4</v>
      </c>
      <c r="I23" s="23">
        <v>22.0</v>
      </c>
      <c r="J23" s="30">
        <f t="shared" si="3"/>
        <v>0.2325</v>
      </c>
      <c r="K23" s="21"/>
      <c r="L23" s="21"/>
    </row>
    <row r="24">
      <c r="A24" s="19" t="str">
        <f>vlookup(B24,'Player Codes'!A:D,4,)</f>
        <v>0063</v>
      </c>
      <c r="B24" s="5" t="s">
        <v>71</v>
      </c>
      <c r="C24" s="5" t="s">
        <v>30</v>
      </c>
      <c r="D24" s="5" t="s">
        <v>958</v>
      </c>
      <c r="E24" s="5">
        <v>243.3</v>
      </c>
      <c r="F24" s="21">
        <f t="shared" si="1"/>
        <v>69.6</v>
      </c>
      <c r="G24" s="21">
        <f>vlookup(A24,'ESPN FF Rankings'!$C$2:$H$201,2,false)</f>
        <v>6</v>
      </c>
      <c r="H24" s="21">
        <f t="shared" si="2"/>
        <v>173.7</v>
      </c>
      <c r="I24" s="23">
        <v>23.0</v>
      </c>
      <c r="J24" s="30">
        <f t="shared" si="3"/>
        <v>0.2316666667</v>
      </c>
      <c r="K24" s="21"/>
      <c r="L24" s="21"/>
    </row>
    <row r="25">
      <c r="A25" s="19" t="str">
        <f>vlookup(B25,'Player Codes'!A:D,4,)</f>
        <v>0088</v>
      </c>
      <c r="B25" s="5" t="s">
        <v>269</v>
      </c>
      <c r="C25" s="5" t="s">
        <v>172</v>
      </c>
      <c r="D25" s="5" t="s">
        <v>983</v>
      </c>
      <c r="E25" s="5">
        <v>238.4</v>
      </c>
      <c r="F25" s="21">
        <f t="shared" si="1"/>
        <v>99.3</v>
      </c>
      <c r="G25" s="21">
        <f>vlookup(A25,'ESPN FF Rankings'!$C$2:$H$201,2,false)</f>
        <v>168</v>
      </c>
      <c r="H25" s="21">
        <f t="shared" si="2"/>
        <v>139.1</v>
      </c>
      <c r="I25" s="23">
        <v>24.0</v>
      </c>
      <c r="J25" s="30">
        <f t="shared" si="3"/>
        <v>0.2308333333</v>
      </c>
      <c r="K25" s="21"/>
      <c r="L25" s="21"/>
    </row>
    <row r="26">
      <c r="A26" s="19" t="str">
        <f>vlookup(B26,'Player Codes'!A:D,4,)</f>
        <v>0187</v>
      </c>
      <c r="B26" s="5" t="s">
        <v>334</v>
      </c>
      <c r="C26" s="5" t="s">
        <v>172</v>
      </c>
      <c r="D26" s="5" t="s">
        <v>985</v>
      </c>
      <c r="E26" s="5">
        <v>238.3</v>
      </c>
      <c r="F26" s="21">
        <f t="shared" si="1"/>
        <v>99.3</v>
      </c>
      <c r="G26" s="21">
        <f>vlookup(A26,'ESPN FF Rankings'!$C$2:$H$201,2,false)</f>
        <v>165</v>
      </c>
      <c r="H26" s="21">
        <f t="shared" si="2"/>
        <v>139</v>
      </c>
      <c r="I26" s="23">
        <v>25.0</v>
      </c>
      <c r="J26" s="30">
        <f t="shared" si="3"/>
        <v>0.23</v>
      </c>
      <c r="K26" s="21"/>
      <c r="L26" s="21"/>
    </row>
    <row r="27">
      <c r="A27" s="19" t="str">
        <f>vlookup(B27,'Player Codes'!A:D,4,)</f>
        <v>0018</v>
      </c>
      <c r="B27" s="5" t="s">
        <v>18</v>
      </c>
      <c r="C27" s="5" t="s">
        <v>13</v>
      </c>
      <c r="D27" s="5" t="s">
        <v>938</v>
      </c>
      <c r="E27" s="5">
        <v>238.3</v>
      </c>
      <c r="F27" s="21">
        <f t="shared" si="1"/>
        <v>81</v>
      </c>
      <c r="G27" s="21">
        <f>vlookup(A27,'ESPN FF Rankings'!$C$2:$H$201,2,false)</f>
        <v>4</v>
      </c>
      <c r="H27" s="21">
        <f t="shared" si="2"/>
        <v>157.3</v>
      </c>
      <c r="I27" s="23">
        <v>26.0</v>
      </c>
      <c r="J27" s="30">
        <f t="shared" si="3"/>
        <v>0.2291666667</v>
      </c>
      <c r="K27" s="21"/>
      <c r="L27" s="21"/>
    </row>
    <row r="28">
      <c r="A28" s="19" t="str">
        <f>vlookup(B28,'Player Codes'!A:D,4,)</f>
        <v>0166</v>
      </c>
      <c r="B28" s="5" t="s">
        <v>344</v>
      </c>
      <c r="C28" s="5" t="s">
        <v>172</v>
      </c>
      <c r="D28" s="5" t="s">
        <v>988</v>
      </c>
      <c r="E28" s="5">
        <v>234.5</v>
      </c>
      <c r="F28" s="21">
        <f t="shared" si="1"/>
        <v>99.3</v>
      </c>
      <c r="G28" s="21">
        <f>vlookup(A28,'ESPN FF Rankings'!$C$2:$H$201,2,false)</f>
        <v>170</v>
      </c>
      <c r="H28" s="21">
        <f t="shared" si="2"/>
        <v>135.2</v>
      </c>
      <c r="I28" s="23">
        <v>27.0</v>
      </c>
      <c r="J28" s="30">
        <f t="shared" si="3"/>
        <v>0.2283333333</v>
      </c>
      <c r="K28" s="21"/>
      <c r="L28" s="21"/>
    </row>
    <row r="29">
      <c r="A29" s="19" t="str">
        <f>vlookup(B29,'Player Codes'!A:D,4,)</f>
        <v>0032</v>
      </c>
      <c r="B29" s="5" t="s">
        <v>346</v>
      </c>
      <c r="C29" s="5" t="s">
        <v>172</v>
      </c>
      <c r="D29" s="5" t="s">
        <v>992</v>
      </c>
      <c r="E29" s="5">
        <v>232.0</v>
      </c>
      <c r="F29" s="21">
        <f t="shared" si="1"/>
        <v>99.3</v>
      </c>
      <c r="G29" s="21">
        <f>vlookup(A29,'ESPN FF Rankings'!$C$2:$H$201,2,false)</f>
        <v>192</v>
      </c>
      <c r="H29" s="21">
        <f t="shared" si="2"/>
        <v>132.7</v>
      </c>
      <c r="I29" s="23">
        <v>28.0</v>
      </c>
      <c r="J29" s="30">
        <f t="shared" si="3"/>
        <v>0.2275</v>
      </c>
      <c r="K29" s="21"/>
      <c r="L29" s="21"/>
    </row>
    <row r="30">
      <c r="A30" s="19" t="str">
        <f>vlookup(B30,'Player Codes'!A:D,4,)</f>
        <v>0030</v>
      </c>
      <c r="B30" s="5" t="s">
        <v>306</v>
      </c>
      <c r="C30" s="5" t="s">
        <v>172</v>
      </c>
      <c r="D30" s="5" t="s">
        <v>996</v>
      </c>
      <c r="E30" s="5">
        <v>230.4</v>
      </c>
      <c r="F30" s="21">
        <f t="shared" si="1"/>
        <v>99.3</v>
      </c>
      <c r="G30" s="21">
        <f>vlookup(A30,'ESPN FF Rankings'!$C$2:$H$201,2,false)</f>
        <v>185</v>
      </c>
      <c r="H30" s="21">
        <f t="shared" si="2"/>
        <v>131.1</v>
      </c>
      <c r="I30" s="23">
        <v>29.0</v>
      </c>
      <c r="J30" s="30">
        <f t="shared" si="3"/>
        <v>0.2266666667</v>
      </c>
      <c r="K30" s="21"/>
      <c r="L30" s="21"/>
    </row>
    <row r="31">
      <c r="A31" s="19" t="str">
        <f>vlookup(B31,'Player Codes'!A:D,4,)</f>
        <v>0263</v>
      </c>
      <c r="B31" s="5" t="s">
        <v>89</v>
      </c>
      <c r="C31" s="5" t="s">
        <v>30</v>
      </c>
      <c r="D31" s="5" t="s">
        <v>929</v>
      </c>
      <c r="E31" s="5">
        <v>229.6</v>
      </c>
      <c r="F31" s="21">
        <f t="shared" si="1"/>
        <v>69.6</v>
      </c>
      <c r="G31" s="21">
        <f>vlookup(A31,'ESPN FF Rankings'!$C$2:$H$201,2,false)</f>
        <v>14</v>
      </c>
      <c r="H31" s="21">
        <f t="shared" si="2"/>
        <v>160</v>
      </c>
      <c r="I31" s="23">
        <v>30.0</v>
      </c>
      <c r="J31" s="30">
        <f t="shared" si="3"/>
        <v>0.2258333333</v>
      </c>
      <c r="K31" s="21"/>
      <c r="L31" s="21"/>
    </row>
    <row r="32">
      <c r="A32" s="19" t="str">
        <f>vlookup(B32,'Player Codes'!A:D,4,)</f>
        <v>0276</v>
      </c>
      <c r="B32" s="5" t="s">
        <v>192</v>
      </c>
      <c r="C32" s="5" t="s">
        <v>191</v>
      </c>
      <c r="D32" s="5" t="s">
        <v>933</v>
      </c>
      <c r="E32" s="5">
        <v>227.9</v>
      </c>
      <c r="F32" s="21">
        <f t="shared" si="1"/>
        <v>67.4</v>
      </c>
      <c r="G32" s="21">
        <f>vlookup(A32,'ESPN FF Rankings'!$C$2:$H$201,2,false)</f>
        <v>8</v>
      </c>
      <c r="H32" s="21">
        <f t="shared" si="2"/>
        <v>160.5</v>
      </c>
      <c r="I32" s="23">
        <v>31.0</v>
      </c>
      <c r="J32" s="30">
        <f t="shared" si="3"/>
        <v>0.225</v>
      </c>
      <c r="K32" s="21"/>
      <c r="L32" s="21"/>
    </row>
    <row r="33">
      <c r="A33" s="19" t="str">
        <f>vlookup(B33,'Player Codes'!A:D,4,)</f>
        <v>0021</v>
      </c>
      <c r="B33" s="5" t="s">
        <v>47</v>
      </c>
      <c r="C33" s="5" t="s">
        <v>13</v>
      </c>
      <c r="D33" s="5" t="s">
        <v>974</v>
      </c>
      <c r="E33" s="5">
        <v>227.9</v>
      </c>
      <c r="F33" s="21">
        <f t="shared" si="1"/>
        <v>81</v>
      </c>
      <c r="G33" s="21">
        <f>vlookup(A33,'ESPN FF Rankings'!$C$2:$H$201,2,false)</f>
        <v>7</v>
      </c>
      <c r="H33" s="21">
        <f t="shared" si="2"/>
        <v>146.9</v>
      </c>
      <c r="I33" s="23">
        <v>32.0</v>
      </c>
      <c r="J33" s="30">
        <f t="shared" si="3"/>
        <v>0.2241666667</v>
      </c>
      <c r="K33" s="21"/>
      <c r="L33" s="21"/>
    </row>
    <row r="34">
      <c r="A34" s="19" t="str">
        <f>vlookup(B34,'Player Codes'!A:D,4,)</f>
        <v>0210</v>
      </c>
      <c r="B34" s="5" t="s">
        <v>239</v>
      </c>
      <c r="C34" s="5" t="s">
        <v>172</v>
      </c>
      <c r="D34" s="5" t="s">
        <v>958</v>
      </c>
      <c r="E34" s="5">
        <v>227.7</v>
      </c>
      <c r="F34" s="21">
        <f t="shared" si="1"/>
        <v>99.3</v>
      </c>
      <c r="G34" s="21">
        <f>vlookup(A34,'ESPN FF Rankings'!$C$2:$H$201,2,false)</f>
        <v>133</v>
      </c>
      <c r="H34" s="21">
        <f t="shared" si="2"/>
        <v>128.4</v>
      </c>
      <c r="I34" s="23">
        <v>33.0</v>
      </c>
      <c r="J34" s="30">
        <f t="shared" si="3"/>
        <v>0.2233333333</v>
      </c>
      <c r="K34" s="21"/>
      <c r="L34" s="21"/>
    </row>
    <row r="35">
      <c r="A35" s="19" t="str">
        <f>vlookup(B35,'Player Codes'!A:D,4,)</f>
        <v>0158</v>
      </c>
      <c r="B35" s="5" t="s">
        <v>194</v>
      </c>
      <c r="C35" s="5" t="s">
        <v>172</v>
      </c>
      <c r="D35" s="5" t="s">
        <v>980</v>
      </c>
      <c r="E35" s="5">
        <v>222.7</v>
      </c>
      <c r="F35" s="21">
        <f t="shared" si="1"/>
        <v>99.3</v>
      </c>
      <c r="G35" s="21">
        <f>vlookup(A35,'ESPN FF Rankings'!$C$2:$H$201,2,false)</f>
        <v>196</v>
      </c>
      <c r="H35" s="21">
        <f t="shared" si="2"/>
        <v>123.4</v>
      </c>
      <c r="I35" s="23">
        <v>34.0</v>
      </c>
      <c r="J35" s="30">
        <f t="shared" si="3"/>
        <v>0.2225</v>
      </c>
      <c r="K35" s="21"/>
      <c r="L35" s="21"/>
    </row>
    <row r="36">
      <c r="A36" s="19" t="str">
        <f>vlookup(B36,'Player Codes'!A:D,4,)</f>
        <v>0001</v>
      </c>
      <c r="B36" s="5" t="s">
        <v>93</v>
      </c>
      <c r="C36" s="5" t="s">
        <v>30</v>
      </c>
      <c r="D36" s="5" t="s">
        <v>931</v>
      </c>
      <c r="E36" s="5">
        <v>222.1</v>
      </c>
      <c r="F36" s="21">
        <f t="shared" si="1"/>
        <v>69.6</v>
      </c>
      <c r="G36" s="21">
        <f>vlookup(A36,'ESPN FF Rankings'!$C$2:$H$201,2,false)</f>
        <v>22</v>
      </c>
      <c r="H36" s="21">
        <f t="shared" si="2"/>
        <v>152.5</v>
      </c>
      <c r="I36" s="23">
        <v>35.0</v>
      </c>
      <c r="J36" s="30">
        <f t="shared" si="3"/>
        <v>0.2216666667</v>
      </c>
      <c r="K36" s="21"/>
      <c r="L36" s="21"/>
    </row>
    <row r="37">
      <c r="A37" s="19" t="str">
        <f>vlookup(B37,'Player Codes'!A:D,4,)</f>
        <v>0255</v>
      </c>
      <c r="B37" s="5" t="s">
        <v>322</v>
      </c>
      <c r="C37" s="5" t="s">
        <v>172</v>
      </c>
      <c r="D37" s="5" t="s">
        <v>1016</v>
      </c>
      <c r="E37" s="5">
        <v>221.7</v>
      </c>
      <c r="F37" s="21">
        <f t="shared" si="1"/>
        <v>99.3</v>
      </c>
      <c r="G37" s="23">
        <v>0.0</v>
      </c>
      <c r="H37" s="21">
        <f t="shared" si="2"/>
        <v>122.4</v>
      </c>
      <c r="I37" s="23">
        <v>36.0</v>
      </c>
      <c r="J37" s="30">
        <f t="shared" si="3"/>
        <v>0.2208333333</v>
      </c>
      <c r="K37" s="21"/>
      <c r="L37" s="21"/>
    </row>
    <row r="38">
      <c r="A38" s="19" t="str">
        <f>vlookup(B38,'Player Codes'!A:D,4,)</f>
        <v>0111</v>
      </c>
      <c r="B38" s="5" t="s">
        <v>149</v>
      </c>
      <c r="C38" s="5" t="s">
        <v>30</v>
      </c>
      <c r="D38" s="5" t="s">
        <v>967</v>
      </c>
      <c r="E38" s="5">
        <v>221.2</v>
      </c>
      <c r="F38" s="21">
        <f t="shared" si="1"/>
        <v>69.6</v>
      </c>
      <c r="G38" s="21">
        <f>vlookup(A38,'ESPN FF Rankings'!$C$2:$H$201,2,false)</f>
        <v>19</v>
      </c>
      <c r="H38" s="21">
        <f t="shared" si="2"/>
        <v>151.6</v>
      </c>
      <c r="I38" s="23">
        <v>37.0</v>
      </c>
      <c r="J38" s="30">
        <f t="shared" si="3"/>
        <v>0.22</v>
      </c>
      <c r="K38" s="21"/>
      <c r="L38" s="21"/>
    </row>
    <row r="39">
      <c r="A39" s="19" t="str">
        <f>vlookup(B39,'Player Codes'!A:D,4,)</f>
        <v>0228</v>
      </c>
      <c r="B39" s="5" t="s">
        <v>22</v>
      </c>
      <c r="C39" s="5" t="s">
        <v>13</v>
      </c>
      <c r="D39" s="5" t="s">
        <v>944</v>
      </c>
      <c r="E39" s="5">
        <v>221.1</v>
      </c>
      <c r="F39" s="21">
        <f t="shared" si="1"/>
        <v>81</v>
      </c>
      <c r="G39" s="21">
        <f>vlookup(A39,'ESPN FF Rankings'!$C$2:$H$201,2,false)</f>
        <v>15</v>
      </c>
      <c r="H39" s="21">
        <f t="shared" si="2"/>
        <v>140.1</v>
      </c>
      <c r="I39" s="23">
        <v>38.0</v>
      </c>
      <c r="J39" s="30">
        <f t="shared" si="3"/>
        <v>0.2191666667</v>
      </c>
      <c r="K39" s="21"/>
      <c r="L39" s="21"/>
    </row>
    <row r="40">
      <c r="A40" s="19" t="str">
        <f>vlookup(B40,'Player Codes'!A:D,4,)</f>
        <v>0274</v>
      </c>
      <c r="B40" s="5" t="s">
        <v>35</v>
      </c>
      <c r="C40" s="5" t="s">
        <v>13</v>
      </c>
      <c r="D40" s="5" t="s">
        <v>952</v>
      </c>
      <c r="E40" s="5">
        <v>218.8</v>
      </c>
      <c r="F40" s="21">
        <f t="shared" si="1"/>
        <v>81</v>
      </c>
      <c r="G40" s="21">
        <f>vlookup(A40,'ESPN FF Rankings'!$C$2:$H$201,2,false)</f>
        <v>12</v>
      </c>
      <c r="H40" s="21">
        <f t="shared" si="2"/>
        <v>137.8</v>
      </c>
      <c r="I40" s="23">
        <v>39.0</v>
      </c>
      <c r="J40" s="30">
        <f t="shared" si="3"/>
        <v>0.2183333333</v>
      </c>
      <c r="K40" s="21"/>
      <c r="L40" s="21"/>
    </row>
    <row r="41">
      <c r="A41" s="19" t="str">
        <f>vlookup(B41,'Player Codes'!A:D,4,)</f>
        <v>0200</v>
      </c>
      <c r="B41" s="5" t="s">
        <v>331</v>
      </c>
      <c r="C41" s="5" t="s">
        <v>172</v>
      </c>
      <c r="D41" s="5" t="s">
        <v>1009</v>
      </c>
      <c r="E41" s="5">
        <v>217.5</v>
      </c>
      <c r="F41" s="21">
        <f t="shared" si="1"/>
        <v>99.3</v>
      </c>
      <c r="G41" s="23">
        <v>0.0</v>
      </c>
      <c r="H41" s="21">
        <f t="shared" si="2"/>
        <v>118.2</v>
      </c>
      <c r="I41" s="23">
        <v>40.0</v>
      </c>
      <c r="J41" s="30">
        <f t="shared" si="3"/>
        <v>0.2175</v>
      </c>
      <c r="K41" s="21"/>
      <c r="L41" s="21"/>
    </row>
    <row r="42">
      <c r="A42" s="19" t="str">
        <f>vlookup(B42,'Player Codes'!A:D,4,)</f>
        <v>0091</v>
      </c>
      <c r="B42" s="5" t="s">
        <v>364</v>
      </c>
      <c r="C42" s="5" t="s">
        <v>172</v>
      </c>
      <c r="D42" s="5" t="s">
        <v>974</v>
      </c>
      <c r="E42" s="5">
        <v>217.5</v>
      </c>
      <c r="F42" s="21">
        <f t="shared" si="1"/>
        <v>99.3</v>
      </c>
      <c r="G42" s="23">
        <v>0.0</v>
      </c>
      <c r="H42" s="21">
        <f t="shared" si="2"/>
        <v>118.2</v>
      </c>
      <c r="I42" s="23">
        <v>41.0</v>
      </c>
      <c r="J42" s="30">
        <f t="shared" si="3"/>
        <v>0.2166666667</v>
      </c>
      <c r="K42" s="21"/>
      <c r="L42" s="21"/>
    </row>
    <row r="43">
      <c r="A43" s="19" t="str">
        <f>vlookup(B43,'Player Codes'!A:D,4,)</f>
        <v>0042</v>
      </c>
      <c r="B43" s="5" t="s">
        <v>106</v>
      </c>
      <c r="C43" s="5" t="s">
        <v>30</v>
      </c>
      <c r="D43" s="5" t="s">
        <v>952</v>
      </c>
      <c r="E43" s="5">
        <v>214.5</v>
      </c>
      <c r="F43" s="21">
        <f t="shared" si="1"/>
        <v>69.6</v>
      </c>
      <c r="G43" s="21">
        <f>vlookup(A43,'ESPN FF Rankings'!$C$2:$H$201,2,false)</f>
        <v>18</v>
      </c>
      <c r="H43" s="21">
        <f t="shared" si="2"/>
        <v>144.9</v>
      </c>
      <c r="I43" s="23">
        <v>42.0</v>
      </c>
      <c r="J43" s="30">
        <f t="shared" si="3"/>
        <v>0.2158333333</v>
      </c>
      <c r="K43" s="21"/>
      <c r="L43" s="21"/>
    </row>
    <row r="44">
      <c r="A44" s="19" t="str">
        <f>vlookup(B44,'Player Codes'!A:D,4,)</f>
        <v>0089</v>
      </c>
      <c r="B44" s="5" t="s">
        <v>39</v>
      </c>
      <c r="C44" s="5" t="s">
        <v>13</v>
      </c>
      <c r="D44" s="5" t="s">
        <v>990</v>
      </c>
      <c r="E44" s="5">
        <v>214.2</v>
      </c>
      <c r="F44" s="21">
        <f t="shared" si="1"/>
        <v>81</v>
      </c>
      <c r="G44" s="21">
        <f>vlookup(A44,'ESPN FF Rankings'!$C$2:$H$201,2,false)</f>
        <v>11</v>
      </c>
      <c r="H44" s="21">
        <f t="shared" si="2"/>
        <v>133.2</v>
      </c>
      <c r="I44" s="23">
        <v>43.0</v>
      </c>
      <c r="J44" s="30">
        <f t="shared" si="3"/>
        <v>0.215</v>
      </c>
      <c r="K44" s="21"/>
      <c r="L44" s="21"/>
    </row>
    <row r="45">
      <c r="A45" s="19" t="str">
        <f>vlookup(B45,'Player Codes'!A:D,4,)</f>
        <v>0012</v>
      </c>
      <c r="B45" s="5" t="s">
        <v>175</v>
      </c>
      <c r="C45" s="5" t="s">
        <v>30</v>
      </c>
      <c r="D45" s="5" t="s">
        <v>965</v>
      </c>
      <c r="E45" s="5">
        <v>213.9</v>
      </c>
      <c r="F45" s="21">
        <f t="shared" si="1"/>
        <v>69.6</v>
      </c>
      <c r="G45" s="21">
        <f>vlookup(A45,'ESPN FF Rankings'!$C$2:$H$201,2,false)</f>
        <v>27</v>
      </c>
      <c r="H45" s="21">
        <f t="shared" si="2"/>
        <v>144.3</v>
      </c>
      <c r="I45" s="23">
        <v>44.0</v>
      </c>
      <c r="J45" s="30">
        <f t="shared" si="3"/>
        <v>0.2141666667</v>
      </c>
      <c r="K45" s="21"/>
      <c r="L45" s="21"/>
    </row>
    <row r="46">
      <c r="A46" s="19" t="str">
        <f>vlookup(B46,'Player Codes'!A:D,4,)</f>
        <v>0259</v>
      </c>
      <c r="B46" s="5" t="s">
        <v>26</v>
      </c>
      <c r="C46" s="5" t="s">
        <v>13</v>
      </c>
      <c r="D46" s="5" t="s">
        <v>948</v>
      </c>
      <c r="E46" s="5">
        <v>213.6</v>
      </c>
      <c r="F46" s="21">
        <f t="shared" si="1"/>
        <v>81</v>
      </c>
      <c r="G46" s="21">
        <f>vlookup(A46,'ESPN FF Rankings'!$C$2:$H$201,2,false)</f>
        <v>5</v>
      </c>
      <c r="H46" s="21">
        <f t="shared" si="2"/>
        <v>132.6</v>
      </c>
      <c r="I46" s="23">
        <v>45.0</v>
      </c>
      <c r="J46" s="30">
        <f t="shared" si="3"/>
        <v>0.2133333333</v>
      </c>
      <c r="K46" s="21"/>
      <c r="L46" s="21"/>
    </row>
    <row r="47">
      <c r="A47" s="19" t="str">
        <f>vlookup(B47,'Player Codes'!A:D,4,)</f>
        <v>0029</v>
      </c>
      <c r="B47" s="5" t="s">
        <v>382</v>
      </c>
      <c r="C47" s="5" t="s">
        <v>172</v>
      </c>
      <c r="D47" s="5" t="s">
        <v>963</v>
      </c>
      <c r="E47" s="5">
        <v>213.5</v>
      </c>
      <c r="F47" s="21">
        <f t="shared" si="1"/>
        <v>99.3</v>
      </c>
      <c r="G47" s="23">
        <v>0.0</v>
      </c>
      <c r="H47" s="21">
        <f t="shared" si="2"/>
        <v>114.2</v>
      </c>
      <c r="I47" s="23">
        <v>46.0</v>
      </c>
      <c r="J47" s="30">
        <f t="shared" si="3"/>
        <v>0.2125</v>
      </c>
      <c r="K47" s="21"/>
      <c r="L47" s="21"/>
    </row>
    <row r="48">
      <c r="A48" s="19" t="str">
        <f>vlookup(B48,'Player Codes'!A:D,4,)</f>
        <v>0081</v>
      </c>
      <c r="B48" s="5" t="s">
        <v>86</v>
      </c>
      <c r="C48" s="5" t="s">
        <v>30</v>
      </c>
      <c r="D48" s="5" t="s">
        <v>980</v>
      </c>
      <c r="E48" s="5">
        <v>212.9</v>
      </c>
      <c r="F48" s="21">
        <f t="shared" si="1"/>
        <v>69.6</v>
      </c>
      <c r="G48" s="21">
        <f>vlookup(A48,'ESPN FF Rankings'!$C$2:$H$201,2,false)</f>
        <v>16</v>
      </c>
      <c r="H48" s="21">
        <f t="shared" si="2"/>
        <v>143.3</v>
      </c>
      <c r="I48" s="23">
        <v>47.0</v>
      </c>
      <c r="J48" s="30">
        <f t="shared" si="3"/>
        <v>0.2116666667</v>
      </c>
      <c r="K48" s="21"/>
      <c r="L48" s="21"/>
    </row>
    <row r="49">
      <c r="A49" s="19" t="str">
        <f>vlookup(B49,'Player Codes'!A:D,4,)</f>
        <v>0168</v>
      </c>
      <c r="B49" s="5" t="s">
        <v>43</v>
      </c>
      <c r="C49" s="5" t="s">
        <v>13</v>
      </c>
      <c r="D49" s="5" t="s">
        <v>980</v>
      </c>
      <c r="E49" s="5">
        <v>207.5</v>
      </c>
      <c r="F49" s="21">
        <f t="shared" si="1"/>
        <v>81</v>
      </c>
      <c r="G49" s="21">
        <f>vlookup(A49,'ESPN FF Rankings'!$C$2:$H$201,2,false)</f>
        <v>13</v>
      </c>
      <c r="H49" s="21">
        <f t="shared" si="2"/>
        <v>126.5</v>
      </c>
      <c r="I49" s="23">
        <v>48.0</v>
      </c>
      <c r="J49" s="30">
        <f t="shared" si="3"/>
        <v>0.2108333333</v>
      </c>
      <c r="K49" s="21"/>
      <c r="L49" s="21"/>
    </row>
    <row r="50">
      <c r="A50" s="19" t="str">
        <f>vlookup(B50,'Player Codes'!A:D,4,)</f>
        <v>0053</v>
      </c>
      <c r="B50" s="5" t="s">
        <v>121</v>
      </c>
      <c r="C50" s="5" t="s">
        <v>30</v>
      </c>
      <c r="D50" s="5" t="s">
        <v>983</v>
      </c>
      <c r="E50" s="5">
        <v>202.2</v>
      </c>
      <c r="F50" s="21">
        <f t="shared" si="1"/>
        <v>69.6</v>
      </c>
      <c r="G50" s="21">
        <f>vlookup(A50,'ESPN FF Rankings'!$C$2:$H$201,2,false)</f>
        <v>39</v>
      </c>
      <c r="H50" s="21">
        <f t="shared" si="2"/>
        <v>132.6</v>
      </c>
      <c r="I50" s="23">
        <v>49.0</v>
      </c>
      <c r="J50" s="30">
        <f t="shared" si="3"/>
        <v>0.21</v>
      </c>
      <c r="K50" s="21"/>
      <c r="L50" s="21"/>
    </row>
    <row r="51">
      <c r="A51" s="19" t="str">
        <f>vlookup(B51,'Player Codes'!A:D,4,)</f>
        <v>0254</v>
      </c>
      <c r="B51" s="5" t="s">
        <v>319</v>
      </c>
      <c r="C51" s="5" t="s">
        <v>172</v>
      </c>
      <c r="D51" s="5" t="s">
        <v>990</v>
      </c>
      <c r="E51" s="5">
        <v>200.1</v>
      </c>
      <c r="F51" s="21">
        <f t="shared" si="1"/>
        <v>99.3</v>
      </c>
      <c r="G51" s="23">
        <v>0.0</v>
      </c>
      <c r="H51" s="21">
        <f t="shared" si="2"/>
        <v>100.8</v>
      </c>
      <c r="I51" s="23">
        <v>50.0</v>
      </c>
      <c r="J51" s="30">
        <f t="shared" si="3"/>
        <v>0.2091666667</v>
      </c>
      <c r="K51" s="21"/>
      <c r="L51" s="21"/>
    </row>
    <row r="52">
      <c r="A52" s="19" t="str">
        <f>vlookup(B52,'Player Codes'!A:D,4,)</f>
        <v>0270</v>
      </c>
      <c r="B52" s="5" t="s">
        <v>131</v>
      </c>
      <c r="C52" s="5" t="s">
        <v>30</v>
      </c>
      <c r="D52" s="5" t="s">
        <v>935</v>
      </c>
      <c r="E52" s="5">
        <v>199.5</v>
      </c>
      <c r="F52" s="21">
        <f t="shared" si="1"/>
        <v>69.6</v>
      </c>
      <c r="G52" s="21">
        <f>vlookup(A52,'ESPN FF Rankings'!$C$2:$H$201,2,false)</f>
        <v>32</v>
      </c>
      <c r="H52" s="21">
        <f t="shared" si="2"/>
        <v>129.9</v>
      </c>
      <c r="I52" s="23">
        <v>51.0</v>
      </c>
      <c r="J52" s="30">
        <f t="shared" si="3"/>
        <v>0.2083333333</v>
      </c>
      <c r="K52" s="21"/>
      <c r="L52" s="21"/>
    </row>
    <row r="53">
      <c r="A53" s="19" t="str">
        <f>vlookup(B53,'Player Codes'!A:D,4,)</f>
        <v>0164</v>
      </c>
      <c r="B53" s="5" t="s">
        <v>51</v>
      </c>
      <c r="C53" s="5" t="s">
        <v>13</v>
      </c>
      <c r="D53" s="5" t="s">
        <v>961</v>
      </c>
      <c r="E53" s="5">
        <v>198.6</v>
      </c>
      <c r="F53" s="21">
        <f t="shared" si="1"/>
        <v>81</v>
      </c>
      <c r="G53" s="21">
        <f>vlookup(A53,'ESPN FF Rankings'!$C$2:$H$201,2,false)</f>
        <v>10</v>
      </c>
      <c r="H53" s="21">
        <f t="shared" si="2"/>
        <v>117.6</v>
      </c>
      <c r="I53" s="23">
        <v>52.0</v>
      </c>
      <c r="J53" s="30">
        <f t="shared" si="3"/>
        <v>0.2075</v>
      </c>
      <c r="K53" s="21"/>
      <c r="L53" s="21"/>
    </row>
    <row r="54">
      <c r="A54" s="19" t="str">
        <f>vlookup(B54,'Player Codes'!A:D,4,)</f>
        <v>0152</v>
      </c>
      <c r="B54" s="5" t="s">
        <v>202</v>
      </c>
      <c r="C54" s="5" t="s">
        <v>30</v>
      </c>
      <c r="D54" s="5" t="s">
        <v>954</v>
      </c>
      <c r="E54" s="5">
        <v>194.8</v>
      </c>
      <c r="F54" s="21">
        <f t="shared" si="1"/>
        <v>69.6</v>
      </c>
      <c r="G54" s="21">
        <f>vlookup(A54,'ESPN FF Rankings'!$C$2:$H$201,2,false)</f>
        <v>29</v>
      </c>
      <c r="H54" s="21">
        <f t="shared" si="2"/>
        <v>125.2</v>
      </c>
      <c r="I54" s="23">
        <v>53.0</v>
      </c>
      <c r="J54" s="30">
        <f t="shared" si="3"/>
        <v>0.2066666667</v>
      </c>
      <c r="K54" s="21"/>
      <c r="L54" s="21"/>
    </row>
    <row r="55">
      <c r="A55" s="19" t="str">
        <f>vlookup(B55,'Player Codes'!A:D,4,)</f>
        <v>0101</v>
      </c>
      <c r="B55" s="2" t="s">
        <v>209</v>
      </c>
      <c r="C55" s="5" t="s">
        <v>30</v>
      </c>
      <c r="D55" s="5" t="s">
        <v>946</v>
      </c>
      <c r="E55" s="5">
        <v>194.3</v>
      </c>
      <c r="F55" s="21">
        <f t="shared" si="1"/>
        <v>69.6</v>
      </c>
      <c r="G55" s="21">
        <f>vlookup(A55,'ESPN FF Rankings'!$C$2:$H$201,2,false)</f>
        <v>36</v>
      </c>
      <c r="H55" s="21">
        <f t="shared" si="2"/>
        <v>124.7</v>
      </c>
      <c r="I55" s="23">
        <v>54.0</v>
      </c>
      <c r="J55" s="30">
        <f t="shared" si="3"/>
        <v>0.2058333333</v>
      </c>
      <c r="K55" s="21"/>
      <c r="L55" s="21"/>
    </row>
    <row r="56">
      <c r="A56" s="19" t="str">
        <f>vlookup(B56,'Player Codes'!A:D,4,)</f>
        <v>0096</v>
      </c>
      <c r="B56" s="5" t="s">
        <v>146</v>
      </c>
      <c r="C56" s="5" t="s">
        <v>30</v>
      </c>
      <c r="D56" s="5" t="s">
        <v>931</v>
      </c>
      <c r="E56" s="5">
        <v>188.7</v>
      </c>
      <c r="F56" s="21">
        <f t="shared" si="1"/>
        <v>69.6</v>
      </c>
      <c r="G56" s="21">
        <f>vlookup(A56,'ESPN FF Rankings'!$C$2:$H$201,2,false)</f>
        <v>34</v>
      </c>
      <c r="H56" s="21">
        <f t="shared" si="2"/>
        <v>119.1</v>
      </c>
      <c r="I56" s="23">
        <v>55.0</v>
      </c>
      <c r="J56" s="30">
        <f t="shared" si="3"/>
        <v>0.205</v>
      </c>
      <c r="K56" s="21"/>
      <c r="L56" s="21"/>
    </row>
    <row r="57">
      <c r="A57" s="19" t="str">
        <f>vlookup(B57,'Player Codes'!A:D,4,)</f>
        <v>0246</v>
      </c>
      <c r="B57" s="5" t="s">
        <v>63</v>
      </c>
      <c r="C57" s="5" t="s">
        <v>13</v>
      </c>
      <c r="D57" s="5" t="s">
        <v>1009</v>
      </c>
      <c r="E57" s="5">
        <v>185.1</v>
      </c>
      <c r="F57" s="21">
        <f t="shared" si="1"/>
        <v>81</v>
      </c>
      <c r="G57" s="21">
        <f>vlookup(A57,'ESPN FF Rankings'!$C$2:$H$201,2,false)</f>
        <v>25</v>
      </c>
      <c r="H57" s="21">
        <f t="shared" si="2"/>
        <v>104.1</v>
      </c>
      <c r="I57" s="23">
        <v>56.0</v>
      </c>
      <c r="J57" s="30">
        <f t="shared" si="3"/>
        <v>0.2041666667</v>
      </c>
      <c r="K57" s="21"/>
      <c r="L57" s="21"/>
    </row>
    <row r="58">
      <c r="A58" s="19" t="str">
        <f>vlookup(B58,'Player Codes'!A:D,4,)</f>
        <v>0037</v>
      </c>
      <c r="B58" s="5" t="s">
        <v>152</v>
      </c>
      <c r="C58" s="5" t="s">
        <v>30</v>
      </c>
      <c r="D58" s="5" t="s">
        <v>942</v>
      </c>
      <c r="E58" s="5">
        <v>181.8</v>
      </c>
      <c r="F58" s="21">
        <f t="shared" si="1"/>
        <v>69.6</v>
      </c>
      <c r="G58" s="21">
        <f>vlookup(A58,'ESPN FF Rankings'!$C$2:$H$201,2,false)</f>
        <v>43</v>
      </c>
      <c r="H58" s="21">
        <f t="shared" si="2"/>
        <v>112.2</v>
      </c>
      <c r="I58" s="23">
        <v>57.0</v>
      </c>
      <c r="J58" s="30">
        <f t="shared" si="3"/>
        <v>0.2033333333</v>
      </c>
      <c r="K58" s="21"/>
      <c r="L58" s="21"/>
    </row>
    <row r="59">
      <c r="A59" s="19" t="str">
        <f>vlookup(B59,'Player Codes'!A:D,4,)</f>
        <v>0223</v>
      </c>
      <c r="B59" s="5" t="s">
        <v>75</v>
      </c>
      <c r="C59" s="5" t="s">
        <v>13</v>
      </c>
      <c r="D59" s="5" t="s">
        <v>985</v>
      </c>
      <c r="E59" s="5">
        <v>178.0</v>
      </c>
      <c r="F59" s="21">
        <f t="shared" si="1"/>
        <v>81</v>
      </c>
      <c r="G59" s="21">
        <f>vlookup(A59,'ESPN FF Rankings'!$C$2:$H$201,2,false)</f>
        <v>24</v>
      </c>
      <c r="H59" s="21">
        <f t="shared" si="2"/>
        <v>97</v>
      </c>
      <c r="I59" s="23">
        <v>58.0</v>
      </c>
      <c r="J59" s="30">
        <f t="shared" si="3"/>
        <v>0.2025</v>
      </c>
      <c r="K59" s="21"/>
      <c r="L59" s="21"/>
    </row>
    <row r="60">
      <c r="A60" s="19" t="str">
        <f>vlookup(B60,'Player Codes'!A:D,4,)</f>
        <v>0135</v>
      </c>
      <c r="B60" s="5" t="s">
        <v>113</v>
      </c>
      <c r="C60" s="5" t="s">
        <v>13</v>
      </c>
      <c r="D60" s="5" t="s">
        <v>965</v>
      </c>
      <c r="E60" s="5">
        <v>177.2</v>
      </c>
      <c r="F60" s="21">
        <f t="shared" si="1"/>
        <v>81</v>
      </c>
      <c r="G60" s="21">
        <f>vlookup(A60,'ESPN FF Rankings'!$C$2:$H$201,2,false)</f>
        <v>28</v>
      </c>
      <c r="H60" s="21">
        <f t="shared" si="2"/>
        <v>96.2</v>
      </c>
      <c r="I60" s="23">
        <v>59.0</v>
      </c>
      <c r="J60" s="30">
        <f t="shared" si="3"/>
        <v>0.2016666667</v>
      </c>
      <c r="K60" s="21"/>
      <c r="L60" s="21"/>
    </row>
    <row r="61">
      <c r="A61" s="19" t="str">
        <f>vlookup(B61,'Player Codes'!A:D,4,)</f>
        <v>0056</v>
      </c>
      <c r="B61" s="5" t="s">
        <v>169</v>
      </c>
      <c r="C61" s="5" t="s">
        <v>30</v>
      </c>
      <c r="D61" s="5" t="s">
        <v>988</v>
      </c>
      <c r="E61" s="5">
        <v>173.3</v>
      </c>
      <c r="F61" s="21">
        <f t="shared" si="1"/>
        <v>69.6</v>
      </c>
      <c r="G61" s="21">
        <f>vlookup(A61,'ESPN FF Rankings'!$C$2:$H$201,2,false)</f>
        <v>57</v>
      </c>
      <c r="H61" s="21">
        <f t="shared" si="2"/>
        <v>103.7</v>
      </c>
      <c r="I61" s="23">
        <v>60.0</v>
      </c>
      <c r="J61" s="30">
        <f t="shared" si="3"/>
        <v>0.2008333333</v>
      </c>
      <c r="K61" s="21"/>
      <c r="L61" s="21"/>
    </row>
    <row r="62">
      <c r="A62" s="19" t="str">
        <f>vlookup(B62,'Player Codes'!A:D,4,)</f>
        <v>0026</v>
      </c>
      <c r="B62" s="5" t="s">
        <v>79</v>
      </c>
      <c r="C62" s="5" t="s">
        <v>13</v>
      </c>
      <c r="D62" s="5" t="s">
        <v>967</v>
      </c>
      <c r="E62" s="5">
        <v>172.2</v>
      </c>
      <c r="F62" s="21">
        <f t="shared" si="1"/>
        <v>81</v>
      </c>
      <c r="G62" s="21">
        <f>vlookup(A62,'ESPN FF Rankings'!$C$2:$H$201,2,false)</f>
        <v>46</v>
      </c>
      <c r="H62" s="21">
        <f t="shared" si="2"/>
        <v>91.2</v>
      </c>
      <c r="I62" s="23">
        <v>61.0</v>
      </c>
      <c r="J62" s="30">
        <f t="shared" si="3"/>
        <v>0.2</v>
      </c>
      <c r="K62" s="21"/>
      <c r="L62" s="21"/>
    </row>
    <row r="63">
      <c r="A63" s="19" t="str">
        <f>vlookup(B63,'Player Codes'!A:D,4,)</f>
        <v>0202</v>
      </c>
      <c r="B63" s="5" t="s">
        <v>277</v>
      </c>
      <c r="C63" s="5" t="s">
        <v>191</v>
      </c>
      <c r="D63" s="5" t="s">
        <v>1007</v>
      </c>
      <c r="E63" s="5">
        <v>171.6</v>
      </c>
      <c r="F63" s="21">
        <f t="shared" si="1"/>
        <v>67.4</v>
      </c>
      <c r="G63" s="21">
        <f>vlookup(A63,'ESPN FF Rankings'!$C$2:$H$201,2,false)</f>
        <v>20</v>
      </c>
      <c r="H63" s="21">
        <f t="shared" si="2"/>
        <v>104.2</v>
      </c>
      <c r="I63" s="23">
        <v>62.0</v>
      </c>
      <c r="J63" s="30">
        <f t="shared" si="3"/>
        <v>0.1991666667</v>
      </c>
      <c r="K63" s="21"/>
      <c r="L63" s="21"/>
    </row>
    <row r="64">
      <c r="A64" s="19" t="str">
        <f>vlookup(B64,'Player Codes'!A:D,4,)</f>
        <v>0086</v>
      </c>
      <c r="B64" s="5" t="s">
        <v>117</v>
      </c>
      <c r="C64" s="5" t="s">
        <v>30</v>
      </c>
      <c r="D64" s="5" t="s">
        <v>963</v>
      </c>
      <c r="E64" s="5">
        <v>169.9</v>
      </c>
      <c r="F64" s="21">
        <f t="shared" si="1"/>
        <v>69.6</v>
      </c>
      <c r="G64" s="21">
        <f>vlookup(A64,'ESPN FF Rankings'!$C$2:$H$201,2,false)</f>
        <v>41</v>
      </c>
      <c r="H64" s="21">
        <f t="shared" si="2"/>
        <v>100.3</v>
      </c>
      <c r="I64" s="23">
        <v>63.0</v>
      </c>
      <c r="J64" s="30">
        <f t="shared" si="3"/>
        <v>0.1983333333</v>
      </c>
      <c r="K64" s="21"/>
      <c r="L64" s="21"/>
    </row>
    <row r="65">
      <c r="A65" s="19" t="str">
        <f>vlookup(B65,'Player Codes'!A:D,4,)</f>
        <v>0011</v>
      </c>
      <c r="B65" s="5" t="s">
        <v>182</v>
      </c>
      <c r="C65" s="5" t="s">
        <v>30</v>
      </c>
      <c r="D65" s="5" t="s">
        <v>944</v>
      </c>
      <c r="E65" s="5">
        <v>169.6</v>
      </c>
      <c r="F65" s="21">
        <f t="shared" si="1"/>
        <v>69.6</v>
      </c>
      <c r="G65" s="21">
        <f>vlookup(A65,'ESPN FF Rankings'!$C$2:$H$201,2,false)</f>
        <v>45</v>
      </c>
      <c r="H65" s="21">
        <f t="shared" si="2"/>
        <v>100</v>
      </c>
      <c r="I65" s="23">
        <v>64.0</v>
      </c>
      <c r="J65" s="30">
        <f t="shared" si="3"/>
        <v>0.1975</v>
      </c>
      <c r="K65" s="21"/>
      <c r="L65" s="21"/>
    </row>
    <row r="66">
      <c r="A66" s="19" t="str">
        <f>vlookup(B66,'Player Codes'!A:D,4,)</f>
        <v>0100</v>
      </c>
      <c r="B66" s="2" t="s">
        <v>188</v>
      </c>
      <c r="C66" s="5" t="s">
        <v>30</v>
      </c>
      <c r="D66" s="5" t="s">
        <v>940</v>
      </c>
      <c r="E66" s="5">
        <v>169.2</v>
      </c>
      <c r="F66" s="21">
        <f t="shared" si="1"/>
        <v>69.6</v>
      </c>
      <c r="G66" s="21">
        <f>vlookup(A66,'ESPN FF Rankings'!$C$2:$H$201,2,false)</f>
        <v>53</v>
      </c>
      <c r="H66" s="21">
        <f t="shared" si="2"/>
        <v>99.6</v>
      </c>
      <c r="I66" s="23">
        <v>65.0</v>
      </c>
      <c r="J66" s="30">
        <f t="shared" si="3"/>
        <v>0.1966666667</v>
      </c>
      <c r="K66" s="21"/>
      <c r="L66" s="21"/>
    </row>
    <row r="67">
      <c r="A67" s="19" t="str">
        <f>vlookup(B67,'Player Codes'!A:D,4,)</f>
        <v>0186</v>
      </c>
      <c r="B67" s="5" t="s">
        <v>128</v>
      </c>
      <c r="C67" s="5" t="s">
        <v>13</v>
      </c>
      <c r="D67" s="5" t="s">
        <v>946</v>
      </c>
      <c r="E67" s="5">
        <v>168.9</v>
      </c>
      <c r="F67" s="21">
        <f t="shared" si="1"/>
        <v>81</v>
      </c>
      <c r="G67" s="21">
        <f>vlookup(A67,'ESPN FF Rankings'!$C$2:$H$201,2,false)</f>
        <v>31</v>
      </c>
      <c r="H67" s="21">
        <f t="shared" si="2"/>
        <v>87.9</v>
      </c>
      <c r="I67" s="23">
        <v>66.0</v>
      </c>
      <c r="J67" s="30">
        <f t="shared" si="3"/>
        <v>0.1958333333</v>
      </c>
      <c r="K67" s="21"/>
      <c r="L67" s="21"/>
    </row>
    <row r="68">
      <c r="A68" s="19" t="str">
        <f>vlookup(B68,'Player Codes'!A:D,4,)</f>
        <v>0193</v>
      </c>
      <c r="B68" s="5" t="s">
        <v>352</v>
      </c>
      <c r="C68" s="5" t="s">
        <v>172</v>
      </c>
      <c r="D68" s="5" t="s">
        <v>1040</v>
      </c>
      <c r="E68" s="5">
        <v>168.5</v>
      </c>
      <c r="F68" s="21">
        <f t="shared" si="1"/>
        <v>99.3</v>
      </c>
      <c r="G68" s="21">
        <f>vlookup(A68,'ESPN FF Rankings'!$C$2:$H$201,2,false)</f>
        <v>140</v>
      </c>
      <c r="H68" s="21">
        <f t="shared" si="2"/>
        <v>69.2</v>
      </c>
      <c r="I68" s="23">
        <v>67.0</v>
      </c>
      <c r="J68" s="30">
        <f t="shared" si="3"/>
        <v>0.195</v>
      </c>
      <c r="K68" s="21"/>
      <c r="L68" s="21"/>
    </row>
    <row r="69">
      <c r="A69" s="19" t="str">
        <f>vlookup(B69,'Player Codes'!A:D,4,)</f>
        <v>0273</v>
      </c>
      <c r="B69" s="5" t="s">
        <v>124</v>
      </c>
      <c r="C69" s="5" t="s">
        <v>30</v>
      </c>
      <c r="D69" s="5" t="s">
        <v>1016</v>
      </c>
      <c r="E69" s="5">
        <v>166.0</v>
      </c>
      <c r="F69" s="21">
        <f t="shared" si="1"/>
        <v>69.6</v>
      </c>
      <c r="G69" s="21">
        <f>vlookup(A69,'ESPN FF Rankings'!$C$2:$H$201,2,false)</f>
        <v>68</v>
      </c>
      <c r="H69" s="21">
        <f t="shared" si="2"/>
        <v>96.4</v>
      </c>
      <c r="I69" s="23">
        <v>68.0</v>
      </c>
      <c r="J69" s="30">
        <f t="shared" si="3"/>
        <v>0.1941666667</v>
      </c>
      <c r="K69" s="21"/>
      <c r="L69" s="21"/>
    </row>
    <row r="70">
      <c r="A70" s="19" t="str">
        <f>vlookup(B70,'Player Codes'!A:D,4,)</f>
        <v>0007</v>
      </c>
      <c r="B70" s="5" t="s">
        <v>135</v>
      </c>
      <c r="C70" s="5" t="s">
        <v>13</v>
      </c>
      <c r="D70" s="5" t="s">
        <v>950</v>
      </c>
      <c r="E70" s="5">
        <v>165.9</v>
      </c>
      <c r="F70" s="21">
        <f t="shared" si="1"/>
        <v>81</v>
      </c>
      <c r="G70" s="21">
        <f>vlookup(A70,'ESPN FF Rankings'!$C$2:$H$201,2,false)</f>
        <v>52</v>
      </c>
      <c r="H70" s="21">
        <f t="shared" si="2"/>
        <v>84.9</v>
      </c>
      <c r="I70" s="23">
        <v>69.0</v>
      </c>
      <c r="J70" s="30">
        <f t="shared" si="3"/>
        <v>0.1933333333</v>
      </c>
      <c r="K70" s="21"/>
      <c r="L70" s="21"/>
    </row>
    <row r="71">
      <c r="A71" s="19" t="str">
        <f>vlookup(B71,'Player Codes'!A:D,4,)</f>
        <v>0103</v>
      </c>
      <c r="B71" s="5" t="s">
        <v>262</v>
      </c>
      <c r="C71" s="5" t="s">
        <v>30</v>
      </c>
      <c r="D71" s="5" t="s">
        <v>974</v>
      </c>
      <c r="E71" s="5">
        <v>165.8</v>
      </c>
      <c r="F71" s="21">
        <f t="shared" si="1"/>
        <v>69.6</v>
      </c>
      <c r="G71" s="21">
        <f>vlookup(A71,'ESPN FF Rankings'!$C$2:$H$201,2,false)</f>
        <v>55</v>
      </c>
      <c r="H71" s="21">
        <f t="shared" si="2"/>
        <v>96.2</v>
      </c>
      <c r="I71" s="23">
        <v>70.0</v>
      </c>
      <c r="J71" s="30">
        <f t="shared" si="3"/>
        <v>0.1925</v>
      </c>
      <c r="K71" s="21"/>
      <c r="L71" s="21"/>
    </row>
    <row r="72">
      <c r="A72" s="19" t="str">
        <f>vlookup(B72,'Player Codes'!A:D,4,)</f>
        <v>0160</v>
      </c>
      <c r="B72" s="5" t="s">
        <v>55</v>
      </c>
      <c r="C72" s="5" t="s">
        <v>13</v>
      </c>
      <c r="D72" s="5" t="s">
        <v>935</v>
      </c>
      <c r="E72" s="5">
        <v>165.5</v>
      </c>
      <c r="F72" s="21">
        <f t="shared" si="1"/>
        <v>81</v>
      </c>
      <c r="G72" s="21">
        <f>vlookup(A72,'ESPN FF Rankings'!$C$2:$H$201,2,false)</f>
        <v>21</v>
      </c>
      <c r="H72" s="21">
        <f t="shared" si="2"/>
        <v>84.5</v>
      </c>
      <c r="I72" s="23">
        <v>71.0</v>
      </c>
      <c r="J72" s="30">
        <f t="shared" si="3"/>
        <v>0.1916666667</v>
      </c>
      <c r="K72" s="21"/>
      <c r="L72" s="21"/>
    </row>
    <row r="73">
      <c r="A73" s="19" t="str">
        <f>vlookup(B73,'Player Codes'!A:D,4,)</f>
        <v>0182</v>
      </c>
      <c r="B73" s="5" t="s">
        <v>139</v>
      </c>
      <c r="C73" s="5" t="s">
        <v>30</v>
      </c>
      <c r="D73" s="5" t="s">
        <v>938</v>
      </c>
      <c r="E73" s="5">
        <v>163.6</v>
      </c>
      <c r="F73" s="21">
        <f t="shared" si="1"/>
        <v>69.6</v>
      </c>
      <c r="G73" s="21">
        <f>vlookup(A73,'ESPN FF Rankings'!$C$2:$H$201,2,false)</f>
        <v>40</v>
      </c>
      <c r="H73" s="21">
        <f t="shared" si="2"/>
        <v>94</v>
      </c>
      <c r="I73" s="23">
        <v>72.0</v>
      </c>
      <c r="J73" s="30">
        <f t="shared" si="3"/>
        <v>0.1908333333</v>
      </c>
      <c r="K73" s="21"/>
      <c r="L73" s="21"/>
    </row>
    <row r="74">
      <c r="A74" s="19" t="str">
        <f>vlookup(B74,'Player Codes'!A:D,4,)</f>
        <v>0002</v>
      </c>
      <c r="B74" s="5" t="s">
        <v>59</v>
      </c>
      <c r="C74" s="5" t="s">
        <v>13</v>
      </c>
      <c r="D74" s="5" t="s">
        <v>988</v>
      </c>
      <c r="E74" s="5">
        <v>163.0</v>
      </c>
      <c r="F74" s="21">
        <f t="shared" si="1"/>
        <v>81</v>
      </c>
      <c r="G74" s="21">
        <f>vlookup(A74,'ESPN FF Rankings'!$C$2:$H$201,2,false)</f>
        <v>23</v>
      </c>
      <c r="H74" s="21">
        <f t="shared" si="2"/>
        <v>82</v>
      </c>
      <c r="I74" s="23">
        <v>73.0</v>
      </c>
      <c r="J74" s="30">
        <f t="shared" si="3"/>
        <v>0.19</v>
      </c>
      <c r="K74" s="21"/>
      <c r="L74" s="21"/>
    </row>
    <row r="75">
      <c r="A75" s="19" t="str">
        <f>vlookup(B75,'Player Codes'!A:D,4,)</f>
        <v>0275</v>
      </c>
      <c r="B75" s="5" t="s">
        <v>159</v>
      </c>
      <c r="C75" s="5" t="s">
        <v>13</v>
      </c>
      <c r="D75" s="5" t="s">
        <v>942</v>
      </c>
      <c r="E75" s="5">
        <v>161.9</v>
      </c>
      <c r="F75" s="21">
        <f t="shared" si="1"/>
        <v>81</v>
      </c>
      <c r="G75" s="21">
        <f>vlookup(A75,'ESPN FF Rankings'!$C$2:$H$201,2,false)</f>
        <v>17</v>
      </c>
      <c r="H75" s="21">
        <f t="shared" si="2"/>
        <v>80.9</v>
      </c>
      <c r="I75" s="23">
        <v>74.0</v>
      </c>
      <c r="J75" s="30">
        <f t="shared" si="3"/>
        <v>0.1891666667</v>
      </c>
      <c r="K75" s="21"/>
      <c r="L75" s="21"/>
    </row>
    <row r="76">
      <c r="A76" s="19" t="str">
        <f>vlookup(B76,'Player Codes'!A:D,4,)</f>
        <v>0074</v>
      </c>
      <c r="B76" s="5" t="s">
        <v>163</v>
      </c>
      <c r="C76" s="5" t="s">
        <v>13</v>
      </c>
      <c r="D76" s="5" t="s">
        <v>992</v>
      </c>
      <c r="E76" s="5">
        <v>160.8</v>
      </c>
      <c r="F76" s="21">
        <f t="shared" si="1"/>
        <v>81</v>
      </c>
      <c r="G76" s="21">
        <f>vlookup(A76,'ESPN FF Rankings'!$C$2:$H$201,2,false)</f>
        <v>33</v>
      </c>
      <c r="H76" s="21">
        <f t="shared" si="2"/>
        <v>79.8</v>
      </c>
      <c r="I76" s="23">
        <v>75.0</v>
      </c>
      <c r="J76" s="30">
        <f t="shared" si="3"/>
        <v>0.1883333333</v>
      </c>
      <c r="K76" s="21"/>
      <c r="L76" s="21"/>
    </row>
    <row r="77">
      <c r="A77" s="19" t="str">
        <f>vlookup(B77,'Player Codes'!A:D,4,)</f>
        <v>0220</v>
      </c>
      <c r="B77" s="5" t="s">
        <v>155</v>
      </c>
      <c r="C77" s="5" t="s">
        <v>30</v>
      </c>
      <c r="D77" s="5" t="s">
        <v>938</v>
      </c>
      <c r="E77" s="5">
        <v>159.3</v>
      </c>
      <c r="F77" s="21">
        <f t="shared" si="1"/>
        <v>69.6</v>
      </c>
      <c r="G77" s="21">
        <f>vlookup(A77,'ESPN FF Rankings'!$C$2:$H$201,2,false)</f>
        <v>75</v>
      </c>
      <c r="H77" s="21">
        <f t="shared" si="2"/>
        <v>89.7</v>
      </c>
      <c r="I77" s="23">
        <v>76.0</v>
      </c>
      <c r="J77" s="30">
        <f t="shared" si="3"/>
        <v>0.1875</v>
      </c>
      <c r="K77" s="21"/>
      <c r="L77" s="21"/>
    </row>
    <row r="78">
      <c r="A78" s="19" t="str">
        <f>vlookup(B78,'Player Codes'!A:D,4,)</f>
        <v>0085</v>
      </c>
      <c r="B78" s="5" t="s">
        <v>102</v>
      </c>
      <c r="C78" s="5" t="s">
        <v>30</v>
      </c>
      <c r="D78" s="5" t="s">
        <v>990</v>
      </c>
      <c r="E78" s="5">
        <v>157.0</v>
      </c>
      <c r="F78" s="21">
        <f t="shared" si="1"/>
        <v>69.6</v>
      </c>
      <c r="G78" s="21">
        <f>vlookup(A78,'ESPN FF Rankings'!$C$2:$H$201,2,false)</f>
        <v>49</v>
      </c>
      <c r="H78" s="21">
        <f t="shared" si="2"/>
        <v>87.4</v>
      </c>
      <c r="I78" s="23">
        <v>77.0</v>
      </c>
      <c r="J78" s="30">
        <f t="shared" si="3"/>
        <v>0.1866666667</v>
      </c>
      <c r="K78" s="21"/>
      <c r="L78" s="21"/>
    </row>
    <row r="79">
      <c r="A79" s="19" t="str">
        <f>vlookup(B79,'Player Codes'!A:D,4,)</f>
        <v>0052</v>
      </c>
      <c r="B79" s="5" t="s">
        <v>166</v>
      </c>
      <c r="C79" s="5" t="s">
        <v>30</v>
      </c>
      <c r="D79" s="5" t="s">
        <v>1024</v>
      </c>
      <c r="E79" s="5">
        <v>157.0</v>
      </c>
      <c r="F79" s="21">
        <f t="shared" si="1"/>
        <v>69.6</v>
      </c>
      <c r="G79" s="21">
        <f>vlookup(A79,'ESPN FF Rankings'!$C$2:$H$201,2,false)</f>
        <v>47</v>
      </c>
      <c r="H79" s="21">
        <f t="shared" si="2"/>
        <v>87.4</v>
      </c>
      <c r="I79" s="23">
        <v>78.0</v>
      </c>
      <c r="J79" s="30">
        <f t="shared" si="3"/>
        <v>0.1858333333</v>
      </c>
      <c r="K79" s="21"/>
      <c r="L79" s="21"/>
    </row>
    <row r="80">
      <c r="A80" s="19" t="str">
        <f>vlookup(B80,'Player Codes'!A:D,4,)</f>
        <v>0023</v>
      </c>
      <c r="B80" s="5" t="s">
        <v>279</v>
      </c>
      <c r="C80" s="5" t="s">
        <v>30</v>
      </c>
      <c r="D80" s="5" t="s">
        <v>963</v>
      </c>
      <c r="E80" s="5">
        <v>156.9</v>
      </c>
      <c r="F80" s="21">
        <f t="shared" si="1"/>
        <v>69.6</v>
      </c>
      <c r="G80" s="21">
        <f>vlookup(A80,'ESPN FF Rankings'!$C$2:$H$201,2,false)</f>
        <v>76</v>
      </c>
      <c r="H80" s="21">
        <f t="shared" si="2"/>
        <v>87.3</v>
      </c>
      <c r="I80" s="23">
        <v>79.0</v>
      </c>
      <c r="J80" s="30">
        <f t="shared" si="3"/>
        <v>0.185</v>
      </c>
      <c r="K80" s="21"/>
      <c r="L80" s="21"/>
    </row>
    <row r="81">
      <c r="A81" s="19" t="str">
        <f>vlookup(B81,'Player Codes'!A:D,4,)</f>
        <v>0221</v>
      </c>
      <c r="B81" s="5" t="s">
        <v>83</v>
      </c>
      <c r="C81" s="5" t="s">
        <v>13</v>
      </c>
      <c r="D81" s="5" t="s">
        <v>996</v>
      </c>
      <c r="E81" s="5">
        <v>155.5</v>
      </c>
      <c r="F81" s="21">
        <f t="shared" si="1"/>
        <v>81</v>
      </c>
      <c r="G81" s="21">
        <f>vlookup(A81,'ESPN FF Rankings'!$C$2:$H$201,2,false)</f>
        <v>51</v>
      </c>
      <c r="H81" s="21">
        <f t="shared" si="2"/>
        <v>74.5</v>
      </c>
      <c r="I81" s="23">
        <v>80.0</v>
      </c>
      <c r="J81" s="30">
        <f t="shared" si="3"/>
        <v>0.1841666667</v>
      </c>
      <c r="K81" s="21"/>
      <c r="L81" s="21"/>
    </row>
    <row r="82">
      <c r="A82" s="19" t="str">
        <f>vlookup(B82,'Player Codes'!A:D,4,)</f>
        <v>0289</v>
      </c>
      <c r="B82" s="5" t="s">
        <v>179</v>
      </c>
      <c r="C82" s="5" t="s">
        <v>30</v>
      </c>
      <c r="D82" s="5" t="s">
        <v>946</v>
      </c>
      <c r="E82" s="5">
        <v>154.1</v>
      </c>
      <c r="F82" s="21">
        <f t="shared" si="1"/>
        <v>69.6</v>
      </c>
      <c r="G82" s="21">
        <f>vlookup(A82,'ESPN FF Rankings'!$C$2:$H$201,2,false)</f>
        <v>72</v>
      </c>
      <c r="H82" s="21">
        <f t="shared" si="2"/>
        <v>84.5</v>
      </c>
      <c r="I82" s="23">
        <v>81.0</v>
      </c>
      <c r="J82" s="30">
        <f t="shared" si="3"/>
        <v>0.1833333333</v>
      </c>
      <c r="K82" s="21"/>
      <c r="L82" s="21"/>
    </row>
    <row r="83">
      <c r="A83" s="19" t="str">
        <f>vlookup(B83,'Player Codes'!A:D,4,)</f>
        <v>0215</v>
      </c>
      <c r="B83" s="5" t="s">
        <v>285</v>
      </c>
      <c r="C83" s="5" t="s">
        <v>30</v>
      </c>
      <c r="D83" s="5" t="s">
        <v>961</v>
      </c>
      <c r="E83" s="5">
        <v>152.5</v>
      </c>
      <c r="F83" s="21">
        <f t="shared" si="1"/>
        <v>69.6</v>
      </c>
      <c r="G83" s="21">
        <f>vlookup(A83,'ESPN FF Rankings'!$C$2:$H$201,2,false)</f>
        <v>71</v>
      </c>
      <c r="H83" s="21">
        <f t="shared" si="2"/>
        <v>82.9</v>
      </c>
      <c r="I83" s="23">
        <v>82.0</v>
      </c>
      <c r="J83" s="30">
        <f t="shared" si="3"/>
        <v>0.1825</v>
      </c>
      <c r="K83" s="21"/>
      <c r="L83" s="21"/>
    </row>
    <row r="84">
      <c r="A84" s="19" t="str">
        <f>vlookup(B84,'Player Codes'!A:D,4,)</f>
        <v>0218</v>
      </c>
      <c r="B84" s="5" t="s">
        <v>185</v>
      </c>
      <c r="C84" s="5" t="s">
        <v>30</v>
      </c>
      <c r="D84" s="5" t="s">
        <v>1024</v>
      </c>
      <c r="E84" s="5">
        <v>152.2</v>
      </c>
      <c r="F84" s="21">
        <f t="shared" si="1"/>
        <v>69.6</v>
      </c>
      <c r="G84" s="21">
        <f>vlookup(A84,'ESPN FF Rankings'!$C$2:$H$201,2,false)</f>
        <v>66</v>
      </c>
      <c r="H84" s="21">
        <f t="shared" si="2"/>
        <v>82.6</v>
      </c>
      <c r="I84" s="23">
        <v>83.0</v>
      </c>
      <c r="J84" s="30">
        <f t="shared" si="3"/>
        <v>0.1816666667</v>
      </c>
      <c r="K84" s="21"/>
      <c r="L84" s="21"/>
    </row>
    <row r="85">
      <c r="A85" s="19" t="str">
        <f>vlookup(B85,'Player Codes'!A:D,4,)</f>
        <v>0054</v>
      </c>
      <c r="B85" s="5" t="s">
        <v>243</v>
      </c>
      <c r="C85" s="5" t="s">
        <v>30</v>
      </c>
      <c r="D85" s="5" t="s">
        <v>942</v>
      </c>
      <c r="E85" s="5">
        <v>152.0</v>
      </c>
      <c r="F85" s="21">
        <f t="shared" si="1"/>
        <v>69.6</v>
      </c>
      <c r="G85" s="21">
        <f>vlookup(A85,'ESPN FF Rankings'!$C$2:$H$201,2,false)</f>
        <v>77</v>
      </c>
      <c r="H85" s="21">
        <f t="shared" si="2"/>
        <v>82.4</v>
      </c>
      <c r="I85" s="23">
        <v>84.0</v>
      </c>
      <c r="J85" s="30">
        <f t="shared" si="3"/>
        <v>0.1808333333</v>
      </c>
      <c r="K85" s="21"/>
      <c r="L85" s="21"/>
    </row>
    <row r="86">
      <c r="A86" s="19" t="str">
        <f>vlookup(B86,'Player Codes'!A:D,4,)</f>
        <v>0114</v>
      </c>
      <c r="B86" s="5" t="s">
        <v>292</v>
      </c>
      <c r="C86" s="5" t="s">
        <v>30</v>
      </c>
      <c r="D86" s="5" t="s">
        <v>985</v>
      </c>
      <c r="E86" s="5">
        <v>151.6</v>
      </c>
      <c r="F86" s="21">
        <f t="shared" si="1"/>
        <v>69.6</v>
      </c>
      <c r="G86" s="21">
        <f>vlookup(A86,'ESPN FF Rankings'!$C$2:$H$201,2,false)</f>
        <v>87</v>
      </c>
      <c r="H86" s="21">
        <f t="shared" si="2"/>
        <v>82</v>
      </c>
      <c r="I86" s="23">
        <v>85.0</v>
      </c>
      <c r="J86" s="30">
        <f t="shared" si="3"/>
        <v>0.18</v>
      </c>
      <c r="K86" s="21"/>
      <c r="L86" s="21"/>
    </row>
    <row r="87">
      <c r="A87" s="19" t="str">
        <f>vlookup(B87,'Player Codes'!A:D,4,)</f>
        <v>0157</v>
      </c>
      <c r="B87" s="5" t="s">
        <v>246</v>
      </c>
      <c r="C87" s="5" t="s">
        <v>30</v>
      </c>
      <c r="D87" s="5" t="s">
        <v>976</v>
      </c>
      <c r="E87" s="5">
        <v>151.5</v>
      </c>
      <c r="F87" s="21">
        <f t="shared" si="1"/>
        <v>69.6</v>
      </c>
      <c r="G87" s="21">
        <f>vlookup(A87,'ESPN FF Rankings'!$C$2:$H$201,2,false)</f>
        <v>50</v>
      </c>
      <c r="H87" s="21">
        <f t="shared" si="2"/>
        <v>81.9</v>
      </c>
      <c r="I87" s="23">
        <v>86.0</v>
      </c>
      <c r="J87" s="30">
        <f t="shared" si="3"/>
        <v>0.1791666667</v>
      </c>
      <c r="K87" s="21"/>
      <c r="L87" s="21"/>
    </row>
    <row r="88">
      <c r="A88" s="19" t="str">
        <f>vlookup(B88,'Player Codes'!A:D,4,)</f>
        <v>0110</v>
      </c>
      <c r="B88" s="5" t="s">
        <v>300</v>
      </c>
      <c r="C88" s="5" t="s">
        <v>30</v>
      </c>
      <c r="D88" s="5" t="s">
        <v>929</v>
      </c>
      <c r="E88" s="5">
        <v>149.5</v>
      </c>
      <c r="F88" s="21">
        <f t="shared" si="1"/>
        <v>69.6</v>
      </c>
      <c r="G88" s="21">
        <f>vlookup(A88,'ESPN FF Rankings'!$C$2:$H$201,2,false)</f>
        <v>109</v>
      </c>
      <c r="H88" s="21">
        <f t="shared" si="2"/>
        <v>79.9</v>
      </c>
      <c r="I88" s="23">
        <v>87.0</v>
      </c>
      <c r="J88" s="30">
        <f t="shared" si="3"/>
        <v>0.1783333333</v>
      </c>
      <c r="K88" s="21"/>
      <c r="L88" s="21"/>
    </row>
    <row r="89">
      <c r="A89" s="19" t="str">
        <f>vlookup(B89,'Player Codes'!A:D,4,)</f>
        <v>0098</v>
      </c>
      <c r="B89" s="5" t="s">
        <v>257</v>
      </c>
      <c r="C89" s="5" t="s">
        <v>30</v>
      </c>
      <c r="D89" s="5" t="s">
        <v>985</v>
      </c>
      <c r="E89" s="5">
        <v>149.4</v>
      </c>
      <c r="F89" s="21">
        <f t="shared" si="1"/>
        <v>69.6</v>
      </c>
      <c r="G89" s="21">
        <f>vlookup(A89,'ESPN FF Rankings'!$C$2:$H$201,2,false)</f>
        <v>69</v>
      </c>
      <c r="H89" s="21">
        <f t="shared" si="2"/>
        <v>79.8</v>
      </c>
      <c r="I89" s="23">
        <v>88.0</v>
      </c>
      <c r="J89" s="30">
        <f t="shared" si="3"/>
        <v>0.1775</v>
      </c>
      <c r="K89" s="21"/>
      <c r="L89" s="21"/>
    </row>
    <row r="90">
      <c r="A90" s="19" t="str">
        <f>vlookup(B90,'Player Codes'!A:D,4,)</f>
        <v>0130</v>
      </c>
      <c r="B90" s="5" t="s">
        <v>142</v>
      </c>
      <c r="C90" s="5" t="s">
        <v>13</v>
      </c>
      <c r="D90" s="5" t="s">
        <v>933</v>
      </c>
      <c r="E90" s="5">
        <v>148.6</v>
      </c>
      <c r="F90" s="21">
        <f t="shared" si="1"/>
        <v>81</v>
      </c>
      <c r="G90" s="21">
        <f>vlookup(A90,'ESPN FF Rankings'!$C$2:$H$201,2,false)</f>
        <v>65</v>
      </c>
      <c r="H90" s="21">
        <f t="shared" si="2"/>
        <v>67.6</v>
      </c>
      <c r="I90" s="23">
        <v>89.0</v>
      </c>
      <c r="J90" s="30">
        <f t="shared" si="3"/>
        <v>0.1766666667</v>
      </c>
      <c r="K90" s="21"/>
      <c r="L90" s="21"/>
    </row>
    <row r="91">
      <c r="A91" s="19" t="str">
        <f>vlookup(B91,'Player Codes'!A:D,4,)</f>
        <v>0131</v>
      </c>
      <c r="B91" s="5" t="s">
        <v>217</v>
      </c>
      <c r="C91" s="5" t="s">
        <v>13</v>
      </c>
      <c r="D91" s="5" t="s">
        <v>1007</v>
      </c>
      <c r="E91" s="5">
        <v>148.1</v>
      </c>
      <c r="F91" s="21">
        <f t="shared" si="1"/>
        <v>81</v>
      </c>
      <c r="G91" s="21">
        <f>vlookup(A91,'ESPN FF Rankings'!$C$2:$H$201,2,false)</f>
        <v>60</v>
      </c>
      <c r="H91" s="21">
        <f t="shared" si="2"/>
        <v>67.1</v>
      </c>
      <c r="I91" s="23">
        <v>90.0</v>
      </c>
      <c r="J91" s="30">
        <f t="shared" si="3"/>
        <v>0.1758333333</v>
      </c>
      <c r="K91" s="21"/>
      <c r="L91" s="21"/>
    </row>
    <row r="92">
      <c r="A92" s="19" t="str">
        <f>vlookup(B92,'Player Codes'!A:D,4,)</f>
        <v>0143</v>
      </c>
      <c r="B92" s="5" t="s">
        <v>98</v>
      </c>
      <c r="C92" s="5" t="s">
        <v>13</v>
      </c>
      <c r="D92" s="5" t="s">
        <v>1040</v>
      </c>
      <c r="E92" s="5">
        <v>147.5</v>
      </c>
      <c r="F92" s="21">
        <f t="shared" si="1"/>
        <v>81</v>
      </c>
      <c r="G92" s="21">
        <f>vlookup(A92,'ESPN FF Rankings'!$C$2:$H$201,2,false)</f>
        <v>35</v>
      </c>
      <c r="H92" s="21">
        <f t="shared" si="2"/>
        <v>66.5</v>
      </c>
      <c r="I92" s="23">
        <v>91.0</v>
      </c>
      <c r="J92" s="30">
        <f t="shared" si="3"/>
        <v>0.175</v>
      </c>
      <c r="K92" s="21"/>
      <c r="L92" s="21"/>
    </row>
    <row r="93">
      <c r="A93" s="19" t="str">
        <f>vlookup(B93,'Player Codes'!A:D,4,)</f>
        <v>0204</v>
      </c>
      <c r="B93" s="5" t="s">
        <v>214</v>
      </c>
      <c r="C93" s="5" t="s">
        <v>30</v>
      </c>
      <c r="D93" s="5" t="s">
        <v>1040</v>
      </c>
      <c r="E93" s="5">
        <v>147.0</v>
      </c>
      <c r="F93" s="21">
        <f t="shared" si="1"/>
        <v>69.6</v>
      </c>
      <c r="G93" s="21">
        <f>vlookup(A93,'ESPN FF Rankings'!$C$2:$H$201,2,false)</f>
        <v>83</v>
      </c>
      <c r="H93" s="21">
        <f t="shared" si="2"/>
        <v>77.4</v>
      </c>
      <c r="I93" s="23">
        <v>92.0</v>
      </c>
      <c r="J93" s="30">
        <f t="shared" si="3"/>
        <v>0.1741666667</v>
      </c>
      <c r="K93" s="21"/>
      <c r="L93" s="21"/>
    </row>
    <row r="94">
      <c r="A94" s="19" t="str">
        <f>vlookup(B94,'Player Codes'!A:D,4,)</f>
        <v>0175</v>
      </c>
      <c r="B94" s="5" t="s">
        <v>517</v>
      </c>
      <c r="C94" s="2" t="s">
        <v>516</v>
      </c>
      <c r="D94" s="5" t="s">
        <v>1007</v>
      </c>
      <c r="E94" s="5">
        <v>145.9</v>
      </c>
      <c r="F94" s="21">
        <f t="shared" si="1"/>
        <v>119.1</v>
      </c>
      <c r="G94" s="21">
        <f>vlookup(A94,'ESPN FF Rankings'!$C$2:$H$201,2,false)</f>
        <v>138</v>
      </c>
      <c r="H94" s="21">
        <f t="shared" si="2"/>
        <v>26.8</v>
      </c>
      <c r="I94" s="23">
        <v>93.0</v>
      </c>
      <c r="J94" s="30">
        <f t="shared" si="3"/>
        <v>0.1733333333</v>
      </c>
      <c r="K94" s="21"/>
      <c r="L94" s="21"/>
    </row>
    <row r="95">
      <c r="A95" s="19" t="str">
        <f>vlookup(B95,'Player Codes'!A:D,4,)</f>
        <v>0147</v>
      </c>
      <c r="B95" s="5" t="s">
        <v>520</v>
      </c>
      <c r="C95" s="2" t="s">
        <v>516</v>
      </c>
      <c r="D95" s="5" t="s">
        <v>946</v>
      </c>
      <c r="E95" s="5">
        <v>144.7</v>
      </c>
      <c r="F95" s="21">
        <f t="shared" si="1"/>
        <v>119.1</v>
      </c>
      <c r="G95" s="21">
        <f>vlookup(A95,'ESPN FF Rankings'!$C$2:$H$201,2,false)</f>
        <v>194</v>
      </c>
      <c r="H95" s="21">
        <f t="shared" si="2"/>
        <v>25.6</v>
      </c>
      <c r="I95" s="23">
        <v>94.0</v>
      </c>
      <c r="J95" s="30">
        <f t="shared" si="3"/>
        <v>0.1725</v>
      </c>
      <c r="K95" s="21"/>
      <c r="L95" s="21"/>
    </row>
    <row r="96">
      <c r="A96" s="19" t="str">
        <f>vlookup(B96,'Player Codes'!A:D,4,)</f>
        <v>0082</v>
      </c>
      <c r="B96" s="5" t="s">
        <v>109</v>
      </c>
      <c r="C96" s="5" t="s">
        <v>13</v>
      </c>
      <c r="D96" s="5" t="s">
        <v>965</v>
      </c>
      <c r="E96" s="5">
        <v>144.4</v>
      </c>
      <c r="F96" s="21">
        <f t="shared" si="1"/>
        <v>81</v>
      </c>
      <c r="G96" s="21">
        <f>vlookup(A96,'ESPN FF Rankings'!$C$2:$H$201,2,false)</f>
        <v>73</v>
      </c>
      <c r="H96" s="21">
        <f t="shared" si="2"/>
        <v>63.4</v>
      </c>
      <c r="I96" s="23">
        <v>95.0</v>
      </c>
      <c r="J96" s="30">
        <f t="shared" si="3"/>
        <v>0.1716666667</v>
      </c>
      <c r="K96" s="21"/>
      <c r="L96" s="21"/>
    </row>
    <row r="97">
      <c r="A97" s="19" t="str">
        <f>vlookup(B97,'Player Codes'!A:D,4,)</f>
        <v>0039</v>
      </c>
      <c r="B97" s="5" t="s">
        <v>522</v>
      </c>
      <c r="C97" s="2" t="s">
        <v>516</v>
      </c>
      <c r="D97" s="5" t="s">
        <v>938</v>
      </c>
      <c r="E97" s="5">
        <v>144.4</v>
      </c>
      <c r="F97" s="21">
        <f t="shared" si="1"/>
        <v>119.1</v>
      </c>
      <c r="G97" s="21" t="str">
        <f>vlookup(A97,'ESPN FF Rankings'!$C$2:$H$201,2,false)</f>
        <v>#N/A</v>
      </c>
      <c r="H97" s="21">
        <f t="shared" si="2"/>
        <v>25.3</v>
      </c>
      <c r="I97" s="23">
        <v>96.0</v>
      </c>
      <c r="J97" s="30">
        <f t="shared" si="3"/>
        <v>0.1708333333</v>
      </c>
      <c r="K97" s="21"/>
      <c r="L97" s="21"/>
    </row>
    <row r="98">
      <c r="A98" s="19" t="str">
        <f>vlookup(B98,'Player Codes'!A:D,4,)</f>
        <v>0122</v>
      </c>
      <c r="B98" s="5" t="s">
        <v>533</v>
      </c>
      <c r="C98" s="2" t="s">
        <v>516</v>
      </c>
      <c r="D98" s="5" t="s">
        <v>933</v>
      </c>
      <c r="E98" s="5">
        <v>143.8</v>
      </c>
      <c r="F98" s="21">
        <f t="shared" si="1"/>
        <v>119.1</v>
      </c>
      <c r="G98" s="21">
        <f>vlookup(A98,'ESPN FF Rankings'!$C$2:$H$201,2,false)</f>
        <v>167</v>
      </c>
      <c r="H98" s="21">
        <f t="shared" si="2"/>
        <v>24.7</v>
      </c>
      <c r="I98" s="23">
        <v>97.0</v>
      </c>
      <c r="J98" s="30">
        <f t="shared" si="3"/>
        <v>0.17</v>
      </c>
      <c r="K98" s="21"/>
      <c r="L98" s="21"/>
    </row>
    <row r="99">
      <c r="A99" s="19" t="str">
        <f>vlookup(B99,'Player Codes'!A:D,4,)</f>
        <v>0038</v>
      </c>
      <c r="B99" s="5" t="s">
        <v>235</v>
      </c>
      <c r="C99" s="5" t="s">
        <v>13</v>
      </c>
      <c r="D99" s="5" t="s">
        <v>958</v>
      </c>
      <c r="E99" s="5">
        <v>143.2</v>
      </c>
      <c r="F99" s="21">
        <f t="shared" si="1"/>
        <v>81</v>
      </c>
      <c r="G99" s="21">
        <f>vlookup(A99,'ESPN FF Rankings'!$C$2:$H$201,2,false)</f>
        <v>54</v>
      </c>
      <c r="H99" s="21">
        <f t="shared" si="2"/>
        <v>62.2</v>
      </c>
      <c r="I99" s="23">
        <v>98.0</v>
      </c>
      <c r="J99" s="30">
        <f t="shared" si="3"/>
        <v>0.1691666667</v>
      </c>
      <c r="K99" s="21"/>
      <c r="L99" s="21"/>
    </row>
    <row r="100">
      <c r="A100" s="19" t="str">
        <f>vlookup(B100,'Player Codes'!A:D,4,)</f>
        <v>0264</v>
      </c>
      <c r="B100" s="5" t="s">
        <v>349</v>
      </c>
      <c r="C100" s="5" t="s">
        <v>191</v>
      </c>
      <c r="D100" s="5" t="s">
        <v>950</v>
      </c>
      <c r="E100" s="5">
        <v>142.6</v>
      </c>
      <c r="F100" s="21">
        <f t="shared" si="1"/>
        <v>67.4</v>
      </c>
      <c r="G100" s="21">
        <f>vlookup(A100,'ESPN FF Rankings'!$C$2:$H$201,2,false)</f>
        <v>26</v>
      </c>
      <c r="H100" s="21">
        <f t="shared" si="2"/>
        <v>75.2</v>
      </c>
      <c r="I100" s="23">
        <v>99.0</v>
      </c>
      <c r="J100" s="30">
        <f t="shared" si="3"/>
        <v>0.1683333333</v>
      </c>
      <c r="K100" s="21"/>
      <c r="L100" s="21"/>
    </row>
    <row r="101">
      <c r="A101" s="19" t="str">
        <f>vlookup(B101,'Player Codes'!A:D,4,)</f>
        <v>0165</v>
      </c>
      <c r="B101" s="5" t="s">
        <v>317</v>
      </c>
      <c r="C101" s="5" t="s">
        <v>30</v>
      </c>
      <c r="D101" s="5" t="s">
        <v>950</v>
      </c>
      <c r="E101" s="5">
        <v>141.7</v>
      </c>
      <c r="F101" s="21">
        <f t="shared" si="1"/>
        <v>69.6</v>
      </c>
      <c r="G101" s="21">
        <f>vlookup(A101,'ESPN FF Rankings'!$C$2:$H$201,2,false)</f>
        <v>99</v>
      </c>
      <c r="H101" s="21">
        <f t="shared" si="2"/>
        <v>72.1</v>
      </c>
      <c r="I101" s="23">
        <v>100.0</v>
      </c>
      <c r="J101" s="30">
        <f t="shared" si="3"/>
        <v>0.1675</v>
      </c>
      <c r="K101" s="21"/>
      <c r="L101" s="21"/>
    </row>
    <row r="102">
      <c r="A102" s="19" t="str">
        <f>vlookup(B102,'Player Codes'!A:D,4,)</f>
        <v>0120</v>
      </c>
      <c r="B102" s="5" t="s">
        <v>541</v>
      </c>
      <c r="C102" s="2" t="s">
        <v>516</v>
      </c>
      <c r="D102" s="5" t="s">
        <v>967</v>
      </c>
      <c r="E102" s="5">
        <v>141.0</v>
      </c>
      <c r="F102" s="21">
        <f t="shared" si="1"/>
        <v>119.1</v>
      </c>
      <c r="G102" s="21" t="str">
        <f>vlookup(A102,'ESPN FF Rankings'!$C$2:$H$201,2,false)</f>
        <v>#N/A</v>
      </c>
      <c r="H102" s="21">
        <f t="shared" si="2"/>
        <v>21.9</v>
      </c>
      <c r="I102" s="23">
        <v>101.0</v>
      </c>
      <c r="J102" s="30">
        <f t="shared" si="3"/>
        <v>0.1666666667</v>
      </c>
      <c r="K102" s="21"/>
      <c r="L102" s="21"/>
    </row>
    <row r="103">
      <c r="A103" s="19" t="str">
        <f>vlookup(B103,'Player Codes'!A:D,4,)</f>
        <v>0144</v>
      </c>
      <c r="B103" s="5" t="s">
        <v>249</v>
      </c>
      <c r="C103" s="5" t="s">
        <v>13</v>
      </c>
      <c r="D103" s="5" t="s">
        <v>929</v>
      </c>
      <c r="E103" s="5">
        <v>140.8</v>
      </c>
      <c r="F103" s="21">
        <f t="shared" si="1"/>
        <v>81</v>
      </c>
      <c r="G103" s="21">
        <f>vlookup(A103,'ESPN FF Rankings'!$C$2:$H$201,2,false)</f>
        <v>63</v>
      </c>
      <c r="H103" s="21">
        <f t="shared" si="2"/>
        <v>59.8</v>
      </c>
      <c r="I103" s="23">
        <v>102.0</v>
      </c>
      <c r="J103" s="30">
        <f t="shared" si="3"/>
        <v>0.1658333333</v>
      </c>
      <c r="K103" s="21"/>
      <c r="L103" s="21"/>
    </row>
    <row r="104">
      <c r="A104" s="19" t="str">
        <f>vlookup(B104,'Player Codes'!A:D,4,)</f>
        <v>0148</v>
      </c>
      <c r="B104" s="5" t="s">
        <v>548</v>
      </c>
      <c r="C104" s="2" t="s">
        <v>516</v>
      </c>
      <c r="D104" s="5" t="s">
        <v>954</v>
      </c>
      <c r="E104" s="5">
        <v>140.5</v>
      </c>
      <c r="F104" s="21">
        <f t="shared" si="1"/>
        <v>119.1</v>
      </c>
      <c r="G104" s="21">
        <f>vlookup(A104,'ESPN FF Rankings'!$C$2:$H$201,2,false)</f>
        <v>173</v>
      </c>
      <c r="H104" s="21">
        <f t="shared" si="2"/>
        <v>21.4</v>
      </c>
      <c r="I104" s="23">
        <v>103.0</v>
      </c>
      <c r="J104" s="30">
        <f t="shared" si="3"/>
        <v>0.165</v>
      </c>
      <c r="K104" s="21"/>
      <c r="L104" s="21"/>
    </row>
    <row r="105">
      <c r="A105" s="19" t="str">
        <f>vlookup(B105,'Player Codes'!A:D,4,)</f>
        <v>0149</v>
      </c>
      <c r="B105" s="5" t="s">
        <v>260</v>
      </c>
      <c r="C105" s="5" t="s">
        <v>13</v>
      </c>
      <c r="D105" s="5" t="s">
        <v>976</v>
      </c>
      <c r="E105" s="5">
        <v>140.2</v>
      </c>
      <c r="F105" s="21">
        <f t="shared" si="1"/>
        <v>81</v>
      </c>
      <c r="G105" s="21">
        <f>vlookup(A105,'ESPN FF Rankings'!$C$2:$H$201,2,false)</f>
        <v>62</v>
      </c>
      <c r="H105" s="21">
        <f t="shared" si="2"/>
        <v>59.2</v>
      </c>
      <c r="I105" s="23">
        <v>104.0</v>
      </c>
      <c r="J105" s="30">
        <f t="shared" si="3"/>
        <v>0.1641666667</v>
      </c>
      <c r="K105" s="21"/>
      <c r="L105" s="21"/>
    </row>
    <row r="106">
      <c r="A106" s="19" t="str">
        <f>vlookup(B106,'Player Codes'!A:D,4,)</f>
        <v>0108</v>
      </c>
      <c r="B106" s="5" t="s">
        <v>554</v>
      </c>
      <c r="C106" s="2" t="s">
        <v>516</v>
      </c>
      <c r="D106" s="5" t="s">
        <v>935</v>
      </c>
      <c r="E106" s="5">
        <v>139.8</v>
      </c>
      <c r="F106" s="21">
        <f t="shared" si="1"/>
        <v>119.1</v>
      </c>
      <c r="G106" s="21">
        <f>vlookup(A106,'ESPN FF Rankings'!$C$2:$H$201,2,false)</f>
        <v>145</v>
      </c>
      <c r="H106" s="21">
        <f t="shared" si="2"/>
        <v>20.7</v>
      </c>
      <c r="I106" s="23">
        <v>105.0</v>
      </c>
      <c r="J106" s="30">
        <f t="shared" si="3"/>
        <v>0.1633333333</v>
      </c>
      <c r="K106" s="21"/>
      <c r="L106" s="21"/>
    </row>
    <row r="107">
      <c r="A107" s="19" t="str">
        <f>vlookup(B107,'Player Codes'!A:D,4,)</f>
        <v>0119</v>
      </c>
      <c r="B107" s="5" t="s">
        <v>561</v>
      </c>
      <c r="C107" s="2" t="s">
        <v>516</v>
      </c>
      <c r="D107" s="5" t="s">
        <v>950</v>
      </c>
      <c r="E107" s="5">
        <v>139.3</v>
      </c>
      <c r="F107" s="21">
        <f t="shared" si="1"/>
        <v>119.1</v>
      </c>
      <c r="G107" s="21" t="str">
        <f>vlookup(A107,'ESPN FF Rankings'!$C$2:$H$201,2,false)</f>
        <v>#N/A</v>
      </c>
      <c r="H107" s="21">
        <f t="shared" si="2"/>
        <v>20.2</v>
      </c>
      <c r="I107" s="23">
        <v>106.0</v>
      </c>
      <c r="J107" s="30">
        <f t="shared" si="3"/>
        <v>0.1625</v>
      </c>
      <c r="K107" s="21"/>
      <c r="L107" s="21"/>
    </row>
    <row r="108">
      <c r="A108" s="19" t="str">
        <f>vlookup(B108,'Player Codes'!A:D,4,)</f>
        <v>0080</v>
      </c>
      <c r="B108" s="5" t="s">
        <v>325</v>
      </c>
      <c r="C108" s="5" t="s">
        <v>191</v>
      </c>
      <c r="D108" s="5" t="s">
        <v>948</v>
      </c>
      <c r="E108" s="5">
        <v>139.2</v>
      </c>
      <c r="F108" s="21">
        <f t="shared" si="1"/>
        <v>67.4</v>
      </c>
      <c r="G108" s="21">
        <f>vlookup(A108,'ESPN FF Rankings'!$C$2:$H$201,2,false)</f>
        <v>44</v>
      </c>
      <c r="H108" s="21">
        <f t="shared" si="2"/>
        <v>71.8</v>
      </c>
      <c r="I108" s="23">
        <v>107.0</v>
      </c>
      <c r="J108" s="30">
        <f t="shared" si="3"/>
        <v>0.1616666667</v>
      </c>
      <c r="K108" s="21"/>
      <c r="L108" s="21"/>
    </row>
    <row r="109">
      <c r="A109" s="19" t="str">
        <f>vlookup(B109,'Player Codes'!A:D,4,)</f>
        <v>0285</v>
      </c>
      <c r="B109" s="5" t="s">
        <v>574</v>
      </c>
      <c r="C109" s="2" t="s">
        <v>516</v>
      </c>
      <c r="D109" s="5" t="s">
        <v>929</v>
      </c>
      <c r="E109" s="5">
        <v>138.5</v>
      </c>
      <c r="F109" s="21">
        <f t="shared" si="1"/>
        <v>119.1</v>
      </c>
      <c r="G109" s="21">
        <f>vlookup(A109,'ESPN FF Rankings'!$C$2:$H$201,2,false)</f>
        <v>161</v>
      </c>
      <c r="H109" s="21">
        <f t="shared" si="2"/>
        <v>19.4</v>
      </c>
      <c r="I109" s="23">
        <v>108.0</v>
      </c>
      <c r="J109" s="30">
        <f t="shared" si="3"/>
        <v>0.1608333333</v>
      </c>
      <c r="K109" s="21"/>
      <c r="L109" s="21"/>
    </row>
    <row r="110">
      <c r="A110" s="19" t="str">
        <f>vlookup(B110,'Player Codes'!A:D,4,)</f>
        <v>0024</v>
      </c>
      <c r="B110" s="5" t="s">
        <v>577</v>
      </c>
      <c r="C110" s="2" t="s">
        <v>516</v>
      </c>
      <c r="D110" s="5" t="s">
        <v>952</v>
      </c>
      <c r="E110" s="5">
        <v>138.1</v>
      </c>
      <c r="F110" s="21">
        <f t="shared" si="1"/>
        <v>119.1</v>
      </c>
      <c r="G110" s="21" t="str">
        <f>vlookup(A110,'ESPN FF Rankings'!$C$2:$H$201,2,false)</f>
        <v>#N/A</v>
      </c>
      <c r="H110" s="21">
        <f t="shared" si="2"/>
        <v>19</v>
      </c>
      <c r="I110" s="23">
        <v>109.0</v>
      </c>
      <c r="J110" s="30">
        <f t="shared" si="3"/>
        <v>0.16</v>
      </c>
      <c r="K110" s="21"/>
      <c r="L110" s="21"/>
    </row>
    <row r="111">
      <c r="A111" s="19" t="str">
        <f>vlookup(B111,'Player Codes'!A:D,4,)</f>
        <v>0113</v>
      </c>
      <c r="B111" s="5" t="s">
        <v>329</v>
      </c>
      <c r="C111" s="5" t="s">
        <v>191</v>
      </c>
      <c r="D111" s="5" t="s">
        <v>963</v>
      </c>
      <c r="E111" s="5">
        <v>137.8</v>
      </c>
      <c r="F111" s="21">
        <f t="shared" si="1"/>
        <v>67.4</v>
      </c>
      <c r="G111" s="21">
        <f>vlookup(A111,'ESPN FF Rankings'!$C$2:$H$201,2,false)</f>
        <v>58</v>
      </c>
      <c r="H111" s="21">
        <f t="shared" si="2"/>
        <v>70.4</v>
      </c>
      <c r="I111" s="23">
        <v>110.0</v>
      </c>
      <c r="J111" s="30">
        <f t="shared" si="3"/>
        <v>0.1591666667</v>
      </c>
      <c r="K111" s="21"/>
      <c r="L111" s="21"/>
    </row>
    <row r="112">
      <c r="A112" s="19" t="str">
        <f>vlookup(B112,'Player Codes'!A:D,4,)</f>
        <v>0188</v>
      </c>
      <c r="B112" s="5" t="s">
        <v>225</v>
      </c>
      <c r="C112" s="5" t="s">
        <v>13</v>
      </c>
      <c r="D112" s="5" t="s">
        <v>940</v>
      </c>
      <c r="E112" s="5">
        <v>137.2</v>
      </c>
      <c r="F112" s="21">
        <f t="shared" si="1"/>
        <v>81</v>
      </c>
      <c r="G112" s="21">
        <f>vlookup(A112,'ESPN FF Rankings'!$C$2:$H$201,2,false)</f>
        <v>90</v>
      </c>
      <c r="H112" s="21">
        <f t="shared" si="2"/>
        <v>56.2</v>
      </c>
      <c r="I112" s="23">
        <v>111.0</v>
      </c>
      <c r="J112" s="30">
        <f t="shared" si="3"/>
        <v>0.1583333333</v>
      </c>
      <c r="K112" s="21"/>
      <c r="L112" s="21"/>
    </row>
    <row r="113">
      <c r="A113" s="19" t="str">
        <f>vlookup(B113,'Player Codes'!A:D,4,)</f>
        <v>0279</v>
      </c>
      <c r="B113" s="5" t="s">
        <v>337</v>
      </c>
      <c r="C113" s="5" t="s">
        <v>30</v>
      </c>
      <c r="D113" s="5" t="s">
        <v>990</v>
      </c>
      <c r="E113" s="5">
        <v>137.2</v>
      </c>
      <c r="F113" s="21">
        <f t="shared" si="1"/>
        <v>69.6</v>
      </c>
      <c r="G113" s="21">
        <f>vlookup(A113,'ESPN FF Rankings'!$C$2:$H$201,2,false)</f>
        <v>89</v>
      </c>
      <c r="H113" s="21">
        <f t="shared" si="2"/>
        <v>67.6</v>
      </c>
      <c r="I113" s="23">
        <v>112.0</v>
      </c>
      <c r="J113" s="30">
        <f t="shared" si="3"/>
        <v>0.1575</v>
      </c>
      <c r="K113" s="21"/>
      <c r="L113" s="21"/>
    </row>
    <row r="114">
      <c r="A114" s="19" t="str">
        <f>vlookup(B114,'Player Codes'!A:D,4,)</f>
        <v>0248</v>
      </c>
      <c r="B114" s="5" t="s">
        <v>582</v>
      </c>
      <c r="C114" s="2" t="s">
        <v>516</v>
      </c>
      <c r="D114" s="5" t="s">
        <v>965</v>
      </c>
      <c r="E114" s="5">
        <v>137.0</v>
      </c>
      <c r="F114" s="21">
        <f t="shared" si="1"/>
        <v>119.1</v>
      </c>
      <c r="G114" s="21" t="str">
        <f>vlookup(A114,'ESPN FF Rankings'!$C$2:$H$201,2,false)</f>
        <v>#N/A</v>
      </c>
      <c r="H114" s="21">
        <f t="shared" si="2"/>
        <v>17.9</v>
      </c>
      <c r="I114" s="23">
        <v>113.0</v>
      </c>
      <c r="J114" s="30">
        <f t="shared" si="3"/>
        <v>0.1566666667</v>
      </c>
      <c r="K114" s="21"/>
      <c r="L114" s="21"/>
    </row>
    <row r="115">
      <c r="A115" s="19" t="str">
        <f>vlookup(B115,'Player Codes'!A:D,4,)</f>
        <v>0138</v>
      </c>
      <c r="B115" s="5" t="s">
        <v>587</v>
      </c>
      <c r="C115" s="2" t="s">
        <v>516</v>
      </c>
      <c r="D115" s="5" t="s">
        <v>963</v>
      </c>
      <c r="E115" s="5">
        <v>136.4</v>
      </c>
      <c r="F115" s="21">
        <f t="shared" si="1"/>
        <v>119.1</v>
      </c>
      <c r="G115" s="21" t="str">
        <f>vlookup(A115,'ESPN FF Rankings'!$C$2:$H$201,2,false)</f>
        <v>#N/A</v>
      </c>
      <c r="H115" s="21">
        <f t="shared" si="2"/>
        <v>17.3</v>
      </c>
      <c r="I115" s="23">
        <v>114.0</v>
      </c>
      <c r="J115" s="30">
        <f t="shared" si="3"/>
        <v>0.1558333333</v>
      </c>
      <c r="K115" s="21"/>
      <c r="L115" s="21"/>
    </row>
    <row r="116">
      <c r="A116" s="19" t="str">
        <f>vlookup(B116,'Player Codes'!A:D,4,)</f>
        <v>0025</v>
      </c>
      <c r="B116" s="5" t="s">
        <v>597</v>
      </c>
      <c r="C116" s="2" t="s">
        <v>516</v>
      </c>
      <c r="D116" s="5" t="s">
        <v>942</v>
      </c>
      <c r="E116" s="5">
        <v>136.2</v>
      </c>
      <c r="F116" s="21">
        <f t="shared" si="1"/>
        <v>119.1</v>
      </c>
      <c r="G116" s="21" t="str">
        <f>vlookup(A116,'ESPN FF Rankings'!$C$2:$H$201,2,false)</f>
        <v>#N/A</v>
      </c>
      <c r="H116" s="21">
        <f t="shared" si="2"/>
        <v>17.1</v>
      </c>
      <c r="I116" s="23">
        <v>115.0</v>
      </c>
      <c r="J116" s="30">
        <f t="shared" si="3"/>
        <v>0.155</v>
      </c>
      <c r="K116" s="21"/>
      <c r="L116" s="21"/>
    </row>
    <row r="117">
      <c r="A117" s="19" t="str">
        <f>vlookup(B117,'Player Codes'!A:D,4,)</f>
        <v>0076</v>
      </c>
      <c r="B117" s="5" t="s">
        <v>600</v>
      </c>
      <c r="C117" s="2" t="s">
        <v>516</v>
      </c>
      <c r="D117" s="5" t="s">
        <v>980</v>
      </c>
      <c r="E117" s="5">
        <v>135.7</v>
      </c>
      <c r="F117" s="21">
        <f t="shared" si="1"/>
        <v>119.1</v>
      </c>
      <c r="G117" s="21">
        <f>vlookup(A117,'ESPN FF Rankings'!$C$2:$H$201,2,false)</f>
        <v>157</v>
      </c>
      <c r="H117" s="21">
        <f t="shared" si="2"/>
        <v>16.6</v>
      </c>
      <c r="I117" s="23">
        <v>116.0</v>
      </c>
      <c r="J117" s="30">
        <f t="shared" si="3"/>
        <v>0.1541666667</v>
      </c>
      <c r="K117" s="21"/>
      <c r="L117" s="21"/>
    </row>
    <row r="118">
      <c r="A118" s="19" t="str">
        <f>vlookup(B118,'Player Codes'!A:D,4,)</f>
        <v>0229</v>
      </c>
      <c r="B118" s="5" t="s">
        <v>606</v>
      </c>
      <c r="C118" s="2" t="s">
        <v>516</v>
      </c>
      <c r="D118" s="5" t="s">
        <v>1009</v>
      </c>
      <c r="E118" s="5">
        <v>134.5</v>
      </c>
      <c r="F118" s="21">
        <f t="shared" si="1"/>
        <v>119.1</v>
      </c>
      <c r="G118" s="21" t="str">
        <f>vlookup(A118,'ESPN FF Rankings'!$C$2:$H$201,2,false)</f>
        <v>#N/A</v>
      </c>
      <c r="H118" s="21">
        <f t="shared" si="2"/>
        <v>15.4</v>
      </c>
      <c r="I118" s="23">
        <v>117.0</v>
      </c>
      <c r="J118" s="30">
        <f t="shared" si="3"/>
        <v>0.1533333333</v>
      </c>
      <c r="K118" s="21"/>
      <c r="L118" s="21"/>
    </row>
    <row r="119">
      <c r="A119" s="19" t="str">
        <f>vlookup(B119,'Player Codes'!A:D,4,)</f>
        <v>0106</v>
      </c>
      <c r="B119" s="5" t="s">
        <v>313</v>
      </c>
      <c r="C119" s="5" t="s">
        <v>30</v>
      </c>
      <c r="D119" s="5" t="s">
        <v>944</v>
      </c>
      <c r="E119" s="5">
        <v>134.3</v>
      </c>
      <c r="F119" s="21">
        <f t="shared" si="1"/>
        <v>69.6</v>
      </c>
      <c r="G119" s="21">
        <f>vlookup(A119,'ESPN FF Rankings'!$C$2:$H$201,2,false)</f>
        <v>136</v>
      </c>
      <c r="H119" s="21">
        <f t="shared" si="2"/>
        <v>64.7</v>
      </c>
      <c r="I119" s="23">
        <v>118.0</v>
      </c>
      <c r="J119" s="30">
        <f t="shared" si="3"/>
        <v>0.1525</v>
      </c>
      <c r="K119" s="21"/>
      <c r="L119" s="21"/>
    </row>
    <row r="120">
      <c r="A120" s="19" t="str">
        <f>vlookup(B120,'Player Codes'!A:D,4,)</f>
        <v>0136</v>
      </c>
      <c r="B120" s="5" t="s">
        <v>609</v>
      </c>
      <c r="C120" s="2" t="s">
        <v>516</v>
      </c>
      <c r="D120" s="5" t="s">
        <v>931</v>
      </c>
      <c r="E120" s="5">
        <v>133.7</v>
      </c>
      <c r="F120" s="21">
        <f t="shared" si="1"/>
        <v>119.1</v>
      </c>
      <c r="G120" s="21">
        <f>vlookup(A120,'ESPN FF Rankings'!$C$2:$H$201,2,false)</f>
        <v>175</v>
      </c>
      <c r="H120" s="21">
        <f t="shared" si="2"/>
        <v>14.6</v>
      </c>
      <c r="I120" s="23">
        <v>119.0</v>
      </c>
      <c r="J120" s="30">
        <f t="shared" si="3"/>
        <v>0.1516666667</v>
      </c>
      <c r="K120" s="21"/>
      <c r="L120" s="21"/>
    </row>
    <row r="121">
      <c r="A121" s="19" t="str">
        <f>vlookup(B121,'Player Codes'!A:D,4,)</f>
        <v>0028</v>
      </c>
      <c r="B121" s="5" t="s">
        <v>298</v>
      </c>
      <c r="C121" s="5" t="s">
        <v>13</v>
      </c>
      <c r="D121" s="5" t="s">
        <v>1016</v>
      </c>
      <c r="E121" s="5">
        <v>133.6</v>
      </c>
      <c r="F121" s="21">
        <f t="shared" si="1"/>
        <v>81</v>
      </c>
      <c r="G121" s="21">
        <f>vlookup(A121,'ESPN FF Rankings'!$C$2:$H$201,2,false)</f>
        <v>82</v>
      </c>
      <c r="H121" s="21">
        <f t="shared" si="2"/>
        <v>52.6</v>
      </c>
      <c r="I121" s="23">
        <v>120.0</v>
      </c>
      <c r="J121" s="30">
        <f t="shared" si="3"/>
        <v>0.1508333333</v>
      </c>
      <c r="K121" s="21"/>
      <c r="L121" s="21"/>
    </row>
    <row r="122">
      <c r="A122" s="19" t="str">
        <f>vlookup(B122,'Player Codes'!A:D,4,)</f>
        <v>0295</v>
      </c>
      <c r="B122" s="5" t="s">
        <v>612</v>
      </c>
      <c r="C122" s="2" t="s">
        <v>516</v>
      </c>
      <c r="D122" s="5" t="s">
        <v>974</v>
      </c>
      <c r="E122" s="5">
        <v>133.5</v>
      </c>
      <c r="F122" s="21">
        <f t="shared" si="1"/>
        <v>119.1</v>
      </c>
      <c r="G122" s="21">
        <f>vlookup(A122,'ESPN FF Rankings'!$C$2:$H$201,2,false)</f>
        <v>187</v>
      </c>
      <c r="H122" s="21">
        <f t="shared" si="2"/>
        <v>14.4</v>
      </c>
      <c r="I122" s="23">
        <v>121.0</v>
      </c>
      <c r="J122" s="30">
        <f t="shared" si="3"/>
        <v>0.15</v>
      </c>
      <c r="K122" s="21"/>
      <c r="L122" s="21"/>
    </row>
    <row r="123">
      <c r="A123" s="19" t="str">
        <f>vlookup(B123,'Player Codes'!A:D,4,)</f>
        <v>0240</v>
      </c>
      <c r="B123" s="5" t="s">
        <v>254</v>
      </c>
      <c r="C123" s="5" t="s">
        <v>13</v>
      </c>
      <c r="D123" s="5" t="s">
        <v>1024</v>
      </c>
      <c r="E123" s="5">
        <v>133.5</v>
      </c>
      <c r="F123" s="21">
        <f t="shared" si="1"/>
        <v>81</v>
      </c>
      <c r="G123" s="21">
        <f>vlookup(A123,'ESPN FF Rankings'!$C$2:$H$201,2,false)</f>
        <v>37</v>
      </c>
      <c r="H123" s="21">
        <f t="shared" si="2"/>
        <v>52.5</v>
      </c>
      <c r="I123" s="23">
        <v>122.0</v>
      </c>
      <c r="J123" s="30">
        <f t="shared" si="3"/>
        <v>0.1491666667</v>
      </c>
      <c r="K123" s="21"/>
      <c r="L123" s="21"/>
    </row>
    <row r="124">
      <c r="A124" s="19" t="str">
        <f>vlookup(B124,'Player Codes'!A:D,4,)</f>
        <v>0294</v>
      </c>
      <c r="B124" s="5" t="s">
        <v>615</v>
      </c>
      <c r="C124" s="2" t="s">
        <v>516</v>
      </c>
      <c r="D124" s="5" t="s">
        <v>983</v>
      </c>
      <c r="E124" s="5">
        <v>132.6</v>
      </c>
      <c r="F124" s="21">
        <f t="shared" si="1"/>
        <v>119.1</v>
      </c>
      <c r="G124" s="21" t="str">
        <f>vlookup(A124,'ESPN FF Rankings'!$C$2:$H$201,2,false)</f>
        <v>#N/A</v>
      </c>
      <c r="H124" s="21">
        <f t="shared" si="2"/>
        <v>13.5</v>
      </c>
      <c r="I124" s="23">
        <v>123.0</v>
      </c>
      <c r="J124" s="30">
        <f t="shared" si="3"/>
        <v>0.1483333333</v>
      </c>
      <c r="K124" s="21"/>
      <c r="L124" s="21"/>
    </row>
    <row r="125">
      <c r="A125" s="19" t="str">
        <f>vlookup(B125,'Player Codes'!A:D,4,)</f>
        <v>0010</v>
      </c>
      <c r="B125" s="5" t="s">
        <v>205</v>
      </c>
      <c r="C125" s="5" t="s">
        <v>13</v>
      </c>
      <c r="D125" s="5" t="s">
        <v>983</v>
      </c>
      <c r="E125" s="5">
        <v>132.4</v>
      </c>
      <c r="F125" s="21">
        <f t="shared" si="1"/>
        <v>81</v>
      </c>
      <c r="G125" s="21">
        <f>vlookup(A125,'ESPN FF Rankings'!$C$2:$H$201,2,false)</f>
        <v>61</v>
      </c>
      <c r="H125" s="21">
        <f t="shared" si="2"/>
        <v>51.4</v>
      </c>
      <c r="I125" s="23">
        <v>124.0</v>
      </c>
      <c r="J125" s="30">
        <f t="shared" si="3"/>
        <v>0.1475</v>
      </c>
      <c r="K125" s="21"/>
      <c r="L125" s="21"/>
    </row>
    <row r="126">
      <c r="A126" s="19" t="str">
        <f>vlookup(B126,'Player Codes'!A:D,4,)</f>
        <v>0034</v>
      </c>
      <c r="B126" s="5" t="s">
        <v>617</v>
      </c>
      <c r="C126" s="2" t="s">
        <v>516</v>
      </c>
      <c r="D126" s="5" t="s">
        <v>944</v>
      </c>
      <c r="E126" s="5">
        <v>132.4</v>
      </c>
      <c r="F126" s="21">
        <f t="shared" si="1"/>
        <v>119.1</v>
      </c>
      <c r="G126" s="21" t="str">
        <f>vlookup(A126,'ESPN FF Rankings'!$C$2:$H$201,2,false)</f>
        <v>#N/A</v>
      </c>
      <c r="H126" s="21">
        <f t="shared" si="2"/>
        <v>13.3</v>
      </c>
      <c r="I126" s="23">
        <v>125.0</v>
      </c>
      <c r="J126" s="30">
        <f t="shared" si="3"/>
        <v>0.1466666667</v>
      </c>
      <c r="K126" s="21"/>
      <c r="L126" s="21"/>
    </row>
    <row r="127">
      <c r="A127" s="19" t="str">
        <f>vlookup(B127,'Player Codes'!A:D,4,)</f>
        <v>0069</v>
      </c>
      <c r="B127" s="2" t="s">
        <v>623</v>
      </c>
      <c r="C127" s="2" t="s">
        <v>1536</v>
      </c>
      <c r="D127" s="5" t="s">
        <v>952</v>
      </c>
      <c r="E127" s="5">
        <v>132.3</v>
      </c>
      <c r="F127" s="21">
        <f t="shared" si="1"/>
        <v>85.7</v>
      </c>
      <c r="G127" s="21">
        <f>vlookup(A127,'ESPN FF Rankings'!$C$2:$H$201,2,false)</f>
        <v>159</v>
      </c>
      <c r="H127" s="21">
        <f t="shared" si="2"/>
        <v>46.6</v>
      </c>
      <c r="I127" s="23">
        <v>126.0</v>
      </c>
      <c r="J127" s="30">
        <f t="shared" si="3"/>
        <v>0.1458333333</v>
      </c>
      <c r="K127" s="21"/>
      <c r="L127" s="21"/>
    </row>
    <row r="128">
      <c r="A128" s="19" t="str">
        <f>vlookup(B128,'Player Codes'!A:D,4,)</f>
        <v>0027</v>
      </c>
      <c r="B128" s="5" t="s">
        <v>633</v>
      </c>
      <c r="C128" s="2" t="s">
        <v>516</v>
      </c>
      <c r="D128" s="5" t="s">
        <v>976</v>
      </c>
      <c r="E128" s="5">
        <v>132.1</v>
      </c>
      <c r="F128" s="21">
        <f t="shared" si="1"/>
        <v>119.1</v>
      </c>
      <c r="G128" s="21" t="str">
        <f>vlookup(A128,'ESPN FF Rankings'!$C$2:$H$201,2,false)</f>
        <v>#N/A</v>
      </c>
      <c r="H128" s="21">
        <f t="shared" si="2"/>
        <v>13</v>
      </c>
      <c r="I128" s="23">
        <v>127.0</v>
      </c>
      <c r="J128" s="30">
        <f t="shared" si="3"/>
        <v>0.145</v>
      </c>
      <c r="K128" s="21"/>
      <c r="L128" s="21"/>
    </row>
    <row r="129">
      <c r="A129" s="19" t="str">
        <f>vlookup(B129,'Player Codes'!A:D,4,)</f>
        <v>0046</v>
      </c>
      <c r="B129" s="5" t="s">
        <v>635</v>
      </c>
      <c r="C129" s="2" t="s">
        <v>516</v>
      </c>
      <c r="D129" s="5" t="s">
        <v>1024</v>
      </c>
      <c r="E129" s="5">
        <v>131.4</v>
      </c>
      <c r="F129" s="21">
        <f t="shared" si="1"/>
        <v>119.1</v>
      </c>
      <c r="G129" s="21" t="str">
        <f>vlookup(A129,'ESPN FF Rankings'!$C$2:$H$201,2,false)</f>
        <v>#N/A</v>
      </c>
      <c r="H129" s="21">
        <f t="shared" si="2"/>
        <v>12.3</v>
      </c>
      <c r="I129" s="23">
        <v>128.0</v>
      </c>
      <c r="J129" s="30">
        <f t="shared" si="3"/>
        <v>0.1441666667</v>
      </c>
      <c r="K129" s="21"/>
      <c r="L129" s="21"/>
    </row>
    <row r="130">
      <c r="A130" s="19" t="str">
        <f>vlookup(B130,'Player Codes'!A:D,4,)</f>
        <v>0067</v>
      </c>
      <c r="B130" s="5" t="s">
        <v>272</v>
      </c>
      <c r="C130" s="5" t="s">
        <v>13</v>
      </c>
      <c r="D130" s="5" t="s">
        <v>931</v>
      </c>
      <c r="E130" s="5">
        <v>131.0</v>
      </c>
      <c r="F130" s="21">
        <f t="shared" si="1"/>
        <v>81</v>
      </c>
      <c r="G130" s="21">
        <f>vlookup(A130,'ESPN FF Rankings'!$C$2:$H$201,2,false)</f>
        <v>70</v>
      </c>
      <c r="H130" s="21">
        <f t="shared" si="2"/>
        <v>50</v>
      </c>
      <c r="I130" s="23">
        <v>129.0</v>
      </c>
      <c r="J130" s="30">
        <f t="shared" si="3"/>
        <v>0.1433333333</v>
      </c>
      <c r="K130" s="21"/>
      <c r="L130" s="21"/>
    </row>
    <row r="131">
      <c r="A131" s="19" t="str">
        <f>vlookup(B131,'Player Codes'!A:D,4,)</f>
        <v>0268</v>
      </c>
      <c r="B131" s="5" t="s">
        <v>637</v>
      </c>
      <c r="C131" s="2" t="s">
        <v>516</v>
      </c>
      <c r="D131" s="5" t="s">
        <v>958</v>
      </c>
      <c r="E131" s="5">
        <v>130.7</v>
      </c>
      <c r="F131" s="21">
        <f t="shared" si="1"/>
        <v>119.1</v>
      </c>
      <c r="G131" s="21" t="str">
        <f>vlookup(A131,'ESPN FF Rankings'!$C$2:$H$201,2,false)</f>
        <v>#N/A</v>
      </c>
      <c r="H131" s="21">
        <f t="shared" si="2"/>
        <v>11.6</v>
      </c>
      <c r="I131" s="23">
        <v>130.0</v>
      </c>
      <c r="J131" s="30">
        <f t="shared" si="3"/>
        <v>0.1425</v>
      </c>
      <c r="K131" s="21"/>
      <c r="L131" s="21"/>
    </row>
    <row r="132">
      <c r="A132" s="19" t="str">
        <f>vlookup(B132,'Player Codes'!A:D,4,)</f>
        <v>0258</v>
      </c>
      <c r="B132" s="2" t="s">
        <v>640</v>
      </c>
      <c r="C132" s="2" t="s">
        <v>1536</v>
      </c>
      <c r="D132" s="5" t="s">
        <v>963</v>
      </c>
      <c r="E132" s="5">
        <v>130.6</v>
      </c>
      <c r="F132" s="21">
        <f t="shared" si="1"/>
        <v>85.7</v>
      </c>
      <c r="G132" s="21">
        <f>vlookup(A132,'ESPN FF Rankings'!$C$2:$H$201,2,false)</f>
        <v>149</v>
      </c>
      <c r="H132" s="21">
        <f t="shared" si="2"/>
        <v>44.9</v>
      </c>
      <c r="I132" s="23">
        <v>131.0</v>
      </c>
      <c r="J132" s="30">
        <f t="shared" si="3"/>
        <v>0.1416666667</v>
      </c>
      <c r="K132" s="21"/>
      <c r="L132" s="21"/>
    </row>
    <row r="133">
      <c r="A133" s="19" t="str">
        <f>vlookup(B133,'Player Codes'!A:D,4,)</f>
        <v>0005</v>
      </c>
      <c r="B133" s="2" t="s">
        <v>309</v>
      </c>
      <c r="C133" s="5" t="s">
        <v>13</v>
      </c>
      <c r="D133" s="5" t="s">
        <v>988</v>
      </c>
      <c r="E133" s="5">
        <v>130.6</v>
      </c>
      <c r="F133" s="21">
        <f t="shared" si="1"/>
        <v>81</v>
      </c>
      <c r="G133" s="21">
        <f>vlookup(A133,'ESPN FF Rankings'!$C$2:$H$201,2,false)</f>
        <v>81</v>
      </c>
      <c r="H133" s="21">
        <f t="shared" si="2"/>
        <v>49.6</v>
      </c>
      <c r="I133" s="23">
        <v>132.0</v>
      </c>
      <c r="J133" s="30">
        <f t="shared" si="3"/>
        <v>0.1408333333</v>
      </c>
      <c r="K133" s="21"/>
      <c r="L133" s="21"/>
    </row>
    <row r="134">
      <c r="A134" s="19" t="str">
        <f>vlookup(B134,'Player Codes'!A:D,4,)</f>
        <v>0239</v>
      </c>
      <c r="B134" s="5" t="s">
        <v>380</v>
      </c>
      <c r="C134" s="5" t="s">
        <v>30</v>
      </c>
      <c r="D134" s="5" t="s">
        <v>938</v>
      </c>
      <c r="E134" s="5">
        <v>130.6</v>
      </c>
      <c r="F134" s="21">
        <f t="shared" si="1"/>
        <v>69.6</v>
      </c>
      <c r="G134" s="21">
        <f>vlookup(A134,'ESPN FF Rankings'!$C$2:$H$201,2,false)</f>
        <v>124</v>
      </c>
      <c r="H134" s="21">
        <f t="shared" si="2"/>
        <v>61</v>
      </c>
      <c r="I134" s="23">
        <v>133.0</v>
      </c>
      <c r="J134" s="30">
        <f t="shared" si="3"/>
        <v>0.14</v>
      </c>
      <c r="K134" s="21"/>
      <c r="L134" s="21"/>
    </row>
    <row r="135">
      <c r="A135" s="19" t="str">
        <f>vlookup(B135,'Player Codes'!A:D,4,)</f>
        <v>0104</v>
      </c>
      <c r="B135" s="5" t="s">
        <v>657</v>
      </c>
      <c r="C135" s="2" t="s">
        <v>516</v>
      </c>
      <c r="D135" s="5" t="s">
        <v>996</v>
      </c>
      <c r="E135" s="5">
        <v>130.5</v>
      </c>
      <c r="F135" s="21">
        <f t="shared" si="1"/>
        <v>119.1</v>
      </c>
      <c r="G135" s="21" t="str">
        <f>vlookup(A135,'ESPN FF Rankings'!$C$2:$H$201,2,false)</f>
        <v>#N/A</v>
      </c>
      <c r="H135" s="21">
        <f t="shared" si="2"/>
        <v>11.4</v>
      </c>
      <c r="I135" s="23">
        <v>134.0</v>
      </c>
      <c r="J135" s="30">
        <f t="shared" si="3"/>
        <v>0.1391666667</v>
      </c>
      <c r="K135" s="21"/>
      <c r="L135" s="21"/>
    </row>
    <row r="136">
      <c r="A136" s="19" t="str">
        <f>vlookup(B136,'Player Codes'!A:D,4,)</f>
        <v>0134</v>
      </c>
      <c r="B136" s="5" t="s">
        <v>389</v>
      </c>
      <c r="C136" s="5" t="s">
        <v>30</v>
      </c>
      <c r="D136" s="5" t="s">
        <v>1016</v>
      </c>
      <c r="E136" s="5">
        <v>130.5</v>
      </c>
      <c r="F136" s="21">
        <f t="shared" si="1"/>
        <v>69.6</v>
      </c>
      <c r="G136" s="21">
        <f>vlookup(A136,'ESPN FF Rankings'!$C$2:$H$201,2,false)</f>
        <v>85</v>
      </c>
      <c r="H136" s="21">
        <f t="shared" si="2"/>
        <v>60.9</v>
      </c>
      <c r="I136" s="23">
        <v>135.0</v>
      </c>
      <c r="J136" s="30">
        <f t="shared" si="3"/>
        <v>0.1383333333</v>
      </c>
      <c r="K136" s="21"/>
      <c r="L136" s="21"/>
    </row>
    <row r="137">
      <c r="A137" s="19" t="str">
        <f>vlookup(B137,'Player Codes'!A:D,4,)</f>
        <v>0236</v>
      </c>
      <c r="B137" s="2" t="s">
        <v>662</v>
      </c>
      <c r="C137" s="2" t="s">
        <v>1536</v>
      </c>
      <c r="D137" s="5" t="s">
        <v>931</v>
      </c>
      <c r="E137" s="5">
        <v>130.2</v>
      </c>
      <c r="F137" s="21">
        <f t="shared" si="1"/>
        <v>85.7</v>
      </c>
      <c r="G137" s="21">
        <f>vlookup(A137,'ESPN FF Rankings'!$C$2:$H$201,2,false)</f>
        <v>162</v>
      </c>
      <c r="H137" s="21">
        <f t="shared" si="2"/>
        <v>44.5</v>
      </c>
      <c r="I137" s="23">
        <v>136.0</v>
      </c>
      <c r="J137" s="30">
        <f t="shared" si="3"/>
        <v>0.1375</v>
      </c>
      <c r="K137" s="21"/>
      <c r="L137" s="21"/>
    </row>
    <row r="138">
      <c r="A138" s="19" t="str">
        <f>vlookup(B138,'Player Codes'!A:D,4,)</f>
        <v>0161</v>
      </c>
      <c r="B138" s="5" t="s">
        <v>665</v>
      </c>
      <c r="C138" s="2" t="s">
        <v>516</v>
      </c>
      <c r="D138" s="5" t="s">
        <v>1016</v>
      </c>
      <c r="E138" s="5">
        <v>129.8</v>
      </c>
      <c r="F138" s="21">
        <f t="shared" si="1"/>
        <v>119.1</v>
      </c>
      <c r="G138" s="21" t="str">
        <f>vlookup(A138,'ESPN FF Rankings'!$C$2:$H$201,2,false)</f>
        <v>#N/A</v>
      </c>
      <c r="H138" s="21">
        <f t="shared" si="2"/>
        <v>10.7</v>
      </c>
      <c r="I138" s="23">
        <v>137.0</v>
      </c>
      <c r="J138" s="30">
        <f t="shared" si="3"/>
        <v>0.1366666667</v>
      </c>
      <c r="K138" s="21"/>
      <c r="L138" s="21"/>
    </row>
    <row r="139">
      <c r="A139" s="19" t="str">
        <f>vlookup(B139,'Player Codes'!A:D,4,)</f>
        <v>0015</v>
      </c>
      <c r="B139" s="5" t="s">
        <v>295</v>
      </c>
      <c r="C139" s="5" t="s">
        <v>13</v>
      </c>
      <c r="D139" s="5" t="s">
        <v>1016</v>
      </c>
      <c r="E139" s="5">
        <v>129.5</v>
      </c>
      <c r="F139" s="21">
        <f t="shared" si="1"/>
        <v>81</v>
      </c>
      <c r="G139" s="21">
        <f>vlookup(A139,'ESPN FF Rankings'!$C$2:$H$201,2,false)</f>
        <v>86</v>
      </c>
      <c r="H139" s="21">
        <f t="shared" si="2"/>
        <v>48.5</v>
      </c>
      <c r="I139" s="23">
        <v>138.0</v>
      </c>
      <c r="J139" s="30">
        <f t="shared" si="3"/>
        <v>0.1358333333</v>
      </c>
      <c r="K139" s="21"/>
      <c r="L139" s="21"/>
    </row>
    <row r="140">
      <c r="A140" s="19" t="str">
        <f>vlookup(B140,'Player Codes'!A:D,4,)</f>
        <v>0178</v>
      </c>
      <c r="B140" s="5" t="s">
        <v>670</v>
      </c>
      <c r="C140" s="2" t="s">
        <v>516</v>
      </c>
      <c r="D140" s="5" t="s">
        <v>992</v>
      </c>
      <c r="E140" s="5">
        <v>128.8</v>
      </c>
      <c r="F140" s="21">
        <f t="shared" si="1"/>
        <v>119.1</v>
      </c>
      <c r="G140" s="21" t="str">
        <f>vlookup(A140,'ESPN FF Rankings'!$C$2:$H$201,2,false)</f>
        <v>#N/A</v>
      </c>
      <c r="H140" s="21">
        <f t="shared" si="2"/>
        <v>9.7</v>
      </c>
      <c r="I140" s="23">
        <v>139.0</v>
      </c>
      <c r="J140" s="30">
        <f t="shared" si="3"/>
        <v>0.135</v>
      </c>
      <c r="K140" s="21"/>
      <c r="L140" s="21"/>
    </row>
    <row r="141">
      <c r="A141" s="19" t="str">
        <f>vlookup(B141,'Player Codes'!A:D,4,)</f>
        <v>0065</v>
      </c>
      <c r="B141" s="5" t="s">
        <v>355</v>
      </c>
      <c r="C141" s="5" t="s">
        <v>30</v>
      </c>
      <c r="D141" s="5" t="s">
        <v>976</v>
      </c>
      <c r="E141" s="5">
        <v>128.8</v>
      </c>
      <c r="F141" s="21">
        <f t="shared" si="1"/>
        <v>69.6</v>
      </c>
      <c r="G141" s="21">
        <f>vlookup(A141,'ESPN FF Rankings'!$C$2:$H$201,2,false)</f>
        <v>95</v>
      </c>
      <c r="H141" s="21">
        <f t="shared" si="2"/>
        <v>59.2</v>
      </c>
      <c r="I141" s="23">
        <v>140.0</v>
      </c>
      <c r="J141" s="30">
        <f t="shared" si="3"/>
        <v>0.1341666667</v>
      </c>
      <c r="K141" s="21"/>
      <c r="L141" s="21"/>
    </row>
    <row r="142">
      <c r="A142" s="19" t="str">
        <f>vlookup(B142,'Player Codes'!A:D,4,)</f>
        <v>0050</v>
      </c>
      <c r="B142" s="5" t="s">
        <v>676</v>
      </c>
      <c r="C142" s="2" t="s">
        <v>516</v>
      </c>
      <c r="D142" s="5" t="s">
        <v>985</v>
      </c>
      <c r="E142" s="5">
        <v>128.4</v>
      </c>
      <c r="F142" s="21">
        <f t="shared" si="1"/>
        <v>119.1</v>
      </c>
      <c r="G142" s="21" t="str">
        <f>vlookup(A142,'ESPN FF Rankings'!$C$2:$H$201,2,false)</f>
        <v>#N/A</v>
      </c>
      <c r="H142" s="21">
        <f t="shared" si="2"/>
        <v>9.3</v>
      </c>
      <c r="I142" s="23">
        <v>141.0</v>
      </c>
      <c r="J142" s="30">
        <f t="shared" si="3"/>
        <v>0.1333333333</v>
      </c>
      <c r="K142" s="21"/>
      <c r="L142" s="21"/>
    </row>
    <row r="143">
      <c r="A143" s="19" t="str">
        <f>vlookup(B143,'Player Codes'!A:D,4,)</f>
        <v>0191</v>
      </c>
      <c r="B143" s="5" t="s">
        <v>433</v>
      </c>
      <c r="C143" s="5" t="s">
        <v>191</v>
      </c>
      <c r="D143" s="5" t="s">
        <v>974</v>
      </c>
      <c r="E143" s="5">
        <v>127.8</v>
      </c>
      <c r="F143" s="21">
        <f t="shared" si="1"/>
        <v>67.4</v>
      </c>
      <c r="G143" s="21">
        <f>vlookup(A143,'ESPN FF Rankings'!$C$2:$H$201,2,false)</f>
        <v>48</v>
      </c>
      <c r="H143" s="21">
        <f t="shared" si="2"/>
        <v>60.4</v>
      </c>
      <c r="I143" s="23">
        <v>142.0</v>
      </c>
      <c r="J143" s="30">
        <f t="shared" si="3"/>
        <v>0.1325</v>
      </c>
      <c r="K143" s="21"/>
      <c r="L143" s="21"/>
    </row>
    <row r="144">
      <c r="A144" s="19" t="str">
        <f>vlookup(B144,'Player Codes'!A:D,4,)</f>
        <v>0020</v>
      </c>
      <c r="B144" s="2" t="s">
        <v>683</v>
      </c>
      <c r="C144" s="2" t="s">
        <v>1536</v>
      </c>
      <c r="D144" s="5" t="s">
        <v>1007</v>
      </c>
      <c r="E144" s="5">
        <v>126.8</v>
      </c>
      <c r="F144" s="21">
        <f t="shared" si="1"/>
        <v>85.7</v>
      </c>
      <c r="G144" s="21">
        <f>vlookup(A144,'ESPN FF Rankings'!$C$2:$H$201,2,false)</f>
        <v>171</v>
      </c>
      <c r="H144" s="21">
        <f t="shared" si="2"/>
        <v>41.1</v>
      </c>
      <c r="I144" s="23">
        <v>143.0</v>
      </c>
      <c r="J144" s="30">
        <f t="shared" si="3"/>
        <v>0.1316666667</v>
      </c>
      <c r="K144" s="21"/>
      <c r="L144" s="21"/>
    </row>
    <row r="145">
      <c r="A145" s="19" t="str">
        <f>vlookup(B145,'Player Codes'!A:D,4,)</f>
        <v>0008</v>
      </c>
      <c r="B145" s="5" t="s">
        <v>361</v>
      </c>
      <c r="C145" s="5" t="s">
        <v>30</v>
      </c>
      <c r="D145" s="5" t="s">
        <v>967</v>
      </c>
      <c r="E145" s="5">
        <v>126.3</v>
      </c>
      <c r="F145" s="21">
        <f t="shared" si="1"/>
        <v>69.6</v>
      </c>
      <c r="G145" s="21">
        <f>vlookup(A145,'ESPN FF Rankings'!$C$2:$H$201,2,false)</f>
        <v>142</v>
      </c>
      <c r="H145" s="21">
        <f t="shared" si="2"/>
        <v>56.7</v>
      </c>
      <c r="I145" s="23">
        <v>144.0</v>
      </c>
      <c r="J145" s="30">
        <f t="shared" si="3"/>
        <v>0.1308333333</v>
      </c>
      <c r="K145" s="21"/>
      <c r="L145" s="21"/>
    </row>
    <row r="146">
      <c r="A146" s="19" t="str">
        <f>vlookup(B146,'Player Codes'!A:D,4,)</f>
        <v>0150</v>
      </c>
      <c r="B146" s="5" t="s">
        <v>403</v>
      </c>
      <c r="C146" s="5" t="s">
        <v>30</v>
      </c>
      <c r="D146" s="5" t="s">
        <v>946</v>
      </c>
      <c r="E146" s="5">
        <v>126.3</v>
      </c>
      <c r="F146" s="21">
        <f t="shared" si="1"/>
        <v>69.6</v>
      </c>
      <c r="G146" s="21">
        <f>vlookup(A146,'ESPN FF Rankings'!$C$2:$H$201,2,false)</f>
        <v>102</v>
      </c>
      <c r="H146" s="21">
        <f t="shared" si="2"/>
        <v>56.7</v>
      </c>
      <c r="I146" s="23">
        <v>145.0</v>
      </c>
      <c r="J146" s="30">
        <f t="shared" si="3"/>
        <v>0.13</v>
      </c>
      <c r="K146" s="21"/>
      <c r="L146" s="21"/>
    </row>
    <row r="147">
      <c r="A147" s="19" t="str">
        <f>vlookup(B147,'Player Codes'!A:D,4,)</f>
        <v>0013</v>
      </c>
      <c r="B147" s="5" t="s">
        <v>686</v>
      </c>
      <c r="C147" s="2" t="s">
        <v>516</v>
      </c>
      <c r="D147" s="5" t="s">
        <v>988</v>
      </c>
      <c r="E147" s="5">
        <v>126.2</v>
      </c>
      <c r="F147" s="21">
        <f t="shared" si="1"/>
        <v>119.1</v>
      </c>
      <c r="G147" s="21" t="str">
        <f>vlookup(A147,'ESPN FF Rankings'!$C$2:$H$201,2,false)</f>
        <v>#N/A</v>
      </c>
      <c r="H147" s="21">
        <f t="shared" si="2"/>
        <v>7.1</v>
      </c>
      <c r="I147" s="23">
        <v>146.0</v>
      </c>
      <c r="J147" s="30">
        <f t="shared" si="3"/>
        <v>0.1291666667</v>
      </c>
      <c r="K147" s="21"/>
      <c r="L147" s="21"/>
    </row>
    <row r="148">
      <c r="A148" s="19" t="str">
        <f>vlookup(B148,'Player Codes'!A:D,4,)</f>
        <v>0116</v>
      </c>
      <c r="B148" s="5" t="s">
        <v>688</v>
      </c>
      <c r="C148" s="2" t="s">
        <v>516</v>
      </c>
      <c r="D148" s="5" t="s">
        <v>948</v>
      </c>
      <c r="E148" s="5">
        <v>126.0</v>
      </c>
      <c r="F148" s="21">
        <f t="shared" si="1"/>
        <v>119.1</v>
      </c>
      <c r="G148" s="21">
        <f>vlookup(A148,'ESPN FF Rankings'!$C$2:$H$201,2,false)</f>
        <v>190</v>
      </c>
      <c r="H148" s="21">
        <f t="shared" si="2"/>
        <v>6.9</v>
      </c>
      <c r="I148" s="23">
        <v>147.0</v>
      </c>
      <c r="J148" s="30">
        <f t="shared" si="3"/>
        <v>0.1283333333</v>
      </c>
      <c r="K148" s="21"/>
      <c r="L148" s="21"/>
    </row>
    <row r="149">
      <c r="A149" s="19" t="str">
        <f>vlookup(B149,'Player Codes'!A:D,4,)</f>
        <v>0208</v>
      </c>
      <c r="B149" s="5" t="s">
        <v>690</v>
      </c>
      <c r="C149" s="2" t="s">
        <v>516</v>
      </c>
      <c r="D149" s="5" t="s">
        <v>961</v>
      </c>
      <c r="E149" s="5">
        <v>126.0</v>
      </c>
      <c r="F149" s="21">
        <f t="shared" si="1"/>
        <v>119.1</v>
      </c>
      <c r="G149" s="21" t="str">
        <f>vlookup(A149,'ESPN FF Rankings'!$C$2:$H$201,2,false)</f>
        <v>#N/A</v>
      </c>
      <c r="H149" s="21">
        <f t="shared" si="2"/>
        <v>6.9</v>
      </c>
      <c r="I149" s="23">
        <v>148.0</v>
      </c>
      <c r="J149" s="30">
        <f t="shared" si="3"/>
        <v>0.1275</v>
      </c>
      <c r="K149" s="21"/>
      <c r="L149" s="21"/>
    </row>
    <row r="150">
      <c r="A150" s="19" t="str">
        <f>vlookup(B150,'Player Codes'!A:D,4,)</f>
        <v>0035</v>
      </c>
      <c r="B150" s="5" t="s">
        <v>699</v>
      </c>
      <c r="C150" s="2" t="s">
        <v>516</v>
      </c>
      <c r="D150" s="5" t="s">
        <v>940</v>
      </c>
      <c r="E150" s="5">
        <v>125.1</v>
      </c>
      <c r="F150" s="21">
        <f t="shared" si="1"/>
        <v>119.1</v>
      </c>
      <c r="G150" s="21" t="str">
        <f>vlookup(A150,'ESPN FF Rankings'!$C$2:$H$201,2,false)</f>
        <v>#N/A</v>
      </c>
      <c r="H150" s="21">
        <f t="shared" si="2"/>
        <v>6</v>
      </c>
      <c r="I150" s="23">
        <v>149.0</v>
      </c>
      <c r="J150" s="30">
        <f t="shared" si="3"/>
        <v>0.1266666667</v>
      </c>
      <c r="K150" s="21"/>
      <c r="L150" s="21"/>
    </row>
    <row r="151">
      <c r="A151" s="19" t="str">
        <f>vlookup(B151,'Player Codes'!A:D,4,)</f>
        <v>0022</v>
      </c>
      <c r="B151" s="5" t="s">
        <v>376</v>
      </c>
      <c r="C151" s="5" t="s">
        <v>30</v>
      </c>
      <c r="D151" s="5" t="s">
        <v>952</v>
      </c>
      <c r="E151" s="5">
        <v>125.0</v>
      </c>
      <c r="F151" s="21">
        <f t="shared" si="1"/>
        <v>69.6</v>
      </c>
      <c r="G151" s="21">
        <f>vlookup(A151,'ESPN FF Rankings'!$C$2:$H$201,2,false)</f>
        <v>97</v>
      </c>
      <c r="H151" s="21">
        <f t="shared" si="2"/>
        <v>55.4</v>
      </c>
      <c r="I151" s="23">
        <v>150.0</v>
      </c>
      <c r="J151" s="30">
        <f t="shared" si="3"/>
        <v>0.1258333333</v>
      </c>
      <c r="K151" s="21"/>
      <c r="L151" s="21"/>
    </row>
    <row r="152">
      <c r="A152" s="19" t="str">
        <f>vlookup(B152,'Player Codes'!A:D,4,)</f>
        <v>0073</v>
      </c>
      <c r="B152" s="5" t="s">
        <v>283</v>
      </c>
      <c r="C152" s="5" t="s">
        <v>13</v>
      </c>
      <c r="D152" s="5" t="s">
        <v>967</v>
      </c>
      <c r="E152" s="5">
        <v>123.6</v>
      </c>
      <c r="F152" s="21">
        <f t="shared" si="1"/>
        <v>81</v>
      </c>
      <c r="G152" s="21">
        <f>vlookup(A152,'ESPN FF Rankings'!$C$2:$H$201,2,false)</f>
        <v>79</v>
      </c>
      <c r="H152" s="21">
        <f t="shared" si="2"/>
        <v>42.6</v>
      </c>
      <c r="I152" s="23">
        <v>151.0</v>
      </c>
      <c r="J152" s="30">
        <f t="shared" si="3"/>
        <v>0.125</v>
      </c>
      <c r="K152" s="21"/>
      <c r="L152" s="21"/>
    </row>
    <row r="153">
      <c r="A153" s="19" t="str">
        <f>vlookup(B153,'Player Codes'!A:D,4,)</f>
        <v>0224</v>
      </c>
      <c r="B153" s="2" t="s">
        <v>714</v>
      </c>
      <c r="C153" s="2" t="s">
        <v>1536</v>
      </c>
      <c r="D153" s="5" t="s">
        <v>1009</v>
      </c>
      <c r="E153" s="5">
        <v>123.2</v>
      </c>
      <c r="F153" s="21">
        <f t="shared" si="1"/>
        <v>85.7</v>
      </c>
      <c r="G153" s="21" t="str">
        <f>vlookup(A153,'ESPN FF Rankings'!$C$2:$H$201,2,false)</f>
        <v>#N/A</v>
      </c>
      <c r="H153" s="21">
        <f t="shared" si="2"/>
        <v>37.5</v>
      </c>
      <c r="I153" s="23">
        <v>152.0</v>
      </c>
      <c r="J153" s="30">
        <f t="shared" si="3"/>
        <v>0.1241666667</v>
      </c>
      <c r="K153" s="21"/>
      <c r="L153" s="21"/>
    </row>
    <row r="154">
      <c r="A154" s="19" t="str">
        <f>vlookup(B154,'Player Codes'!A:D,4,)</f>
        <v>0179</v>
      </c>
      <c r="B154" s="5" t="s">
        <v>386</v>
      </c>
      <c r="C154" s="5" t="s">
        <v>30</v>
      </c>
      <c r="D154" s="5" t="s">
        <v>933</v>
      </c>
      <c r="E154" s="5">
        <v>123.2</v>
      </c>
      <c r="F154" s="21">
        <f t="shared" si="1"/>
        <v>69.6</v>
      </c>
      <c r="G154" s="21">
        <f>vlookup(A154,'ESPN FF Rankings'!$C$2:$H$201,2,false)</f>
        <v>115</v>
      </c>
      <c r="H154" s="21">
        <f t="shared" si="2"/>
        <v>53.6</v>
      </c>
      <c r="I154" s="23">
        <v>153.0</v>
      </c>
      <c r="J154" s="30">
        <f t="shared" si="3"/>
        <v>0.1233333333</v>
      </c>
      <c r="K154" s="21"/>
      <c r="L154" s="21"/>
    </row>
    <row r="155">
      <c r="A155" s="19" t="str">
        <f>vlookup(B155,'Player Codes'!A:D,4,)</f>
        <v>0245</v>
      </c>
      <c r="B155" s="5" t="s">
        <v>419</v>
      </c>
      <c r="C155" s="5" t="s">
        <v>30</v>
      </c>
      <c r="D155" s="5" t="s">
        <v>1007</v>
      </c>
      <c r="E155" s="5">
        <v>122.4</v>
      </c>
      <c r="F155" s="21">
        <f t="shared" si="1"/>
        <v>69.6</v>
      </c>
      <c r="G155" s="21">
        <f>vlookup(A155,'ESPN FF Rankings'!$C$2:$H$201,2,false)</f>
        <v>126</v>
      </c>
      <c r="H155" s="21">
        <f t="shared" si="2"/>
        <v>52.8</v>
      </c>
      <c r="I155" s="23">
        <v>154.0</v>
      </c>
      <c r="J155" s="30">
        <f t="shared" si="3"/>
        <v>0.1225</v>
      </c>
      <c r="K155" s="21"/>
      <c r="L155" s="21"/>
    </row>
    <row r="156">
      <c r="A156" s="19" t="str">
        <f>vlookup(B156,'Player Codes'!A:D,4,)</f>
        <v>0070</v>
      </c>
      <c r="B156" s="5" t="s">
        <v>411</v>
      </c>
      <c r="C156" s="5" t="s">
        <v>191</v>
      </c>
      <c r="D156" s="5" t="s">
        <v>931</v>
      </c>
      <c r="E156" s="5">
        <v>122.3</v>
      </c>
      <c r="F156" s="21">
        <f t="shared" si="1"/>
        <v>67.4</v>
      </c>
      <c r="G156" s="21">
        <f>vlookup(A156,'ESPN FF Rankings'!$C$2:$H$201,2,false)</f>
        <v>64</v>
      </c>
      <c r="H156" s="21">
        <f t="shared" si="2"/>
        <v>54.9</v>
      </c>
      <c r="I156" s="23">
        <v>155.0</v>
      </c>
      <c r="J156" s="30">
        <f t="shared" si="3"/>
        <v>0.1216666667</v>
      </c>
      <c r="K156" s="21"/>
      <c r="L156" s="21"/>
    </row>
    <row r="157">
      <c r="A157" s="19" t="str">
        <f>vlookup(B157,'Player Codes'!A:D,4,)</f>
        <v>0031</v>
      </c>
      <c r="B157" s="2" t="s">
        <v>739</v>
      </c>
      <c r="C157" s="2" t="s">
        <v>1536</v>
      </c>
      <c r="D157" s="5" t="s">
        <v>929</v>
      </c>
      <c r="E157" s="5">
        <v>121.1</v>
      </c>
      <c r="F157" s="21">
        <f t="shared" si="1"/>
        <v>85.7</v>
      </c>
      <c r="G157" s="21">
        <f>vlookup(A157,'ESPN FF Rankings'!$C$2:$H$201,2,false)</f>
        <v>154</v>
      </c>
      <c r="H157" s="21">
        <f t="shared" si="2"/>
        <v>35.4</v>
      </c>
      <c r="I157" s="23">
        <v>156.0</v>
      </c>
      <c r="J157" s="30">
        <f t="shared" si="3"/>
        <v>0.1208333333</v>
      </c>
      <c r="K157" s="21"/>
      <c r="L157" s="21"/>
    </row>
    <row r="158">
      <c r="A158" s="19" t="str">
        <f>vlookup(B158,'Player Codes'!A:D,4,)</f>
        <v>0036</v>
      </c>
      <c r="B158" s="5" t="s">
        <v>748</v>
      </c>
      <c r="C158" s="2" t="s">
        <v>516</v>
      </c>
      <c r="D158" s="5" t="s">
        <v>990</v>
      </c>
      <c r="E158" s="5">
        <v>120.8</v>
      </c>
      <c r="F158" s="21">
        <f t="shared" si="1"/>
        <v>119.1</v>
      </c>
      <c r="G158" s="21" t="str">
        <f>vlookup(A158,'ESPN FF Rankings'!$C$2:$H$201,2,false)</f>
        <v>#N/A</v>
      </c>
      <c r="H158" s="21">
        <f t="shared" si="2"/>
        <v>1.7</v>
      </c>
      <c r="I158" s="23">
        <v>157.0</v>
      </c>
      <c r="J158" s="30">
        <f t="shared" si="3"/>
        <v>0.12</v>
      </c>
      <c r="K158" s="21"/>
      <c r="L158" s="21"/>
    </row>
    <row r="159">
      <c r="A159" s="19" t="str">
        <f>vlookup(B159,'Player Codes'!A:D,4,)</f>
        <v>0234</v>
      </c>
      <c r="B159" s="5" t="s">
        <v>475</v>
      </c>
      <c r="C159" s="5" t="s">
        <v>191</v>
      </c>
      <c r="D159" s="5" t="s">
        <v>985</v>
      </c>
      <c r="E159" s="5">
        <v>120.4</v>
      </c>
      <c r="F159" s="21">
        <f t="shared" si="1"/>
        <v>67.4</v>
      </c>
      <c r="G159" s="21">
        <f>vlookup(A159,'ESPN FF Rankings'!$C$2:$H$201,2,false)</f>
        <v>93</v>
      </c>
      <c r="H159" s="21">
        <f t="shared" si="2"/>
        <v>53</v>
      </c>
      <c r="I159" s="23">
        <v>158.0</v>
      </c>
      <c r="J159" s="30">
        <f t="shared" si="3"/>
        <v>0.1191666667</v>
      </c>
      <c r="K159" s="21"/>
      <c r="L159" s="21"/>
    </row>
    <row r="160">
      <c r="A160" s="19" t="str">
        <f>vlookup(B160,'Player Codes'!A:D,4,)</f>
        <v>0019</v>
      </c>
      <c r="B160" s="5" t="s">
        <v>564</v>
      </c>
      <c r="C160" s="5" t="s">
        <v>172</v>
      </c>
      <c r="D160" s="5" t="s">
        <v>1024</v>
      </c>
      <c r="E160" s="5">
        <v>120.2</v>
      </c>
      <c r="F160" s="21">
        <f t="shared" si="1"/>
        <v>99.3</v>
      </c>
      <c r="G160" s="21" t="str">
        <f>vlookup(A160,'ESPN FF Rankings'!$C$2:$H$201,2,false)</f>
        <v>#N/A</v>
      </c>
      <c r="H160" s="21">
        <f t="shared" si="2"/>
        <v>20.9</v>
      </c>
      <c r="I160" s="23">
        <v>159.0</v>
      </c>
      <c r="J160" s="30">
        <f t="shared" si="3"/>
        <v>0.1183333333</v>
      </c>
      <c r="K160" s="21"/>
      <c r="L160" s="21"/>
    </row>
    <row r="161">
      <c r="A161" s="19" t="str">
        <f>vlookup(B161,'Player Codes'!A:D,4,)</f>
        <v>0209</v>
      </c>
      <c r="B161" s="5" t="s">
        <v>760</v>
      </c>
      <c r="C161" s="2" t="s">
        <v>516</v>
      </c>
      <c r="D161" s="5" t="s">
        <v>1040</v>
      </c>
      <c r="E161" s="5">
        <v>119.1</v>
      </c>
      <c r="F161" s="21">
        <f t="shared" si="1"/>
        <v>119.1</v>
      </c>
      <c r="G161" s="21" t="str">
        <f>vlookup(A161,'ESPN FF Rankings'!$C$2:$H$201,2,false)</f>
        <v>#N/A</v>
      </c>
      <c r="H161" s="21">
        <f t="shared" si="2"/>
        <v>0</v>
      </c>
      <c r="I161" s="23">
        <v>160.0</v>
      </c>
      <c r="J161" s="30">
        <f t="shared" si="3"/>
        <v>0.1175</v>
      </c>
      <c r="K161" s="21"/>
      <c r="L161" s="21"/>
    </row>
    <row r="162">
      <c r="A162" s="19" t="str">
        <f>vlookup(B162,'Player Codes'!A:D,4,)</f>
        <v>0040</v>
      </c>
      <c r="B162" s="2" t="s">
        <v>766</v>
      </c>
      <c r="C162" s="2" t="s">
        <v>1536</v>
      </c>
      <c r="D162" s="5" t="s">
        <v>996</v>
      </c>
      <c r="E162" s="5">
        <v>118.9</v>
      </c>
      <c r="F162" s="21">
        <f t="shared" si="1"/>
        <v>85.7</v>
      </c>
      <c r="G162" s="21" t="str">
        <f>vlookup(A162,'ESPN FF Rankings'!$C$2:$H$201,2,false)</f>
        <v>#N/A</v>
      </c>
      <c r="H162" s="21">
        <f t="shared" si="2"/>
        <v>33.2</v>
      </c>
      <c r="I162" s="23">
        <v>161.0</v>
      </c>
      <c r="J162" s="30">
        <f t="shared" si="3"/>
        <v>0.1166666667</v>
      </c>
      <c r="K162" s="21"/>
      <c r="L162" s="21"/>
    </row>
    <row r="163">
      <c r="A163" s="19" t="str">
        <f>vlookup(B163,'Player Codes'!A:D,4,)</f>
        <v>0171</v>
      </c>
      <c r="B163" s="5" t="s">
        <v>358</v>
      </c>
      <c r="C163" s="5" t="s">
        <v>30</v>
      </c>
      <c r="D163" s="5" t="s">
        <v>1009</v>
      </c>
      <c r="E163" s="5">
        <v>118.8</v>
      </c>
      <c r="F163" s="21">
        <f t="shared" si="1"/>
        <v>69.6</v>
      </c>
      <c r="G163" s="21">
        <f>vlookup(A163,'ESPN FF Rankings'!$C$2:$H$201,2,false)</f>
        <v>107</v>
      </c>
      <c r="H163" s="21">
        <f t="shared" si="2"/>
        <v>49.2</v>
      </c>
      <c r="I163" s="23">
        <v>162.0</v>
      </c>
      <c r="J163" s="30">
        <f t="shared" si="3"/>
        <v>0.1158333333</v>
      </c>
      <c r="K163" s="21"/>
      <c r="L163" s="21"/>
    </row>
    <row r="164">
      <c r="A164" s="19" t="str">
        <f>vlookup(B164,'Player Codes'!A:D,4,)</f>
        <v>0296</v>
      </c>
      <c r="B164" s="5" t="s">
        <v>368</v>
      </c>
      <c r="C164" s="5" t="s">
        <v>13</v>
      </c>
      <c r="D164" s="5" t="s">
        <v>946</v>
      </c>
      <c r="E164" s="5">
        <v>118.8</v>
      </c>
      <c r="F164" s="21">
        <f t="shared" si="1"/>
        <v>81</v>
      </c>
      <c r="G164" s="21">
        <f>vlookup(A164,'ESPN FF Rankings'!$C$2:$H$201,2,false)</f>
        <v>103</v>
      </c>
      <c r="H164" s="21">
        <f t="shared" si="2"/>
        <v>37.8</v>
      </c>
      <c r="I164" s="23">
        <v>163.0</v>
      </c>
      <c r="J164" s="30">
        <f t="shared" si="3"/>
        <v>0.115</v>
      </c>
      <c r="K164" s="21"/>
      <c r="L164" s="21"/>
    </row>
    <row r="165">
      <c r="A165" s="19" t="str">
        <f>vlookup(B165,'Player Codes'!A:D,4,)</f>
        <v>0257</v>
      </c>
      <c r="B165" s="5" t="s">
        <v>341</v>
      </c>
      <c r="C165" s="5" t="s">
        <v>13</v>
      </c>
      <c r="D165" s="5" t="s">
        <v>976</v>
      </c>
      <c r="E165" s="5">
        <v>118.4</v>
      </c>
      <c r="F165" s="21">
        <f t="shared" si="1"/>
        <v>81</v>
      </c>
      <c r="G165" s="21">
        <f>vlookup(A165,'ESPN FF Rankings'!$C$2:$H$201,2,false)</f>
        <v>91</v>
      </c>
      <c r="H165" s="21">
        <f t="shared" si="2"/>
        <v>37.4</v>
      </c>
      <c r="I165" s="23">
        <v>164.0</v>
      </c>
      <c r="J165" s="30">
        <f t="shared" si="3"/>
        <v>0.1141666667</v>
      </c>
      <c r="K165" s="21"/>
      <c r="L165" s="21"/>
    </row>
    <row r="166">
      <c r="A166" s="19" t="str">
        <f>vlookup(B166,'Player Codes'!A:D,4,)</f>
        <v>0180</v>
      </c>
      <c r="B166" s="2" t="s">
        <v>781</v>
      </c>
      <c r="C166" s="2" t="s">
        <v>1536</v>
      </c>
      <c r="D166" s="5" t="s">
        <v>933</v>
      </c>
      <c r="E166" s="5">
        <v>117.8</v>
      </c>
      <c r="F166" s="21">
        <f t="shared" si="1"/>
        <v>85.7</v>
      </c>
      <c r="G166" s="21" t="str">
        <f>vlookup(A166,'ESPN FF Rankings'!$C$2:$H$201,2,false)</f>
        <v>#N/A</v>
      </c>
      <c r="H166" s="21">
        <f t="shared" si="2"/>
        <v>32.1</v>
      </c>
      <c r="I166" s="23">
        <v>165.0</v>
      </c>
      <c r="J166" s="30">
        <f t="shared" si="3"/>
        <v>0.1133333333</v>
      </c>
      <c r="K166" s="21"/>
      <c r="L166" s="21"/>
    </row>
    <row r="167">
      <c r="A167" s="19" t="str">
        <f>vlookup(B167,'Player Codes'!A:D,4,)</f>
        <v>0059</v>
      </c>
      <c r="B167" s="2" t="s">
        <v>786</v>
      </c>
      <c r="C167" s="2" t="s">
        <v>1536</v>
      </c>
      <c r="D167" s="5" t="s">
        <v>944</v>
      </c>
      <c r="E167" s="5">
        <v>117.3</v>
      </c>
      <c r="F167" s="21">
        <f t="shared" si="1"/>
        <v>85.7</v>
      </c>
      <c r="G167" s="21" t="str">
        <f>vlookup(A167,'ESPN FF Rankings'!$C$2:$H$201,2,false)</f>
        <v>#N/A</v>
      </c>
      <c r="H167" s="21">
        <f t="shared" si="2"/>
        <v>31.6</v>
      </c>
      <c r="I167" s="23">
        <v>166.0</v>
      </c>
      <c r="J167" s="30">
        <f t="shared" si="3"/>
        <v>0.1125</v>
      </c>
      <c r="K167" s="21"/>
      <c r="L167" s="21"/>
    </row>
    <row r="168">
      <c r="A168" s="19" t="str">
        <f>vlookup(B168,'Player Codes'!A:D,4,)</f>
        <v>0216</v>
      </c>
      <c r="B168" s="5" t="s">
        <v>372</v>
      </c>
      <c r="C168" s="5" t="s">
        <v>30</v>
      </c>
      <c r="D168" s="5" t="s">
        <v>983</v>
      </c>
      <c r="E168" s="5">
        <v>117.2</v>
      </c>
      <c r="F168" s="21">
        <f t="shared" si="1"/>
        <v>69.6</v>
      </c>
      <c r="G168" s="21">
        <f>vlookup(A168,'ESPN FF Rankings'!$C$2:$H$201,2,false)</f>
        <v>104</v>
      </c>
      <c r="H168" s="21">
        <f t="shared" si="2"/>
        <v>47.6</v>
      </c>
      <c r="I168" s="23">
        <v>167.0</v>
      </c>
      <c r="J168" s="30">
        <f t="shared" si="3"/>
        <v>0.1116666667</v>
      </c>
      <c r="K168" s="21"/>
      <c r="L168" s="21"/>
    </row>
    <row r="169">
      <c r="A169" s="19" t="str">
        <f>vlookup(B169,'Player Codes'!A:D,4,)</f>
        <v>0250</v>
      </c>
      <c r="B169" s="5" t="s">
        <v>497</v>
      </c>
      <c r="C169" s="5" t="s">
        <v>30</v>
      </c>
      <c r="D169" s="5" t="s">
        <v>988</v>
      </c>
      <c r="E169" s="5">
        <v>116.7</v>
      </c>
      <c r="F169" s="21">
        <f t="shared" si="1"/>
        <v>69.6</v>
      </c>
      <c r="G169" s="21" t="str">
        <f>vlookup(A169,'ESPN FF Rankings'!$C$2:$H$201,2,false)</f>
        <v>#N/A</v>
      </c>
      <c r="H169" s="21">
        <f t="shared" si="2"/>
        <v>47.1</v>
      </c>
      <c r="I169" s="23">
        <v>168.0</v>
      </c>
      <c r="J169" s="30">
        <f t="shared" si="3"/>
        <v>0.1108333333</v>
      </c>
      <c r="K169" s="21"/>
      <c r="L169" s="21"/>
    </row>
    <row r="170">
      <c r="A170" s="19" t="str">
        <f>vlookup(B170,'Player Codes'!A:D,4,)</f>
        <v>0226</v>
      </c>
      <c r="B170" s="2" t="s">
        <v>795</v>
      </c>
      <c r="C170" s="2" t="s">
        <v>1536</v>
      </c>
      <c r="D170" s="5" t="s">
        <v>948</v>
      </c>
      <c r="E170" s="5">
        <v>116.4</v>
      </c>
      <c r="F170" s="21">
        <f t="shared" si="1"/>
        <v>85.7</v>
      </c>
      <c r="G170" s="21" t="str">
        <f>vlookup(A170,'ESPN FF Rankings'!$C$2:$H$201,2,false)</f>
        <v>#N/A</v>
      </c>
      <c r="H170" s="21">
        <f t="shared" si="2"/>
        <v>30.7</v>
      </c>
      <c r="I170" s="23">
        <v>169.0</v>
      </c>
      <c r="J170" s="30">
        <f t="shared" si="3"/>
        <v>0.11</v>
      </c>
      <c r="K170" s="21"/>
      <c r="L170" s="21"/>
    </row>
    <row r="171">
      <c r="A171" s="19" t="str">
        <f>vlookup(B171,'Player Codes'!A:D,4,)</f>
        <v>0133</v>
      </c>
      <c r="B171" s="2" t="s">
        <v>798</v>
      </c>
      <c r="C171" s="2" t="s">
        <v>1536</v>
      </c>
      <c r="D171" s="5" t="s">
        <v>942</v>
      </c>
      <c r="E171" s="5">
        <v>116.4</v>
      </c>
      <c r="F171" s="21">
        <f t="shared" si="1"/>
        <v>85.7</v>
      </c>
      <c r="G171" s="21" t="str">
        <f>vlookup(A171,'ESPN FF Rankings'!$C$2:$H$201,2,false)</f>
        <v>#N/A</v>
      </c>
      <c r="H171" s="21">
        <f t="shared" si="2"/>
        <v>30.7</v>
      </c>
      <c r="I171" s="23">
        <v>170.0</v>
      </c>
      <c r="J171" s="30">
        <f t="shared" si="3"/>
        <v>0.1091666667</v>
      </c>
      <c r="K171" s="21"/>
      <c r="L171" s="21"/>
    </row>
    <row r="172">
      <c r="A172" s="19" t="str">
        <f>vlookup(B172,'Player Codes'!A:D,4,)</f>
        <v>0058</v>
      </c>
      <c r="B172" s="2" t="s">
        <v>807</v>
      </c>
      <c r="C172" s="2" t="s">
        <v>1536</v>
      </c>
      <c r="D172" s="5" t="s">
        <v>935</v>
      </c>
      <c r="E172" s="5">
        <v>116.0</v>
      </c>
      <c r="F172" s="21">
        <f t="shared" si="1"/>
        <v>85.7</v>
      </c>
      <c r="G172" s="21">
        <f>vlookup(A172,'ESPN FF Rankings'!$C$2:$H$201,2,false)</f>
        <v>183</v>
      </c>
      <c r="H172" s="21">
        <f t="shared" si="2"/>
        <v>30.3</v>
      </c>
      <c r="I172" s="23">
        <v>171.0</v>
      </c>
      <c r="J172" s="30">
        <f t="shared" si="3"/>
        <v>0.1083333333</v>
      </c>
      <c r="K172" s="21"/>
      <c r="L172" s="21"/>
    </row>
    <row r="173">
      <c r="A173" s="19" t="str">
        <f>vlookup(B173,'Player Codes'!A:D,4,)</f>
        <v>0139</v>
      </c>
      <c r="B173" s="5" t="s">
        <v>415</v>
      </c>
      <c r="C173" s="5" t="s">
        <v>30</v>
      </c>
      <c r="D173" s="5" t="s">
        <v>980</v>
      </c>
      <c r="E173" s="5">
        <v>116.0</v>
      </c>
      <c r="F173" s="21">
        <f t="shared" si="1"/>
        <v>69.6</v>
      </c>
      <c r="G173" s="21">
        <f>vlookup(A173,'ESPN FF Rankings'!$C$2:$H$201,2,false)</f>
        <v>114</v>
      </c>
      <c r="H173" s="21">
        <f t="shared" si="2"/>
        <v>46.4</v>
      </c>
      <c r="I173" s="23">
        <v>172.0</v>
      </c>
      <c r="J173" s="30">
        <f t="shared" si="3"/>
        <v>0.1075</v>
      </c>
      <c r="K173" s="21"/>
      <c r="L173" s="21"/>
    </row>
    <row r="174">
      <c r="A174" s="19" t="str">
        <f>vlookup(B174,'Player Codes'!A:D,4,)</f>
        <v>0227</v>
      </c>
      <c r="B174" s="2" t="s">
        <v>819</v>
      </c>
      <c r="C174" s="2" t="s">
        <v>1536</v>
      </c>
      <c r="D174" s="5" t="s">
        <v>967</v>
      </c>
      <c r="E174" s="5">
        <v>115.4</v>
      </c>
      <c r="F174" s="21">
        <f t="shared" si="1"/>
        <v>85.7</v>
      </c>
      <c r="G174" s="21">
        <f>vlookup(A174,'ESPN FF Rankings'!$C$2:$H$201,2,false)</f>
        <v>193</v>
      </c>
      <c r="H174" s="21">
        <f t="shared" si="2"/>
        <v>29.7</v>
      </c>
      <c r="I174" s="23">
        <v>173.0</v>
      </c>
      <c r="J174" s="30">
        <f t="shared" si="3"/>
        <v>0.1066666667</v>
      </c>
      <c r="K174" s="21"/>
      <c r="L174" s="21"/>
    </row>
    <row r="175">
      <c r="A175" s="19" t="str">
        <f>vlookup(B175,'Player Codes'!A:D,4,)</f>
        <v>0225</v>
      </c>
      <c r="B175" s="2" t="s">
        <v>823</v>
      </c>
      <c r="C175" s="2" t="s">
        <v>1536</v>
      </c>
      <c r="D175" s="5" t="s">
        <v>983</v>
      </c>
      <c r="E175" s="5">
        <v>115.2</v>
      </c>
      <c r="F175" s="21">
        <f t="shared" si="1"/>
        <v>85.7</v>
      </c>
      <c r="G175" s="21">
        <f>vlookup(A175,'ESPN FF Rankings'!$C$2:$H$201,2,false)</f>
        <v>177</v>
      </c>
      <c r="H175" s="21">
        <f t="shared" si="2"/>
        <v>29.5</v>
      </c>
      <c r="I175" s="23">
        <v>174.0</v>
      </c>
      <c r="J175" s="30">
        <f t="shared" si="3"/>
        <v>0.1058333333</v>
      </c>
      <c r="K175" s="21"/>
      <c r="L175" s="21"/>
    </row>
    <row r="176">
      <c r="A176" s="19" t="str">
        <f>vlookup(B176,'Player Codes'!A:D,4,)</f>
        <v>0237</v>
      </c>
      <c r="B176" s="2" t="s">
        <v>825</v>
      </c>
      <c r="C176" s="2" t="s">
        <v>1536</v>
      </c>
      <c r="D176" s="5" t="s">
        <v>985</v>
      </c>
      <c r="E176" s="5">
        <v>114.3</v>
      </c>
      <c r="F176" s="21">
        <f t="shared" si="1"/>
        <v>85.7</v>
      </c>
      <c r="G176" s="21" t="str">
        <f>vlookup(A176,'ESPN FF Rankings'!$C$2:$H$201,2,false)</f>
        <v>#N/A</v>
      </c>
      <c r="H176" s="21">
        <f t="shared" si="2"/>
        <v>28.6</v>
      </c>
      <c r="I176" s="23">
        <v>175.0</v>
      </c>
      <c r="J176" s="30">
        <f t="shared" si="3"/>
        <v>0.105</v>
      </c>
      <c r="K176" s="21"/>
      <c r="L176" s="21"/>
    </row>
    <row r="177">
      <c r="A177" s="19" t="str">
        <f>vlookup(B177,'Player Codes'!A:D,4,)</f>
        <v>0107</v>
      </c>
      <c r="B177" s="5" t="s">
        <v>507</v>
      </c>
      <c r="C177" s="5" t="s">
        <v>191</v>
      </c>
      <c r="D177" s="5" t="s">
        <v>942</v>
      </c>
      <c r="E177" s="5">
        <v>113.9</v>
      </c>
      <c r="F177" s="21">
        <f t="shared" si="1"/>
        <v>67.4</v>
      </c>
      <c r="G177" s="21">
        <f>vlookup(A177,'ESPN FF Rankings'!$C$2:$H$201,2,false)</f>
        <v>80</v>
      </c>
      <c r="H177" s="21">
        <f t="shared" si="2"/>
        <v>46.5</v>
      </c>
      <c r="I177" s="23">
        <v>176.0</v>
      </c>
      <c r="J177" s="30">
        <f t="shared" si="3"/>
        <v>0.1041666667</v>
      </c>
      <c r="K177" s="21"/>
      <c r="L177" s="21"/>
    </row>
    <row r="178">
      <c r="A178" s="19" t="str">
        <f>vlookup(B178,'Player Codes'!A:D,4,)</f>
        <v>0230</v>
      </c>
      <c r="B178" s="5" t="s">
        <v>436</v>
      </c>
      <c r="C178" s="5" t="s">
        <v>30</v>
      </c>
      <c r="D178" s="5" t="s">
        <v>992</v>
      </c>
      <c r="E178" s="5">
        <v>113.9</v>
      </c>
      <c r="F178" s="21">
        <f t="shared" si="1"/>
        <v>69.6</v>
      </c>
      <c r="G178" s="21">
        <f>vlookup(A178,'ESPN FF Rankings'!$C$2:$H$201,2,false)</f>
        <v>118</v>
      </c>
      <c r="H178" s="21">
        <f t="shared" si="2"/>
        <v>44.3</v>
      </c>
      <c r="I178" s="23">
        <v>177.0</v>
      </c>
      <c r="J178" s="30">
        <f t="shared" si="3"/>
        <v>0.1033333333</v>
      </c>
      <c r="K178" s="21"/>
      <c r="L178" s="21"/>
    </row>
    <row r="179">
      <c r="A179" s="19" t="str">
        <f>vlookup(B179,'Player Codes'!A:D,4,)</f>
        <v>0262</v>
      </c>
      <c r="B179" s="5" t="s">
        <v>443</v>
      </c>
      <c r="C179" s="5" t="s">
        <v>30</v>
      </c>
      <c r="D179" s="5" t="s">
        <v>933</v>
      </c>
      <c r="E179" s="5">
        <v>112.5</v>
      </c>
      <c r="F179" s="21">
        <f t="shared" si="1"/>
        <v>69.6</v>
      </c>
      <c r="G179" s="21">
        <f>vlookup(A179,'ESPN FF Rankings'!$C$2:$H$201,2,false)</f>
        <v>153</v>
      </c>
      <c r="H179" s="21">
        <f t="shared" si="2"/>
        <v>42.9</v>
      </c>
      <c r="I179" s="23">
        <v>178.0</v>
      </c>
      <c r="J179" s="30">
        <f t="shared" si="3"/>
        <v>0.1025</v>
      </c>
      <c r="K179" s="21"/>
      <c r="L179" s="21"/>
    </row>
    <row r="180">
      <c r="A180" s="19" t="str">
        <f>vlookup(B180,'Player Codes'!A:D,4,)</f>
        <v>0266</v>
      </c>
      <c r="B180" s="5" t="s">
        <v>451</v>
      </c>
      <c r="C180" s="5" t="s">
        <v>13</v>
      </c>
      <c r="D180" s="5" t="s">
        <v>942</v>
      </c>
      <c r="E180" s="5">
        <v>112.2</v>
      </c>
      <c r="F180" s="21">
        <f t="shared" si="1"/>
        <v>81</v>
      </c>
      <c r="G180" s="21">
        <f>vlookup(A180,'ESPN FF Rankings'!$C$2:$H$201,2,false)</f>
        <v>166</v>
      </c>
      <c r="H180" s="21">
        <f t="shared" si="2"/>
        <v>31.2</v>
      </c>
      <c r="I180" s="23">
        <v>179.0</v>
      </c>
      <c r="J180" s="30">
        <f t="shared" si="3"/>
        <v>0.1016666667</v>
      </c>
      <c r="K180" s="21"/>
      <c r="L180" s="21"/>
    </row>
    <row r="181">
      <c r="A181" s="19" t="str">
        <f>vlookup(B181,'Player Codes'!A:D,4,)</f>
        <v>0299</v>
      </c>
      <c r="B181" s="5" t="s">
        <v>526</v>
      </c>
      <c r="C181" s="5" t="s">
        <v>30</v>
      </c>
      <c r="D181" s="5" t="s">
        <v>1007</v>
      </c>
      <c r="E181" s="5">
        <v>110.8</v>
      </c>
      <c r="F181" s="21">
        <f t="shared" si="1"/>
        <v>69.6</v>
      </c>
      <c r="G181" s="21">
        <f>vlookup(A181,'ESPN FF Rankings'!$C$2:$H$201,2,false)</f>
        <v>147</v>
      </c>
      <c r="H181" s="21">
        <f t="shared" si="2"/>
        <v>41.2</v>
      </c>
      <c r="I181" s="23">
        <v>180.0</v>
      </c>
      <c r="J181" s="30">
        <f t="shared" si="3"/>
        <v>0.1008333333</v>
      </c>
      <c r="K181" s="21"/>
      <c r="L181" s="21"/>
    </row>
    <row r="182">
      <c r="A182" s="19" t="str">
        <f>vlookup(B182,'Player Codes'!A:D,4,)</f>
        <v>0261</v>
      </c>
      <c r="B182" s="2" t="s">
        <v>849</v>
      </c>
      <c r="C182" s="2" t="s">
        <v>1536</v>
      </c>
      <c r="D182" s="5" t="s">
        <v>946</v>
      </c>
      <c r="E182" s="5">
        <v>110.7</v>
      </c>
      <c r="F182" s="21">
        <f t="shared" si="1"/>
        <v>85.7</v>
      </c>
      <c r="G182" s="21" t="str">
        <f>vlookup(A182,'ESPN FF Rankings'!$C$2:$H$201,2,false)</f>
        <v>#N/A</v>
      </c>
      <c r="H182" s="21">
        <f t="shared" si="2"/>
        <v>25</v>
      </c>
      <c r="I182" s="23">
        <v>181.0</v>
      </c>
      <c r="J182" s="30">
        <f t="shared" si="3"/>
        <v>0.1</v>
      </c>
      <c r="K182" s="21"/>
      <c r="L182" s="21"/>
    </row>
    <row r="183">
      <c r="A183" s="19" t="str">
        <f>vlookup(B183,'Player Codes'!A:D,4,)</f>
        <v>0048</v>
      </c>
      <c r="B183" s="5" t="s">
        <v>646</v>
      </c>
      <c r="C183" s="5" t="s">
        <v>191</v>
      </c>
      <c r="D183" s="5" t="s">
        <v>990</v>
      </c>
      <c r="E183" s="5">
        <v>110.4</v>
      </c>
      <c r="F183" s="21">
        <f t="shared" si="1"/>
        <v>67.4</v>
      </c>
      <c r="G183" s="21">
        <f>vlookup(A183,'ESPN FF Rankings'!$C$2:$H$201,2,false)</f>
        <v>123</v>
      </c>
      <c r="H183" s="21">
        <f t="shared" si="2"/>
        <v>43</v>
      </c>
      <c r="I183" s="23">
        <v>182.0</v>
      </c>
      <c r="J183" s="30">
        <f t="shared" si="3"/>
        <v>0.09916666667</v>
      </c>
      <c r="K183" s="21"/>
      <c r="L183" s="21"/>
    </row>
    <row r="184">
      <c r="A184" s="19" t="str">
        <f>vlookup(B184,'Player Codes'!A:D,4,)</f>
        <v>0163</v>
      </c>
      <c r="B184" s="5" t="s">
        <v>539</v>
      </c>
      <c r="C184" s="5" t="s">
        <v>30</v>
      </c>
      <c r="D184" s="5" t="s">
        <v>996</v>
      </c>
      <c r="E184" s="5">
        <v>110.2</v>
      </c>
      <c r="F184" s="21">
        <f t="shared" si="1"/>
        <v>69.6</v>
      </c>
      <c r="G184" s="21" t="str">
        <f>vlookup(A184,'ESPN FF Rankings'!$C$2:$H$201,2,false)</f>
        <v>#N/A</v>
      </c>
      <c r="H184" s="21">
        <f t="shared" si="2"/>
        <v>40.6</v>
      </c>
      <c r="I184" s="23">
        <v>183.0</v>
      </c>
      <c r="J184" s="30">
        <f t="shared" si="3"/>
        <v>0.09833333333</v>
      </c>
      <c r="K184" s="21"/>
      <c r="L184" s="21"/>
    </row>
    <row r="185">
      <c r="A185" s="19" t="str">
        <f>vlookup(B185,'Player Codes'!A:D,4,)</f>
        <v>0300</v>
      </c>
      <c r="B185" s="5" t="s">
        <v>454</v>
      </c>
      <c r="C185" s="5" t="s">
        <v>30</v>
      </c>
      <c r="D185" s="5" t="s">
        <v>942</v>
      </c>
      <c r="E185" s="5">
        <v>108.8</v>
      </c>
      <c r="F185" s="21">
        <f t="shared" si="1"/>
        <v>69.6</v>
      </c>
      <c r="G185" s="21">
        <f>vlookup(A185,'ESPN FF Rankings'!$C$2:$H$201,2,false)</f>
        <v>164</v>
      </c>
      <c r="H185" s="21">
        <f t="shared" si="2"/>
        <v>39.2</v>
      </c>
      <c r="I185" s="23">
        <v>184.0</v>
      </c>
      <c r="J185" s="30">
        <f t="shared" si="3"/>
        <v>0.0975</v>
      </c>
      <c r="K185" s="21"/>
      <c r="L185" s="21"/>
    </row>
    <row r="186">
      <c r="A186" s="19" t="str">
        <f>vlookup(B186,'Player Codes'!A:D,4,)</f>
        <v>0127</v>
      </c>
      <c r="B186" s="2" t="s">
        <v>858</v>
      </c>
      <c r="C186" s="2" t="s">
        <v>1536</v>
      </c>
      <c r="D186" s="5" t="s">
        <v>961</v>
      </c>
      <c r="E186" s="5">
        <v>107.6</v>
      </c>
      <c r="F186" s="21">
        <f t="shared" si="1"/>
        <v>85.7</v>
      </c>
      <c r="G186" s="21" t="str">
        <f>vlookup(A186,'ESPN FF Rankings'!$C$2:$H$201,2,false)</f>
        <v>#N/A</v>
      </c>
      <c r="H186" s="21">
        <f t="shared" si="2"/>
        <v>21.9</v>
      </c>
      <c r="I186" s="23">
        <v>185.0</v>
      </c>
      <c r="J186" s="30">
        <f t="shared" si="3"/>
        <v>0.09666666667</v>
      </c>
      <c r="K186" s="21"/>
      <c r="L186" s="21"/>
    </row>
    <row r="187">
      <c r="A187" s="19" t="str">
        <f>vlookup(B187,'Player Codes'!A:D,4,)</f>
        <v>0092</v>
      </c>
      <c r="B187" s="2" t="s">
        <v>862</v>
      </c>
      <c r="C187" s="2" t="s">
        <v>1536</v>
      </c>
      <c r="D187" s="5" t="s">
        <v>965</v>
      </c>
      <c r="E187" s="5">
        <v>107.3</v>
      </c>
      <c r="F187" s="21">
        <f t="shared" si="1"/>
        <v>85.7</v>
      </c>
      <c r="G187" s="21" t="str">
        <f>vlookup(A187,'ESPN FF Rankings'!$C$2:$H$201,2,false)</f>
        <v>#N/A</v>
      </c>
      <c r="H187" s="21">
        <f t="shared" si="2"/>
        <v>21.6</v>
      </c>
      <c r="I187" s="23">
        <v>186.0</v>
      </c>
      <c r="J187" s="30">
        <f t="shared" si="3"/>
        <v>0.09583333333</v>
      </c>
      <c r="K187" s="21"/>
      <c r="L187" s="21"/>
    </row>
    <row r="188">
      <c r="A188" s="19" t="str">
        <f>vlookup(B188,'Player Codes'!A:D,4,)</f>
        <v>0197</v>
      </c>
      <c r="B188" s="2" t="s">
        <v>865</v>
      </c>
      <c r="C188" s="2" t="s">
        <v>1536</v>
      </c>
      <c r="D188" s="5" t="s">
        <v>938</v>
      </c>
      <c r="E188" s="5">
        <v>107.1</v>
      </c>
      <c r="F188" s="21">
        <f t="shared" si="1"/>
        <v>85.7</v>
      </c>
      <c r="G188" s="21" t="str">
        <f>vlookup(A188,'ESPN FF Rankings'!$C$2:$H$201,2,false)</f>
        <v>#N/A</v>
      </c>
      <c r="H188" s="21">
        <f t="shared" si="2"/>
        <v>21.4</v>
      </c>
      <c r="I188" s="23">
        <v>187.0</v>
      </c>
      <c r="J188" s="30">
        <f t="shared" si="3"/>
        <v>0.095</v>
      </c>
      <c r="K188" s="21"/>
      <c r="L188" s="21"/>
    </row>
    <row r="189">
      <c r="A189" s="19" t="str">
        <f>vlookup(B189,'Player Codes'!A:D,4,)</f>
        <v>0265</v>
      </c>
      <c r="B189" s="2" t="s">
        <v>867</v>
      </c>
      <c r="C189" s="2" t="s">
        <v>1536</v>
      </c>
      <c r="D189" s="5" t="s">
        <v>1024</v>
      </c>
      <c r="E189" s="5">
        <v>106.6</v>
      </c>
      <c r="F189" s="21">
        <f t="shared" si="1"/>
        <v>85.7</v>
      </c>
      <c r="G189" s="21" t="str">
        <f>vlookup(A189,'ESPN FF Rankings'!$C$2:$H$201,2,false)</f>
        <v>#N/A</v>
      </c>
      <c r="H189" s="21">
        <f t="shared" si="2"/>
        <v>20.9</v>
      </c>
      <c r="I189" s="23">
        <v>188.0</v>
      </c>
      <c r="J189" s="30">
        <f t="shared" si="3"/>
        <v>0.09416666667</v>
      </c>
      <c r="K189" s="21"/>
      <c r="L189" s="21"/>
    </row>
    <row r="190">
      <c r="A190" s="19" t="str">
        <f>vlookup(B190,'Player Codes'!A:D,4,)</f>
        <v>0153</v>
      </c>
      <c r="B190" s="5" t="s">
        <v>422</v>
      </c>
      <c r="C190" s="5" t="s">
        <v>13</v>
      </c>
      <c r="D190" s="5" t="s">
        <v>985</v>
      </c>
      <c r="E190" s="5">
        <v>106.3</v>
      </c>
      <c r="F190" s="21">
        <f t="shared" si="1"/>
        <v>81</v>
      </c>
      <c r="G190" s="21">
        <f>vlookup(A190,'ESPN FF Rankings'!$C$2:$H$201,2,false)</f>
        <v>125</v>
      </c>
      <c r="H190" s="21">
        <f t="shared" si="2"/>
        <v>25.3</v>
      </c>
      <c r="I190" s="23">
        <v>189.0</v>
      </c>
      <c r="J190" s="30">
        <f t="shared" si="3"/>
        <v>0.09333333333</v>
      </c>
      <c r="K190" s="21"/>
      <c r="L190" s="21"/>
    </row>
    <row r="191">
      <c r="A191" s="19" t="str">
        <f>vlookup(B191,'Player Codes'!A:D,4,)</f>
        <v>0213</v>
      </c>
      <c r="B191" s="5" t="s">
        <v>472</v>
      </c>
      <c r="C191" s="5" t="s">
        <v>30</v>
      </c>
      <c r="D191" s="5" t="s">
        <v>952</v>
      </c>
      <c r="E191" s="5">
        <v>105.9</v>
      </c>
      <c r="F191" s="21">
        <f t="shared" si="1"/>
        <v>69.6</v>
      </c>
      <c r="G191" s="21">
        <f>vlookup(A191,'ESPN FF Rankings'!$C$2:$H$201,2,false)</f>
        <v>156</v>
      </c>
      <c r="H191" s="21">
        <f t="shared" si="2"/>
        <v>36.3</v>
      </c>
      <c r="I191" s="23">
        <v>190.0</v>
      </c>
      <c r="J191" s="30">
        <f t="shared" si="3"/>
        <v>0.0925</v>
      </c>
      <c r="K191" s="21"/>
      <c r="L191" s="21"/>
    </row>
    <row r="192">
      <c r="A192" s="19" t="str">
        <f>vlookup(B192,'Player Codes'!A:D,4,)</f>
        <v>0099</v>
      </c>
      <c r="B192" s="5" t="s">
        <v>504</v>
      </c>
      <c r="C192" s="5" t="s">
        <v>30</v>
      </c>
      <c r="D192" s="5" t="s">
        <v>996</v>
      </c>
      <c r="E192" s="5">
        <v>105.8</v>
      </c>
      <c r="F192" s="21">
        <f t="shared" si="1"/>
        <v>69.6</v>
      </c>
      <c r="G192" s="21">
        <f>vlookup(A192,'ESPN FF Rankings'!$C$2:$H$201,2,false)</f>
        <v>150</v>
      </c>
      <c r="H192" s="21">
        <f t="shared" si="2"/>
        <v>36.2</v>
      </c>
      <c r="I192" s="23">
        <v>191.0</v>
      </c>
      <c r="J192" s="30">
        <f t="shared" si="3"/>
        <v>0.09166666667</v>
      </c>
      <c r="K192" s="21"/>
      <c r="L192" s="21"/>
    </row>
    <row r="193">
      <c r="A193" s="19" t="str">
        <f>vlookup(B193,'Player Codes'!A:D,4,)</f>
        <v>0222</v>
      </c>
      <c r="B193" s="2" t="s">
        <v>874</v>
      </c>
      <c r="C193" s="2" t="s">
        <v>1536</v>
      </c>
      <c r="D193" s="5" t="s">
        <v>950</v>
      </c>
      <c r="E193" s="5">
        <v>105.7</v>
      </c>
      <c r="F193" s="21">
        <f t="shared" si="1"/>
        <v>85.7</v>
      </c>
      <c r="G193" s="21" t="str">
        <f>vlookup(A193,'ESPN FF Rankings'!$C$2:$H$201,2,false)</f>
        <v>#N/A</v>
      </c>
      <c r="H193" s="21">
        <f t="shared" si="2"/>
        <v>20</v>
      </c>
      <c r="I193" s="23">
        <v>192.0</v>
      </c>
      <c r="J193" s="30">
        <f t="shared" si="3"/>
        <v>0.09083333333</v>
      </c>
      <c r="K193" s="21"/>
      <c r="L193" s="21"/>
    </row>
    <row r="194">
      <c r="A194" s="19" t="str">
        <f>vlookup(B194,'Player Codes'!A:D,4,)</f>
        <v>0117</v>
      </c>
      <c r="B194" s="2" t="s">
        <v>876</v>
      </c>
      <c r="C194" s="2" t="s">
        <v>1536</v>
      </c>
      <c r="D194" s="5" t="s">
        <v>988</v>
      </c>
      <c r="E194" s="5">
        <v>105.3</v>
      </c>
      <c r="F194" s="21">
        <f t="shared" si="1"/>
        <v>85.7</v>
      </c>
      <c r="G194" s="21" t="str">
        <f>vlookup(A194,'ESPN FF Rankings'!$C$2:$H$201,2,false)</f>
        <v>#N/A</v>
      </c>
      <c r="H194" s="21">
        <f t="shared" si="2"/>
        <v>19.6</v>
      </c>
      <c r="I194" s="23">
        <v>193.0</v>
      </c>
      <c r="J194" s="30">
        <f t="shared" si="3"/>
        <v>0.09</v>
      </c>
      <c r="K194" s="21"/>
      <c r="L194" s="21"/>
    </row>
    <row r="195">
      <c r="A195" s="19" t="str">
        <f>vlookup(B195,'Player Codes'!A:D,4,)</f>
        <v>0232</v>
      </c>
      <c r="B195" s="5" t="s">
        <v>430</v>
      </c>
      <c r="C195" s="5" t="s">
        <v>30</v>
      </c>
      <c r="D195" s="5" t="s">
        <v>1007</v>
      </c>
      <c r="E195" s="5">
        <v>104.7</v>
      </c>
      <c r="F195" s="21">
        <f t="shared" si="1"/>
        <v>69.6</v>
      </c>
      <c r="G195" s="21">
        <f>vlookup(A195,'ESPN FF Rankings'!$C$2:$H$201,2,false)</f>
        <v>169</v>
      </c>
      <c r="H195" s="21">
        <f t="shared" si="2"/>
        <v>35.1</v>
      </c>
      <c r="I195" s="23">
        <v>194.0</v>
      </c>
      <c r="J195" s="30">
        <f t="shared" si="3"/>
        <v>0.08916666667</v>
      </c>
      <c r="K195" s="21"/>
      <c r="L195" s="21"/>
    </row>
    <row r="196">
      <c r="A196" s="19" t="str">
        <f>vlookup(B196,'Player Codes'!A:D,4,)</f>
        <v>0252</v>
      </c>
      <c r="B196" s="5" t="s">
        <v>447</v>
      </c>
      <c r="C196" s="5" t="s">
        <v>13</v>
      </c>
      <c r="D196" s="5" t="s">
        <v>940</v>
      </c>
      <c r="E196" s="5">
        <v>104.6</v>
      </c>
      <c r="F196" s="21">
        <f t="shared" si="1"/>
        <v>81</v>
      </c>
      <c r="G196" s="21" t="str">
        <f>vlookup(A196,'ESPN FF Rankings'!$C$2:$H$201,2,false)</f>
        <v>#N/A</v>
      </c>
      <c r="H196" s="21">
        <f t="shared" si="2"/>
        <v>23.6</v>
      </c>
      <c r="I196" s="23">
        <v>195.0</v>
      </c>
      <c r="J196" s="30">
        <f t="shared" si="3"/>
        <v>0.08833333333</v>
      </c>
      <c r="K196" s="21"/>
      <c r="L196" s="21"/>
    </row>
    <row r="197">
      <c r="A197" s="19" t="str">
        <f>vlookup(B197,'Player Codes'!A:D,4,)</f>
        <v>0083</v>
      </c>
      <c r="B197" s="5" t="s">
        <v>580</v>
      </c>
      <c r="C197" s="5" t="s">
        <v>191</v>
      </c>
      <c r="D197" s="5" t="s">
        <v>944</v>
      </c>
      <c r="E197" s="5">
        <v>103.5</v>
      </c>
      <c r="F197" s="21">
        <f t="shared" si="1"/>
        <v>67.4</v>
      </c>
      <c r="G197" s="21">
        <f>vlookup(A197,'ESPN FF Rankings'!$C$2:$H$201,2,false)</f>
        <v>94</v>
      </c>
      <c r="H197" s="21">
        <f t="shared" si="2"/>
        <v>36.1</v>
      </c>
      <c r="I197" s="23">
        <v>196.0</v>
      </c>
      <c r="J197" s="30">
        <f t="shared" si="3"/>
        <v>0.0875</v>
      </c>
      <c r="K197" s="21"/>
      <c r="L197" s="21"/>
    </row>
    <row r="198">
      <c r="A198" s="19" t="str">
        <f>vlookup(B198,'Player Codes'!A:D,4,)</f>
        <v>0087</v>
      </c>
      <c r="B198" s="2" t="s">
        <v>880</v>
      </c>
      <c r="C198" s="2" t="s">
        <v>1536</v>
      </c>
      <c r="D198" s="5" t="s">
        <v>976</v>
      </c>
      <c r="E198" s="5">
        <v>103.4</v>
      </c>
      <c r="F198" s="21">
        <f t="shared" si="1"/>
        <v>85.7</v>
      </c>
      <c r="G198" s="21">
        <f>vlookup(A198,'ESPN FF Rankings'!$C$2:$H$201,2,false)</f>
        <v>188</v>
      </c>
      <c r="H198" s="21">
        <f t="shared" si="2"/>
        <v>17.7</v>
      </c>
      <c r="I198" s="23">
        <v>197.0</v>
      </c>
      <c r="J198" s="30">
        <f t="shared" si="3"/>
        <v>0.08666666667</v>
      </c>
      <c r="K198" s="21"/>
      <c r="L198" s="21"/>
    </row>
    <row r="199">
      <c r="A199" s="19" t="str">
        <f>vlookup(B199,'Player Codes'!A:D,4,)</f>
        <v>0286</v>
      </c>
      <c r="B199" s="5" t="s">
        <v>486</v>
      </c>
      <c r="C199" s="5" t="s">
        <v>30</v>
      </c>
      <c r="D199" s="5" t="s">
        <v>935</v>
      </c>
      <c r="E199" s="5">
        <v>103.0</v>
      </c>
      <c r="F199" s="21">
        <f t="shared" si="1"/>
        <v>69.6</v>
      </c>
      <c r="G199" s="21">
        <f>vlookup(A199,'ESPN FF Rankings'!$C$2:$H$201,2,false)</f>
        <v>163</v>
      </c>
      <c r="H199" s="21">
        <f t="shared" si="2"/>
        <v>33.4</v>
      </c>
      <c r="I199" s="23">
        <v>198.0</v>
      </c>
      <c r="J199" s="30">
        <f t="shared" si="3"/>
        <v>0.08583333333</v>
      </c>
      <c r="K199" s="21"/>
      <c r="L199" s="21"/>
    </row>
    <row r="200">
      <c r="A200" s="19" t="str">
        <f>vlookup(B200,'Player Codes'!A:D,4,)</f>
        <v>0293</v>
      </c>
      <c r="B200" s="2" t="s">
        <v>883</v>
      </c>
      <c r="C200" s="2" t="s">
        <v>1536</v>
      </c>
      <c r="D200" s="5" t="s">
        <v>1016</v>
      </c>
      <c r="E200" s="5">
        <v>102.7</v>
      </c>
      <c r="F200" s="21">
        <f t="shared" si="1"/>
        <v>85.7</v>
      </c>
      <c r="G200" s="21" t="str">
        <f>vlookup(A200,'ESPN FF Rankings'!$C$2:$H$201,2,false)</f>
        <v>#N/A</v>
      </c>
      <c r="H200" s="21">
        <f t="shared" si="2"/>
        <v>17</v>
      </c>
      <c r="I200" s="23">
        <v>199.0</v>
      </c>
      <c r="J200" s="30">
        <f t="shared" si="3"/>
        <v>0.085</v>
      </c>
      <c r="K200" s="21"/>
      <c r="L200" s="21"/>
    </row>
    <row r="201">
      <c r="A201" s="19" t="str">
        <f>vlookup(B201,'Player Codes'!A:D,4,)</f>
        <v>0194</v>
      </c>
      <c r="B201" s="5" t="s">
        <v>458</v>
      </c>
      <c r="C201" s="5" t="s">
        <v>13</v>
      </c>
      <c r="D201" s="5" t="s">
        <v>958</v>
      </c>
      <c r="E201" s="5">
        <v>102.2</v>
      </c>
      <c r="F201" s="21">
        <f t="shared" si="1"/>
        <v>81</v>
      </c>
      <c r="G201" s="21">
        <f>vlookup(A201,'ESPN FF Rankings'!$C$2:$H$201,2,false)</f>
        <v>200</v>
      </c>
      <c r="H201" s="21">
        <f t="shared" si="2"/>
        <v>21.2</v>
      </c>
      <c r="I201" s="23">
        <v>200.0</v>
      </c>
      <c r="J201" s="30">
        <f t="shared" si="3"/>
        <v>0.08416666667</v>
      </c>
      <c r="K201" s="21"/>
      <c r="L201" s="21"/>
    </row>
    <row r="202">
      <c r="A202" s="19" t="str">
        <f>vlookup(B202,'Player Codes'!A:D,4,)</f>
        <v>0292</v>
      </c>
      <c r="B202" s="5" t="s">
        <v>490</v>
      </c>
      <c r="C202" s="5" t="s">
        <v>30</v>
      </c>
      <c r="D202" s="5" t="s">
        <v>958</v>
      </c>
      <c r="E202" s="5">
        <v>102.0</v>
      </c>
      <c r="F202" s="21">
        <f t="shared" si="1"/>
        <v>69.6</v>
      </c>
      <c r="G202" s="21" t="str">
        <f>vlookup(A202,'ESPN FF Rankings'!$C$2:$H$201,2,false)</f>
        <v>#N/A</v>
      </c>
      <c r="H202" s="21">
        <f t="shared" si="2"/>
        <v>32.4</v>
      </c>
      <c r="I202" s="23">
        <v>201.0</v>
      </c>
      <c r="J202" s="30">
        <f t="shared" si="3"/>
        <v>0.08333333333</v>
      </c>
      <c r="K202" s="21"/>
      <c r="L202" s="21"/>
    </row>
    <row r="203">
      <c r="A203" s="19" t="str">
        <f>vlookup(B203,'Player Codes'!A:D,4,)</f>
        <v>0284</v>
      </c>
      <c r="B203" s="5" t="s">
        <v>461</v>
      </c>
      <c r="C203" s="5" t="s">
        <v>13</v>
      </c>
      <c r="D203" s="5" t="s">
        <v>974</v>
      </c>
      <c r="E203" s="5">
        <v>101.6</v>
      </c>
      <c r="F203" s="21">
        <f t="shared" si="1"/>
        <v>81</v>
      </c>
      <c r="G203" s="21">
        <f>vlookup(A203,'ESPN FF Rankings'!$C$2:$H$201,2,false)</f>
        <v>121</v>
      </c>
      <c r="H203" s="21">
        <f t="shared" si="2"/>
        <v>20.6</v>
      </c>
      <c r="I203" s="23">
        <v>202.0</v>
      </c>
      <c r="J203" s="30">
        <f t="shared" si="3"/>
        <v>0.0825</v>
      </c>
      <c r="K203" s="21"/>
      <c r="L203" s="21"/>
    </row>
    <row r="204">
      <c r="A204" s="19" t="str">
        <f>vlookup(B204,'Player Codes'!A:D,4,)</f>
        <v>0072</v>
      </c>
      <c r="B204" s="5" t="s">
        <v>603</v>
      </c>
      <c r="C204" s="5" t="s">
        <v>191</v>
      </c>
      <c r="D204" s="5" t="s">
        <v>992</v>
      </c>
      <c r="E204" s="5">
        <v>101.2</v>
      </c>
      <c r="F204" s="21">
        <f t="shared" si="1"/>
        <v>67.4</v>
      </c>
      <c r="G204" s="21">
        <f>vlookup(A204,'ESPN FF Rankings'!$C$2:$H$201,2,false)</f>
        <v>96</v>
      </c>
      <c r="H204" s="21">
        <f t="shared" si="2"/>
        <v>33.8</v>
      </c>
      <c r="I204" s="23">
        <v>203.0</v>
      </c>
      <c r="J204" s="30">
        <f t="shared" si="3"/>
        <v>0.08166666667</v>
      </c>
      <c r="K204" s="21"/>
      <c r="L204" s="21"/>
    </row>
    <row r="205">
      <c r="A205" s="19" t="str">
        <f>vlookup(B205,'Player Codes'!A:D,4,)</f>
        <v>0105</v>
      </c>
      <c r="B205" s="5" t="s">
        <v>407</v>
      </c>
      <c r="C205" s="5" t="s">
        <v>13</v>
      </c>
      <c r="D205" s="5" t="s">
        <v>963</v>
      </c>
      <c r="E205" s="5">
        <v>100.9</v>
      </c>
      <c r="F205" s="21">
        <f t="shared" si="1"/>
        <v>81</v>
      </c>
      <c r="G205" s="21">
        <f>vlookup(A205,'ESPN FF Rankings'!$C$2:$H$201,2,false)</f>
        <v>120</v>
      </c>
      <c r="H205" s="21">
        <f t="shared" si="2"/>
        <v>19.9</v>
      </c>
      <c r="I205" s="23">
        <v>204.0</v>
      </c>
      <c r="J205" s="30">
        <f t="shared" si="3"/>
        <v>0.08083333333</v>
      </c>
      <c r="K205" s="21"/>
      <c r="L205" s="21"/>
    </row>
    <row r="206">
      <c r="A206" s="19" t="str">
        <f>vlookup(B206,'Player Codes'!A:D,4,)</f>
        <v>0145</v>
      </c>
      <c r="B206" s="5" t="s">
        <v>545</v>
      </c>
      <c r="C206" s="5" t="s">
        <v>30</v>
      </c>
      <c r="D206" s="5" t="s">
        <v>965</v>
      </c>
      <c r="E206" s="5">
        <v>100.6</v>
      </c>
      <c r="F206" s="21">
        <f t="shared" si="1"/>
        <v>69.6</v>
      </c>
      <c r="G206" s="21">
        <f>vlookup(A206,'ESPN FF Rankings'!$C$2:$H$201,2,false)</f>
        <v>158</v>
      </c>
      <c r="H206" s="21">
        <f t="shared" si="2"/>
        <v>31</v>
      </c>
      <c r="I206" s="23">
        <v>205.0</v>
      </c>
      <c r="J206" s="30">
        <f t="shared" si="3"/>
        <v>0.08</v>
      </c>
      <c r="K206" s="21"/>
      <c r="L206" s="21"/>
    </row>
    <row r="207">
      <c r="A207" s="19" t="str">
        <f>vlookup(B207,'Player Codes'!A:D,4,)</f>
        <v>0271</v>
      </c>
      <c r="B207" s="2" t="s">
        <v>895</v>
      </c>
      <c r="C207" s="2" t="s">
        <v>1536</v>
      </c>
      <c r="D207" s="5" t="s">
        <v>990</v>
      </c>
      <c r="E207" s="5">
        <v>100.2</v>
      </c>
      <c r="F207" s="21">
        <f t="shared" si="1"/>
        <v>85.7</v>
      </c>
      <c r="G207" s="21" t="str">
        <f>vlookup(A207,'ESPN FF Rankings'!$C$2:$H$201,2,false)</f>
        <v>#N/A</v>
      </c>
      <c r="H207" s="21">
        <f t="shared" si="2"/>
        <v>14.5</v>
      </c>
      <c r="I207" s="23">
        <v>206.0</v>
      </c>
      <c r="J207" s="30">
        <f t="shared" si="3"/>
        <v>0.07916666667</v>
      </c>
      <c r="K207" s="21"/>
      <c r="L207" s="21"/>
    </row>
    <row r="208">
      <c r="A208" s="19" t="str">
        <f>vlookup(B208,'Player Codes'!A:D,4,)</f>
        <v>0004</v>
      </c>
      <c r="B208" s="5" t="s">
        <v>465</v>
      </c>
      <c r="C208" s="5" t="s">
        <v>30</v>
      </c>
      <c r="D208" s="5" t="s">
        <v>996</v>
      </c>
      <c r="E208" s="5">
        <v>100.2</v>
      </c>
      <c r="F208" s="21">
        <f t="shared" si="1"/>
        <v>69.6</v>
      </c>
      <c r="G208" s="21">
        <f>vlookup(A208,'ESPN FF Rankings'!$C$2:$H$201,2,false)</f>
        <v>174</v>
      </c>
      <c r="H208" s="21">
        <f t="shared" si="2"/>
        <v>30.6</v>
      </c>
      <c r="I208" s="23">
        <v>207.0</v>
      </c>
      <c r="J208" s="30">
        <f t="shared" si="3"/>
        <v>0.07833333333</v>
      </c>
      <c r="K208" s="21"/>
      <c r="L208" s="21"/>
    </row>
    <row r="209">
      <c r="A209" s="19" t="str">
        <f>vlookup(B209,'Player Codes'!A:D,4,)</f>
        <v>0155</v>
      </c>
      <c r="B209" s="5" t="s">
        <v>426</v>
      </c>
      <c r="C209" s="5" t="s">
        <v>13</v>
      </c>
      <c r="D209" s="5" t="s">
        <v>933</v>
      </c>
      <c r="E209" s="5">
        <v>100.0</v>
      </c>
      <c r="F209" s="21">
        <f t="shared" si="1"/>
        <v>81</v>
      </c>
      <c r="G209" s="21">
        <f>vlookup(A209,'ESPN FF Rankings'!$C$2:$H$201,2,false)</f>
        <v>113</v>
      </c>
      <c r="H209" s="21">
        <f t="shared" si="2"/>
        <v>19</v>
      </c>
      <c r="I209" s="23">
        <v>208.0</v>
      </c>
      <c r="J209" s="30">
        <f t="shared" si="3"/>
        <v>0.0775</v>
      </c>
      <c r="K209" s="21"/>
      <c r="L209" s="21"/>
    </row>
    <row r="210">
      <c r="A210" s="19" t="str">
        <f>vlookup(B210,'Player Codes'!A:D,4,)</f>
        <v>0185</v>
      </c>
      <c r="B210" s="5" t="s">
        <v>510</v>
      </c>
      <c r="C210" s="5" t="s">
        <v>13</v>
      </c>
      <c r="D210" s="5" t="s">
        <v>931</v>
      </c>
      <c r="E210" s="5">
        <v>100.0</v>
      </c>
      <c r="F210" s="21">
        <f t="shared" si="1"/>
        <v>81</v>
      </c>
      <c r="G210" s="21">
        <f>vlookup(A210,'ESPN FF Rankings'!$C$2:$H$201,2,false)</f>
        <v>172</v>
      </c>
      <c r="H210" s="21">
        <f t="shared" si="2"/>
        <v>19</v>
      </c>
      <c r="I210" s="23">
        <v>209.0</v>
      </c>
      <c r="J210" s="30">
        <f t="shared" si="3"/>
        <v>0.07666666667</v>
      </c>
      <c r="K210" s="21"/>
      <c r="L210" s="21"/>
    </row>
    <row r="211">
      <c r="A211" s="19" t="str">
        <f>vlookup(B211,'Player Codes'!A:D,4,)</f>
        <v>0212</v>
      </c>
      <c r="B211" s="2" t="s">
        <v>897</v>
      </c>
      <c r="C211" s="2" t="s">
        <v>1536</v>
      </c>
      <c r="D211" s="5" t="s">
        <v>954</v>
      </c>
      <c r="E211" s="5">
        <v>99.8</v>
      </c>
      <c r="F211" s="21">
        <f t="shared" si="1"/>
        <v>85.7</v>
      </c>
      <c r="G211" s="21">
        <f>vlookup(A211,'ESPN FF Rankings'!$C$2:$H$201,2,false)</f>
        <v>199</v>
      </c>
      <c r="H211" s="21">
        <f t="shared" si="2"/>
        <v>14.1</v>
      </c>
      <c r="I211" s="23">
        <v>210.0</v>
      </c>
      <c r="J211" s="30">
        <f t="shared" si="3"/>
        <v>0.07583333333</v>
      </c>
      <c r="K211" s="21"/>
      <c r="L211" s="21"/>
    </row>
    <row r="212">
      <c r="A212" s="19" t="str">
        <f>vlookup(B212,'Player Codes'!A:D,4,)</f>
        <v>0071</v>
      </c>
      <c r="B212" s="5" t="s">
        <v>768</v>
      </c>
      <c r="C212" s="5" t="s">
        <v>191</v>
      </c>
      <c r="D212" s="5" t="s">
        <v>929</v>
      </c>
      <c r="E212" s="5">
        <v>99.7</v>
      </c>
      <c r="F212" s="21">
        <f t="shared" si="1"/>
        <v>67.4</v>
      </c>
      <c r="G212" s="21">
        <f>vlookup(A212,'ESPN FF Rankings'!$C$2:$H$201,2,false)</f>
        <v>134</v>
      </c>
      <c r="H212" s="21">
        <f t="shared" si="2"/>
        <v>32.3</v>
      </c>
      <c r="I212" s="23">
        <v>211.0</v>
      </c>
      <c r="J212" s="30">
        <f t="shared" si="3"/>
        <v>0.075</v>
      </c>
      <c r="K212" s="21"/>
      <c r="L212" s="21"/>
    </row>
    <row r="213">
      <c r="A213" s="19" t="str">
        <f>vlookup(B213,'Player Codes'!A:D,4,)</f>
        <v>0017</v>
      </c>
      <c r="B213" s="2" t="s">
        <v>901</v>
      </c>
      <c r="C213" s="2" t="s">
        <v>1536</v>
      </c>
      <c r="D213" s="5" t="s">
        <v>974</v>
      </c>
      <c r="E213" s="5">
        <v>99.3</v>
      </c>
      <c r="F213" s="21">
        <f t="shared" si="1"/>
        <v>85.7</v>
      </c>
      <c r="G213" s="21" t="str">
        <f>vlookup(A213,'ESPN FF Rankings'!$C$2:$H$201,2,false)</f>
        <v>#N/A</v>
      </c>
      <c r="H213" s="21">
        <f t="shared" si="2"/>
        <v>13.6</v>
      </c>
      <c r="I213" s="23">
        <v>212.0</v>
      </c>
      <c r="J213" s="30">
        <f t="shared" si="3"/>
        <v>0.07416666667</v>
      </c>
      <c r="K213" s="21"/>
      <c r="L213" s="21"/>
    </row>
    <row r="214">
      <c r="A214" s="19" t="str">
        <f>vlookup(B214,'Player Codes'!A:D,4,)</f>
        <v>0192</v>
      </c>
      <c r="B214" s="5" t="s">
        <v>878</v>
      </c>
      <c r="C214" s="5" t="s">
        <v>172</v>
      </c>
      <c r="D214" s="5" t="s">
        <v>1024</v>
      </c>
      <c r="E214" s="5">
        <v>99.3</v>
      </c>
      <c r="F214" s="21">
        <f t="shared" si="1"/>
        <v>99.3</v>
      </c>
      <c r="G214" s="21" t="str">
        <f>vlookup(A214,'ESPN FF Rankings'!$C$2:$H$201,2,false)</f>
        <v>#N/A</v>
      </c>
      <c r="H214" s="21">
        <f t="shared" si="2"/>
        <v>0</v>
      </c>
      <c r="I214" s="23">
        <v>213.0</v>
      </c>
      <c r="J214" s="30">
        <f t="shared" si="3"/>
        <v>0.07333333333</v>
      </c>
      <c r="K214" s="21"/>
      <c r="L214" s="21"/>
    </row>
    <row r="215">
      <c r="A215" s="19" t="str">
        <f>vlookup(B215,'Player Codes'!A:D,4,)</f>
        <v>0109</v>
      </c>
      <c r="B215" s="5" t="s">
        <v>396</v>
      </c>
      <c r="C215" s="5" t="s">
        <v>13</v>
      </c>
      <c r="D215" s="5" t="s">
        <v>1009</v>
      </c>
      <c r="E215" s="5">
        <v>98.9</v>
      </c>
      <c r="F215" s="21">
        <f t="shared" si="1"/>
        <v>81</v>
      </c>
      <c r="G215" s="21">
        <f>vlookup(A215,'ESPN FF Rankings'!$C$2:$H$201,2,false)</f>
        <v>135</v>
      </c>
      <c r="H215" s="21">
        <f t="shared" si="2"/>
        <v>17.9</v>
      </c>
      <c r="I215" s="23">
        <v>214.0</v>
      </c>
      <c r="J215" s="30">
        <f t="shared" si="3"/>
        <v>0.0725</v>
      </c>
      <c r="K215" s="21"/>
      <c r="L215" s="21"/>
    </row>
    <row r="216">
      <c r="A216" s="19" t="str">
        <f>vlookup(B216,'Player Codes'!A:D,4,)</f>
        <v>0242</v>
      </c>
      <c r="B216" s="5" t="s">
        <v>400</v>
      </c>
      <c r="C216" s="5" t="s">
        <v>13</v>
      </c>
      <c r="D216" s="5" t="s">
        <v>931</v>
      </c>
      <c r="E216" s="5">
        <v>98.9</v>
      </c>
      <c r="F216" s="21">
        <f t="shared" si="1"/>
        <v>81</v>
      </c>
      <c r="G216" s="21">
        <f>vlookup(A216,'ESPN FF Rankings'!$C$2:$H$201,2,false)</f>
        <v>88</v>
      </c>
      <c r="H216" s="21">
        <f t="shared" si="2"/>
        <v>17.9</v>
      </c>
      <c r="I216" s="23">
        <v>215.0</v>
      </c>
      <c r="J216" s="30">
        <f t="shared" si="3"/>
        <v>0.07166666667</v>
      </c>
      <c r="K216" s="21"/>
      <c r="L216" s="21"/>
    </row>
    <row r="217">
      <c r="A217" s="19" t="str">
        <f>vlookup(B217,'Player Codes'!A:D,4,)</f>
        <v>0066</v>
      </c>
      <c r="B217" s="5" t="s">
        <v>482</v>
      </c>
      <c r="C217" s="5" t="s">
        <v>30</v>
      </c>
      <c r="D217" s="5" t="s">
        <v>1016</v>
      </c>
      <c r="E217" s="5">
        <v>98.6</v>
      </c>
      <c r="F217" s="21">
        <f t="shared" si="1"/>
        <v>69.6</v>
      </c>
      <c r="G217" s="21">
        <f>vlookup(A217,'ESPN FF Rankings'!$C$2:$H$201,2,false)</f>
        <v>195</v>
      </c>
      <c r="H217" s="21">
        <f t="shared" si="2"/>
        <v>29</v>
      </c>
      <c r="I217" s="23">
        <v>216.0</v>
      </c>
      <c r="J217" s="30">
        <f t="shared" si="3"/>
        <v>0.07083333333</v>
      </c>
      <c r="K217" s="21"/>
      <c r="L217" s="21"/>
    </row>
    <row r="218">
      <c r="A218" s="19" t="str">
        <f>vlookup(B218,'Player Codes'!A:D,4,)</f>
        <v>0244</v>
      </c>
      <c r="B218" s="5" t="s">
        <v>652</v>
      </c>
      <c r="C218" s="5" t="s">
        <v>30</v>
      </c>
      <c r="D218" s="5" t="s">
        <v>983</v>
      </c>
      <c r="E218" s="5">
        <v>98.5</v>
      </c>
      <c r="F218" s="21">
        <f t="shared" si="1"/>
        <v>69.6</v>
      </c>
      <c r="G218" s="21" t="str">
        <f>vlookup(A218,'ESPN FF Rankings'!$C$2:$H$201,2,false)</f>
        <v>#N/A</v>
      </c>
      <c r="H218" s="21">
        <f t="shared" si="2"/>
        <v>28.9</v>
      </c>
      <c r="I218" s="23">
        <v>217.0</v>
      </c>
      <c r="J218" s="30">
        <f t="shared" si="3"/>
        <v>0.07</v>
      </c>
      <c r="K218" s="21"/>
      <c r="L218" s="21"/>
    </row>
    <row r="219">
      <c r="A219" s="19" t="str">
        <f>vlookup(B219,'Player Codes'!A:D,4,)</f>
        <v>0177</v>
      </c>
      <c r="B219" s="5" t="s">
        <v>536</v>
      </c>
      <c r="C219" s="5" t="s">
        <v>30</v>
      </c>
      <c r="D219" s="5" t="s">
        <v>950</v>
      </c>
      <c r="E219" s="5">
        <v>98.2</v>
      </c>
      <c r="F219" s="21">
        <f t="shared" si="1"/>
        <v>69.6</v>
      </c>
      <c r="G219" s="21">
        <f>vlookup(A219,'ESPN FF Rankings'!$C$2:$H$201,2,false)</f>
        <v>184</v>
      </c>
      <c r="H219" s="21">
        <f t="shared" si="2"/>
        <v>28.6</v>
      </c>
      <c r="I219" s="23">
        <v>218.0</v>
      </c>
      <c r="J219" s="30">
        <f t="shared" si="3"/>
        <v>0.06916666667</v>
      </c>
      <c r="K219" s="21"/>
      <c r="L219" s="21"/>
    </row>
    <row r="220">
      <c r="A220" s="19" t="str">
        <f>vlookup(B220,'Player Codes'!A:D,4,)</f>
        <v>0288</v>
      </c>
      <c r="B220" s="5" t="s">
        <v>590</v>
      </c>
      <c r="C220" s="5" t="s">
        <v>191</v>
      </c>
      <c r="D220" s="5" t="s">
        <v>958</v>
      </c>
      <c r="E220" s="5">
        <v>98.1</v>
      </c>
      <c r="F220" s="21">
        <f t="shared" si="1"/>
        <v>67.4</v>
      </c>
      <c r="G220" s="21">
        <f>vlookup(A220,'ESPN FF Rankings'!$C$2:$H$201,2,false)</f>
        <v>105</v>
      </c>
      <c r="H220" s="21">
        <f t="shared" si="2"/>
        <v>30.7</v>
      </c>
      <c r="I220" s="23">
        <v>219.0</v>
      </c>
      <c r="J220" s="30">
        <f t="shared" si="3"/>
        <v>0.06833333333</v>
      </c>
      <c r="K220" s="21"/>
      <c r="L220" s="21"/>
    </row>
    <row r="221">
      <c r="A221" s="19" t="str">
        <f>vlookup(B221,'Player Codes'!A:D,4,)</f>
        <v>0243</v>
      </c>
      <c r="B221" s="5" t="s">
        <v>660</v>
      </c>
      <c r="C221" s="5" t="s">
        <v>30</v>
      </c>
      <c r="D221" s="5" t="s">
        <v>933</v>
      </c>
      <c r="E221" s="5">
        <v>97.7</v>
      </c>
      <c r="F221" s="21">
        <f t="shared" si="1"/>
        <v>69.6</v>
      </c>
      <c r="G221" s="21" t="str">
        <f>vlookup(A221,'ESPN FF Rankings'!$C$2:$H$201,2,false)</f>
        <v>#N/A</v>
      </c>
      <c r="H221" s="21">
        <f t="shared" si="2"/>
        <v>28.1</v>
      </c>
      <c r="I221" s="23">
        <v>220.0</v>
      </c>
      <c r="J221" s="30">
        <f t="shared" si="3"/>
        <v>0.0675</v>
      </c>
      <c r="K221" s="21"/>
      <c r="L221" s="21"/>
    </row>
    <row r="222">
      <c r="A222" s="19" t="str">
        <f>vlookup(B222,'Player Codes'!A:D,4,)</f>
        <v>0093</v>
      </c>
      <c r="B222" s="5" t="s">
        <v>494</v>
      </c>
      <c r="C222" s="5" t="s">
        <v>30</v>
      </c>
      <c r="D222" s="5" t="s">
        <v>1009</v>
      </c>
      <c r="E222" s="5">
        <v>97.3</v>
      </c>
      <c r="F222" s="21">
        <f t="shared" si="1"/>
        <v>69.6</v>
      </c>
      <c r="G222" s="21" t="str">
        <f>vlookup(A222,'ESPN FF Rankings'!$C$2:$H$201,2,false)</f>
        <v>#N/A</v>
      </c>
      <c r="H222" s="21">
        <f t="shared" si="2"/>
        <v>27.7</v>
      </c>
      <c r="I222" s="23">
        <v>221.0</v>
      </c>
      <c r="J222" s="30">
        <f t="shared" si="3"/>
        <v>0.06666666667</v>
      </c>
      <c r="K222" s="21"/>
      <c r="L222" s="21"/>
    </row>
    <row r="223">
      <c r="A223" s="19" t="str">
        <f>vlookup(B223,'Player Codes'!A:D,4,)</f>
        <v>0095</v>
      </c>
      <c r="B223" s="5" t="s">
        <v>500</v>
      </c>
      <c r="C223" s="5" t="s">
        <v>13</v>
      </c>
      <c r="D223" s="5" t="s">
        <v>954</v>
      </c>
      <c r="E223" s="5">
        <v>97.3</v>
      </c>
      <c r="F223" s="21">
        <f t="shared" si="1"/>
        <v>81</v>
      </c>
      <c r="G223" s="21" t="str">
        <f>vlookup(A223,'ESPN FF Rankings'!$C$2:$H$201,2,false)</f>
        <v>#N/A</v>
      </c>
      <c r="H223" s="21">
        <f t="shared" si="2"/>
        <v>16.3</v>
      </c>
      <c r="I223" s="23">
        <v>222.0</v>
      </c>
      <c r="J223" s="30">
        <f t="shared" si="3"/>
        <v>0.06583333333</v>
      </c>
      <c r="K223" s="21"/>
      <c r="L223" s="21"/>
    </row>
    <row r="224">
      <c r="A224" s="19" t="str">
        <f>vlookup(B224,'Player Codes'!A:D,4,)</f>
        <v>0061</v>
      </c>
      <c r="B224" s="5" t="s">
        <v>821</v>
      </c>
      <c r="C224" s="5" t="s">
        <v>191</v>
      </c>
      <c r="D224" s="5" t="s">
        <v>940</v>
      </c>
      <c r="E224" s="5">
        <v>97.2</v>
      </c>
      <c r="F224" s="21">
        <f t="shared" si="1"/>
        <v>67.4</v>
      </c>
      <c r="G224" s="21">
        <f>vlookup(A224,'ESPN FF Rankings'!$C$2:$H$201,2,false)</f>
        <v>111</v>
      </c>
      <c r="H224" s="21">
        <f t="shared" si="2"/>
        <v>29.8</v>
      </c>
      <c r="I224" s="23">
        <v>223.0</v>
      </c>
      <c r="J224" s="30">
        <f t="shared" si="3"/>
        <v>0.065</v>
      </c>
      <c r="K224" s="21"/>
      <c r="L224" s="21"/>
    </row>
    <row r="225">
      <c r="A225" s="19" t="str">
        <f>vlookup(B225,'Player Codes'!A:D,4,)</f>
        <v>0256</v>
      </c>
      <c r="B225" s="5" t="s">
        <v>732</v>
      </c>
      <c r="C225" s="5" t="s">
        <v>191</v>
      </c>
      <c r="D225" s="5" t="s">
        <v>965</v>
      </c>
      <c r="E225" s="5">
        <v>96.8</v>
      </c>
      <c r="F225" s="21">
        <f t="shared" si="1"/>
        <v>67.4</v>
      </c>
      <c r="G225" s="21">
        <f>vlookup(A225,'ESPN FF Rankings'!$C$2:$H$201,2,false)</f>
        <v>176</v>
      </c>
      <c r="H225" s="21">
        <f t="shared" si="2"/>
        <v>29.4</v>
      </c>
      <c r="I225" s="23">
        <v>224.0</v>
      </c>
      <c r="J225" s="30">
        <f t="shared" si="3"/>
        <v>0.06416666667</v>
      </c>
      <c r="K225" s="21"/>
      <c r="L225" s="21"/>
    </row>
    <row r="226">
      <c r="A226" s="19" t="str">
        <f>vlookup(B226,'Player Codes'!A:D,4,)</f>
        <v>0251</v>
      </c>
      <c r="B226" s="5" t="s">
        <v>551</v>
      </c>
      <c r="C226" s="5" t="s">
        <v>30</v>
      </c>
      <c r="D226" s="5" t="s">
        <v>1040</v>
      </c>
      <c r="E226" s="5">
        <v>96.5</v>
      </c>
      <c r="F226" s="21">
        <f t="shared" si="1"/>
        <v>69.6</v>
      </c>
      <c r="G226" s="21">
        <f>vlookup(A226,'ESPN FF Rankings'!$C$2:$H$201,2,false)</f>
        <v>127</v>
      </c>
      <c r="H226" s="21">
        <f t="shared" si="2"/>
        <v>26.9</v>
      </c>
      <c r="I226" s="23">
        <v>225.0</v>
      </c>
      <c r="J226" s="30">
        <f t="shared" si="3"/>
        <v>0.06333333333</v>
      </c>
      <c r="K226" s="21"/>
      <c r="L226" s="21"/>
    </row>
    <row r="227">
      <c r="A227" s="19" t="str">
        <f>vlookup(B227,'Player Codes'!A:D,4,)</f>
        <v>0241</v>
      </c>
      <c r="B227" s="5" t="s">
        <v>393</v>
      </c>
      <c r="C227" s="5" t="s">
        <v>13</v>
      </c>
      <c r="D227" s="5" t="s">
        <v>954</v>
      </c>
      <c r="E227" s="5">
        <v>96.3</v>
      </c>
      <c r="F227" s="21">
        <f t="shared" si="1"/>
        <v>81</v>
      </c>
      <c r="G227" s="21">
        <f>vlookup(A227,'ESPN FF Rankings'!$C$2:$H$201,2,false)</f>
        <v>131</v>
      </c>
      <c r="H227" s="21">
        <f t="shared" si="2"/>
        <v>15.3</v>
      </c>
      <c r="I227" s="23">
        <v>226.0</v>
      </c>
      <c r="J227" s="30">
        <f t="shared" si="3"/>
        <v>0.0625</v>
      </c>
      <c r="K227" s="21"/>
      <c r="L227" s="21"/>
    </row>
    <row r="228">
      <c r="A228" s="19" t="str">
        <f>vlookup(B228,'Player Codes'!A:D,4,)</f>
        <v>0094</v>
      </c>
      <c r="B228" s="5" t="s">
        <v>513</v>
      </c>
      <c r="C228" s="5" t="s">
        <v>13</v>
      </c>
      <c r="D228" s="5" t="s">
        <v>992</v>
      </c>
      <c r="E228" s="5">
        <v>95.8</v>
      </c>
      <c r="F228" s="21">
        <f t="shared" si="1"/>
        <v>81</v>
      </c>
      <c r="G228" s="21">
        <f>vlookup(A228,'ESPN FF Rankings'!$C$2:$H$201,2,false)</f>
        <v>117</v>
      </c>
      <c r="H228" s="21">
        <f t="shared" si="2"/>
        <v>14.8</v>
      </c>
      <c r="I228" s="23">
        <v>227.0</v>
      </c>
      <c r="J228" s="30">
        <f t="shared" si="3"/>
        <v>0.06166666667</v>
      </c>
      <c r="K228" s="21"/>
      <c r="L228" s="21"/>
    </row>
    <row r="229">
      <c r="A229" s="19" t="str">
        <f>vlookup(B229,'Player Codes'!A:D,4,)</f>
        <v>0079</v>
      </c>
      <c r="B229" s="5" t="s">
        <v>571</v>
      </c>
      <c r="C229" s="5" t="s">
        <v>30</v>
      </c>
      <c r="D229" s="5" t="s">
        <v>940</v>
      </c>
      <c r="E229" s="5">
        <v>95.7</v>
      </c>
      <c r="F229" s="21">
        <f t="shared" si="1"/>
        <v>69.6</v>
      </c>
      <c r="G229" s="21">
        <f>vlookup(A229,'ESPN FF Rankings'!$C$2:$H$201,2,false)</f>
        <v>137</v>
      </c>
      <c r="H229" s="21">
        <f t="shared" si="2"/>
        <v>26.1</v>
      </c>
      <c r="I229" s="23">
        <v>228.0</v>
      </c>
      <c r="J229" s="30">
        <f t="shared" si="3"/>
        <v>0.06083333333</v>
      </c>
      <c r="K229" s="21"/>
      <c r="L229" s="21"/>
    </row>
    <row r="230">
      <c r="A230" s="19" t="str">
        <f>vlookup(B230,'Player Codes'!A:D,4,)</f>
        <v>0154</v>
      </c>
      <c r="B230" s="5" t="s">
        <v>440</v>
      </c>
      <c r="C230" s="5" t="s">
        <v>13</v>
      </c>
      <c r="D230" s="5" t="s">
        <v>954</v>
      </c>
      <c r="E230" s="5">
        <v>94.9</v>
      </c>
      <c r="F230" s="21">
        <f t="shared" si="1"/>
        <v>81</v>
      </c>
      <c r="G230" s="21">
        <f>vlookup(A230,'ESPN FF Rankings'!$C$2:$H$201,2,false)</f>
        <v>108</v>
      </c>
      <c r="H230" s="21">
        <f t="shared" si="2"/>
        <v>13.9</v>
      </c>
      <c r="I230" s="23">
        <v>229.0</v>
      </c>
      <c r="J230" s="30">
        <f t="shared" si="3"/>
        <v>0.06</v>
      </c>
      <c r="K230" s="21"/>
      <c r="L230" s="21"/>
    </row>
    <row r="231">
      <c r="A231" s="19" t="str">
        <f>vlookup(B231,'Player Codes'!A:D,4,)</f>
        <v>0124</v>
      </c>
      <c r="B231" s="2" t="s">
        <v>910</v>
      </c>
      <c r="C231" s="2" t="s">
        <v>1536</v>
      </c>
      <c r="D231" s="5" t="s">
        <v>992</v>
      </c>
      <c r="E231" s="5">
        <v>94.8</v>
      </c>
      <c r="F231" s="21">
        <f t="shared" si="1"/>
        <v>85.7</v>
      </c>
      <c r="G231" s="21" t="str">
        <f>vlookup(A231,'ESPN FF Rankings'!$C$2:$H$201,2,false)</f>
        <v>#N/A</v>
      </c>
      <c r="H231" s="21">
        <f t="shared" si="2"/>
        <v>9.1</v>
      </c>
      <c r="I231" s="23">
        <v>230.0</v>
      </c>
      <c r="J231" s="30">
        <f t="shared" si="3"/>
        <v>0.05916666667</v>
      </c>
      <c r="K231" s="21"/>
      <c r="L231" s="21"/>
    </row>
    <row r="232">
      <c r="A232" s="19" t="str">
        <f>vlookup(B232,'Player Codes'!A:D,4,)</f>
        <v>0198</v>
      </c>
      <c r="B232" s="2" t="s">
        <v>912</v>
      </c>
      <c r="C232" s="2" t="s">
        <v>1536</v>
      </c>
      <c r="D232" s="5" t="s">
        <v>958</v>
      </c>
      <c r="E232" s="5">
        <v>93.6</v>
      </c>
      <c r="F232" s="21">
        <f t="shared" si="1"/>
        <v>85.7</v>
      </c>
      <c r="G232" s="21" t="str">
        <f>vlookup(A232,'ESPN FF Rankings'!$C$2:$H$201,2,false)</f>
        <v>#N/A</v>
      </c>
      <c r="H232" s="21">
        <f t="shared" si="2"/>
        <v>7.9</v>
      </c>
      <c r="I232" s="23">
        <v>231.0</v>
      </c>
      <c r="J232" s="30">
        <f t="shared" si="3"/>
        <v>0.05833333333</v>
      </c>
      <c r="K232" s="21"/>
      <c r="L232" s="21"/>
    </row>
    <row r="233">
      <c r="A233" s="19" t="str">
        <f>vlookup(B233,'Player Codes'!A:D,4,)</f>
        <v>0283</v>
      </c>
      <c r="B233" s="5" t="s">
        <v>585</v>
      </c>
      <c r="C233" s="5" t="s">
        <v>13</v>
      </c>
      <c r="D233" s="5" t="s">
        <v>990</v>
      </c>
      <c r="E233" s="5">
        <v>93.6</v>
      </c>
      <c r="F233" s="21">
        <f t="shared" si="1"/>
        <v>81</v>
      </c>
      <c r="G233" s="21" t="str">
        <f>vlookup(A233,'ESPN FF Rankings'!$C$2:$H$201,2,false)</f>
        <v>#N/A</v>
      </c>
      <c r="H233" s="21">
        <f t="shared" si="2"/>
        <v>12.6</v>
      </c>
      <c r="I233" s="23">
        <v>232.0</v>
      </c>
      <c r="J233" s="30">
        <f t="shared" si="3"/>
        <v>0.0575</v>
      </c>
      <c r="K233" s="21"/>
      <c r="L233" s="21"/>
    </row>
    <row r="234">
      <c r="A234" s="19" t="str">
        <f>vlookup(B234,'Player Codes'!A:D,4,)</f>
        <v>0183</v>
      </c>
      <c r="B234" s="5" t="s">
        <v>530</v>
      </c>
      <c r="C234" s="5" t="s">
        <v>13</v>
      </c>
      <c r="D234" s="5" t="s">
        <v>983</v>
      </c>
      <c r="E234" s="5">
        <v>92.9</v>
      </c>
      <c r="F234" s="21">
        <f t="shared" si="1"/>
        <v>81</v>
      </c>
      <c r="G234" s="21">
        <f>vlookup(A234,'ESPN FF Rankings'!$C$2:$H$201,2,false)</f>
        <v>155</v>
      </c>
      <c r="H234" s="21">
        <f t="shared" si="2"/>
        <v>11.9</v>
      </c>
      <c r="I234" s="23">
        <v>233.0</v>
      </c>
      <c r="J234" s="30">
        <f t="shared" si="3"/>
        <v>0.05666666667</v>
      </c>
      <c r="K234" s="21"/>
      <c r="L234" s="21"/>
    </row>
    <row r="235">
      <c r="A235" s="19" t="str">
        <f>vlookup(B235,'Player Codes'!A:D,4,)</f>
        <v>0128</v>
      </c>
      <c r="B235" s="5" t="s">
        <v>783</v>
      </c>
      <c r="C235" s="5" t="s">
        <v>191</v>
      </c>
      <c r="D235" s="5" t="s">
        <v>935</v>
      </c>
      <c r="E235" s="5">
        <v>92.8</v>
      </c>
      <c r="F235" s="21">
        <f t="shared" si="1"/>
        <v>67.4</v>
      </c>
      <c r="G235" s="21">
        <f>vlookup(A235,'ESPN FF Rankings'!$C$2:$H$201,2,false)</f>
        <v>146</v>
      </c>
      <c r="H235" s="21">
        <f t="shared" si="2"/>
        <v>25.4</v>
      </c>
      <c r="I235" s="23">
        <v>234.0</v>
      </c>
      <c r="J235" s="30">
        <f t="shared" si="3"/>
        <v>0.05583333333</v>
      </c>
      <c r="K235" s="21"/>
      <c r="L235" s="21"/>
    </row>
    <row r="236">
      <c r="A236" s="19" t="str">
        <f>vlookup(B236,'Player Codes'!A:D,4,)</f>
        <v>0102</v>
      </c>
      <c r="B236" s="5" t="s">
        <v>649</v>
      </c>
      <c r="C236" s="5" t="s">
        <v>30</v>
      </c>
      <c r="D236" s="5" t="s">
        <v>944</v>
      </c>
      <c r="E236" s="5">
        <v>92.2</v>
      </c>
      <c r="F236" s="21">
        <f t="shared" si="1"/>
        <v>69.6</v>
      </c>
      <c r="G236" s="21" t="str">
        <f>vlookup(A236,'ESPN FF Rankings'!$C$2:$H$201,2,false)</f>
        <v>#N/A</v>
      </c>
      <c r="H236" s="21">
        <f t="shared" si="2"/>
        <v>22.6</v>
      </c>
      <c r="I236" s="23">
        <v>235.0</v>
      </c>
      <c r="J236" s="30">
        <f t="shared" si="3"/>
        <v>0.055</v>
      </c>
      <c r="K236" s="21"/>
      <c r="L236" s="21"/>
    </row>
    <row r="237">
      <c r="A237" s="19" t="str">
        <f>vlookup(B237,'Player Codes'!A:D,4,)</f>
        <v>0189</v>
      </c>
      <c r="B237" s="5" t="s">
        <v>655</v>
      </c>
      <c r="C237" s="5" t="s">
        <v>30</v>
      </c>
      <c r="D237" s="5" t="s">
        <v>929</v>
      </c>
      <c r="E237" s="5">
        <v>92.0</v>
      </c>
      <c r="F237" s="21">
        <f t="shared" si="1"/>
        <v>69.6</v>
      </c>
      <c r="G237" s="21" t="str">
        <f>vlookup(A237,'ESPN FF Rankings'!$C$2:$H$201,2,false)</f>
        <v>#N/A</v>
      </c>
      <c r="H237" s="21">
        <f t="shared" si="2"/>
        <v>22.4</v>
      </c>
      <c r="I237" s="23">
        <v>236.0</v>
      </c>
      <c r="J237" s="30">
        <f t="shared" si="3"/>
        <v>0.05416666667</v>
      </c>
      <c r="K237" s="21"/>
      <c r="L237" s="21"/>
    </row>
    <row r="238">
      <c r="A238" s="19" t="str">
        <f>vlookup(B238,'Player Codes'!A:D,4,)</f>
        <v>0118</v>
      </c>
      <c r="B238" s="5" t="s">
        <v>705</v>
      </c>
      <c r="C238" s="5" t="s">
        <v>191</v>
      </c>
      <c r="D238" s="5" t="s">
        <v>976</v>
      </c>
      <c r="E238" s="5">
        <v>91.8</v>
      </c>
      <c r="F238" s="21">
        <f t="shared" si="1"/>
        <v>67.4</v>
      </c>
      <c r="G238" s="21">
        <f>vlookup(A238,'ESPN FF Rankings'!$C$2:$H$201,2,false)</f>
        <v>112</v>
      </c>
      <c r="H238" s="21">
        <f t="shared" si="2"/>
        <v>24.4</v>
      </c>
      <c r="I238" s="23">
        <v>237.0</v>
      </c>
      <c r="J238" s="30">
        <f t="shared" si="3"/>
        <v>0.05333333333</v>
      </c>
      <c r="K238" s="21"/>
      <c r="L238" s="21"/>
    </row>
    <row r="239">
      <c r="A239" s="19" t="str">
        <f>vlookup(B239,'Player Codes'!A:D,4,)</f>
        <v>0287</v>
      </c>
      <c r="B239" s="5" t="s">
        <v>803</v>
      </c>
      <c r="C239" s="5" t="s">
        <v>191</v>
      </c>
      <c r="D239" s="5" t="s">
        <v>967</v>
      </c>
      <c r="E239" s="5">
        <v>91.3</v>
      </c>
      <c r="F239" s="21">
        <f t="shared" si="1"/>
        <v>67.4</v>
      </c>
      <c r="G239" s="21" t="str">
        <f>vlookup(A239,'ESPN FF Rankings'!$C$2:$H$201,2,false)</f>
        <v>#N/A</v>
      </c>
      <c r="H239" s="21">
        <f t="shared" si="2"/>
        <v>23.9</v>
      </c>
      <c r="I239" s="23">
        <v>238.0</v>
      </c>
      <c r="J239" s="30">
        <f t="shared" si="3"/>
        <v>0.0525</v>
      </c>
      <c r="K239" s="21"/>
      <c r="L239" s="21"/>
    </row>
    <row r="240">
      <c r="A240" s="19" t="str">
        <f>vlookup(B240,'Player Codes'!A:D,4,)</f>
        <v>0115</v>
      </c>
      <c r="B240" s="5" t="s">
        <v>805</v>
      </c>
      <c r="C240" s="5" t="s">
        <v>191</v>
      </c>
      <c r="D240" s="5" t="s">
        <v>938</v>
      </c>
      <c r="E240" s="5">
        <v>91.0</v>
      </c>
      <c r="F240" s="21">
        <f t="shared" si="1"/>
        <v>67.4</v>
      </c>
      <c r="G240" s="21">
        <f>vlookup(A240,'ESPN FF Rankings'!$C$2:$H$201,2,false)</f>
        <v>141</v>
      </c>
      <c r="H240" s="21">
        <f t="shared" si="2"/>
        <v>23.6</v>
      </c>
      <c r="I240" s="23">
        <v>239.0</v>
      </c>
      <c r="J240" s="30">
        <f t="shared" si="3"/>
        <v>0.05166666667</v>
      </c>
      <c r="K240" s="21"/>
      <c r="L240" s="21"/>
    </row>
    <row r="241">
      <c r="A241" s="19" t="str">
        <f>vlookup(B241,'Player Codes'!A:D,4,)</f>
        <v>0206</v>
      </c>
      <c r="B241" s="5" t="s">
        <v>736</v>
      </c>
      <c r="C241" s="5" t="s">
        <v>30</v>
      </c>
      <c r="D241" s="5" t="s">
        <v>976</v>
      </c>
      <c r="E241" s="5">
        <v>90.8</v>
      </c>
      <c r="F241" s="21">
        <f t="shared" si="1"/>
        <v>69.6</v>
      </c>
      <c r="G241" s="21" t="str">
        <f>vlookup(A241,'ESPN FF Rankings'!$C$2:$H$201,2,false)</f>
        <v>#N/A</v>
      </c>
      <c r="H241" s="21">
        <f t="shared" si="2"/>
        <v>21.2</v>
      </c>
      <c r="I241" s="23">
        <v>240.0</v>
      </c>
      <c r="J241" s="30">
        <f t="shared" si="3"/>
        <v>0.05083333333</v>
      </c>
      <c r="K241" s="21"/>
      <c r="L241" s="21"/>
    </row>
    <row r="242">
      <c r="A242" s="19" t="str">
        <f>vlookup(B242,'Player Codes'!A:D,4,)</f>
        <v>0142</v>
      </c>
      <c r="B242" s="5" t="s">
        <v>468</v>
      </c>
      <c r="C242" s="5" t="s">
        <v>13</v>
      </c>
      <c r="D242" s="5" t="s">
        <v>983</v>
      </c>
      <c r="E242" s="5">
        <v>90.3</v>
      </c>
      <c r="F242" s="21">
        <f t="shared" si="1"/>
        <v>81</v>
      </c>
      <c r="G242" s="21">
        <f>vlookup(A242,'ESPN FF Rankings'!$C$2:$H$201,2,false)</f>
        <v>101</v>
      </c>
      <c r="H242" s="21">
        <f t="shared" si="2"/>
        <v>9.3</v>
      </c>
      <c r="I242" s="23">
        <v>241.0</v>
      </c>
      <c r="J242" s="30">
        <f t="shared" si="3"/>
        <v>0.05</v>
      </c>
      <c r="K242" s="21"/>
      <c r="L242" s="21"/>
    </row>
    <row r="243">
      <c r="A243" s="19" t="str">
        <f>vlookup(B243,'Player Codes'!A:D,4,)</f>
        <v>0156</v>
      </c>
      <c r="B243" s="5" t="s">
        <v>558</v>
      </c>
      <c r="C243" s="5" t="s">
        <v>13</v>
      </c>
      <c r="D243" s="5" t="s">
        <v>944</v>
      </c>
      <c r="E243" s="5">
        <v>90.2</v>
      </c>
      <c r="F243" s="21">
        <f t="shared" si="1"/>
        <v>81</v>
      </c>
      <c r="G243" s="21">
        <f>vlookup(A243,'ESPN FF Rankings'!$C$2:$H$201,2,false)</f>
        <v>143</v>
      </c>
      <c r="H243" s="21">
        <f t="shared" si="2"/>
        <v>9.2</v>
      </c>
      <c r="I243" s="23">
        <v>242.0</v>
      </c>
      <c r="J243" s="30">
        <f t="shared" si="3"/>
        <v>0.04916666667</v>
      </c>
      <c r="K243" s="21"/>
      <c r="L243" s="21"/>
    </row>
    <row r="244">
      <c r="A244" s="19" t="str">
        <f>vlookup(B244,'Player Codes'!A:D,4,)</f>
        <v>0016</v>
      </c>
      <c r="B244" s="2" t="s">
        <v>914</v>
      </c>
      <c r="C244" s="2" t="s">
        <v>1536</v>
      </c>
      <c r="D244" s="5" t="s">
        <v>1040</v>
      </c>
      <c r="E244" s="5">
        <v>90.1</v>
      </c>
      <c r="F244" s="21">
        <f t="shared" si="1"/>
        <v>85.7</v>
      </c>
      <c r="G244" s="21" t="str">
        <f>vlookup(A244,'ESPN FF Rankings'!$C$2:$H$201,2,false)</f>
        <v>#N/A</v>
      </c>
      <c r="H244" s="21">
        <f t="shared" si="2"/>
        <v>4.4</v>
      </c>
      <c r="I244" s="23">
        <v>243.0</v>
      </c>
      <c r="J244" s="30">
        <f t="shared" si="3"/>
        <v>0.04833333333</v>
      </c>
      <c r="K244" s="21"/>
      <c r="L244" s="21"/>
    </row>
    <row r="245">
      <c r="A245" s="19" t="str">
        <f>vlookup(B245,'Player Codes'!A:D,4,)</f>
        <v>0047</v>
      </c>
      <c r="B245" s="2" t="s">
        <v>916</v>
      </c>
      <c r="C245" s="2" t="s">
        <v>1536</v>
      </c>
      <c r="D245" s="5" t="s">
        <v>940</v>
      </c>
      <c r="E245" s="5">
        <v>89.4</v>
      </c>
      <c r="F245" s="21">
        <f t="shared" si="1"/>
        <v>85.7</v>
      </c>
      <c r="G245" s="21" t="str">
        <f>vlookup(A245,'ESPN FF Rankings'!$C$2:$H$201,2,false)</f>
        <v>#N/A</v>
      </c>
      <c r="H245" s="21">
        <f t="shared" si="2"/>
        <v>3.7</v>
      </c>
      <c r="I245" s="23">
        <v>244.0</v>
      </c>
      <c r="J245" s="30">
        <f t="shared" si="3"/>
        <v>0.0475</v>
      </c>
      <c r="K245" s="21"/>
      <c r="L245" s="21"/>
    </row>
    <row r="246">
      <c r="A246" s="19" t="str">
        <f>vlookup(B246,'Player Codes'!A:D,4,)</f>
        <v>0176</v>
      </c>
      <c r="B246" s="5" t="s">
        <v>757</v>
      </c>
      <c r="C246" s="5" t="s">
        <v>191</v>
      </c>
      <c r="D246" s="5" t="s">
        <v>983</v>
      </c>
      <c r="E246" s="5">
        <v>88.9</v>
      </c>
      <c r="F246" s="21">
        <f t="shared" si="1"/>
        <v>67.4</v>
      </c>
      <c r="G246" s="21">
        <f>vlookup(A246,'ESPN FF Rankings'!$C$2:$H$201,2,false)</f>
        <v>148</v>
      </c>
      <c r="H246" s="21">
        <f t="shared" si="2"/>
        <v>21.5</v>
      </c>
      <c r="I246" s="23">
        <v>245.0</v>
      </c>
      <c r="J246" s="30">
        <f t="shared" si="3"/>
        <v>0.04666666667</v>
      </c>
      <c r="K246" s="21"/>
      <c r="L246" s="21"/>
    </row>
    <row r="247">
      <c r="A247" s="19" t="str">
        <f>vlookup(B247,'Player Codes'!A:D,4,)</f>
        <v>0075</v>
      </c>
      <c r="B247" s="5" t="s">
        <v>478</v>
      </c>
      <c r="C247" s="5" t="s">
        <v>13</v>
      </c>
      <c r="D247" s="5" t="s">
        <v>929</v>
      </c>
      <c r="E247" s="5">
        <v>88.8</v>
      </c>
      <c r="F247" s="21">
        <f t="shared" si="1"/>
        <v>81</v>
      </c>
      <c r="G247" s="21">
        <f>vlookup(A247,'ESPN FF Rankings'!$C$2:$H$201,2,false)</f>
        <v>116</v>
      </c>
      <c r="H247" s="21">
        <f t="shared" si="2"/>
        <v>7.8</v>
      </c>
      <c r="I247" s="23">
        <v>246.0</v>
      </c>
      <c r="J247" s="30">
        <f t="shared" si="3"/>
        <v>0.04583333333</v>
      </c>
      <c r="K247" s="21"/>
      <c r="L247" s="21"/>
    </row>
    <row r="248">
      <c r="A248" s="19" t="str">
        <f>vlookup(B248,'Player Codes'!A:D,4,)</f>
        <v>0214</v>
      </c>
      <c r="B248" s="5" t="s">
        <v>834</v>
      </c>
      <c r="C248" s="5" t="s">
        <v>191</v>
      </c>
      <c r="D248" s="5" t="s">
        <v>980</v>
      </c>
      <c r="E248" s="5">
        <v>88.5</v>
      </c>
      <c r="F248" s="21">
        <f t="shared" si="1"/>
        <v>67.4</v>
      </c>
      <c r="G248" s="21" t="str">
        <f>vlookup(A248,'ESPN FF Rankings'!$C$2:$H$201,2,false)</f>
        <v>#N/A</v>
      </c>
      <c r="H248" s="21">
        <f t="shared" si="2"/>
        <v>21.1</v>
      </c>
      <c r="I248" s="23">
        <v>247.0</v>
      </c>
      <c r="J248" s="30">
        <f t="shared" si="3"/>
        <v>0.045</v>
      </c>
      <c r="K248" s="21"/>
      <c r="L248" s="21"/>
    </row>
    <row r="249">
      <c r="A249" s="19" t="str">
        <f>vlookup(B249,'Player Codes'!A:D,4,)</f>
        <v>0125</v>
      </c>
      <c r="B249" s="5" t="s">
        <v>843</v>
      </c>
      <c r="C249" s="5" t="s">
        <v>191</v>
      </c>
      <c r="D249" s="5" t="s">
        <v>1009</v>
      </c>
      <c r="E249" s="5">
        <v>87.4</v>
      </c>
      <c r="F249" s="21">
        <f t="shared" si="1"/>
        <v>67.4</v>
      </c>
      <c r="G249" s="21" t="str">
        <f>vlookup(A249,'ESPN FF Rankings'!$C$2:$H$201,2,false)</f>
        <v>#N/A</v>
      </c>
      <c r="H249" s="21">
        <f t="shared" si="2"/>
        <v>20</v>
      </c>
      <c r="I249" s="23">
        <v>248.0</v>
      </c>
      <c r="J249" s="30">
        <f t="shared" si="3"/>
        <v>0.04416666667</v>
      </c>
      <c r="K249" s="21"/>
      <c r="L249" s="21"/>
    </row>
    <row r="250">
      <c r="A250" s="19" t="str">
        <f>vlookup(B250,'Player Codes'!A:D,4,)</f>
        <v>0141</v>
      </c>
      <c r="B250" s="5" t="s">
        <v>779</v>
      </c>
      <c r="C250" s="5" t="s">
        <v>30</v>
      </c>
      <c r="D250" s="5" t="s">
        <v>948</v>
      </c>
      <c r="E250" s="5">
        <v>87.3</v>
      </c>
      <c r="F250" s="21">
        <f t="shared" si="1"/>
        <v>69.6</v>
      </c>
      <c r="G250" s="21" t="str">
        <f>vlookup(A250,'ESPN FF Rankings'!$C$2:$H$201,2,false)</f>
        <v>#N/A</v>
      </c>
      <c r="H250" s="21">
        <f t="shared" si="2"/>
        <v>17.7</v>
      </c>
      <c r="I250" s="23">
        <v>249.0</v>
      </c>
      <c r="J250" s="30">
        <f t="shared" si="3"/>
        <v>0.04333333333</v>
      </c>
      <c r="K250" s="21"/>
      <c r="L250" s="21"/>
    </row>
    <row r="251">
      <c r="A251" s="19" t="str">
        <f>vlookup(B251,'Player Codes'!A:D,4,)</f>
        <v>0272</v>
      </c>
      <c r="B251" s="5" t="s">
        <v>693</v>
      </c>
      <c r="C251" s="5" t="s">
        <v>30</v>
      </c>
      <c r="D251" s="5" t="s">
        <v>996</v>
      </c>
      <c r="E251" s="5">
        <v>86.3</v>
      </c>
      <c r="F251" s="21">
        <f t="shared" si="1"/>
        <v>69.6</v>
      </c>
      <c r="G251" s="21" t="str">
        <f>vlookup(A251,'ESPN FF Rankings'!$C$2:$H$201,2,false)</f>
        <v>#N/A</v>
      </c>
      <c r="H251" s="21">
        <f t="shared" si="2"/>
        <v>16.7</v>
      </c>
      <c r="I251" s="23">
        <v>250.0</v>
      </c>
      <c r="J251" s="30">
        <f t="shared" si="3"/>
        <v>0.0425</v>
      </c>
      <c r="K251" s="21"/>
      <c r="L251" s="21"/>
    </row>
    <row r="252">
      <c r="A252" s="19" t="str">
        <f>vlookup(B252,'Player Codes'!A:D,4,)</f>
        <v>0196</v>
      </c>
      <c r="B252" s="2" t="s">
        <v>918</v>
      </c>
      <c r="C252" s="2" t="s">
        <v>1536</v>
      </c>
      <c r="D252" s="5" t="s">
        <v>980</v>
      </c>
      <c r="E252" s="5">
        <v>85.7</v>
      </c>
      <c r="F252" s="21">
        <f t="shared" si="1"/>
        <v>85.7</v>
      </c>
      <c r="G252" s="21" t="str">
        <f>vlookup(A252,'ESPN FF Rankings'!$C$2:$H$201,2,false)</f>
        <v>#N/A</v>
      </c>
      <c r="H252" s="21">
        <f t="shared" si="2"/>
        <v>0</v>
      </c>
      <c r="I252" s="23">
        <v>251.0</v>
      </c>
      <c r="J252" s="30">
        <f t="shared" si="3"/>
        <v>0.04166666667</v>
      </c>
      <c r="K252" s="21"/>
      <c r="L252" s="21"/>
    </row>
    <row r="253">
      <c r="A253" s="19" t="str">
        <f>vlookup(B253,'Player Codes'!A:D,4,)</f>
        <v>0233</v>
      </c>
      <c r="B253" s="5" t="s">
        <v>643</v>
      </c>
      <c r="C253" s="5" t="s">
        <v>30</v>
      </c>
      <c r="D253" s="5" t="s">
        <v>948</v>
      </c>
      <c r="E253" s="5">
        <v>85.7</v>
      </c>
      <c r="F253" s="21">
        <f t="shared" si="1"/>
        <v>69.6</v>
      </c>
      <c r="G253" s="21" t="str">
        <f>vlookup(A253,'ESPN FF Rankings'!$C$2:$H$201,2,false)</f>
        <v>#N/A</v>
      </c>
      <c r="H253" s="21">
        <f t="shared" si="2"/>
        <v>16.1</v>
      </c>
      <c r="I253" s="23">
        <v>252.0</v>
      </c>
      <c r="J253" s="30">
        <f t="shared" si="3"/>
        <v>0.04083333333</v>
      </c>
      <c r="K253" s="21"/>
      <c r="L253" s="21"/>
    </row>
    <row r="254">
      <c r="A254" s="19" t="str">
        <f>vlookup(B254,'Player Codes'!A:D,4,)</f>
        <v>0162</v>
      </c>
      <c r="B254" s="5" t="s">
        <v>708</v>
      </c>
      <c r="C254" s="5" t="s">
        <v>30</v>
      </c>
      <c r="D254" s="5" t="s">
        <v>992</v>
      </c>
      <c r="E254" s="5">
        <v>85.5</v>
      </c>
      <c r="F254" s="21">
        <f t="shared" si="1"/>
        <v>69.6</v>
      </c>
      <c r="G254" s="21" t="str">
        <f>vlookup(A254,'ESPN FF Rankings'!$C$2:$H$201,2,false)</f>
        <v>#N/A</v>
      </c>
      <c r="H254" s="21">
        <f t="shared" si="2"/>
        <v>15.9</v>
      </c>
      <c r="I254" s="23">
        <v>253.0</v>
      </c>
      <c r="J254" s="30">
        <f t="shared" si="3"/>
        <v>0.04</v>
      </c>
      <c r="K254" s="21"/>
      <c r="L254" s="21"/>
    </row>
    <row r="255">
      <c r="A255" s="19" t="str">
        <f>vlookup(B255,'Player Codes'!A:D,4,)</f>
        <v>0205</v>
      </c>
      <c r="B255" s="5" t="s">
        <v>711</v>
      </c>
      <c r="C255" s="5" t="s">
        <v>30</v>
      </c>
      <c r="D255" s="5" t="s">
        <v>965</v>
      </c>
      <c r="E255" s="5">
        <v>85.2</v>
      </c>
      <c r="F255" s="21">
        <f t="shared" si="1"/>
        <v>69.6</v>
      </c>
      <c r="G255" s="21" t="str">
        <f>vlookup(A255,'ESPN FF Rankings'!$C$2:$H$201,2,false)</f>
        <v>#N/A</v>
      </c>
      <c r="H255" s="21">
        <f t="shared" si="2"/>
        <v>15.6</v>
      </c>
      <c r="I255" s="23">
        <v>254.0</v>
      </c>
      <c r="J255" s="30">
        <f t="shared" si="3"/>
        <v>0.03916666667</v>
      </c>
      <c r="K255" s="21"/>
      <c r="L255" s="21"/>
    </row>
    <row r="256">
      <c r="A256" s="19" t="str">
        <f>vlookup(B256,'Player Codes'!A:D,4,)</f>
        <v>0006</v>
      </c>
      <c r="B256" s="5" t="s">
        <v>721</v>
      </c>
      <c r="C256" s="5" t="s">
        <v>30</v>
      </c>
      <c r="D256" s="5" t="s">
        <v>961</v>
      </c>
      <c r="E256" s="5">
        <v>85.1</v>
      </c>
      <c r="F256" s="21">
        <f t="shared" si="1"/>
        <v>69.6</v>
      </c>
      <c r="G256" s="21" t="str">
        <f>vlookup(A256,'ESPN FF Rankings'!$C$2:$H$201,2,false)</f>
        <v>#N/A</v>
      </c>
      <c r="H256" s="21">
        <f t="shared" si="2"/>
        <v>15.5</v>
      </c>
      <c r="I256" s="23">
        <v>255.0</v>
      </c>
      <c r="J256" s="30">
        <f t="shared" si="3"/>
        <v>0.03833333333</v>
      </c>
      <c r="K256" s="21"/>
      <c r="L256" s="21"/>
    </row>
    <row r="257">
      <c r="A257" s="19" t="str">
        <f>vlookup(B257,'Player Codes'!A:D,4,)</f>
        <v>0211</v>
      </c>
      <c r="B257" s="5" t="s">
        <v>724</v>
      </c>
      <c r="C257" s="5" t="s">
        <v>30</v>
      </c>
      <c r="D257" s="5" t="s">
        <v>967</v>
      </c>
      <c r="E257" s="5">
        <v>85.0</v>
      </c>
      <c r="F257" s="21">
        <f t="shared" si="1"/>
        <v>69.6</v>
      </c>
      <c r="G257" s="21" t="str">
        <f>vlookup(A257,'ESPN FF Rankings'!$C$2:$H$201,2,false)</f>
        <v>#N/A</v>
      </c>
      <c r="H257" s="21">
        <f t="shared" si="2"/>
        <v>15.4</v>
      </c>
      <c r="I257" s="23">
        <v>256.0</v>
      </c>
      <c r="J257" s="30">
        <f t="shared" si="3"/>
        <v>0.0375</v>
      </c>
      <c r="K257" s="21"/>
      <c r="L257" s="21"/>
    </row>
    <row r="258">
      <c r="A258" s="19" t="str">
        <f>vlookup(B258,'Player Codes'!A:D,4,)</f>
        <v>0033</v>
      </c>
      <c r="B258" s="5" t="s">
        <v>869</v>
      </c>
      <c r="C258" s="5" t="s">
        <v>191</v>
      </c>
      <c r="D258" s="5" t="s">
        <v>1024</v>
      </c>
      <c r="E258" s="5">
        <v>84.6</v>
      </c>
      <c r="F258" s="21">
        <f t="shared" si="1"/>
        <v>67.4</v>
      </c>
      <c r="G258" s="21" t="str">
        <f>vlookup(A258,'ESPN FF Rankings'!$C$2:$H$201,2,false)</f>
        <v>#N/A</v>
      </c>
      <c r="H258" s="21">
        <f t="shared" si="2"/>
        <v>17.2</v>
      </c>
      <c r="I258" s="23">
        <v>257.0</v>
      </c>
      <c r="J258" s="30">
        <f t="shared" si="3"/>
        <v>0.03666666667</v>
      </c>
      <c r="K258" s="21"/>
      <c r="L258" s="21"/>
    </row>
    <row r="259">
      <c r="A259" s="19" t="str">
        <f>vlookup(B259,'Player Codes'!A:D,4,)</f>
        <v>0267</v>
      </c>
      <c r="B259" s="5" t="s">
        <v>730</v>
      </c>
      <c r="C259" s="5" t="s">
        <v>30</v>
      </c>
      <c r="D259" s="5" t="s">
        <v>992</v>
      </c>
      <c r="E259" s="5">
        <v>84.0</v>
      </c>
      <c r="F259" s="21">
        <f t="shared" si="1"/>
        <v>69.6</v>
      </c>
      <c r="G259" s="21" t="str">
        <f>vlookup(A259,'ESPN FF Rankings'!$C$2:$H$201,2,false)</f>
        <v>#N/A</v>
      </c>
      <c r="H259" s="21">
        <f t="shared" si="2"/>
        <v>14.4</v>
      </c>
      <c r="I259" s="23">
        <v>258.0</v>
      </c>
      <c r="J259" s="30">
        <f t="shared" si="3"/>
        <v>0.03583333333</v>
      </c>
      <c r="K259" s="21"/>
      <c r="L259" s="21"/>
    </row>
    <row r="260">
      <c r="A260" s="19" t="str">
        <f>vlookup(B260,'Player Codes'!A:D,4,)</f>
        <v>0084</v>
      </c>
      <c r="B260" s="5" t="s">
        <v>814</v>
      </c>
      <c r="C260" s="5" t="s">
        <v>191</v>
      </c>
      <c r="D260" s="5" t="s">
        <v>929</v>
      </c>
      <c r="E260" s="5">
        <v>83.9</v>
      </c>
      <c r="F260" s="21">
        <f t="shared" si="1"/>
        <v>67.4</v>
      </c>
      <c r="G260" s="21">
        <f>vlookup(A260,'ESPN FF Rankings'!$C$2:$H$201,2,false)</f>
        <v>152</v>
      </c>
      <c r="H260" s="21">
        <f t="shared" si="2"/>
        <v>16.5</v>
      </c>
      <c r="I260" s="23">
        <v>259.0</v>
      </c>
      <c r="J260" s="30">
        <f t="shared" si="3"/>
        <v>0.035</v>
      </c>
      <c r="K260" s="21"/>
      <c r="L260" s="21"/>
    </row>
    <row r="261">
      <c r="A261" s="19" t="str">
        <f>vlookup(B261,'Player Codes'!A:D,4,)</f>
        <v>0238</v>
      </c>
      <c r="B261" s="5" t="s">
        <v>751</v>
      </c>
      <c r="C261" s="5" t="s">
        <v>30</v>
      </c>
      <c r="D261" s="5" t="s">
        <v>958</v>
      </c>
      <c r="E261" s="5">
        <v>83.9</v>
      </c>
      <c r="F261" s="21">
        <f t="shared" si="1"/>
        <v>69.6</v>
      </c>
      <c r="G261" s="21" t="str">
        <f>vlookup(A261,'ESPN FF Rankings'!$C$2:$H$201,2,false)</f>
        <v>#N/A</v>
      </c>
      <c r="H261" s="21">
        <f t="shared" si="2"/>
        <v>14.3</v>
      </c>
      <c r="I261" s="23">
        <v>260.0</v>
      </c>
      <c r="J261" s="30">
        <f t="shared" si="3"/>
        <v>0.03416666667</v>
      </c>
      <c r="K261" s="21"/>
      <c r="L261" s="21"/>
    </row>
    <row r="262">
      <c r="A262" s="19" t="str">
        <f>vlookup(B262,'Player Codes'!A:D,4,)</f>
        <v>0057</v>
      </c>
      <c r="B262" s="5" t="s">
        <v>620</v>
      </c>
      <c r="C262" s="5" t="s">
        <v>13</v>
      </c>
      <c r="D262" s="5" t="s">
        <v>996</v>
      </c>
      <c r="E262" s="5">
        <v>83.8</v>
      </c>
      <c r="F262" s="21">
        <f t="shared" si="1"/>
        <v>81</v>
      </c>
      <c r="G262" s="21">
        <f>vlookup(A262,'ESPN FF Rankings'!$C$2:$H$201,2,false)</f>
        <v>160</v>
      </c>
      <c r="H262" s="21">
        <f t="shared" si="2"/>
        <v>2.8</v>
      </c>
      <c r="I262" s="23">
        <v>261.0</v>
      </c>
      <c r="J262" s="30">
        <f t="shared" si="3"/>
        <v>0.03333333333</v>
      </c>
      <c r="K262" s="21"/>
      <c r="L262" s="21"/>
    </row>
    <row r="263">
      <c r="A263" s="19" t="str">
        <f>vlookup(B263,'Player Codes'!A:D,4,)</f>
        <v>0151</v>
      </c>
      <c r="B263" s="5" t="s">
        <v>680</v>
      </c>
      <c r="C263" s="5" t="s">
        <v>30</v>
      </c>
      <c r="D263" s="5" t="s">
        <v>988</v>
      </c>
      <c r="E263" s="5">
        <v>83.6</v>
      </c>
      <c r="F263" s="21">
        <f t="shared" si="1"/>
        <v>69.6</v>
      </c>
      <c r="G263" s="21" t="str">
        <f>vlookup(A263,'ESPN FF Rankings'!$C$2:$H$201,2,false)</f>
        <v>#N/A</v>
      </c>
      <c r="H263" s="21">
        <f t="shared" si="2"/>
        <v>14</v>
      </c>
      <c r="I263" s="23">
        <v>262.0</v>
      </c>
      <c r="J263" s="30">
        <f t="shared" si="3"/>
        <v>0.0325</v>
      </c>
      <c r="K263" s="21"/>
      <c r="L263" s="21"/>
    </row>
    <row r="264">
      <c r="A264" s="19" t="str">
        <f>vlookup(B264,'Player Codes'!A:D,4,)</f>
        <v>0260</v>
      </c>
      <c r="B264" s="5" t="s">
        <v>631</v>
      </c>
      <c r="C264" s="5" t="s">
        <v>13</v>
      </c>
      <c r="D264" s="5" t="s">
        <v>1024</v>
      </c>
      <c r="E264" s="5">
        <v>82.8</v>
      </c>
      <c r="F264" s="21">
        <f t="shared" si="1"/>
        <v>81</v>
      </c>
      <c r="G264" s="21" t="str">
        <f>vlookup(A264,'ESPN FF Rankings'!$C$2:$H$201,2,false)</f>
        <v>#N/A</v>
      </c>
      <c r="H264" s="21">
        <f t="shared" si="2"/>
        <v>1.8</v>
      </c>
      <c r="I264" s="23">
        <v>263.0</v>
      </c>
      <c r="J264" s="30">
        <f t="shared" si="3"/>
        <v>0.03166666667</v>
      </c>
      <c r="K264" s="21"/>
      <c r="L264" s="21"/>
    </row>
    <row r="265">
      <c r="A265" s="19" t="str">
        <f>vlookup(B265,'Player Codes'!A:D,4,)</f>
        <v>0199</v>
      </c>
      <c r="B265" s="5" t="s">
        <v>903</v>
      </c>
      <c r="C265" s="5" t="s">
        <v>191</v>
      </c>
      <c r="D265" s="5" t="s">
        <v>988</v>
      </c>
      <c r="E265" s="5">
        <v>82.4</v>
      </c>
      <c r="F265" s="21">
        <f t="shared" si="1"/>
        <v>67.4</v>
      </c>
      <c r="G265" s="21" t="str">
        <f>vlookup(A265,'ESPN FF Rankings'!$C$2:$H$201,2,false)</f>
        <v>#N/A</v>
      </c>
      <c r="H265" s="21">
        <f t="shared" si="2"/>
        <v>15</v>
      </c>
      <c r="I265" s="23">
        <v>264.0</v>
      </c>
      <c r="J265" s="30">
        <f t="shared" si="3"/>
        <v>0.03083333333</v>
      </c>
      <c r="K265" s="21"/>
      <c r="L265" s="21"/>
    </row>
    <row r="266">
      <c r="A266" s="19" t="str">
        <f>vlookup(B266,'Player Codes'!A:D,4,)</f>
        <v>0249</v>
      </c>
      <c r="B266" s="2" t="s">
        <v>627</v>
      </c>
      <c r="C266" s="5" t="s">
        <v>30</v>
      </c>
      <c r="D266" s="5" t="s">
        <v>992</v>
      </c>
      <c r="E266" s="5">
        <v>81.8</v>
      </c>
      <c r="F266" s="21">
        <f t="shared" si="1"/>
        <v>69.6</v>
      </c>
      <c r="G266" s="21">
        <f>vlookup(A266,'ESPN FF Rankings'!$C$2:$H$201,2,false)</f>
        <v>198</v>
      </c>
      <c r="H266" s="21">
        <f t="shared" si="2"/>
        <v>12.2</v>
      </c>
      <c r="I266" s="23">
        <v>265.0</v>
      </c>
      <c r="J266" s="30">
        <f t="shared" si="3"/>
        <v>0.03</v>
      </c>
      <c r="K266" s="21"/>
      <c r="L266" s="21"/>
    </row>
    <row r="267">
      <c r="A267" s="19" t="str">
        <f>vlookup(B267,'Player Codes'!A:D,4,)</f>
        <v>0123</v>
      </c>
      <c r="B267" s="5" t="s">
        <v>837</v>
      </c>
      <c r="C267" s="5" t="s">
        <v>191</v>
      </c>
      <c r="D267" s="5" t="s">
        <v>996</v>
      </c>
      <c r="E267" s="5">
        <v>81.8</v>
      </c>
      <c r="F267" s="21">
        <f t="shared" si="1"/>
        <v>67.4</v>
      </c>
      <c r="G267" s="21">
        <f>vlookup(A267,'ESPN FF Rankings'!$C$2:$H$201,2,false)</f>
        <v>151</v>
      </c>
      <c r="H267" s="21">
        <f t="shared" si="2"/>
        <v>14.4</v>
      </c>
      <c r="I267" s="23">
        <v>266.0</v>
      </c>
      <c r="J267" s="30">
        <f t="shared" si="3"/>
        <v>0.02916666667</v>
      </c>
      <c r="K267" s="21"/>
      <c r="L267" s="21"/>
    </row>
    <row r="268">
      <c r="A268" s="19" t="str">
        <f>vlookup(B268,'Player Codes'!A:D,4,)</f>
        <v>0282</v>
      </c>
      <c r="B268" s="5" t="s">
        <v>696</v>
      </c>
      <c r="C268" s="5" t="s">
        <v>13</v>
      </c>
      <c r="D268" s="5" t="s">
        <v>950</v>
      </c>
      <c r="E268" s="5">
        <v>81.0</v>
      </c>
      <c r="F268" s="21">
        <f t="shared" si="1"/>
        <v>81</v>
      </c>
      <c r="G268" s="21" t="str">
        <f>vlookup(A268,'ESPN FF Rankings'!$C$2:$H$201,2,false)</f>
        <v>#N/A</v>
      </c>
      <c r="H268" s="21">
        <f t="shared" si="2"/>
        <v>0</v>
      </c>
      <c r="I268" s="23">
        <v>267.0</v>
      </c>
      <c r="J268" s="30">
        <f t="shared" si="3"/>
        <v>0.02833333333</v>
      </c>
      <c r="K268" s="21"/>
      <c r="L268" s="21"/>
    </row>
    <row r="269">
      <c r="A269" s="19" t="str">
        <f>vlookup(B269,'Player Codes'!A:D,4,)</f>
        <v>0281</v>
      </c>
      <c r="B269" s="5" t="s">
        <v>852</v>
      </c>
      <c r="C269" s="5" t="s">
        <v>30</v>
      </c>
      <c r="D269" s="5" t="s">
        <v>958</v>
      </c>
      <c r="E269" s="5">
        <v>81.0</v>
      </c>
      <c r="F269" s="21">
        <f t="shared" si="1"/>
        <v>69.6</v>
      </c>
      <c r="G269" s="21" t="str">
        <f>vlookup(A269,'ESPN FF Rankings'!$C$2:$H$201,2,false)</f>
        <v>#N/A</v>
      </c>
      <c r="H269" s="21">
        <f t="shared" si="2"/>
        <v>11.4</v>
      </c>
      <c r="I269" s="23">
        <v>268.0</v>
      </c>
      <c r="J269" s="30">
        <f t="shared" si="3"/>
        <v>0.0275</v>
      </c>
      <c r="K269" s="21"/>
      <c r="L269" s="21"/>
    </row>
    <row r="270">
      <c r="A270" s="19" t="str">
        <f>vlookup(B270,'Player Codes'!A:D,4,)</f>
        <v>0207</v>
      </c>
      <c r="B270" s="5" t="s">
        <v>594</v>
      </c>
      <c r="C270" s="5" t="s">
        <v>13</v>
      </c>
      <c r="D270" s="5" t="s">
        <v>948</v>
      </c>
      <c r="E270" s="5">
        <v>79.7</v>
      </c>
      <c r="F270" s="21">
        <f t="shared" si="1"/>
        <v>81</v>
      </c>
      <c r="G270" s="21" t="str">
        <f>vlookup(A270,'ESPN FF Rankings'!$C$2:$H$201,2,false)</f>
        <v>#N/A</v>
      </c>
      <c r="H270" s="21">
        <f t="shared" si="2"/>
        <v>-1.3</v>
      </c>
      <c r="I270" s="23">
        <v>269.0</v>
      </c>
      <c r="J270" s="30">
        <f t="shared" si="3"/>
        <v>0.02666666667</v>
      </c>
      <c r="K270" s="21"/>
      <c r="L270" s="21"/>
    </row>
    <row r="271">
      <c r="A271" s="19" t="str">
        <f>vlookup(B271,'Player Codes'!A:D,4,)</f>
        <v>0129</v>
      </c>
      <c r="B271" s="5" t="s">
        <v>860</v>
      </c>
      <c r="C271" s="5" t="s">
        <v>30</v>
      </c>
      <c r="D271" s="5" t="s">
        <v>948</v>
      </c>
      <c r="E271" s="5">
        <v>79.6</v>
      </c>
      <c r="F271" s="21">
        <f t="shared" si="1"/>
        <v>69.6</v>
      </c>
      <c r="G271" s="21" t="str">
        <f>vlookup(A271,'ESPN FF Rankings'!$C$2:$H$201,2,false)</f>
        <v>#N/A</v>
      </c>
      <c r="H271" s="21">
        <f t="shared" si="2"/>
        <v>10</v>
      </c>
      <c r="I271" s="23">
        <v>270.0</v>
      </c>
      <c r="J271" s="30">
        <f t="shared" si="3"/>
        <v>0.02583333333</v>
      </c>
      <c r="K271" s="21"/>
      <c r="L271" s="21"/>
    </row>
    <row r="272">
      <c r="A272" s="19" t="str">
        <f>vlookup(B272,'Player Codes'!A:D,4,)</f>
        <v>0231</v>
      </c>
      <c r="B272" s="5" t="s">
        <v>885</v>
      </c>
      <c r="C272" s="5" t="s">
        <v>191</v>
      </c>
      <c r="D272" s="5" t="s">
        <v>946</v>
      </c>
      <c r="E272" s="5">
        <v>79.4</v>
      </c>
      <c r="F272" s="21">
        <f t="shared" si="1"/>
        <v>67.4</v>
      </c>
      <c r="G272" s="21">
        <f>vlookup(A272,'ESPN FF Rankings'!$C$2:$H$201,2,false)</f>
        <v>181</v>
      </c>
      <c r="H272" s="21">
        <f t="shared" si="2"/>
        <v>12</v>
      </c>
      <c r="I272" s="23">
        <v>271.0</v>
      </c>
      <c r="J272" s="30">
        <f t="shared" si="3"/>
        <v>0.025</v>
      </c>
      <c r="K272" s="21"/>
      <c r="L272" s="21"/>
    </row>
    <row r="273">
      <c r="A273" s="19" t="str">
        <f>vlookup(B273,'Player Codes'!A:D,4,)</f>
        <v>0137</v>
      </c>
      <c r="B273" s="5" t="s">
        <v>890</v>
      </c>
      <c r="C273" s="5" t="s">
        <v>191</v>
      </c>
      <c r="D273" s="5" t="s">
        <v>952</v>
      </c>
      <c r="E273" s="5">
        <v>78.2</v>
      </c>
      <c r="F273" s="21">
        <f t="shared" si="1"/>
        <v>67.4</v>
      </c>
      <c r="G273" s="21" t="str">
        <f>vlookup(A273,'ESPN FF Rankings'!$C$2:$H$201,2,false)</f>
        <v>#N/A</v>
      </c>
      <c r="H273" s="21">
        <f t="shared" si="2"/>
        <v>10.8</v>
      </c>
      <c r="I273" s="23">
        <v>272.0</v>
      </c>
      <c r="J273" s="30">
        <f t="shared" si="3"/>
        <v>0.02416666667</v>
      </c>
      <c r="K273" s="21"/>
      <c r="L273" s="21"/>
    </row>
    <row r="274">
      <c r="A274" s="19" t="str">
        <f>vlookup(B274,'Player Codes'!A:D,4,)</f>
        <v>0203</v>
      </c>
      <c r="B274" s="5" t="s">
        <v>718</v>
      </c>
      <c r="C274" s="5" t="s">
        <v>30</v>
      </c>
      <c r="D274" s="5" t="s">
        <v>933</v>
      </c>
      <c r="E274" s="5">
        <v>77.9</v>
      </c>
      <c r="F274" s="21">
        <f t="shared" si="1"/>
        <v>69.6</v>
      </c>
      <c r="G274" s="21">
        <f>vlookup(A274,'ESPN FF Rankings'!$C$2:$H$201,2,false)</f>
        <v>179</v>
      </c>
      <c r="H274" s="21">
        <f t="shared" si="2"/>
        <v>8.3</v>
      </c>
      <c r="I274" s="23">
        <v>273.0</v>
      </c>
      <c r="J274" s="30">
        <f t="shared" si="3"/>
        <v>0.02333333333</v>
      </c>
      <c r="K274" s="21"/>
      <c r="L274" s="21"/>
    </row>
    <row r="275">
      <c r="A275" s="19" t="str">
        <f>vlookup(B275,'Player Codes'!A:D,4,)</f>
        <v>0184</v>
      </c>
      <c r="B275" s="5" t="s">
        <v>810</v>
      </c>
      <c r="C275" s="5" t="s">
        <v>30</v>
      </c>
      <c r="D275" s="5" t="s">
        <v>1009</v>
      </c>
      <c r="E275" s="5">
        <v>77.8</v>
      </c>
      <c r="F275" s="21">
        <f t="shared" si="1"/>
        <v>69.6</v>
      </c>
      <c r="G275" s="21" t="str">
        <f>vlookup(A275,'ESPN FF Rankings'!$C$2:$H$201,2,false)</f>
        <v>#N/A</v>
      </c>
      <c r="H275" s="21">
        <f t="shared" si="2"/>
        <v>8.2</v>
      </c>
      <c r="I275" s="23">
        <v>274.0</v>
      </c>
      <c r="J275" s="30">
        <f t="shared" si="3"/>
        <v>0.0225</v>
      </c>
      <c r="K275" s="21"/>
      <c r="L275" s="21"/>
    </row>
    <row r="276">
      <c r="A276" s="19" t="str">
        <f>vlookup(B276,'Player Codes'!A:D,4,)</f>
        <v>0169</v>
      </c>
      <c r="B276" s="2" t="s">
        <v>817</v>
      </c>
      <c r="C276" s="5" t="s">
        <v>30</v>
      </c>
      <c r="D276" s="5" t="s">
        <v>965</v>
      </c>
      <c r="E276" s="5">
        <v>77.0</v>
      </c>
      <c r="F276" s="21">
        <f t="shared" si="1"/>
        <v>69.6</v>
      </c>
      <c r="G276" s="21" t="str">
        <f>vlookup(A276,'ESPN FF Rankings'!$C$2:$H$201,2,false)</f>
        <v>#N/A</v>
      </c>
      <c r="H276" s="21">
        <f t="shared" si="2"/>
        <v>7.4</v>
      </c>
      <c r="I276" s="23">
        <v>275.0</v>
      </c>
      <c r="J276" s="30">
        <f t="shared" si="3"/>
        <v>0.02166666667</v>
      </c>
      <c r="K276" s="21"/>
      <c r="L276" s="21"/>
    </row>
    <row r="277">
      <c r="A277" s="19" t="str">
        <f>vlookup(B277,'Player Codes'!A:D,4,)</f>
        <v>0217</v>
      </c>
      <c r="B277" s="5" t="s">
        <v>871</v>
      </c>
      <c r="C277" s="5" t="s">
        <v>30</v>
      </c>
      <c r="D277" s="5" t="s">
        <v>1040</v>
      </c>
      <c r="E277" s="5">
        <v>76.8</v>
      </c>
      <c r="F277" s="21">
        <f t="shared" si="1"/>
        <v>69.6</v>
      </c>
      <c r="G277" s="21" t="str">
        <f>vlookup(A277,'ESPN FF Rankings'!$C$2:$H$201,2,false)</f>
        <v>#N/A</v>
      </c>
      <c r="H277" s="21">
        <f t="shared" si="2"/>
        <v>7.2</v>
      </c>
      <c r="I277" s="23">
        <v>276.0</v>
      </c>
      <c r="J277" s="30">
        <f t="shared" si="3"/>
        <v>0.02083333333</v>
      </c>
      <c r="K277" s="21"/>
      <c r="L277" s="21"/>
    </row>
    <row r="278">
      <c r="A278" s="19" t="str">
        <f>vlookup(B278,'Player Codes'!A:D,4,)</f>
        <v>0126</v>
      </c>
      <c r="B278" s="5" t="s">
        <v>745</v>
      </c>
      <c r="C278" s="5" t="s">
        <v>30</v>
      </c>
      <c r="D278" s="5" t="s">
        <v>980</v>
      </c>
      <c r="E278" s="5">
        <v>76.4</v>
      </c>
      <c r="F278" s="21">
        <f t="shared" si="1"/>
        <v>69.6</v>
      </c>
      <c r="G278" s="21">
        <f>vlookup(A278,'ESPN FF Rankings'!$C$2:$H$201,2,false)</f>
        <v>189</v>
      </c>
      <c r="H278" s="21">
        <f t="shared" si="2"/>
        <v>6.8</v>
      </c>
      <c r="I278" s="23">
        <v>277.0</v>
      </c>
      <c r="J278" s="30">
        <f t="shared" si="3"/>
        <v>0.02</v>
      </c>
      <c r="K278" s="21"/>
      <c r="L278" s="21"/>
    </row>
    <row r="279">
      <c r="A279" s="19" t="str">
        <f>vlookup(B279,'Player Codes'!A:D,4,)</f>
        <v>0045</v>
      </c>
      <c r="B279" s="5" t="s">
        <v>828</v>
      </c>
      <c r="C279" s="5" t="s">
        <v>30</v>
      </c>
      <c r="D279" s="5" t="s">
        <v>940</v>
      </c>
      <c r="E279" s="5">
        <v>75.3</v>
      </c>
      <c r="F279" s="21">
        <f t="shared" si="1"/>
        <v>69.6</v>
      </c>
      <c r="G279" s="21" t="str">
        <f>vlookup(A279,'ESPN FF Rankings'!$C$2:$H$201,2,false)</f>
        <v>#N/A</v>
      </c>
      <c r="H279" s="21">
        <f t="shared" si="2"/>
        <v>5.7</v>
      </c>
      <c r="I279" s="23">
        <v>278.0</v>
      </c>
      <c r="J279" s="30">
        <f t="shared" si="3"/>
        <v>0.01916666667</v>
      </c>
      <c r="K279" s="21"/>
      <c r="L279" s="21"/>
    </row>
    <row r="280">
      <c r="A280" s="19" t="str">
        <f>vlookup(B280,'Player Codes'!A:D,4,)</f>
        <v>0269</v>
      </c>
      <c r="B280" s="5" t="s">
        <v>742</v>
      </c>
      <c r="C280" s="5" t="s">
        <v>191</v>
      </c>
      <c r="D280" s="5" t="s">
        <v>983</v>
      </c>
      <c r="E280" s="5">
        <v>75.1</v>
      </c>
      <c r="F280" s="21">
        <f t="shared" si="1"/>
        <v>67.4</v>
      </c>
      <c r="G280" s="21" t="str">
        <f>vlookup(A280,'ESPN FF Rankings'!$C$2:$H$201,2,false)</f>
        <v>#N/A</v>
      </c>
      <c r="H280" s="21">
        <f t="shared" si="2"/>
        <v>7.7</v>
      </c>
      <c r="I280" s="23">
        <v>279.0</v>
      </c>
      <c r="J280" s="30">
        <f t="shared" si="3"/>
        <v>0.01833333333</v>
      </c>
      <c r="K280" s="21"/>
      <c r="L280" s="21"/>
    </row>
    <row r="281">
      <c r="A281" s="19" t="str">
        <f>vlookup(B281,'Player Codes'!A:D,4,)</f>
        <v>0219</v>
      </c>
      <c r="B281" s="5" t="s">
        <v>899</v>
      </c>
      <c r="C281" s="5" t="s">
        <v>191</v>
      </c>
      <c r="D281" s="5" t="s">
        <v>1009</v>
      </c>
      <c r="E281" s="5">
        <v>74.6</v>
      </c>
      <c r="F281" s="21">
        <f t="shared" si="1"/>
        <v>67.4</v>
      </c>
      <c r="G281" s="21">
        <f>vlookup(A281,'ESPN FF Rankings'!$C$2:$H$201,2,false)</f>
        <v>144</v>
      </c>
      <c r="H281" s="21">
        <f t="shared" si="2"/>
        <v>7.2</v>
      </c>
      <c r="I281" s="23">
        <v>280.0</v>
      </c>
      <c r="J281" s="30">
        <f t="shared" si="3"/>
        <v>0.0175</v>
      </c>
      <c r="K281" s="21"/>
      <c r="L281" s="21"/>
    </row>
    <row r="282">
      <c r="A282" s="19" t="str">
        <f>vlookup(B282,'Player Codes'!A:D,4,)</f>
        <v>0201</v>
      </c>
      <c r="B282" s="5" t="s">
        <v>832</v>
      </c>
      <c r="C282" s="5" t="s">
        <v>30</v>
      </c>
      <c r="D282" s="5" t="s">
        <v>974</v>
      </c>
      <c r="E282" s="5">
        <v>73.6</v>
      </c>
      <c r="F282" s="21">
        <f t="shared" si="1"/>
        <v>69.6</v>
      </c>
      <c r="G282" s="21" t="str">
        <f>vlookup(A282,'ESPN FF Rankings'!$C$2:$H$201,2,false)</f>
        <v>#N/A</v>
      </c>
      <c r="H282" s="21">
        <f t="shared" si="2"/>
        <v>4</v>
      </c>
      <c r="I282" s="23">
        <v>281.0</v>
      </c>
      <c r="J282" s="30">
        <f t="shared" si="3"/>
        <v>0.01666666667</v>
      </c>
      <c r="K282" s="21"/>
      <c r="L282" s="21"/>
    </row>
    <row r="283">
      <c r="A283" s="19" t="str">
        <f>vlookup(B283,'Player Codes'!A:D,4,)</f>
        <v>0043</v>
      </c>
      <c r="B283" s="5" t="s">
        <v>840</v>
      </c>
      <c r="C283" s="5" t="s">
        <v>30</v>
      </c>
      <c r="D283" s="5" t="s">
        <v>935</v>
      </c>
      <c r="E283" s="5">
        <v>72.9</v>
      </c>
      <c r="F283" s="21">
        <f t="shared" si="1"/>
        <v>69.6</v>
      </c>
      <c r="G283" s="21" t="str">
        <f>vlookup(A283,'ESPN FF Rankings'!$C$2:$H$201,2,false)</f>
        <v>#N/A</v>
      </c>
      <c r="H283" s="21">
        <f t="shared" si="2"/>
        <v>3.3</v>
      </c>
      <c r="I283" s="23">
        <v>282.0</v>
      </c>
      <c r="J283" s="30">
        <f t="shared" si="3"/>
        <v>0.01583333333</v>
      </c>
      <c r="K283" s="21"/>
      <c r="L283" s="21"/>
    </row>
    <row r="284">
      <c r="A284" s="19" t="str">
        <f>vlookup(B284,'Player Codes'!A:D,4,)</f>
        <v>0170</v>
      </c>
      <c r="B284" s="5" t="s">
        <v>846</v>
      </c>
      <c r="C284" s="5" t="s">
        <v>30</v>
      </c>
      <c r="D284" s="5" t="s">
        <v>938</v>
      </c>
      <c r="E284" s="5">
        <v>72.3</v>
      </c>
      <c r="F284" s="21">
        <f t="shared" si="1"/>
        <v>69.6</v>
      </c>
      <c r="G284" s="21" t="str">
        <f>vlookup(A284,'ESPN FF Rankings'!$C$2:$H$201,2,false)</f>
        <v>#N/A</v>
      </c>
      <c r="H284" s="21">
        <f t="shared" si="2"/>
        <v>2.7</v>
      </c>
      <c r="I284" s="23">
        <v>283.0</v>
      </c>
      <c r="J284" s="30">
        <f t="shared" si="3"/>
        <v>0.015</v>
      </c>
      <c r="K284" s="21"/>
      <c r="L284" s="21"/>
    </row>
    <row r="285">
      <c r="A285" s="19" t="str">
        <f>vlookup(B285,'Player Codes'!A:D,4,)</f>
        <v>0278</v>
      </c>
      <c r="B285" s="5" t="s">
        <v>905</v>
      </c>
      <c r="C285" s="5" t="s">
        <v>191</v>
      </c>
      <c r="D285" s="5" t="s">
        <v>1040</v>
      </c>
      <c r="E285" s="5">
        <v>72.3</v>
      </c>
      <c r="F285" s="21">
        <f t="shared" si="1"/>
        <v>67.4</v>
      </c>
      <c r="G285" s="21">
        <f>vlookup(A285,'ESPN FF Rankings'!$C$2:$H$201,2,false)</f>
        <v>180</v>
      </c>
      <c r="H285" s="21">
        <f t="shared" si="2"/>
        <v>4.9</v>
      </c>
      <c r="I285" s="23">
        <v>284.0</v>
      </c>
      <c r="J285" s="30">
        <f t="shared" si="3"/>
        <v>0.01416666667</v>
      </c>
      <c r="K285" s="21"/>
      <c r="L285" s="21"/>
    </row>
    <row r="286">
      <c r="A286" s="19" t="str">
        <f>vlookup(B286,'Player Codes'!A:D,4,)</f>
        <v>0298</v>
      </c>
      <c r="B286" s="5" t="s">
        <v>790</v>
      </c>
      <c r="C286" s="5" t="s">
        <v>13</v>
      </c>
      <c r="D286" s="5" t="s">
        <v>980</v>
      </c>
      <c r="E286" s="5">
        <v>71.8</v>
      </c>
      <c r="F286" s="21">
        <f t="shared" si="1"/>
        <v>81</v>
      </c>
      <c r="G286" s="21" t="str">
        <f>vlookup(A286,'ESPN FF Rankings'!$C$2:$H$201,2,false)</f>
        <v>#N/A</v>
      </c>
      <c r="H286" s="21">
        <f t="shared" si="2"/>
        <v>-9.2</v>
      </c>
      <c r="I286" s="23">
        <v>285.0</v>
      </c>
      <c r="J286" s="30">
        <f t="shared" si="3"/>
        <v>0.01333333333</v>
      </c>
      <c r="K286" s="21"/>
      <c r="L286" s="21"/>
    </row>
    <row r="287">
      <c r="A287" s="19" t="str">
        <f>vlookup(B287,'Player Codes'!A:D,4,)</f>
        <v>0009</v>
      </c>
      <c r="B287" s="5" t="s">
        <v>856</v>
      </c>
      <c r="C287" s="5" t="s">
        <v>30</v>
      </c>
      <c r="D287" s="5" t="s">
        <v>985</v>
      </c>
      <c r="E287" s="5">
        <v>70.6</v>
      </c>
      <c r="F287" s="21">
        <f t="shared" si="1"/>
        <v>69.6</v>
      </c>
      <c r="G287" s="21" t="str">
        <f>vlookup(A287,'ESPN FF Rankings'!$C$2:$H$201,2,false)</f>
        <v>#N/A</v>
      </c>
      <c r="H287" s="21">
        <f t="shared" si="2"/>
        <v>1</v>
      </c>
      <c r="I287" s="23">
        <v>286.0</v>
      </c>
      <c r="J287" s="30">
        <f t="shared" si="3"/>
        <v>0.0125</v>
      </c>
      <c r="K287" s="21"/>
      <c r="L287" s="21"/>
    </row>
    <row r="288">
      <c r="A288" s="19" t="str">
        <f>vlookup(B288,'Player Codes'!A:D,4,)</f>
        <v>0041</v>
      </c>
      <c r="B288" s="5" t="s">
        <v>888</v>
      </c>
      <c r="C288" s="5" t="s">
        <v>30</v>
      </c>
      <c r="D288" s="5" t="s">
        <v>944</v>
      </c>
      <c r="E288" s="5">
        <v>70.5</v>
      </c>
      <c r="F288" s="21">
        <f t="shared" si="1"/>
        <v>69.6</v>
      </c>
      <c r="G288" s="21" t="str">
        <f>vlookup(A288,'ESPN FF Rankings'!$C$2:$H$201,2,false)</f>
        <v>#N/A</v>
      </c>
      <c r="H288" s="21">
        <f t="shared" si="2"/>
        <v>0.9</v>
      </c>
      <c r="I288" s="23">
        <v>287.0</v>
      </c>
      <c r="J288" s="30">
        <f t="shared" si="3"/>
        <v>0.01166666667</v>
      </c>
      <c r="K288" s="21"/>
      <c r="L288" s="21"/>
    </row>
    <row r="289">
      <c r="A289" s="19" t="str">
        <f>vlookup(B289,'Player Codes'!A:D,4,)</f>
        <v>0290</v>
      </c>
      <c r="B289" s="5" t="s">
        <v>893</v>
      </c>
      <c r="C289" s="5" t="s">
        <v>30</v>
      </c>
      <c r="D289" s="5" t="s">
        <v>1009</v>
      </c>
      <c r="E289" s="5">
        <v>70.4</v>
      </c>
      <c r="F289" s="21">
        <f t="shared" si="1"/>
        <v>69.6</v>
      </c>
      <c r="G289" s="21" t="str">
        <f>vlookup(A289,'ESPN FF Rankings'!$C$2:$H$201,2,false)</f>
        <v>#N/A</v>
      </c>
      <c r="H289" s="21">
        <f t="shared" si="2"/>
        <v>0.8</v>
      </c>
      <c r="I289" s="23">
        <v>288.0</v>
      </c>
      <c r="J289" s="30">
        <f t="shared" si="3"/>
        <v>0.01083333333</v>
      </c>
      <c r="K289" s="21"/>
      <c r="L289" s="21"/>
    </row>
    <row r="290">
      <c r="A290" s="19" t="str">
        <f>vlookup(B290,'Player Codes'!A:D,4,)</f>
        <v>0078</v>
      </c>
      <c r="B290" s="5" t="s">
        <v>702</v>
      </c>
      <c r="C290" s="5" t="s">
        <v>30</v>
      </c>
      <c r="D290" s="5" t="s">
        <v>948</v>
      </c>
      <c r="E290" s="5">
        <v>70.3</v>
      </c>
      <c r="F290" s="21">
        <f t="shared" si="1"/>
        <v>69.6</v>
      </c>
      <c r="G290" s="21" t="str">
        <f>vlookup(A290,'ESPN FF Rankings'!$C$2:$H$201,2,false)</f>
        <v>#N/A</v>
      </c>
      <c r="H290" s="21">
        <f t="shared" si="2"/>
        <v>0.7</v>
      </c>
      <c r="I290" s="23">
        <v>289.0</v>
      </c>
      <c r="J290" s="30">
        <f t="shared" si="3"/>
        <v>0.01</v>
      </c>
      <c r="K290" s="21"/>
      <c r="L290" s="21"/>
    </row>
    <row r="291">
      <c r="A291" s="19" t="str">
        <f>vlookup(B291,'Player Codes'!A:D,4,)</f>
        <v>0049</v>
      </c>
      <c r="B291" s="5" t="s">
        <v>801</v>
      </c>
      <c r="C291" s="5" t="s">
        <v>30</v>
      </c>
      <c r="D291" s="5" t="s">
        <v>954</v>
      </c>
      <c r="E291" s="5">
        <v>69.6</v>
      </c>
      <c r="F291" s="21">
        <f t="shared" si="1"/>
        <v>69.6</v>
      </c>
      <c r="G291" s="21" t="str">
        <f>vlookup(A291,'ESPN FF Rankings'!$C$2:$H$201,2,false)</f>
        <v>#N/A</v>
      </c>
      <c r="H291" s="21">
        <f t="shared" si="2"/>
        <v>0</v>
      </c>
      <c r="I291" s="23">
        <v>290.0</v>
      </c>
      <c r="J291" s="30">
        <f t="shared" si="3"/>
        <v>0.009166666667</v>
      </c>
      <c r="K291" s="21"/>
      <c r="L291" s="21"/>
    </row>
    <row r="292">
      <c r="A292" s="19" t="str">
        <f>vlookup(B292,'Player Codes'!A:D,4,)</f>
        <v>0297</v>
      </c>
      <c r="B292" s="5" t="s">
        <v>793</v>
      </c>
      <c r="C292" s="5" t="s">
        <v>191</v>
      </c>
      <c r="D292" s="5" t="s">
        <v>1040</v>
      </c>
      <c r="E292" s="5">
        <v>69.5</v>
      </c>
      <c r="F292" s="21">
        <f t="shared" si="1"/>
        <v>67.4</v>
      </c>
      <c r="G292" s="21">
        <f>vlookup(A292,'ESPN FF Rankings'!$C$2:$H$201,2,false)</f>
        <v>129</v>
      </c>
      <c r="H292" s="21">
        <f t="shared" si="2"/>
        <v>2.1</v>
      </c>
      <c r="I292" s="23">
        <v>291.0</v>
      </c>
      <c r="J292" s="30">
        <f t="shared" si="3"/>
        <v>0.008333333333</v>
      </c>
      <c r="K292" s="21"/>
      <c r="L292" s="21"/>
    </row>
    <row r="293">
      <c r="A293" s="19" t="str">
        <f>vlookup(B293,'Player Codes'!A:D,4,)</f>
        <v>0181</v>
      </c>
      <c r="B293" s="5" t="s">
        <v>727</v>
      </c>
      <c r="C293" s="5" t="s">
        <v>13</v>
      </c>
      <c r="D293" s="5" t="s">
        <v>1040</v>
      </c>
      <c r="E293" s="5">
        <v>69.1</v>
      </c>
      <c r="F293" s="21">
        <f t="shared" si="1"/>
        <v>81</v>
      </c>
      <c r="G293" s="21" t="str">
        <f>vlookup(A293,'ESPN FF Rankings'!$C$2:$H$201,2,false)</f>
        <v>#N/A</v>
      </c>
      <c r="H293" s="21">
        <f t="shared" si="2"/>
        <v>-11.9</v>
      </c>
      <c r="I293" s="23">
        <v>292.0</v>
      </c>
      <c r="J293" s="30">
        <f t="shared" si="3"/>
        <v>0.0075</v>
      </c>
      <c r="K293" s="21"/>
      <c r="L293" s="21"/>
    </row>
    <row r="294">
      <c r="A294" s="19" t="str">
        <f>vlookup(B294,'Player Codes'!A:D,4,)</f>
        <v>0060</v>
      </c>
      <c r="B294" s="2" t="s">
        <v>668</v>
      </c>
      <c r="C294" s="5" t="s">
        <v>13</v>
      </c>
      <c r="D294" s="5" t="s">
        <v>933</v>
      </c>
      <c r="E294" s="5">
        <v>68.7</v>
      </c>
      <c r="F294" s="21">
        <f t="shared" si="1"/>
        <v>81</v>
      </c>
      <c r="G294" s="21">
        <f>vlookup(A294,'ESPN FF Rankings'!$C$2:$H$201,2,false)</f>
        <v>197</v>
      </c>
      <c r="H294" s="21">
        <f t="shared" si="2"/>
        <v>-12.3</v>
      </c>
      <c r="I294" s="23">
        <v>293.0</v>
      </c>
      <c r="J294" s="30">
        <f t="shared" si="3"/>
        <v>0.006666666667</v>
      </c>
      <c r="K294" s="21"/>
      <c r="L294" s="21"/>
    </row>
    <row r="295">
      <c r="A295" s="19" t="str">
        <f>vlookup(B295,'Player Codes'!A:D,4,)</f>
        <v>0051</v>
      </c>
      <c r="B295" s="5" t="s">
        <v>754</v>
      </c>
      <c r="C295" s="5" t="s">
        <v>13</v>
      </c>
      <c r="D295" s="5" t="s">
        <v>935</v>
      </c>
      <c r="E295" s="5">
        <v>68.2</v>
      </c>
      <c r="F295" s="21">
        <f t="shared" si="1"/>
        <v>81</v>
      </c>
      <c r="G295" s="21" t="str">
        <f>vlookup(A295,'ESPN FF Rankings'!$C$2:$H$201,2,false)</f>
        <v>#N/A</v>
      </c>
      <c r="H295" s="21">
        <f t="shared" si="2"/>
        <v>-12.8</v>
      </c>
      <c r="I295" s="23">
        <v>294.0</v>
      </c>
      <c r="J295" s="30">
        <f t="shared" si="3"/>
        <v>0.005833333333</v>
      </c>
      <c r="K295" s="21"/>
      <c r="L295" s="21"/>
    </row>
    <row r="296">
      <c r="A296" s="19" t="str">
        <f>vlookup(B296,'Player Codes'!A:D,4,)</f>
        <v>0121</v>
      </c>
      <c r="B296" s="2" t="s">
        <v>673</v>
      </c>
      <c r="C296" s="5" t="s">
        <v>13</v>
      </c>
      <c r="D296" s="5" t="s">
        <v>1007</v>
      </c>
      <c r="E296" s="5">
        <v>67.7</v>
      </c>
      <c r="F296" s="21">
        <f t="shared" si="1"/>
        <v>81</v>
      </c>
      <c r="G296" s="21">
        <f>vlookup(A296,'ESPN FF Rankings'!$C$2:$H$201,2,false)</f>
        <v>182</v>
      </c>
      <c r="H296" s="21">
        <f t="shared" si="2"/>
        <v>-13.3</v>
      </c>
      <c r="I296" s="23">
        <v>295.0</v>
      </c>
      <c r="J296" s="30">
        <f t="shared" si="3"/>
        <v>0.005</v>
      </c>
      <c r="K296" s="21"/>
      <c r="L296" s="21"/>
    </row>
    <row r="297">
      <c r="A297" s="19" t="str">
        <f>vlookup(B297,'Player Codes'!A:D,4,)</f>
        <v>0062</v>
      </c>
      <c r="B297" s="5" t="s">
        <v>908</v>
      </c>
      <c r="C297" s="5" t="s">
        <v>191</v>
      </c>
      <c r="D297" s="5" t="s">
        <v>1016</v>
      </c>
      <c r="E297" s="5">
        <v>67.4</v>
      </c>
      <c r="F297" s="21">
        <f t="shared" si="1"/>
        <v>67.4</v>
      </c>
      <c r="G297" s="21" t="str">
        <f>vlookup(A297,'ESPN FF Rankings'!$C$2:$H$201,2,false)</f>
        <v>#N/A</v>
      </c>
      <c r="H297" s="21">
        <f t="shared" si="2"/>
        <v>0</v>
      </c>
      <c r="I297" s="23">
        <v>296.0</v>
      </c>
      <c r="J297" s="30">
        <f t="shared" si="3"/>
        <v>0.004166666667</v>
      </c>
      <c r="K297" s="21"/>
      <c r="L297" s="21"/>
    </row>
    <row r="298">
      <c r="A298" s="19" t="str">
        <f>vlookup(B298,'Player Codes'!A:D,4,)</f>
        <v>0097</v>
      </c>
      <c r="B298" s="5" t="s">
        <v>764</v>
      </c>
      <c r="C298" s="5" t="s">
        <v>13</v>
      </c>
      <c r="D298" s="5" t="s">
        <v>950</v>
      </c>
      <c r="E298" s="5">
        <v>66.2</v>
      </c>
      <c r="F298" s="21">
        <f t="shared" si="1"/>
        <v>81</v>
      </c>
      <c r="G298" s="21" t="str">
        <f>vlookup(A298,'ESPN FF Rankings'!$C$2:$H$201,2,false)</f>
        <v>#N/A</v>
      </c>
      <c r="H298" s="21">
        <f t="shared" si="2"/>
        <v>-14.8</v>
      </c>
      <c r="I298" s="23">
        <v>297.0</v>
      </c>
      <c r="J298" s="30">
        <f t="shared" si="3"/>
        <v>0.003333333333</v>
      </c>
      <c r="K298" s="21"/>
      <c r="L298" s="21"/>
    </row>
    <row r="299">
      <c r="A299" s="19" t="str">
        <f>vlookup(B299,'Player Codes'!A:D,4,)</f>
        <v>0064</v>
      </c>
      <c r="B299" s="5" t="s">
        <v>567</v>
      </c>
      <c r="C299" s="5" t="s">
        <v>13</v>
      </c>
      <c r="D299" s="5" t="s">
        <v>974</v>
      </c>
      <c r="E299" s="5">
        <v>65.1</v>
      </c>
      <c r="F299" s="21">
        <f t="shared" si="1"/>
        <v>81</v>
      </c>
      <c r="G299" s="21">
        <f>vlookup(A299,'ESPN FF Rankings'!$C$2:$H$201,2,false)</f>
        <v>178</v>
      </c>
      <c r="H299" s="21">
        <f t="shared" si="2"/>
        <v>-15.9</v>
      </c>
      <c r="I299" s="23">
        <v>298.0</v>
      </c>
      <c r="J299" s="30">
        <f t="shared" si="3"/>
        <v>0.0025</v>
      </c>
      <c r="K299" s="21"/>
      <c r="L299" s="21"/>
    </row>
    <row r="300">
      <c r="A300" s="19" t="str">
        <f>vlookup(B300,'Player Codes'!A:D,4,)</f>
        <v>0044</v>
      </c>
      <c r="B300" s="5" t="s">
        <v>771</v>
      </c>
      <c r="C300" s="5" t="s">
        <v>13</v>
      </c>
      <c r="D300" s="5" t="s">
        <v>935</v>
      </c>
      <c r="E300" s="5">
        <v>65.0</v>
      </c>
      <c r="F300" s="21">
        <f t="shared" si="1"/>
        <v>81</v>
      </c>
      <c r="G300" s="21" t="str">
        <f>vlookup(A300,'ESPN FF Rankings'!$C$2:$H$201,2,false)</f>
        <v>#N/A</v>
      </c>
      <c r="H300" s="21">
        <f t="shared" si="2"/>
        <v>-16</v>
      </c>
      <c r="I300" s="23">
        <v>299.0</v>
      </c>
      <c r="J300" s="30">
        <f t="shared" si="3"/>
        <v>0.001666666667</v>
      </c>
      <c r="K300" s="21"/>
      <c r="L300" s="21"/>
    </row>
    <row r="301">
      <c r="A301" s="19" t="str">
        <f>vlookup(B301,'Player Codes'!A:D,4,)</f>
        <v>0247</v>
      </c>
      <c r="B301" s="5" t="s">
        <v>775</v>
      </c>
      <c r="C301" s="5" t="s">
        <v>13</v>
      </c>
      <c r="D301" s="5" t="s">
        <v>952</v>
      </c>
      <c r="E301" s="5">
        <v>64.9</v>
      </c>
      <c r="F301" s="21">
        <f t="shared" si="1"/>
        <v>81</v>
      </c>
      <c r="G301" s="21" t="str">
        <f>vlookup(A301,'ESPN FF Rankings'!$C$2:$H$201,2,false)</f>
        <v>#N/A</v>
      </c>
      <c r="H301" s="21">
        <f t="shared" si="2"/>
        <v>-16.1</v>
      </c>
      <c r="I301" s="23">
        <v>300.0</v>
      </c>
      <c r="J301" s="30">
        <f t="shared" si="3"/>
        <v>0.0008333333333</v>
      </c>
      <c r="K301" s="21"/>
      <c r="L301" s="21"/>
    </row>
    <row r="302">
      <c r="J302" s="6"/>
    </row>
    <row r="303">
      <c r="J303" s="6"/>
    </row>
    <row r="304">
      <c r="J304" s="6"/>
    </row>
    <row r="305">
      <c r="J305" s="6"/>
    </row>
    <row r="306">
      <c r="J306" s="6"/>
    </row>
    <row r="307">
      <c r="J307" s="6"/>
    </row>
    <row r="308">
      <c r="J308" s="6"/>
    </row>
    <row r="309">
      <c r="J309" s="6"/>
    </row>
    <row r="310">
      <c r="J310" s="6"/>
    </row>
    <row r="311">
      <c r="J311" s="6"/>
    </row>
    <row r="312">
      <c r="J312" s="6"/>
    </row>
    <row r="313">
      <c r="J313" s="6"/>
    </row>
    <row r="314">
      <c r="J314" s="6"/>
    </row>
    <row r="315">
      <c r="J315" s="6"/>
    </row>
    <row r="316">
      <c r="J316" s="6"/>
    </row>
    <row r="317">
      <c r="J317" s="6"/>
    </row>
    <row r="318">
      <c r="J318" s="6"/>
    </row>
    <row r="319">
      <c r="J319" s="6"/>
    </row>
    <row r="320">
      <c r="J320" s="6"/>
    </row>
    <row r="321">
      <c r="J321" s="6"/>
    </row>
    <row r="322">
      <c r="J322" s="6"/>
    </row>
    <row r="323">
      <c r="J323" s="6"/>
    </row>
    <row r="324">
      <c r="J324" s="6"/>
    </row>
    <row r="325">
      <c r="J325" s="6"/>
    </row>
    <row r="326">
      <c r="J326" s="6"/>
    </row>
    <row r="327">
      <c r="J327" s="6"/>
    </row>
    <row r="328">
      <c r="J328" s="6"/>
    </row>
    <row r="329">
      <c r="J329" s="6"/>
    </row>
    <row r="330">
      <c r="J330" s="6"/>
    </row>
    <row r="331">
      <c r="J331" s="6"/>
    </row>
    <row r="332">
      <c r="J332" s="6"/>
    </row>
    <row r="333">
      <c r="J333" s="6"/>
    </row>
    <row r="334">
      <c r="J334" s="6"/>
    </row>
    <row r="335">
      <c r="J335" s="6"/>
    </row>
    <row r="336">
      <c r="J336" s="6"/>
    </row>
    <row r="337">
      <c r="J337" s="6"/>
    </row>
    <row r="338">
      <c r="J338" s="6"/>
    </row>
    <row r="339">
      <c r="J339" s="6"/>
    </row>
    <row r="340">
      <c r="J340" s="6"/>
    </row>
    <row r="341">
      <c r="J341" s="6"/>
    </row>
    <row r="342">
      <c r="J342" s="6"/>
    </row>
    <row r="343">
      <c r="J343" s="6"/>
    </row>
    <row r="344">
      <c r="J344" s="6"/>
    </row>
    <row r="345">
      <c r="J345" s="6"/>
    </row>
    <row r="346">
      <c r="J346" s="6"/>
    </row>
    <row r="347">
      <c r="J347" s="6"/>
    </row>
    <row r="348">
      <c r="J348" s="6"/>
    </row>
    <row r="349">
      <c r="J349" s="6"/>
    </row>
    <row r="350">
      <c r="J350" s="6"/>
    </row>
    <row r="351">
      <c r="J351" s="6"/>
    </row>
    <row r="352">
      <c r="J352" s="6"/>
    </row>
    <row r="353">
      <c r="J353" s="6"/>
    </row>
    <row r="354">
      <c r="J354" s="6"/>
    </row>
    <row r="355">
      <c r="J355" s="6"/>
    </row>
    <row r="356">
      <c r="J356" s="6"/>
    </row>
    <row r="357">
      <c r="J357" s="6"/>
    </row>
    <row r="358">
      <c r="J358" s="6"/>
    </row>
    <row r="359">
      <c r="J359" s="6"/>
    </row>
    <row r="360">
      <c r="J360" s="6"/>
    </row>
    <row r="361">
      <c r="J361" s="6"/>
    </row>
    <row r="362">
      <c r="J362" s="6"/>
    </row>
    <row r="363">
      <c r="J363" s="6"/>
    </row>
    <row r="364">
      <c r="J364" s="6"/>
    </row>
    <row r="365">
      <c r="J365" s="6"/>
    </row>
    <row r="366">
      <c r="J366" s="6"/>
    </row>
    <row r="367">
      <c r="J367" s="6"/>
    </row>
    <row r="368">
      <c r="J368" s="6"/>
    </row>
    <row r="369">
      <c r="J369" s="6"/>
    </row>
    <row r="370">
      <c r="J370" s="6"/>
    </row>
    <row r="371">
      <c r="J371" s="6"/>
    </row>
    <row r="372">
      <c r="J372" s="6"/>
    </row>
    <row r="373">
      <c r="J373" s="6"/>
    </row>
    <row r="374">
      <c r="J374" s="6"/>
    </row>
    <row r="375">
      <c r="J375" s="6"/>
    </row>
    <row r="376">
      <c r="J376" s="6"/>
    </row>
    <row r="377">
      <c r="J377" s="6"/>
    </row>
    <row r="378">
      <c r="J378" s="6"/>
    </row>
    <row r="379">
      <c r="J379" s="6"/>
    </row>
    <row r="380">
      <c r="J380" s="6"/>
    </row>
    <row r="381">
      <c r="J381" s="6"/>
    </row>
    <row r="382">
      <c r="J382" s="6"/>
    </row>
    <row r="383">
      <c r="J383" s="6"/>
    </row>
    <row r="384">
      <c r="J384" s="6"/>
    </row>
    <row r="385">
      <c r="J385" s="6"/>
    </row>
    <row r="386">
      <c r="J386" s="6"/>
    </row>
    <row r="387">
      <c r="J387" s="6"/>
    </row>
    <row r="388">
      <c r="J388" s="6"/>
    </row>
    <row r="389">
      <c r="J389" s="6"/>
    </row>
    <row r="390">
      <c r="J390" s="6"/>
    </row>
    <row r="391">
      <c r="J391" s="6"/>
    </row>
    <row r="392">
      <c r="J392" s="6"/>
    </row>
    <row r="393">
      <c r="J393" s="6"/>
    </row>
    <row r="394">
      <c r="J394" s="6"/>
    </row>
    <row r="395">
      <c r="J395" s="6"/>
    </row>
    <row r="396">
      <c r="J396" s="6"/>
    </row>
    <row r="397">
      <c r="J397" s="6"/>
    </row>
    <row r="398">
      <c r="J398" s="6"/>
    </row>
    <row r="399">
      <c r="J399" s="6"/>
    </row>
    <row r="400">
      <c r="J400" s="6"/>
    </row>
    <row r="401">
      <c r="J401" s="6"/>
    </row>
    <row r="402">
      <c r="J402" s="6"/>
    </row>
    <row r="403">
      <c r="J403" s="6"/>
    </row>
    <row r="404">
      <c r="J404" s="6"/>
    </row>
    <row r="405">
      <c r="J405" s="6"/>
    </row>
    <row r="406">
      <c r="J406" s="6"/>
    </row>
    <row r="407">
      <c r="J407" s="6"/>
    </row>
    <row r="408">
      <c r="J408" s="6"/>
    </row>
    <row r="409">
      <c r="J409" s="6"/>
    </row>
    <row r="410">
      <c r="J410" s="6"/>
    </row>
    <row r="411">
      <c r="J411" s="6"/>
    </row>
    <row r="412">
      <c r="J412" s="6"/>
    </row>
    <row r="413">
      <c r="J413" s="6"/>
    </row>
    <row r="414">
      <c r="J414" s="6"/>
    </row>
    <row r="415">
      <c r="J415" s="6"/>
    </row>
    <row r="416">
      <c r="J416" s="6"/>
    </row>
    <row r="417">
      <c r="J417" s="6"/>
    </row>
    <row r="418">
      <c r="J418" s="6"/>
    </row>
    <row r="419">
      <c r="J419" s="6"/>
    </row>
    <row r="420">
      <c r="J420" s="6"/>
    </row>
    <row r="421">
      <c r="J421" s="6"/>
    </row>
    <row r="422">
      <c r="J422" s="6"/>
    </row>
    <row r="423">
      <c r="J423" s="6"/>
    </row>
    <row r="424">
      <c r="J424" s="6"/>
    </row>
    <row r="425">
      <c r="J425" s="6"/>
    </row>
    <row r="426">
      <c r="J426" s="6"/>
    </row>
    <row r="427">
      <c r="J427" s="6"/>
    </row>
    <row r="428">
      <c r="J428" s="6"/>
    </row>
    <row r="429">
      <c r="J429" s="6"/>
    </row>
    <row r="430">
      <c r="J430" s="6"/>
    </row>
    <row r="431">
      <c r="J431" s="6"/>
    </row>
    <row r="432">
      <c r="J432" s="6"/>
    </row>
    <row r="433">
      <c r="J433" s="6"/>
    </row>
    <row r="434">
      <c r="J434" s="6"/>
    </row>
    <row r="435">
      <c r="J435" s="6"/>
    </row>
    <row r="436">
      <c r="J436" s="6"/>
    </row>
    <row r="437">
      <c r="J437" s="6"/>
    </row>
    <row r="438">
      <c r="J438" s="6"/>
    </row>
    <row r="439">
      <c r="J439" s="6"/>
    </row>
    <row r="440">
      <c r="J440" s="6"/>
    </row>
    <row r="441">
      <c r="J441" s="6"/>
    </row>
    <row r="442">
      <c r="J442" s="6"/>
    </row>
    <row r="443">
      <c r="J443" s="6"/>
    </row>
    <row r="444">
      <c r="J444" s="6"/>
    </row>
    <row r="445">
      <c r="J445" s="6"/>
    </row>
    <row r="446">
      <c r="J446" s="6"/>
    </row>
    <row r="447">
      <c r="J447" s="6"/>
    </row>
    <row r="448">
      <c r="J448" s="6"/>
    </row>
    <row r="449">
      <c r="J449" s="6"/>
    </row>
    <row r="450">
      <c r="J450" s="6"/>
    </row>
    <row r="451">
      <c r="J451" s="6"/>
    </row>
    <row r="452">
      <c r="J452" s="6"/>
    </row>
    <row r="453">
      <c r="J453" s="6"/>
    </row>
    <row r="454">
      <c r="J454" s="6"/>
    </row>
    <row r="455">
      <c r="J455" s="6"/>
    </row>
    <row r="456">
      <c r="J456" s="6"/>
    </row>
    <row r="457">
      <c r="J457" s="6"/>
    </row>
    <row r="458">
      <c r="J458" s="6"/>
    </row>
    <row r="459">
      <c r="J459" s="6"/>
    </row>
    <row r="460">
      <c r="J460" s="6"/>
    </row>
    <row r="461">
      <c r="J461" s="6"/>
    </row>
    <row r="462">
      <c r="J462" s="6"/>
    </row>
    <row r="463">
      <c r="J463" s="6"/>
    </row>
    <row r="464">
      <c r="J464" s="6"/>
    </row>
    <row r="465">
      <c r="J465" s="6"/>
    </row>
    <row r="466">
      <c r="J466" s="6"/>
    </row>
    <row r="467">
      <c r="J467" s="6"/>
    </row>
    <row r="468">
      <c r="J468" s="6"/>
    </row>
    <row r="469">
      <c r="J469" s="6"/>
    </row>
    <row r="470">
      <c r="J470" s="6"/>
    </row>
    <row r="471">
      <c r="J471" s="6"/>
    </row>
    <row r="472">
      <c r="J472" s="6"/>
    </row>
    <row r="473">
      <c r="J473" s="6"/>
    </row>
    <row r="474">
      <c r="J474" s="6"/>
    </row>
    <row r="475">
      <c r="J475" s="6"/>
    </row>
    <row r="476">
      <c r="J476" s="6"/>
    </row>
    <row r="477">
      <c r="J477" s="6"/>
    </row>
    <row r="478">
      <c r="J478" s="6"/>
    </row>
    <row r="479">
      <c r="J479" s="6"/>
    </row>
    <row r="480">
      <c r="J480" s="6"/>
    </row>
    <row r="481">
      <c r="J481" s="6"/>
    </row>
    <row r="482">
      <c r="J482" s="6"/>
    </row>
    <row r="483">
      <c r="J483" s="6"/>
    </row>
    <row r="484">
      <c r="J484" s="6"/>
    </row>
    <row r="485">
      <c r="J485" s="6"/>
    </row>
    <row r="486">
      <c r="J486" s="6"/>
    </row>
    <row r="487">
      <c r="J487" s="6"/>
    </row>
    <row r="488">
      <c r="J488" s="6"/>
    </row>
    <row r="489">
      <c r="J489" s="6"/>
    </row>
    <row r="490">
      <c r="J490" s="6"/>
    </row>
    <row r="491">
      <c r="J491" s="6"/>
    </row>
    <row r="492">
      <c r="J492" s="6"/>
    </row>
    <row r="493">
      <c r="J493" s="6"/>
    </row>
    <row r="494">
      <c r="J494" s="6"/>
    </row>
    <row r="495">
      <c r="J495" s="6"/>
    </row>
    <row r="496">
      <c r="J496" s="6"/>
    </row>
    <row r="497">
      <c r="J497" s="6"/>
    </row>
    <row r="498">
      <c r="J498" s="6"/>
    </row>
    <row r="499">
      <c r="J499" s="6"/>
    </row>
    <row r="500">
      <c r="J500" s="6"/>
    </row>
    <row r="501">
      <c r="J501" s="6"/>
    </row>
    <row r="502">
      <c r="J502" s="6"/>
    </row>
    <row r="503">
      <c r="J503" s="6"/>
    </row>
    <row r="504">
      <c r="J504" s="6"/>
    </row>
    <row r="505">
      <c r="J505" s="6"/>
    </row>
    <row r="506">
      <c r="J506" s="6"/>
    </row>
    <row r="507">
      <c r="J507" s="6"/>
    </row>
    <row r="508">
      <c r="J508" s="6"/>
    </row>
    <row r="509">
      <c r="J509" s="6"/>
    </row>
    <row r="510">
      <c r="J510" s="6"/>
    </row>
    <row r="511">
      <c r="J511" s="6"/>
    </row>
    <row r="512">
      <c r="J512" s="6"/>
    </row>
    <row r="513">
      <c r="J513" s="6"/>
    </row>
    <row r="514">
      <c r="J514" s="6"/>
    </row>
    <row r="515">
      <c r="J515" s="6"/>
    </row>
    <row r="516">
      <c r="J516" s="6"/>
    </row>
    <row r="517">
      <c r="J517" s="6"/>
    </row>
    <row r="518">
      <c r="J518" s="6"/>
    </row>
    <row r="519">
      <c r="J519" s="6"/>
    </row>
    <row r="520">
      <c r="J520" s="6"/>
    </row>
    <row r="521">
      <c r="J521" s="6"/>
    </row>
    <row r="522">
      <c r="J522" s="6"/>
    </row>
    <row r="523">
      <c r="J523" s="6"/>
    </row>
    <row r="524">
      <c r="J524" s="6"/>
    </row>
    <row r="525">
      <c r="J525" s="6"/>
    </row>
    <row r="526">
      <c r="J526" s="6"/>
    </row>
    <row r="527">
      <c r="J527" s="6"/>
    </row>
    <row r="528">
      <c r="J528" s="6"/>
    </row>
    <row r="529">
      <c r="J529" s="6"/>
    </row>
    <row r="530">
      <c r="J530" s="6"/>
    </row>
    <row r="531">
      <c r="J531" s="6"/>
    </row>
    <row r="532">
      <c r="J532" s="6"/>
    </row>
    <row r="533">
      <c r="J533" s="6"/>
    </row>
    <row r="534">
      <c r="J534" s="6"/>
    </row>
    <row r="535">
      <c r="J535" s="6"/>
    </row>
    <row r="536">
      <c r="J536" s="6"/>
    </row>
    <row r="537">
      <c r="J537" s="6"/>
    </row>
    <row r="538">
      <c r="J538" s="6"/>
    </row>
    <row r="539">
      <c r="J539" s="6"/>
    </row>
    <row r="540">
      <c r="J540" s="6"/>
    </row>
    <row r="541">
      <c r="J541" s="6"/>
    </row>
    <row r="542">
      <c r="J542" s="6"/>
    </row>
    <row r="543">
      <c r="J543" s="6"/>
    </row>
    <row r="544">
      <c r="J544" s="6"/>
    </row>
    <row r="545">
      <c r="J545" s="6"/>
    </row>
    <row r="546">
      <c r="J546" s="6"/>
    </row>
    <row r="547">
      <c r="J547" s="6"/>
    </row>
    <row r="548">
      <c r="J548" s="6"/>
    </row>
    <row r="549">
      <c r="J549" s="6"/>
    </row>
    <row r="550">
      <c r="J550" s="6"/>
    </row>
    <row r="551">
      <c r="J551" s="6"/>
    </row>
    <row r="552">
      <c r="J552" s="6"/>
    </row>
    <row r="553">
      <c r="J553" s="6"/>
    </row>
    <row r="554">
      <c r="J554" s="6"/>
    </row>
    <row r="555">
      <c r="J555" s="6"/>
    </row>
    <row r="556">
      <c r="J556" s="6"/>
    </row>
    <row r="557">
      <c r="J557" s="6"/>
    </row>
    <row r="558">
      <c r="J558" s="6"/>
    </row>
    <row r="559">
      <c r="J559" s="6"/>
    </row>
    <row r="560">
      <c r="J560" s="6"/>
    </row>
    <row r="561">
      <c r="J561" s="6"/>
    </row>
    <row r="562">
      <c r="J562" s="6"/>
    </row>
    <row r="563">
      <c r="J563" s="6"/>
    </row>
    <row r="564">
      <c r="J564" s="6"/>
    </row>
    <row r="565">
      <c r="J565" s="6"/>
    </row>
    <row r="566">
      <c r="J566" s="6"/>
    </row>
    <row r="567">
      <c r="J567" s="6"/>
    </row>
    <row r="568">
      <c r="J568" s="6"/>
    </row>
    <row r="569">
      <c r="J569" s="6"/>
    </row>
    <row r="570">
      <c r="J570" s="6"/>
    </row>
    <row r="571">
      <c r="J571" s="6"/>
    </row>
    <row r="572">
      <c r="J572" s="6"/>
    </row>
    <row r="573">
      <c r="J573" s="6"/>
    </row>
    <row r="574">
      <c r="J574" s="6"/>
    </row>
    <row r="575">
      <c r="J575" s="6"/>
    </row>
    <row r="576">
      <c r="J576" s="6"/>
    </row>
    <row r="577">
      <c r="J577" s="6"/>
    </row>
    <row r="578">
      <c r="J578" s="6"/>
    </row>
    <row r="579">
      <c r="J579" s="6"/>
    </row>
    <row r="580">
      <c r="J580" s="6"/>
    </row>
    <row r="581">
      <c r="J581" s="6"/>
    </row>
    <row r="582">
      <c r="J582" s="6"/>
    </row>
    <row r="583">
      <c r="J583" s="6"/>
    </row>
    <row r="584">
      <c r="J584" s="6"/>
    </row>
    <row r="585">
      <c r="J585" s="6"/>
    </row>
    <row r="586">
      <c r="J586" s="6"/>
    </row>
    <row r="587">
      <c r="J587" s="6"/>
    </row>
    <row r="588">
      <c r="J588" s="6"/>
    </row>
    <row r="589">
      <c r="J589" s="6"/>
    </row>
    <row r="590">
      <c r="J590" s="6"/>
    </row>
    <row r="591">
      <c r="J591" s="6"/>
    </row>
    <row r="592">
      <c r="J592" s="6"/>
    </row>
    <row r="593">
      <c r="J593" s="6"/>
    </row>
    <row r="594">
      <c r="J594" s="6"/>
    </row>
    <row r="595">
      <c r="J595" s="6"/>
    </row>
    <row r="596">
      <c r="J596" s="6"/>
    </row>
    <row r="597">
      <c r="J597" s="6"/>
    </row>
    <row r="598">
      <c r="J598" s="6"/>
    </row>
    <row r="599">
      <c r="J599" s="6"/>
    </row>
    <row r="600">
      <c r="J600" s="6"/>
    </row>
    <row r="601">
      <c r="J601" s="6"/>
    </row>
    <row r="602">
      <c r="J602" s="6"/>
    </row>
    <row r="603">
      <c r="J603" s="6"/>
    </row>
    <row r="604">
      <c r="J604" s="6"/>
    </row>
    <row r="605">
      <c r="J605" s="6"/>
    </row>
    <row r="606">
      <c r="J606" s="6"/>
    </row>
    <row r="607">
      <c r="J607" s="6"/>
    </row>
    <row r="608">
      <c r="J608" s="6"/>
    </row>
    <row r="609">
      <c r="J609" s="6"/>
    </row>
    <row r="610">
      <c r="J610" s="6"/>
    </row>
    <row r="611">
      <c r="J611" s="6"/>
    </row>
    <row r="612">
      <c r="J612" s="6"/>
    </row>
    <row r="613">
      <c r="J613" s="6"/>
    </row>
    <row r="614">
      <c r="J614" s="6"/>
    </row>
    <row r="615">
      <c r="J615" s="6"/>
    </row>
    <row r="616">
      <c r="J616" s="6"/>
    </row>
    <row r="617">
      <c r="J617" s="6"/>
    </row>
    <row r="618">
      <c r="J618" s="6"/>
    </row>
    <row r="619">
      <c r="J619" s="6"/>
    </row>
    <row r="620">
      <c r="J620" s="6"/>
    </row>
    <row r="621">
      <c r="J621" s="6"/>
    </row>
    <row r="622">
      <c r="J622" s="6"/>
    </row>
    <row r="623">
      <c r="J623" s="6"/>
    </row>
    <row r="624">
      <c r="J624" s="6"/>
    </row>
    <row r="625">
      <c r="J625" s="6"/>
    </row>
    <row r="626">
      <c r="J626" s="6"/>
    </row>
    <row r="627">
      <c r="J627" s="6"/>
    </row>
    <row r="628">
      <c r="J628" s="6"/>
    </row>
    <row r="629">
      <c r="J629" s="6"/>
    </row>
    <row r="630">
      <c r="J630" s="6"/>
    </row>
    <row r="631">
      <c r="J631" s="6"/>
    </row>
    <row r="632">
      <c r="J632" s="6"/>
    </row>
    <row r="633">
      <c r="J633" s="6"/>
    </row>
    <row r="634">
      <c r="J634" s="6"/>
    </row>
    <row r="635">
      <c r="J635" s="6"/>
    </row>
    <row r="636">
      <c r="J636" s="6"/>
    </row>
    <row r="637">
      <c r="J637" s="6"/>
    </row>
    <row r="638">
      <c r="J638" s="6"/>
    </row>
    <row r="639">
      <c r="J639" s="6"/>
    </row>
    <row r="640">
      <c r="J640" s="6"/>
    </row>
    <row r="641">
      <c r="J641" s="6"/>
    </row>
    <row r="642">
      <c r="J642" s="6"/>
    </row>
    <row r="643">
      <c r="J643" s="6"/>
    </row>
    <row r="644">
      <c r="J644" s="6"/>
    </row>
    <row r="645">
      <c r="J645" s="6"/>
    </row>
    <row r="646">
      <c r="J646" s="6"/>
    </row>
    <row r="647">
      <c r="J647" s="6"/>
    </row>
    <row r="648">
      <c r="J648" s="6"/>
    </row>
    <row r="649">
      <c r="J649" s="6"/>
    </row>
    <row r="650">
      <c r="J650" s="6"/>
    </row>
    <row r="651">
      <c r="J651" s="6"/>
    </row>
    <row r="652">
      <c r="J652" s="6"/>
    </row>
    <row r="653">
      <c r="J653" s="6"/>
    </row>
    <row r="654">
      <c r="J654" s="6"/>
    </row>
    <row r="655">
      <c r="J655" s="6"/>
    </row>
    <row r="656">
      <c r="J656" s="6"/>
    </row>
    <row r="657">
      <c r="J657" s="6"/>
    </row>
    <row r="658">
      <c r="J658" s="6"/>
    </row>
    <row r="659">
      <c r="J659" s="6"/>
    </row>
    <row r="660">
      <c r="J660" s="6"/>
    </row>
    <row r="661">
      <c r="J661" s="6"/>
    </row>
    <row r="662">
      <c r="J662" s="6"/>
    </row>
    <row r="663">
      <c r="J663" s="6"/>
    </row>
    <row r="664">
      <c r="J664" s="6"/>
    </row>
    <row r="665">
      <c r="J665" s="6"/>
    </row>
    <row r="666">
      <c r="J666" s="6"/>
    </row>
    <row r="667">
      <c r="J667" s="6"/>
    </row>
    <row r="668">
      <c r="J668" s="6"/>
    </row>
    <row r="669">
      <c r="J669" s="6"/>
    </row>
    <row r="670">
      <c r="J670" s="6"/>
    </row>
    <row r="671">
      <c r="J671" s="6"/>
    </row>
    <row r="672">
      <c r="J672" s="6"/>
    </row>
    <row r="673">
      <c r="J673" s="6"/>
    </row>
    <row r="674">
      <c r="J674" s="6"/>
    </row>
    <row r="675">
      <c r="J675" s="6"/>
    </row>
    <row r="676">
      <c r="J676" s="6"/>
    </row>
    <row r="677">
      <c r="J677" s="6"/>
    </row>
    <row r="678">
      <c r="J678" s="6"/>
    </row>
    <row r="679">
      <c r="J679" s="6"/>
    </row>
    <row r="680">
      <c r="J680" s="6"/>
    </row>
    <row r="681">
      <c r="J681" s="6"/>
    </row>
    <row r="682">
      <c r="J682" s="6"/>
    </row>
    <row r="683">
      <c r="J683" s="6"/>
    </row>
    <row r="684">
      <c r="J684" s="6"/>
    </row>
    <row r="685">
      <c r="J685" s="6"/>
    </row>
    <row r="686">
      <c r="J686" s="6"/>
    </row>
    <row r="687">
      <c r="J687" s="6"/>
    </row>
    <row r="688">
      <c r="J688" s="6"/>
    </row>
    <row r="689">
      <c r="J689" s="6"/>
    </row>
    <row r="690">
      <c r="J690" s="6"/>
    </row>
    <row r="691">
      <c r="J691" s="6"/>
    </row>
    <row r="692">
      <c r="J692" s="6"/>
    </row>
    <row r="693">
      <c r="J693" s="6"/>
    </row>
    <row r="694">
      <c r="J694" s="6"/>
    </row>
    <row r="695">
      <c r="J695" s="6"/>
    </row>
    <row r="696">
      <c r="J696" s="6"/>
    </row>
    <row r="697">
      <c r="J697" s="6"/>
    </row>
    <row r="698">
      <c r="J698" s="6"/>
    </row>
    <row r="699">
      <c r="J699" s="6"/>
    </row>
    <row r="700">
      <c r="J700" s="6"/>
    </row>
    <row r="701">
      <c r="J701" s="6"/>
    </row>
    <row r="702">
      <c r="J702" s="6"/>
    </row>
    <row r="703">
      <c r="J703" s="6"/>
    </row>
    <row r="704">
      <c r="J704" s="6"/>
    </row>
    <row r="705">
      <c r="J705" s="6"/>
    </row>
    <row r="706">
      <c r="J706" s="6"/>
    </row>
    <row r="707">
      <c r="J707" s="6"/>
    </row>
    <row r="708">
      <c r="J708" s="6"/>
    </row>
    <row r="709">
      <c r="J709" s="6"/>
    </row>
    <row r="710">
      <c r="J710" s="6"/>
    </row>
    <row r="711">
      <c r="J711" s="6"/>
    </row>
    <row r="712">
      <c r="J712" s="6"/>
    </row>
    <row r="713">
      <c r="J713" s="6"/>
    </row>
    <row r="714">
      <c r="J714" s="6"/>
    </row>
    <row r="715">
      <c r="J715" s="6"/>
    </row>
    <row r="716">
      <c r="J716" s="6"/>
    </row>
    <row r="717">
      <c r="J717" s="6"/>
    </row>
    <row r="718">
      <c r="J718" s="6"/>
    </row>
    <row r="719">
      <c r="J719" s="6"/>
    </row>
    <row r="720">
      <c r="J720" s="6"/>
    </row>
    <row r="721">
      <c r="J721" s="6"/>
    </row>
    <row r="722">
      <c r="J722" s="6"/>
    </row>
    <row r="723">
      <c r="J723" s="6"/>
    </row>
    <row r="724">
      <c r="J724" s="6"/>
    </row>
    <row r="725">
      <c r="J725" s="6"/>
    </row>
    <row r="726">
      <c r="J726" s="6"/>
    </row>
    <row r="727">
      <c r="J727" s="6"/>
    </row>
    <row r="728">
      <c r="J728" s="6"/>
    </row>
    <row r="729">
      <c r="J729" s="6"/>
    </row>
    <row r="730">
      <c r="J730" s="6"/>
    </row>
    <row r="731">
      <c r="J731" s="6"/>
    </row>
    <row r="732">
      <c r="J732" s="6"/>
    </row>
    <row r="733">
      <c r="J733" s="6"/>
    </row>
    <row r="734">
      <c r="J734" s="6"/>
    </row>
    <row r="735">
      <c r="J735" s="6"/>
    </row>
    <row r="736">
      <c r="J736" s="6"/>
    </row>
    <row r="737">
      <c r="J737" s="6"/>
    </row>
    <row r="738">
      <c r="J738" s="6"/>
    </row>
    <row r="739">
      <c r="J739" s="6"/>
    </row>
    <row r="740">
      <c r="J740" s="6"/>
    </row>
    <row r="741">
      <c r="J741" s="6"/>
    </row>
    <row r="742">
      <c r="J742" s="6"/>
    </row>
    <row r="743">
      <c r="J743" s="6"/>
    </row>
    <row r="744">
      <c r="J744" s="6"/>
    </row>
    <row r="745">
      <c r="J745" s="6"/>
    </row>
    <row r="746">
      <c r="J746" s="6"/>
    </row>
    <row r="747">
      <c r="J747" s="6"/>
    </row>
    <row r="748">
      <c r="J748" s="6"/>
    </row>
    <row r="749">
      <c r="J749" s="6"/>
    </row>
    <row r="750">
      <c r="J750" s="6"/>
    </row>
    <row r="751">
      <c r="J751" s="6"/>
    </row>
    <row r="752">
      <c r="J752" s="6"/>
    </row>
    <row r="753">
      <c r="J753" s="6"/>
    </row>
    <row r="754">
      <c r="J754" s="6"/>
    </row>
    <row r="755">
      <c r="J755" s="6"/>
    </row>
    <row r="756">
      <c r="J756" s="6"/>
    </row>
    <row r="757">
      <c r="J757" s="6"/>
    </row>
    <row r="758">
      <c r="J758" s="6"/>
    </row>
    <row r="759">
      <c r="J759" s="6"/>
    </row>
    <row r="760">
      <c r="J760" s="6"/>
    </row>
    <row r="761">
      <c r="J761" s="6"/>
    </row>
    <row r="762">
      <c r="J762" s="6"/>
    </row>
    <row r="763">
      <c r="J763" s="6"/>
    </row>
    <row r="764">
      <c r="J764" s="6"/>
    </row>
    <row r="765">
      <c r="J765" s="6"/>
    </row>
    <row r="766">
      <c r="J766" s="6"/>
    </row>
    <row r="767">
      <c r="J767" s="6"/>
    </row>
    <row r="768">
      <c r="J768" s="6"/>
    </row>
    <row r="769">
      <c r="J769" s="6"/>
    </row>
    <row r="770">
      <c r="J770" s="6"/>
    </row>
    <row r="771">
      <c r="J771" s="6"/>
    </row>
    <row r="772">
      <c r="J772" s="6"/>
    </row>
    <row r="773">
      <c r="J773" s="6"/>
    </row>
    <row r="774">
      <c r="J774" s="6"/>
    </row>
    <row r="775">
      <c r="J775" s="6"/>
    </row>
    <row r="776">
      <c r="J776" s="6"/>
    </row>
    <row r="777">
      <c r="J777" s="6"/>
    </row>
    <row r="778">
      <c r="J778" s="6"/>
    </row>
    <row r="779">
      <c r="J779" s="6"/>
    </row>
    <row r="780">
      <c r="J780" s="6"/>
    </row>
    <row r="781">
      <c r="J781" s="6"/>
    </row>
    <row r="782">
      <c r="J782" s="6"/>
    </row>
    <row r="783">
      <c r="J783" s="6"/>
    </row>
    <row r="784">
      <c r="J784" s="6"/>
    </row>
    <row r="785">
      <c r="J785" s="6"/>
    </row>
    <row r="786">
      <c r="J786" s="6"/>
    </row>
    <row r="787">
      <c r="J787" s="6"/>
    </row>
    <row r="788">
      <c r="J788" s="6"/>
    </row>
    <row r="789">
      <c r="J789" s="6"/>
    </row>
    <row r="790">
      <c r="J790" s="6"/>
    </row>
    <row r="791">
      <c r="J791" s="6"/>
    </row>
    <row r="792">
      <c r="J792" s="6"/>
    </row>
    <row r="793">
      <c r="J793" s="6"/>
    </row>
    <row r="794">
      <c r="J794" s="6"/>
    </row>
    <row r="795">
      <c r="J795" s="6"/>
    </row>
    <row r="796">
      <c r="J796" s="6"/>
    </row>
    <row r="797">
      <c r="J797" s="6"/>
    </row>
    <row r="798">
      <c r="J798" s="6"/>
    </row>
    <row r="799">
      <c r="J799" s="6"/>
    </row>
    <row r="800">
      <c r="J800" s="6"/>
    </row>
    <row r="801">
      <c r="J801" s="6"/>
    </row>
    <row r="802">
      <c r="J802" s="6"/>
    </row>
    <row r="803">
      <c r="J803" s="6"/>
    </row>
    <row r="804">
      <c r="J804" s="6"/>
    </row>
    <row r="805">
      <c r="J805" s="6"/>
    </row>
    <row r="806">
      <c r="J806" s="6"/>
    </row>
    <row r="807">
      <c r="J807" s="6"/>
    </row>
    <row r="808">
      <c r="J808" s="6"/>
    </row>
    <row r="809">
      <c r="J809" s="6"/>
    </row>
    <row r="810">
      <c r="J810" s="6"/>
    </row>
    <row r="811">
      <c r="J811" s="6"/>
    </row>
    <row r="812">
      <c r="J812" s="6"/>
    </row>
    <row r="813">
      <c r="J813" s="6"/>
    </row>
    <row r="814">
      <c r="J814" s="6"/>
    </row>
    <row r="815">
      <c r="J815" s="6"/>
    </row>
    <row r="816">
      <c r="J816" s="6"/>
    </row>
    <row r="817">
      <c r="J817" s="6"/>
    </row>
    <row r="818">
      <c r="J818" s="6"/>
    </row>
    <row r="819">
      <c r="J819" s="6"/>
    </row>
    <row r="820">
      <c r="J820" s="6"/>
    </row>
    <row r="821">
      <c r="J821" s="6"/>
    </row>
    <row r="822">
      <c r="J822" s="6"/>
    </row>
    <row r="823">
      <c r="J823" s="6"/>
    </row>
    <row r="824">
      <c r="J824" s="6"/>
    </row>
    <row r="825">
      <c r="J825" s="6"/>
    </row>
    <row r="826">
      <c r="J826" s="6"/>
    </row>
    <row r="827">
      <c r="J827" s="6"/>
    </row>
    <row r="828">
      <c r="J828" s="6"/>
    </row>
    <row r="829">
      <c r="J829" s="6"/>
    </row>
    <row r="830">
      <c r="J830" s="6"/>
    </row>
    <row r="831">
      <c r="J831" s="6"/>
    </row>
    <row r="832">
      <c r="J832" s="6"/>
    </row>
    <row r="833">
      <c r="J833" s="6"/>
    </row>
    <row r="834">
      <c r="J834" s="6"/>
    </row>
    <row r="835">
      <c r="J835" s="6"/>
    </row>
    <row r="836">
      <c r="J836" s="6"/>
    </row>
    <row r="837">
      <c r="J837" s="6"/>
    </row>
    <row r="838">
      <c r="J838" s="6"/>
    </row>
    <row r="839">
      <c r="J839" s="6"/>
    </row>
    <row r="840">
      <c r="J840" s="6"/>
    </row>
    <row r="841">
      <c r="J841" s="6"/>
    </row>
    <row r="842">
      <c r="J842" s="6"/>
    </row>
    <row r="843">
      <c r="J843" s="6"/>
    </row>
    <row r="844">
      <c r="J844" s="6"/>
    </row>
    <row r="845">
      <c r="J845" s="6"/>
    </row>
    <row r="846">
      <c r="J846" s="6"/>
    </row>
    <row r="847">
      <c r="J847" s="6"/>
    </row>
    <row r="848">
      <c r="J848" s="6"/>
    </row>
    <row r="849">
      <c r="J849" s="6"/>
    </row>
    <row r="850">
      <c r="J850" s="6"/>
    </row>
    <row r="851">
      <c r="J851" s="6"/>
    </row>
    <row r="852">
      <c r="J852" s="6"/>
    </row>
    <row r="853">
      <c r="J853" s="6"/>
    </row>
    <row r="854">
      <c r="J854" s="6"/>
    </row>
    <row r="855">
      <c r="J855" s="6"/>
    </row>
    <row r="856">
      <c r="J856" s="6"/>
    </row>
    <row r="857">
      <c r="J857" s="6"/>
    </row>
    <row r="858">
      <c r="J858" s="6"/>
    </row>
    <row r="859">
      <c r="J859" s="6"/>
    </row>
    <row r="860">
      <c r="J860" s="6"/>
    </row>
    <row r="861">
      <c r="J861" s="6"/>
    </row>
    <row r="862">
      <c r="J862" s="6"/>
    </row>
    <row r="863">
      <c r="J863" s="6"/>
    </row>
    <row r="864">
      <c r="J864" s="6"/>
    </row>
    <row r="865">
      <c r="J865" s="6"/>
    </row>
    <row r="866">
      <c r="J866" s="6"/>
    </row>
    <row r="867">
      <c r="J867" s="6"/>
    </row>
    <row r="868">
      <c r="J868" s="6"/>
    </row>
    <row r="869">
      <c r="J869" s="6"/>
    </row>
    <row r="870">
      <c r="J870" s="6"/>
    </row>
    <row r="871">
      <c r="J871" s="6"/>
    </row>
    <row r="872">
      <c r="J872" s="6"/>
    </row>
    <row r="873">
      <c r="J873" s="6"/>
    </row>
    <row r="874">
      <c r="J874" s="6"/>
    </row>
    <row r="875">
      <c r="J875" s="6"/>
    </row>
    <row r="876">
      <c r="J876" s="6"/>
    </row>
    <row r="877">
      <c r="J877" s="6"/>
    </row>
    <row r="878">
      <c r="J878" s="6"/>
    </row>
    <row r="879">
      <c r="J879" s="6"/>
    </row>
    <row r="880">
      <c r="J880" s="6"/>
    </row>
    <row r="881">
      <c r="J881" s="6"/>
    </row>
    <row r="882">
      <c r="J882" s="6"/>
    </row>
    <row r="883">
      <c r="J883" s="6"/>
    </row>
    <row r="884">
      <c r="J884" s="6"/>
    </row>
    <row r="885">
      <c r="J885" s="6"/>
    </row>
    <row r="886">
      <c r="J886" s="6"/>
    </row>
    <row r="887">
      <c r="J887" s="6"/>
    </row>
    <row r="888">
      <c r="J888" s="6"/>
    </row>
    <row r="889">
      <c r="J889" s="6"/>
    </row>
    <row r="890">
      <c r="J890" s="6"/>
    </row>
    <row r="891">
      <c r="J891" s="6"/>
    </row>
    <row r="892">
      <c r="J892" s="6"/>
    </row>
    <row r="893">
      <c r="J893" s="6"/>
    </row>
    <row r="894">
      <c r="J894" s="6"/>
    </row>
    <row r="895">
      <c r="J895" s="6"/>
    </row>
    <row r="896">
      <c r="J896" s="6"/>
    </row>
    <row r="897">
      <c r="J897" s="6"/>
    </row>
    <row r="898">
      <c r="J898" s="6"/>
    </row>
    <row r="899">
      <c r="J899" s="6"/>
    </row>
    <row r="900">
      <c r="J900" s="6"/>
    </row>
    <row r="901">
      <c r="J901" s="6"/>
    </row>
    <row r="902">
      <c r="J902" s="6"/>
    </row>
    <row r="903">
      <c r="J903" s="6"/>
    </row>
    <row r="904">
      <c r="J904" s="6"/>
    </row>
    <row r="905">
      <c r="J905" s="6"/>
    </row>
    <row r="906">
      <c r="J906" s="6"/>
    </row>
    <row r="907">
      <c r="J907" s="6"/>
    </row>
    <row r="908">
      <c r="J908" s="6"/>
    </row>
    <row r="909">
      <c r="J909" s="6"/>
    </row>
    <row r="910">
      <c r="J910" s="6"/>
    </row>
    <row r="911">
      <c r="J911" s="6"/>
    </row>
    <row r="912">
      <c r="J912" s="6"/>
    </row>
    <row r="913">
      <c r="J913" s="6"/>
    </row>
    <row r="914">
      <c r="J914" s="6"/>
    </row>
    <row r="915">
      <c r="J915" s="6"/>
    </row>
    <row r="916">
      <c r="J916" s="6"/>
    </row>
    <row r="917">
      <c r="J917" s="6"/>
    </row>
    <row r="918">
      <c r="J918" s="6"/>
    </row>
    <row r="919">
      <c r="J919" s="6"/>
    </row>
    <row r="920">
      <c r="J920" s="6"/>
    </row>
    <row r="921">
      <c r="J921" s="6"/>
    </row>
    <row r="922">
      <c r="J922" s="6"/>
    </row>
    <row r="923">
      <c r="J923" s="6"/>
    </row>
    <row r="924">
      <c r="J924" s="6"/>
    </row>
    <row r="925">
      <c r="J925" s="6"/>
    </row>
    <row r="926">
      <c r="J926" s="6"/>
    </row>
    <row r="927">
      <c r="J927" s="6"/>
    </row>
    <row r="928">
      <c r="J928" s="6"/>
    </row>
    <row r="929">
      <c r="J929" s="6"/>
    </row>
    <row r="930">
      <c r="J930" s="6"/>
    </row>
    <row r="931">
      <c r="J931" s="6"/>
    </row>
    <row r="932">
      <c r="J932" s="6"/>
    </row>
    <row r="933">
      <c r="J933" s="6"/>
    </row>
    <row r="934">
      <c r="J934" s="6"/>
    </row>
    <row r="935">
      <c r="J935" s="6"/>
    </row>
    <row r="936">
      <c r="J936" s="6"/>
    </row>
    <row r="937">
      <c r="J937" s="6"/>
    </row>
    <row r="938">
      <c r="J938" s="6"/>
    </row>
    <row r="939">
      <c r="J939" s="6"/>
    </row>
    <row r="940">
      <c r="J940" s="6"/>
    </row>
    <row r="941">
      <c r="J941" s="6"/>
    </row>
    <row r="942">
      <c r="J942" s="6"/>
    </row>
    <row r="943">
      <c r="J943" s="6"/>
    </row>
    <row r="944">
      <c r="J944" s="6"/>
    </row>
    <row r="945">
      <c r="J945" s="6"/>
    </row>
    <row r="946">
      <c r="J946" s="6"/>
    </row>
    <row r="947">
      <c r="J947" s="6"/>
    </row>
    <row r="948">
      <c r="J948" s="6"/>
    </row>
    <row r="949">
      <c r="J949" s="6"/>
    </row>
    <row r="950">
      <c r="J950" s="6"/>
    </row>
    <row r="951">
      <c r="J951" s="6"/>
    </row>
    <row r="952">
      <c r="J952" s="6"/>
    </row>
    <row r="953">
      <c r="J953" s="6"/>
    </row>
    <row r="954">
      <c r="J954" s="6"/>
    </row>
    <row r="955">
      <c r="J955" s="6"/>
    </row>
    <row r="956">
      <c r="J956" s="6"/>
    </row>
    <row r="957">
      <c r="J957" s="6"/>
    </row>
    <row r="958">
      <c r="J958" s="6"/>
    </row>
    <row r="959">
      <c r="J959" s="6"/>
    </row>
    <row r="960">
      <c r="J960" s="6"/>
    </row>
    <row r="961">
      <c r="J961" s="6"/>
    </row>
    <row r="962">
      <c r="J962" s="6"/>
    </row>
    <row r="963">
      <c r="J963" s="6"/>
    </row>
    <row r="964">
      <c r="J964" s="6"/>
    </row>
    <row r="965">
      <c r="J965" s="6"/>
    </row>
    <row r="966">
      <c r="J966" s="6"/>
    </row>
    <row r="967">
      <c r="J967" s="6"/>
    </row>
    <row r="968">
      <c r="J968" s="6"/>
    </row>
    <row r="969">
      <c r="J969" s="6"/>
    </row>
    <row r="970">
      <c r="J970" s="6"/>
    </row>
    <row r="971">
      <c r="J971" s="6"/>
    </row>
    <row r="972">
      <c r="J972" s="6"/>
    </row>
    <row r="973">
      <c r="J973" s="6"/>
    </row>
    <row r="974">
      <c r="J974" s="6"/>
    </row>
    <row r="975">
      <c r="J975" s="6"/>
    </row>
    <row r="976">
      <c r="J976" s="6"/>
    </row>
    <row r="977">
      <c r="J977" s="6"/>
    </row>
    <row r="978">
      <c r="J978" s="6"/>
    </row>
    <row r="979">
      <c r="J979" s="6"/>
    </row>
    <row r="980">
      <c r="J980" s="6"/>
    </row>
    <row r="981">
      <c r="J981" s="6"/>
    </row>
    <row r="982">
      <c r="J982" s="6"/>
    </row>
    <row r="983">
      <c r="J983" s="6"/>
    </row>
    <row r="984">
      <c r="J984" s="6"/>
    </row>
    <row r="985">
      <c r="J985" s="6"/>
    </row>
    <row r="986">
      <c r="J986" s="6"/>
    </row>
    <row r="987">
      <c r="J987" s="6"/>
    </row>
    <row r="988">
      <c r="J988" s="6"/>
    </row>
    <row r="989">
      <c r="J989" s="6"/>
    </row>
    <row r="990">
      <c r="J990" s="6"/>
    </row>
    <row r="991">
      <c r="J991" s="6"/>
    </row>
    <row r="992">
      <c r="J992" s="6"/>
    </row>
    <row r="993">
      <c r="J993" s="6"/>
    </row>
    <row r="994">
      <c r="J994" s="6"/>
    </row>
    <row r="995">
      <c r="J995" s="6"/>
    </row>
    <row r="996">
      <c r="J996" s="6"/>
    </row>
    <row r="997">
      <c r="J997" s="6"/>
    </row>
    <row r="998">
      <c r="J998" s="6"/>
    </row>
    <row r="999">
      <c r="J999" s="6"/>
    </row>
    <row r="1000">
      <c r="J1000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30.38"/>
    <col customWidth="1" min="3" max="3" width="25.5"/>
    <col customWidth="1" min="4" max="4" width="15.25"/>
    <col customWidth="1" min="6" max="6" width="13.5"/>
    <col customWidth="1" min="10" max="10" width="18.0"/>
    <col customWidth="1" min="12" max="12" width="17.88"/>
  </cols>
  <sheetData>
    <row r="1">
      <c r="A1" s="32"/>
      <c r="B1" s="2"/>
      <c r="C1" s="2"/>
      <c r="E1" s="33"/>
      <c r="H1" s="16"/>
      <c r="I1" s="2"/>
    </row>
    <row r="2">
      <c r="B2" s="2" t="s">
        <v>926</v>
      </c>
      <c r="C2" s="2"/>
      <c r="H2" s="16"/>
    </row>
    <row r="3">
      <c r="A3" s="34" t="s">
        <v>1250</v>
      </c>
      <c r="B3" s="29" t="s">
        <v>919</v>
      </c>
      <c r="C3" s="29" t="s">
        <v>1537</v>
      </c>
      <c r="D3" s="29" t="s">
        <v>1538</v>
      </c>
      <c r="E3" s="35" t="s">
        <v>1539</v>
      </c>
      <c r="F3" s="36" t="s">
        <v>1540</v>
      </c>
      <c r="G3" s="29" t="s">
        <v>1541</v>
      </c>
      <c r="H3" s="27" t="s">
        <v>1542</v>
      </c>
      <c r="I3" s="29" t="s">
        <v>1250</v>
      </c>
      <c r="J3" s="2" t="s">
        <v>1543</v>
      </c>
      <c r="K3" s="2" t="s">
        <v>1544</v>
      </c>
      <c r="L3" s="17" t="s">
        <v>1545</v>
      </c>
    </row>
    <row r="4">
      <c r="A4" s="19" t="s">
        <v>91</v>
      </c>
      <c r="B4" s="5" t="s">
        <v>1546</v>
      </c>
      <c r="C4" s="37" t="s">
        <v>93</v>
      </c>
      <c r="D4" s="38">
        <v>0.58</v>
      </c>
      <c r="E4" s="39">
        <f t="shared" ref="E4:E350" si="1">IF(AND(D4&gt;=0%, D4&lt;=30%), 1, IF(AND(D4&gt;30%, D4&lt;=60%), 2, IF(AND(D4&gt;60%, D4&lt;99%), 3, "")))</f>
        <v>2</v>
      </c>
      <c r="F4" s="21">
        <f>ifna(vlookup(C4,'Player Ages'!A2:E486,5,),"")</f>
        <v>26</v>
      </c>
      <c r="G4" s="39">
        <f t="shared" ref="G4:G350" si="2">IF(AND(F4&lt;=25), 1, IF(AND(F4&gt;25, F4&lt;=30), 2, IF(AND(F4&gt;30, F4&lt;50), 3, "")))</f>
        <v>2</v>
      </c>
      <c r="H4" s="39">
        <f t="shared" ref="H4:H350" si="3">E4+G4</f>
        <v>4</v>
      </c>
      <c r="I4" s="19" t="str">
        <f>vlookup(C4,'Player Codes'!$A:$D,4,)</f>
        <v>0001</v>
      </c>
      <c r="J4" s="40" t="s">
        <v>14</v>
      </c>
      <c r="K4" s="5">
        <v>27.0</v>
      </c>
      <c r="L4" s="30">
        <f t="shared" ref="L4:L350" si="4">(H4/6)*0.2</f>
        <v>0.1333333333</v>
      </c>
    </row>
    <row r="5">
      <c r="A5" s="19" t="s">
        <v>463</v>
      </c>
      <c r="B5" s="5" t="s">
        <v>1547</v>
      </c>
      <c r="C5" s="5" t="s">
        <v>465</v>
      </c>
      <c r="D5" s="38">
        <v>0.58</v>
      </c>
      <c r="E5" s="39">
        <f t="shared" si="1"/>
        <v>2</v>
      </c>
      <c r="F5" s="21">
        <f>ifna(vlookup(C5,'Player Ages'!A3:E487,5,),"")</f>
        <v>33</v>
      </c>
      <c r="G5" s="39">
        <f t="shared" si="2"/>
        <v>3</v>
      </c>
      <c r="H5" s="39">
        <f t="shared" si="3"/>
        <v>5</v>
      </c>
      <c r="I5" s="19" t="str">
        <f>vlookup(C5,'Player Codes'!$A:$D,4,)</f>
        <v>0004</v>
      </c>
      <c r="J5" s="40" t="s">
        <v>18</v>
      </c>
      <c r="K5" s="5">
        <v>28.0</v>
      </c>
      <c r="L5" s="30">
        <f t="shared" si="4"/>
        <v>0.1666666667</v>
      </c>
    </row>
    <row r="6">
      <c r="A6" s="19" t="s">
        <v>720</v>
      </c>
      <c r="B6" s="5" t="s">
        <v>1548</v>
      </c>
      <c r="C6" s="5" t="s">
        <v>721</v>
      </c>
      <c r="D6" s="38">
        <v>0.57</v>
      </c>
      <c r="E6" s="39">
        <f t="shared" si="1"/>
        <v>2</v>
      </c>
      <c r="F6" s="21">
        <f>ifna(vlookup(C6,'Player Ages'!A4:E488,5,),"")</f>
        <v>23</v>
      </c>
      <c r="G6" s="39">
        <f t="shared" si="2"/>
        <v>1</v>
      </c>
      <c r="H6" s="39">
        <f t="shared" si="3"/>
        <v>3</v>
      </c>
      <c r="I6" s="19" t="str">
        <f>vlookup(C6,'Player Codes'!$A:$D,4,)</f>
        <v>0006</v>
      </c>
      <c r="J6" s="40" t="s">
        <v>51</v>
      </c>
      <c r="K6" s="5">
        <v>24.0</v>
      </c>
      <c r="L6" s="30">
        <f t="shared" si="4"/>
        <v>0.1</v>
      </c>
    </row>
    <row r="7">
      <c r="A7" s="19" t="s">
        <v>360</v>
      </c>
      <c r="B7" s="5" t="s">
        <v>1549</v>
      </c>
      <c r="C7" s="5" t="s">
        <v>361</v>
      </c>
      <c r="D7" s="38">
        <v>0.38</v>
      </c>
      <c r="E7" s="39">
        <f t="shared" si="1"/>
        <v>2</v>
      </c>
      <c r="F7" s="21">
        <f>ifna(vlookup(C7,'Player Ages'!A5:E489,5,),"")</f>
        <v>27</v>
      </c>
      <c r="G7" s="39">
        <f t="shared" si="2"/>
        <v>2</v>
      </c>
      <c r="H7" s="39">
        <f t="shared" si="3"/>
        <v>4</v>
      </c>
      <c r="I7" s="19" t="str">
        <f>vlookup(C7,'Player Codes'!$A:$D,4,)</f>
        <v>0008</v>
      </c>
      <c r="J7" s="40" t="s">
        <v>26</v>
      </c>
      <c r="K7" s="5">
        <v>26.0</v>
      </c>
      <c r="L7" s="30">
        <f t="shared" si="4"/>
        <v>0.1333333333</v>
      </c>
    </row>
    <row r="8">
      <c r="A8" s="23">
        <v>0.1</v>
      </c>
      <c r="B8" s="5" t="s">
        <v>1550</v>
      </c>
      <c r="C8" s="2" t="s">
        <v>1271</v>
      </c>
      <c r="D8" s="38">
        <v>0.85</v>
      </c>
      <c r="E8" s="39">
        <f t="shared" si="1"/>
        <v>3</v>
      </c>
      <c r="F8" s="21">
        <f>ifna(vlookup(C8,'Player Ages'!A6:E490,5,),"")</f>
        <v>30</v>
      </c>
      <c r="G8" s="39">
        <f t="shared" si="2"/>
        <v>2</v>
      </c>
      <c r="H8" s="39">
        <f t="shared" si="3"/>
        <v>5</v>
      </c>
      <c r="I8" s="4" t="s">
        <v>854</v>
      </c>
      <c r="J8" s="40" t="s">
        <v>95</v>
      </c>
      <c r="K8" s="5">
        <v>24.0</v>
      </c>
      <c r="L8" s="30">
        <f t="shared" si="4"/>
        <v>0.1666666667</v>
      </c>
    </row>
    <row r="9">
      <c r="A9" s="19" t="s">
        <v>181</v>
      </c>
      <c r="B9" s="5" t="s">
        <v>1551</v>
      </c>
      <c r="C9" s="5" t="s">
        <v>182</v>
      </c>
      <c r="D9" s="38">
        <v>0.37</v>
      </c>
      <c r="E9" s="39">
        <f t="shared" si="1"/>
        <v>2</v>
      </c>
      <c r="F9" s="21">
        <f>ifna(vlookup(C9,'Player Ages'!A7:E491,5,),"")</f>
        <v>29</v>
      </c>
      <c r="G9" s="39">
        <f t="shared" si="2"/>
        <v>2</v>
      </c>
      <c r="H9" s="39">
        <f t="shared" si="3"/>
        <v>4</v>
      </c>
      <c r="I9" s="19" t="str">
        <f>vlookup(C9,'Player Codes'!$A:$D,4,)</f>
        <v>0011</v>
      </c>
      <c r="J9" s="40" t="s">
        <v>192</v>
      </c>
      <c r="K9" s="5">
        <v>33.0</v>
      </c>
      <c r="L9" s="30">
        <f t="shared" si="4"/>
        <v>0.1333333333</v>
      </c>
    </row>
    <row r="10">
      <c r="A10" s="19" t="s">
        <v>174</v>
      </c>
      <c r="B10" s="5" t="s">
        <v>1552</v>
      </c>
      <c r="C10" s="5" t="s">
        <v>175</v>
      </c>
      <c r="D10" s="38">
        <v>0.36</v>
      </c>
      <c r="E10" s="39">
        <f t="shared" si="1"/>
        <v>2</v>
      </c>
      <c r="F10" s="21">
        <f>ifna(vlookup(C10,'Player Ages'!A8:E492,5,),"")</f>
        <v>23</v>
      </c>
      <c r="G10" s="39">
        <f t="shared" si="2"/>
        <v>1</v>
      </c>
      <c r="H10" s="39">
        <f t="shared" si="3"/>
        <v>3</v>
      </c>
      <c r="I10" s="19" t="str">
        <f>vlookup(C10,'Player Codes'!$A:$D,4,)</f>
        <v>0012</v>
      </c>
      <c r="J10" s="40" t="s">
        <v>128</v>
      </c>
      <c r="K10" s="5">
        <v>22.0</v>
      </c>
      <c r="L10" s="30">
        <f t="shared" si="4"/>
        <v>0.1</v>
      </c>
    </row>
    <row r="11">
      <c r="A11" s="19" t="s">
        <v>374</v>
      </c>
      <c r="B11" s="5" t="s">
        <v>1553</v>
      </c>
      <c r="C11" s="5" t="s">
        <v>376</v>
      </c>
      <c r="D11" s="38">
        <v>0.35</v>
      </c>
      <c r="E11" s="39">
        <f t="shared" si="1"/>
        <v>2</v>
      </c>
      <c r="F11" s="21">
        <f>ifna(vlookup(C11,'Player Ages'!A9:E493,5,),"")</f>
        <v>29</v>
      </c>
      <c r="G11" s="39">
        <f t="shared" si="2"/>
        <v>2</v>
      </c>
      <c r="H11" s="39">
        <f t="shared" si="3"/>
        <v>4</v>
      </c>
      <c r="I11" s="19" t="str">
        <f>vlookup(C11,'Player Codes'!$A:$D,4,)</f>
        <v>0022</v>
      </c>
      <c r="J11" s="40" t="s">
        <v>67</v>
      </c>
      <c r="K11" s="5">
        <v>23.0</v>
      </c>
      <c r="L11" s="30">
        <f t="shared" si="4"/>
        <v>0.1333333333</v>
      </c>
    </row>
    <row r="12">
      <c r="A12" s="19" t="s">
        <v>278</v>
      </c>
      <c r="B12" s="5" t="s">
        <v>1554</v>
      </c>
      <c r="C12" s="5" t="s">
        <v>279</v>
      </c>
      <c r="D12" s="38">
        <v>0.53</v>
      </c>
      <c r="E12" s="39">
        <f t="shared" si="1"/>
        <v>2</v>
      </c>
      <c r="F12" s="21">
        <f>ifna(vlookup(C12,'Player Ages'!A10:E494,5,),"")</f>
        <v>25</v>
      </c>
      <c r="G12" s="39">
        <f t="shared" si="2"/>
        <v>1</v>
      </c>
      <c r="H12" s="39">
        <f t="shared" si="3"/>
        <v>3</v>
      </c>
      <c r="I12" s="19" t="str">
        <f>vlookup(C12,'Player Codes'!$A:$D,4,)</f>
        <v>0023</v>
      </c>
      <c r="J12" s="40" t="s">
        <v>71</v>
      </c>
      <c r="K12" s="5">
        <v>30.0</v>
      </c>
      <c r="L12" s="30">
        <f t="shared" si="4"/>
        <v>0.1</v>
      </c>
    </row>
    <row r="13">
      <c r="A13" s="23">
        <v>0.1</v>
      </c>
      <c r="B13" s="5" t="s">
        <v>1555</v>
      </c>
      <c r="C13" s="5" t="s">
        <v>1268</v>
      </c>
      <c r="D13" s="38">
        <v>0.09</v>
      </c>
      <c r="E13" s="39">
        <f t="shared" si="1"/>
        <v>1</v>
      </c>
      <c r="F13" s="21">
        <f>ifna(vlookup(C13,'Player Ages'!A11:E495,5,),"")</f>
        <v>27</v>
      </c>
      <c r="G13" s="39">
        <f t="shared" si="2"/>
        <v>2</v>
      </c>
      <c r="H13" s="39">
        <f t="shared" si="3"/>
        <v>3</v>
      </c>
      <c r="I13" s="4" t="s">
        <v>1556</v>
      </c>
      <c r="J13" s="40" t="s">
        <v>39</v>
      </c>
      <c r="K13" s="5">
        <v>29.0</v>
      </c>
      <c r="L13" s="30">
        <f t="shared" si="4"/>
        <v>0.1</v>
      </c>
    </row>
    <row r="14">
      <c r="A14" s="23">
        <v>0.1</v>
      </c>
      <c r="B14" s="5" t="s">
        <v>1557</v>
      </c>
      <c r="C14" s="5" t="s">
        <v>1270</v>
      </c>
      <c r="D14" s="38">
        <v>0.8</v>
      </c>
      <c r="E14" s="39">
        <f t="shared" si="1"/>
        <v>3</v>
      </c>
      <c r="F14" s="23">
        <v>29.0</v>
      </c>
      <c r="G14" s="39">
        <f t="shared" si="2"/>
        <v>2</v>
      </c>
      <c r="H14" s="39">
        <f t="shared" si="3"/>
        <v>5</v>
      </c>
      <c r="I14" s="4" t="s">
        <v>1556</v>
      </c>
      <c r="J14" s="40" t="s">
        <v>89</v>
      </c>
      <c r="K14" s="5">
        <v>29.0</v>
      </c>
      <c r="L14" s="30">
        <f t="shared" si="4"/>
        <v>0.1666666667</v>
      </c>
    </row>
    <row r="15">
      <c r="A15" s="23">
        <v>0.1</v>
      </c>
      <c r="B15" s="2" t="s">
        <v>1558</v>
      </c>
      <c r="C15" s="2" t="s">
        <v>1273</v>
      </c>
      <c r="D15" s="38">
        <v>0.35</v>
      </c>
      <c r="E15" s="39">
        <f t="shared" si="1"/>
        <v>2</v>
      </c>
      <c r="F15" s="21">
        <f>ifna(vlookup(C15,'Player Ages'!A13:E497,5,),"")</f>
        <v>24</v>
      </c>
      <c r="G15" s="39">
        <f t="shared" si="2"/>
        <v>1</v>
      </c>
      <c r="H15" s="39">
        <f t="shared" si="3"/>
        <v>3</v>
      </c>
      <c r="I15" s="4" t="s">
        <v>1556</v>
      </c>
      <c r="J15" s="40" t="s">
        <v>43</v>
      </c>
      <c r="K15" s="5">
        <v>25.0</v>
      </c>
      <c r="L15" s="30">
        <f t="shared" si="4"/>
        <v>0.1</v>
      </c>
    </row>
    <row r="16">
      <c r="A16" s="23">
        <v>0.1</v>
      </c>
      <c r="B16" s="5" t="s">
        <v>1559</v>
      </c>
      <c r="C16" s="5" t="s">
        <v>1275</v>
      </c>
      <c r="D16" s="38">
        <v>0.29</v>
      </c>
      <c r="E16" s="39">
        <f t="shared" si="1"/>
        <v>1</v>
      </c>
      <c r="F16" s="23">
        <v>24.0</v>
      </c>
      <c r="G16" s="39">
        <f t="shared" si="2"/>
        <v>1</v>
      </c>
      <c r="H16" s="39">
        <f t="shared" si="3"/>
        <v>2</v>
      </c>
      <c r="I16" s="4" t="s">
        <v>1556</v>
      </c>
      <c r="J16" s="40" t="s">
        <v>86</v>
      </c>
      <c r="K16" s="5">
        <v>30.0</v>
      </c>
      <c r="L16" s="30">
        <f t="shared" si="4"/>
        <v>0.06666666667</v>
      </c>
    </row>
    <row r="17">
      <c r="A17" s="19" t="s">
        <v>151</v>
      </c>
      <c r="B17" s="5" t="s">
        <v>1560</v>
      </c>
      <c r="C17" s="5" t="s">
        <v>152</v>
      </c>
      <c r="D17" s="38">
        <v>0.34</v>
      </c>
      <c r="E17" s="39">
        <f t="shared" si="1"/>
        <v>2</v>
      </c>
      <c r="F17" s="21">
        <f>ifna(vlookup(C17,'Player Ages'!A15:E499,5,),"")</f>
        <v>28</v>
      </c>
      <c r="G17" s="39">
        <f t="shared" si="2"/>
        <v>2</v>
      </c>
      <c r="H17" s="39">
        <f t="shared" si="3"/>
        <v>4</v>
      </c>
      <c r="I17" s="19" t="str">
        <f>vlookup(C17,'Player Codes'!$A:$D,4,)</f>
        <v>0037</v>
      </c>
      <c r="J17" s="40" t="s">
        <v>22</v>
      </c>
      <c r="K17" s="5">
        <v>27.0</v>
      </c>
      <c r="L17" s="30">
        <f t="shared" si="4"/>
        <v>0.1333333333</v>
      </c>
    </row>
    <row r="18">
      <c r="A18" s="19" t="s">
        <v>887</v>
      </c>
      <c r="B18" s="5" t="s">
        <v>1561</v>
      </c>
      <c r="C18" s="5" t="s">
        <v>888</v>
      </c>
      <c r="D18" s="38">
        <v>0.27</v>
      </c>
      <c r="E18" s="39">
        <f t="shared" si="1"/>
        <v>1</v>
      </c>
      <c r="F18" s="21">
        <f>ifna(vlookup(C18,'Player Ages'!A16:E500,5,),"")</f>
        <v>23</v>
      </c>
      <c r="G18" s="39">
        <f t="shared" si="2"/>
        <v>1</v>
      </c>
      <c r="H18" s="39">
        <f t="shared" si="3"/>
        <v>2</v>
      </c>
      <c r="I18" s="19" t="str">
        <f>vlookup(C18,'Player Codes'!$A:$D,4,)</f>
        <v>0041</v>
      </c>
      <c r="J18" s="40" t="s">
        <v>31</v>
      </c>
      <c r="K18" s="5">
        <v>29.0</v>
      </c>
      <c r="L18" s="30">
        <f t="shared" si="4"/>
        <v>0.06666666667</v>
      </c>
    </row>
    <row r="19">
      <c r="A19" s="23">
        <v>0.1</v>
      </c>
      <c r="B19" s="5" t="s">
        <v>1562</v>
      </c>
      <c r="C19" s="5" t="s">
        <v>1280</v>
      </c>
      <c r="D19" s="38">
        <v>0.08</v>
      </c>
      <c r="E19" s="39">
        <f t="shared" si="1"/>
        <v>1</v>
      </c>
      <c r="F19" s="23">
        <v>27.0</v>
      </c>
      <c r="G19" s="39">
        <f t="shared" si="2"/>
        <v>2</v>
      </c>
      <c r="H19" s="39">
        <f t="shared" si="3"/>
        <v>3</v>
      </c>
      <c r="I19" s="4" t="s">
        <v>1556</v>
      </c>
      <c r="J19" s="40" t="s">
        <v>159</v>
      </c>
      <c r="K19" s="5">
        <v>24.0</v>
      </c>
      <c r="L19" s="30">
        <f t="shared" si="4"/>
        <v>0.1</v>
      </c>
    </row>
    <row r="20">
      <c r="A20" s="19" t="s">
        <v>104</v>
      </c>
      <c r="B20" s="5" t="s">
        <v>1563</v>
      </c>
      <c r="C20" s="5" t="s">
        <v>106</v>
      </c>
      <c r="D20" s="38">
        <v>0.67</v>
      </c>
      <c r="E20" s="39">
        <f t="shared" si="1"/>
        <v>3</v>
      </c>
      <c r="F20" s="21">
        <f>ifna(vlookup(C20,'Player Ages'!A18:E502,5,),"")</f>
        <v>24</v>
      </c>
      <c r="G20" s="39">
        <f t="shared" si="2"/>
        <v>1</v>
      </c>
      <c r="H20" s="39">
        <f t="shared" si="3"/>
        <v>4</v>
      </c>
      <c r="I20" s="19" t="str">
        <f>vlookup(C20,'Player Codes'!$A:$D,4,)</f>
        <v>0042</v>
      </c>
      <c r="J20" s="40" t="s">
        <v>106</v>
      </c>
      <c r="K20" s="5">
        <v>24.0</v>
      </c>
      <c r="L20" s="30">
        <f t="shared" si="4"/>
        <v>0.1333333333</v>
      </c>
    </row>
    <row r="21">
      <c r="A21" s="19" t="s">
        <v>827</v>
      </c>
      <c r="B21" s="5" t="s">
        <v>1564</v>
      </c>
      <c r="C21" s="5" t="s">
        <v>828</v>
      </c>
      <c r="D21" s="38">
        <v>0.58</v>
      </c>
      <c r="E21" s="39">
        <f t="shared" si="1"/>
        <v>2</v>
      </c>
      <c r="F21" s="21">
        <f>ifna(vlookup(C21,'Player Ages'!A19:E503,5,),"")</f>
        <v>25</v>
      </c>
      <c r="G21" s="39">
        <f t="shared" si="2"/>
        <v>1</v>
      </c>
      <c r="H21" s="39">
        <f t="shared" si="3"/>
        <v>3</v>
      </c>
      <c r="I21" s="19" t="str">
        <f>vlookup(C21,'Player Codes'!$A:$D,4,)</f>
        <v>0045</v>
      </c>
      <c r="J21" s="40" t="s">
        <v>93</v>
      </c>
      <c r="K21" s="5">
        <v>26.0</v>
      </c>
      <c r="L21" s="30">
        <f t="shared" si="4"/>
        <v>0.1</v>
      </c>
    </row>
    <row r="22">
      <c r="A22" s="19" t="s">
        <v>800</v>
      </c>
      <c r="B22" s="5" t="s">
        <v>1565</v>
      </c>
      <c r="C22" s="5" t="s">
        <v>801</v>
      </c>
      <c r="D22" s="38">
        <v>0.43</v>
      </c>
      <c r="E22" s="39">
        <f t="shared" si="1"/>
        <v>2</v>
      </c>
      <c r="F22" s="23">
        <v>30.0</v>
      </c>
      <c r="G22" s="39">
        <f t="shared" si="2"/>
        <v>2</v>
      </c>
      <c r="H22" s="39">
        <f t="shared" si="3"/>
        <v>4</v>
      </c>
      <c r="I22" s="19" t="str">
        <f>vlookup(C22,'Player Codes'!$A:$D,4,)</f>
        <v>0049</v>
      </c>
      <c r="J22" s="40" t="s">
        <v>75</v>
      </c>
      <c r="K22" s="5">
        <v>25.0</v>
      </c>
      <c r="L22" s="30">
        <f t="shared" si="4"/>
        <v>0.1333333333</v>
      </c>
    </row>
    <row r="23">
      <c r="A23" s="23">
        <v>0.1</v>
      </c>
      <c r="B23" s="5" t="s">
        <v>1566</v>
      </c>
      <c r="C23" s="5" t="s">
        <v>1288</v>
      </c>
      <c r="D23" s="38">
        <v>0.06</v>
      </c>
      <c r="E23" s="39">
        <f t="shared" si="1"/>
        <v>1</v>
      </c>
      <c r="F23" s="23">
        <v>30.0</v>
      </c>
      <c r="G23" s="39">
        <f t="shared" si="2"/>
        <v>2</v>
      </c>
      <c r="H23" s="39">
        <f t="shared" si="3"/>
        <v>3</v>
      </c>
      <c r="I23" s="4" t="s">
        <v>1556</v>
      </c>
      <c r="J23" s="40" t="s">
        <v>55</v>
      </c>
      <c r="K23" s="5">
        <v>27.0</v>
      </c>
      <c r="L23" s="30">
        <f t="shared" si="4"/>
        <v>0.1</v>
      </c>
    </row>
    <row r="24">
      <c r="A24" s="19" t="s">
        <v>165</v>
      </c>
      <c r="B24" s="5" t="s">
        <v>1567</v>
      </c>
      <c r="C24" s="5" t="s">
        <v>166</v>
      </c>
      <c r="D24" s="38">
        <v>0.91</v>
      </c>
      <c r="E24" s="39">
        <f t="shared" si="1"/>
        <v>3</v>
      </c>
      <c r="F24" s="21">
        <f>ifna(vlookup(C24,'Player Ages'!A22:E506,5,),"")</f>
        <v>27</v>
      </c>
      <c r="G24" s="39">
        <f t="shared" si="2"/>
        <v>2</v>
      </c>
      <c r="H24" s="39">
        <f t="shared" si="3"/>
        <v>5</v>
      </c>
      <c r="I24" s="19" t="str">
        <f>vlookup(C24,'Player Codes'!$A:$D,4,)</f>
        <v>0052</v>
      </c>
      <c r="J24" s="40" t="s">
        <v>277</v>
      </c>
      <c r="K24" s="5">
        <v>27.0</v>
      </c>
      <c r="L24" s="30">
        <f t="shared" si="4"/>
        <v>0.1666666667</v>
      </c>
    </row>
    <row r="25">
      <c r="A25" s="19" t="s">
        <v>119</v>
      </c>
      <c r="B25" s="5" t="s">
        <v>1568</v>
      </c>
      <c r="C25" s="5" t="s">
        <v>121</v>
      </c>
      <c r="D25" s="38">
        <v>0.64</v>
      </c>
      <c r="E25" s="39">
        <f t="shared" si="1"/>
        <v>3</v>
      </c>
      <c r="F25" s="21">
        <f>ifna(vlookup(C25,'Player Ages'!A23:E507,5,),"")</f>
        <v>23</v>
      </c>
      <c r="G25" s="39">
        <f t="shared" si="2"/>
        <v>1</v>
      </c>
      <c r="H25" s="39">
        <f t="shared" si="3"/>
        <v>4</v>
      </c>
      <c r="I25" s="19" t="str">
        <f>vlookup(C25,'Player Codes'!$A:$D,4,)</f>
        <v>0053</v>
      </c>
      <c r="J25" s="40" t="s">
        <v>175</v>
      </c>
      <c r="K25" s="5">
        <v>23.0</v>
      </c>
      <c r="L25" s="30">
        <f t="shared" si="4"/>
        <v>0.1333333333</v>
      </c>
    </row>
    <row r="26">
      <c r="A26" s="19" t="s">
        <v>241</v>
      </c>
      <c r="B26" s="5" t="s">
        <v>1569</v>
      </c>
      <c r="C26" s="5" t="s">
        <v>243</v>
      </c>
      <c r="D26" s="38">
        <v>0.41</v>
      </c>
      <c r="E26" s="39">
        <f t="shared" si="1"/>
        <v>2</v>
      </c>
      <c r="F26" s="21">
        <f>ifna(vlookup(C26,'Player Ages'!A24:E508,5,),"")</f>
        <v>26</v>
      </c>
      <c r="G26" s="39">
        <f t="shared" si="2"/>
        <v>2</v>
      </c>
      <c r="H26" s="39">
        <f t="shared" si="3"/>
        <v>4</v>
      </c>
      <c r="I26" s="19" t="str">
        <f>vlookup(C26,'Player Codes'!$A:$D,4,)</f>
        <v>0054</v>
      </c>
      <c r="J26" s="40" t="s">
        <v>63</v>
      </c>
      <c r="K26" s="5">
        <v>25.0</v>
      </c>
      <c r="L26" s="30">
        <f t="shared" si="4"/>
        <v>0.1333333333</v>
      </c>
    </row>
    <row r="27">
      <c r="A27" s="19" t="s">
        <v>168</v>
      </c>
      <c r="B27" s="5" t="s">
        <v>1570</v>
      </c>
      <c r="C27" s="5" t="s">
        <v>169</v>
      </c>
      <c r="D27" s="38">
        <v>0.64</v>
      </c>
      <c r="E27" s="39">
        <f t="shared" si="1"/>
        <v>3</v>
      </c>
      <c r="F27" s="21">
        <f>ifna(vlookup(C27,'Player Ages'!A25:E509,5,),"")</f>
        <v>24</v>
      </c>
      <c r="G27" s="39">
        <f t="shared" si="2"/>
        <v>1</v>
      </c>
      <c r="H27" s="39">
        <f t="shared" si="3"/>
        <v>4</v>
      </c>
      <c r="I27" s="19" t="str">
        <f>vlookup(C27,'Player Codes'!$A:$D,4,)</f>
        <v>0056</v>
      </c>
      <c r="J27" s="40" t="s">
        <v>79</v>
      </c>
      <c r="K27" s="5">
        <v>22.0</v>
      </c>
      <c r="L27" s="30">
        <f t="shared" si="4"/>
        <v>0.1333333333</v>
      </c>
    </row>
    <row r="28">
      <c r="A28" s="23">
        <v>0.1</v>
      </c>
      <c r="B28" s="5" t="s">
        <v>1571</v>
      </c>
      <c r="C28" s="5" t="s">
        <v>1297</v>
      </c>
      <c r="D28" s="38">
        <v>0.22</v>
      </c>
      <c r="E28" s="39">
        <f t="shared" si="1"/>
        <v>1</v>
      </c>
      <c r="F28" s="23">
        <v>34.0</v>
      </c>
      <c r="G28" s="39">
        <f t="shared" si="2"/>
        <v>3</v>
      </c>
      <c r="H28" s="39">
        <f t="shared" si="3"/>
        <v>4</v>
      </c>
      <c r="I28" s="4" t="s">
        <v>1556</v>
      </c>
      <c r="J28" s="40" t="s">
        <v>131</v>
      </c>
      <c r="K28" s="5">
        <v>24.0</v>
      </c>
      <c r="L28" s="30">
        <f t="shared" si="4"/>
        <v>0.1333333333</v>
      </c>
    </row>
    <row r="29">
      <c r="A29" s="19" t="s">
        <v>69</v>
      </c>
      <c r="B29" s="5" t="s">
        <v>1572</v>
      </c>
      <c r="C29" s="5" t="s">
        <v>71</v>
      </c>
      <c r="D29" s="38">
        <v>0.57</v>
      </c>
      <c r="E29" s="39">
        <f t="shared" si="1"/>
        <v>2</v>
      </c>
      <c r="F29" s="23">
        <v>30.0</v>
      </c>
      <c r="G29" s="39">
        <f t="shared" si="2"/>
        <v>2</v>
      </c>
      <c r="H29" s="39">
        <f t="shared" si="3"/>
        <v>4</v>
      </c>
      <c r="I29" s="19" t="str">
        <f>vlookup(C29,'Player Codes'!$A:$D,4,)</f>
        <v>0063</v>
      </c>
      <c r="J29" s="40" t="s">
        <v>1573</v>
      </c>
      <c r="K29" s="5">
        <v>24.0</v>
      </c>
      <c r="L29" s="30">
        <f t="shared" si="4"/>
        <v>0.1333333333</v>
      </c>
    </row>
    <row r="30">
      <c r="A30" s="19" t="s">
        <v>354</v>
      </c>
      <c r="B30" s="5" t="s">
        <v>1574</v>
      </c>
      <c r="C30" s="5" t="s">
        <v>355</v>
      </c>
      <c r="D30" s="38">
        <v>0.56</v>
      </c>
      <c r="E30" s="39">
        <f t="shared" si="1"/>
        <v>2</v>
      </c>
      <c r="F30" s="21">
        <f>ifna(vlookup(C30,'Player Ages'!A28:E512,5,),"")</f>
        <v>27</v>
      </c>
      <c r="G30" s="39">
        <f t="shared" si="2"/>
        <v>2</v>
      </c>
      <c r="H30" s="39">
        <f t="shared" si="3"/>
        <v>4</v>
      </c>
      <c r="I30" s="19" t="str">
        <f>vlookup(C30,'Player Codes'!$A:$D,4,)</f>
        <v>0065</v>
      </c>
      <c r="J30" s="40" t="s">
        <v>260</v>
      </c>
      <c r="K30" s="5">
        <v>23.0</v>
      </c>
      <c r="L30" s="30">
        <f t="shared" si="4"/>
        <v>0.1333333333</v>
      </c>
    </row>
    <row r="31">
      <c r="A31" s="19" t="s">
        <v>480</v>
      </c>
      <c r="B31" s="5" t="s">
        <v>1575</v>
      </c>
      <c r="C31" s="5" t="s">
        <v>482</v>
      </c>
      <c r="D31" s="38">
        <v>0.82</v>
      </c>
      <c r="E31" s="39">
        <f t="shared" si="1"/>
        <v>3</v>
      </c>
      <c r="F31" s="21">
        <f>ifna(vlookup(C31,'Player Ages'!A29:E513,5,),"")</f>
        <v>27</v>
      </c>
      <c r="G31" s="39">
        <f t="shared" si="2"/>
        <v>2</v>
      </c>
      <c r="H31" s="39">
        <f t="shared" si="3"/>
        <v>5</v>
      </c>
      <c r="I31" s="19" t="str">
        <f>vlookup(C31,'Player Codes'!$A:$D,4,)</f>
        <v>0066</v>
      </c>
      <c r="J31" s="40" t="s">
        <v>272</v>
      </c>
      <c r="K31" s="5">
        <v>24.0</v>
      </c>
      <c r="L31" s="30">
        <f t="shared" si="4"/>
        <v>0.1666666667</v>
      </c>
    </row>
    <row r="32">
      <c r="A32" s="23">
        <v>0.1</v>
      </c>
      <c r="B32" s="5" t="s">
        <v>1576</v>
      </c>
      <c r="C32" s="5" t="s">
        <v>1303</v>
      </c>
      <c r="D32" s="38">
        <v>0.79</v>
      </c>
      <c r="E32" s="39">
        <f t="shared" si="1"/>
        <v>3</v>
      </c>
      <c r="F32" s="23">
        <v>26.0</v>
      </c>
      <c r="G32" s="39">
        <f t="shared" si="2"/>
        <v>2</v>
      </c>
      <c r="H32" s="39">
        <f t="shared" si="3"/>
        <v>5</v>
      </c>
      <c r="I32" s="4" t="s">
        <v>1556</v>
      </c>
      <c r="J32" s="40" t="s">
        <v>349</v>
      </c>
      <c r="K32" s="5">
        <v>26.0</v>
      </c>
      <c r="L32" s="30">
        <f t="shared" si="4"/>
        <v>0.1666666667</v>
      </c>
    </row>
    <row r="33">
      <c r="A33" s="19" t="s">
        <v>187</v>
      </c>
      <c r="B33" s="5" t="s">
        <v>1577</v>
      </c>
      <c r="C33" s="5" t="s">
        <v>188</v>
      </c>
      <c r="D33" s="38">
        <v>0.6</v>
      </c>
      <c r="E33" s="39">
        <f t="shared" si="1"/>
        <v>2</v>
      </c>
      <c r="F33" s="23">
        <v>26.0</v>
      </c>
      <c r="G33" s="39">
        <f t="shared" si="2"/>
        <v>2</v>
      </c>
      <c r="H33" s="39">
        <f t="shared" si="3"/>
        <v>4</v>
      </c>
      <c r="I33" s="19" t="str">
        <f>vlookup(C33,'Player Codes'!$A:$D,4,)</f>
        <v>0100</v>
      </c>
      <c r="J33" s="40" t="s">
        <v>35</v>
      </c>
      <c r="K33" s="5">
        <v>26.0</v>
      </c>
      <c r="L33" s="30">
        <f t="shared" si="4"/>
        <v>0.1333333333</v>
      </c>
    </row>
    <row r="34">
      <c r="A34" s="19" t="s">
        <v>208</v>
      </c>
      <c r="B34" s="5" t="s">
        <v>1578</v>
      </c>
      <c r="C34" s="5" t="s">
        <v>209</v>
      </c>
      <c r="D34" s="38">
        <v>0.44</v>
      </c>
      <c r="E34" s="39">
        <f t="shared" si="1"/>
        <v>2</v>
      </c>
      <c r="F34" s="23">
        <v>25.0</v>
      </c>
      <c r="G34" s="39">
        <f t="shared" si="2"/>
        <v>1</v>
      </c>
      <c r="H34" s="39">
        <f t="shared" si="3"/>
        <v>3</v>
      </c>
      <c r="I34" s="19" t="str">
        <f>vlookup(C34,'Player Codes'!$A:$D,4,)</f>
        <v>0101</v>
      </c>
      <c r="J34" s="40" t="s">
        <v>283</v>
      </c>
      <c r="K34" s="5">
        <v>28.0</v>
      </c>
      <c r="L34" s="30">
        <f t="shared" si="4"/>
        <v>0.1</v>
      </c>
    </row>
    <row r="35">
      <c r="A35" s="23">
        <v>0.1</v>
      </c>
      <c r="B35" s="5" t="s">
        <v>1579</v>
      </c>
      <c r="C35" s="5" t="s">
        <v>1309</v>
      </c>
      <c r="D35" s="38">
        <v>0.62</v>
      </c>
      <c r="E35" s="39">
        <f t="shared" si="1"/>
        <v>3</v>
      </c>
      <c r="F35" s="23">
        <v>26.0</v>
      </c>
      <c r="G35" s="39">
        <f t="shared" si="2"/>
        <v>2</v>
      </c>
      <c r="H35" s="39">
        <f t="shared" si="3"/>
        <v>5</v>
      </c>
      <c r="I35" s="4" t="s">
        <v>1556</v>
      </c>
      <c r="J35" s="40" t="s">
        <v>149</v>
      </c>
      <c r="K35" s="5">
        <v>23.0</v>
      </c>
      <c r="L35" s="30">
        <f t="shared" si="4"/>
        <v>0.1666666667</v>
      </c>
    </row>
    <row r="36">
      <c r="A36" s="23">
        <v>0.1</v>
      </c>
      <c r="B36" s="5" t="s">
        <v>1580</v>
      </c>
      <c r="C36" s="5" t="s">
        <v>1311</v>
      </c>
      <c r="D36" s="38">
        <v>0.65</v>
      </c>
      <c r="E36" s="39">
        <f t="shared" si="1"/>
        <v>3</v>
      </c>
      <c r="F36" s="21">
        <f>ifna(vlookup(C36,'Player Ages'!A34:E518,5,),"")</f>
        <v>24</v>
      </c>
      <c r="G36" s="39">
        <f t="shared" si="2"/>
        <v>1</v>
      </c>
      <c r="H36" s="39">
        <f t="shared" si="3"/>
        <v>4</v>
      </c>
      <c r="I36" s="4" t="s">
        <v>1556</v>
      </c>
      <c r="J36" s="40" t="s">
        <v>166</v>
      </c>
      <c r="K36" s="5">
        <v>27.0</v>
      </c>
      <c r="L36" s="30">
        <f t="shared" si="4"/>
        <v>0.1333333333</v>
      </c>
    </row>
    <row r="37">
      <c r="A37" s="23">
        <v>0.1</v>
      </c>
      <c r="B37" s="5" t="s">
        <v>1581</v>
      </c>
      <c r="C37" s="5" t="s">
        <v>1313</v>
      </c>
      <c r="D37" s="38">
        <v>0.24</v>
      </c>
      <c r="E37" s="39">
        <f t="shared" si="1"/>
        <v>1</v>
      </c>
      <c r="F37" s="23">
        <v>27.0</v>
      </c>
      <c r="G37" s="39">
        <f t="shared" si="2"/>
        <v>2</v>
      </c>
      <c r="H37" s="39">
        <f t="shared" si="3"/>
        <v>3</v>
      </c>
      <c r="I37" s="4" t="s">
        <v>1556</v>
      </c>
      <c r="J37" s="40" t="s">
        <v>1426</v>
      </c>
      <c r="K37" s="5">
        <v>25.0</v>
      </c>
      <c r="L37" s="30">
        <f t="shared" si="4"/>
        <v>0.1</v>
      </c>
    </row>
    <row r="38">
      <c r="A38" s="19" t="s">
        <v>701</v>
      </c>
      <c r="B38" s="5" t="s">
        <v>1582</v>
      </c>
      <c r="C38" s="5" t="s">
        <v>702</v>
      </c>
      <c r="D38" s="38">
        <v>0.71</v>
      </c>
      <c r="E38" s="39">
        <f t="shared" si="1"/>
        <v>3</v>
      </c>
      <c r="F38" s="21">
        <f>ifna(vlookup(C38,'Player Ages'!A36:E520,5,),"")</f>
        <v>26</v>
      </c>
      <c r="G38" s="39">
        <f t="shared" si="2"/>
        <v>2</v>
      </c>
      <c r="H38" s="39">
        <f t="shared" si="3"/>
        <v>5</v>
      </c>
      <c r="I38" s="19" t="str">
        <f>vlookup(C38,'Player Codes'!$A:$D,4,)</f>
        <v>0078</v>
      </c>
      <c r="J38" s="40" t="s">
        <v>59</v>
      </c>
      <c r="K38" s="5">
        <v>28.0</v>
      </c>
      <c r="L38" s="30">
        <f t="shared" si="4"/>
        <v>0.1666666667</v>
      </c>
    </row>
    <row r="39">
      <c r="A39" s="19" t="s">
        <v>569</v>
      </c>
      <c r="B39" s="5" t="s">
        <v>1583</v>
      </c>
      <c r="C39" s="5" t="s">
        <v>571</v>
      </c>
      <c r="D39" s="38">
        <v>0.73</v>
      </c>
      <c r="E39" s="39">
        <f t="shared" si="1"/>
        <v>3</v>
      </c>
      <c r="F39" s="21">
        <f>ifna(vlookup(C39,'Player Ages'!A37:E521,5,),"")</f>
        <v>25</v>
      </c>
      <c r="G39" s="39">
        <f t="shared" si="2"/>
        <v>1</v>
      </c>
      <c r="H39" s="39">
        <f t="shared" si="3"/>
        <v>4</v>
      </c>
      <c r="I39" s="19" t="str">
        <f>vlookup(C39,'Player Codes'!$A:$D,4,)</f>
        <v>0079</v>
      </c>
      <c r="J39" s="40" t="s">
        <v>117</v>
      </c>
      <c r="K39" s="5">
        <v>27.0</v>
      </c>
      <c r="L39" s="30">
        <f t="shared" si="4"/>
        <v>0.1333333333</v>
      </c>
    </row>
    <row r="40">
      <c r="A40" s="19" t="s">
        <v>85</v>
      </c>
      <c r="B40" s="5" t="s">
        <v>1584</v>
      </c>
      <c r="C40" s="5" t="s">
        <v>86</v>
      </c>
      <c r="D40" s="38">
        <v>0.64</v>
      </c>
      <c r="E40" s="39">
        <f t="shared" si="1"/>
        <v>3</v>
      </c>
      <c r="F40" s="23">
        <v>30.0</v>
      </c>
      <c r="G40" s="39">
        <f t="shared" si="2"/>
        <v>2</v>
      </c>
      <c r="H40" s="39">
        <f t="shared" si="3"/>
        <v>5</v>
      </c>
      <c r="I40" s="19" t="str">
        <f>vlookup(C40,'Player Codes'!$A:$D,4,)</f>
        <v>0081</v>
      </c>
      <c r="J40" s="40" t="s">
        <v>251</v>
      </c>
      <c r="K40" s="5">
        <v>27.0</v>
      </c>
      <c r="L40" s="30">
        <f t="shared" si="4"/>
        <v>0.1666666667</v>
      </c>
    </row>
    <row r="41">
      <c r="A41" s="19" t="s">
        <v>100</v>
      </c>
      <c r="B41" s="5" t="s">
        <v>1585</v>
      </c>
      <c r="C41" s="5" t="s">
        <v>102</v>
      </c>
      <c r="D41" s="38">
        <v>0.78</v>
      </c>
      <c r="E41" s="39">
        <f t="shared" si="1"/>
        <v>3</v>
      </c>
      <c r="F41" s="21">
        <f>ifna(vlookup(C41,'Player Ages'!A39:E523,5,),"")</f>
        <v>31</v>
      </c>
      <c r="G41" s="39">
        <f t="shared" si="2"/>
        <v>3</v>
      </c>
      <c r="H41" s="39">
        <f t="shared" si="3"/>
        <v>6</v>
      </c>
      <c r="I41" s="19" t="str">
        <f>vlookup(C41,'Player Codes'!$A:$D,4,)</f>
        <v>0085</v>
      </c>
      <c r="J41" s="40" t="s">
        <v>146</v>
      </c>
      <c r="K41" s="5">
        <v>24.0</v>
      </c>
      <c r="L41" s="30">
        <f t="shared" si="4"/>
        <v>0.2</v>
      </c>
    </row>
    <row r="42">
      <c r="A42" s="19" t="s">
        <v>115</v>
      </c>
      <c r="B42" s="5" t="s">
        <v>1586</v>
      </c>
      <c r="C42" s="5" t="s">
        <v>117</v>
      </c>
      <c r="D42" s="38">
        <v>0.92</v>
      </c>
      <c r="E42" s="39">
        <f t="shared" si="1"/>
        <v>3</v>
      </c>
      <c r="F42" s="23">
        <v>27.0</v>
      </c>
      <c r="G42" s="39">
        <f t="shared" si="2"/>
        <v>2</v>
      </c>
      <c r="H42" s="39">
        <f t="shared" si="3"/>
        <v>5</v>
      </c>
      <c r="I42" s="19" t="str">
        <f>vlookup(C42,'Player Codes'!$A:$D,4,)</f>
        <v>0086</v>
      </c>
      <c r="J42" s="40" t="s">
        <v>139</v>
      </c>
      <c r="K42" s="5">
        <v>31.0</v>
      </c>
      <c r="L42" s="30">
        <f t="shared" si="4"/>
        <v>0.1666666667</v>
      </c>
    </row>
    <row r="43">
      <c r="A43" s="23">
        <v>0.1</v>
      </c>
      <c r="B43" s="5" t="s">
        <v>1587</v>
      </c>
      <c r="C43" s="5" t="s">
        <v>1322</v>
      </c>
      <c r="D43" s="38">
        <v>0.07</v>
      </c>
      <c r="E43" s="39">
        <f t="shared" si="1"/>
        <v>1</v>
      </c>
      <c r="F43" s="23">
        <v>25.0</v>
      </c>
      <c r="G43" s="39">
        <f t="shared" si="2"/>
        <v>1</v>
      </c>
      <c r="H43" s="39">
        <f t="shared" si="3"/>
        <v>2</v>
      </c>
      <c r="I43" s="4" t="s">
        <v>1556</v>
      </c>
      <c r="J43" s="40" t="s">
        <v>1588</v>
      </c>
      <c r="K43" s="5">
        <v>27.0</v>
      </c>
      <c r="L43" s="30">
        <f t="shared" si="4"/>
        <v>0.06666666667</v>
      </c>
    </row>
    <row r="44">
      <c r="A44" s="23">
        <v>0.1</v>
      </c>
      <c r="B44" s="5" t="s">
        <v>1589</v>
      </c>
      <c r="C44" s="5" t="s">
        <v>1325</v>
      </c>
      <c r="D44" s="38">
        <v>0.4</v>
      </c>
      <c r="E44" s="39">
        <f t="shared" si="1"/>
        <v>2</v>
      </c>
      <c r="F44" s="21">
        <f>ifna(vlookup(C44,'Player Ages'!A42:E526,5,),"")</f>
        <v>25</v>
      </c>
      <c r="G44" s="39">
        <f t="shared" si="2"/>
        <v>1</v>
      </c>
      <c r="H44" s="39">
        <f t="shared" si="3"/>
        <v>3</v>
      </c>
      <c r="I44" s="4" t="s">
        <v>1556</v>
      </c>
      <c r="J44" s="40" t="s">
        <v>264</v>
      </c>
      <c r="K44" s="5">
        <v>25.0</v>
      </c>
      <c r="L44" s="30">
        <f t="shared" si="4"/>
        <v>0.1</v>
      </c>
    </row>
    <row r="45">
      <c r="A45" s="19" t="s">
        <v>492</v>
      </c>
      <c r="B45" s="5" t="s">
        <v>1590</v>
      </c>
      <c r="C45" s="5" t="s">
        <v>494</v>
      </c>
      <c r="D45" s="38">
        <v>0.93</v>
      </c>
      <c r="E45" s="39">
        <f t="shared" si="1"/>
        <v>3</v>
      </c>
      <c r="F45" s="21">
        <f>ifna(vlookup(C45,'Player Ages'!A43:E527,5,),"")</f>
        <v>27</v>
      </c>
      <c r="G45" s="39">
        <f t="shared" si="2"/>
        <v>2</v>
      </c>
      <c r="H45" s="39">
        <f t="shared" si="3"/>
        <v>5</v>
      </c>
      <c r="I45" s="19" t="str">
        <f>vlookup(C45,'Player Codes'!$A:$D,4,)</f>
        <v>0093</v>
      </c>
      <c r="J45" s="40" t="s">
        <v>205</v>
      </c>
      <c r="K45" s="5">
        <v>28.0</v>
      </c>
      <c r="L45" s="30">
        <f t="shared" si="4"/>
        <v>0.1666666667</v>
      </c>
    </row>
    <row r="46">
      <c r="A46" s="23">
        <v>0.1</v>
      </c>
      <c r="B46" s="5" t="s">
        <v>1591</v>
      </c>
      <c r="C46" s="5" t="s">
        <v>1329</v>
      </c>
      <c r="D46" s="38">
        <v>0.08</v>
      </c>
      <c r="E46" s="39">
        <f t="shared" si="1"/>
        <v>1</v>
      </c>
      <c r="F46" s="21">
        <f>ifna(vlookup(C46,'Player Ages'!A44:E528,5,),"")</f>
        <v>25</v>
      </c>
      <c r="G46" s="39">
        <f t="shared" si="2"/>
        <v>1</v>
      </c>
      <c r="H46" s="39">
        <f t="shared" si="3"/>
        <v>2</v>
      </c>
      <c r="I46" s="4" t="s">
        <v>1556</v>
      </c>
      <c r="J46" s="40" t="s">
        <v>163</v>
      </c>
      <c r="K46" s="5">
        <v>23.0</v>
      </c>
      <c r="L46" s="30">
        <f t="shared" si="4"/>
        <v>0.06666666667</v>
      </c>
    </row>
    <row r="47">
      <c r="A47" s="19" t="s">
        <v>144</v>
      </c>
      <c r="B47" s="5" t="s">
        <v>1592</v>
      </c>
      <c r="C47" s="5" t="s">
        <v>146</v>
      </c>
      <c r="D47" s="38">
        <v>0.67</v>
      </c>
      <c r="E47" s="39">
        <f t="shared" si="1"/>
        <v>3</v>
      </c>
      <c r="F47" s="23">
        <v>24.0</v>
      </c>
      <c r="G47" s="39">
        <f t="shared" si="2"/>
        <v>1</v>
      </c>
      <c r="H47" s="39">
        <f t="shared" si="3"/>
        <v>4</v>
      </c>
      <c r="I47" s="19" t="str">
        <f>vlookup(C47,'Player Codes'!$A:$D,4,)</f>
        <v>0096</v>
      </c>
      <c r="J47" s="40" t="s">
        <v>285</v>
      </c>
      <c r="K47" s="5">
        <v>25.0</v>
      </c>
      <c r="L47" s="30">
        <f t="shared" si="4"/>
        <v>0.1333333333</v>
      </c>
    </row>
    <row r="48">
      <c r="A48" s="19" t="s">
        <v>256</v>
      </c>
      <c r="B48" s="5" t="s">
        <v>1593</v>
      </c>
      <c r="C48" s="5" t="s">
        <v>257</v>
      </c>
      <c r="D48" s="38">
        <v>0.52</v>
      </c>
      <c r="E48" s="39">
        <f t="shared" si="1"/>
        <v>2</v>
      </c>
      <c r="F48" s="21">
        <f>ifna(vlookup(C48,'Player Ages'!A46:E530,5,),"")</f>
        <v>27</v>
      </c>
      <c r="G48" s="39">
        <f t="shared" si="2"/>
        <v>2</v>
      </c>
      <c r="H48" s="39">
        <f t="shared" si="3"/>
        <v>4</v>
      </c>
      <c r="I48" s="19" t="str">
        <f>vlookup(C48,'Player Codes'!$A:$D,4,)</f>
        <v>0098</v>
      </c>
      <c r="J48" s="40" t="s">
        <v>1425</v>
      </c>
      <c r="K48" s="5">
        <v>26.0</v>
      </c>
      <c r="L48" s="30">
        <f t="shared" si="4"/>
        <v>0.1333333333</v>
      </c>
    </row>
    <row r="49">
      <c r="A49" s="19" t="s">
        <v>648</v>
      </c>
      <c r="B49" s="5" t="s">
        <v>1594</v>
      </c>
      <c r="C49" s="5" t="s">
        <v>649</v>
      </c>
      <c r="D49" s="38">
        <v>0.4</v>
      </c>
      <c r="E49" s="39">
        <f t="shared" si="1"/>
        <v>2</v>
      </c>
      <c r="F49" s="21">
        <f>ifna(vlookup(C49,'Player Ages'!A47:E531,5,),"")</f>
        <v>24</v>
      </c>
      <c r="G49" s="39">
        <f t="shared" si="2"/>
        <v>1</v>
      </c>
      <c r="H49" s="39">
        <f t="shared" si="3"/>
        <v>3</v>
      </c>
      <c r="I49" s="19" t="str">
        <f>vlookup(C49,'Player Codes'!$A:$D,4,)</f>
        <v>0102</v>
      </c>
      <c r="J49" s="40" t="s">
        <v>121</v>
      </c>
      <c r="K49" s="5">
        <v>23.0</v>
      </c>
      <c r="L49" s="30">
        <f t="shared" si="4"/>
        <v>0.1</v>
      </c>
    </row>
    <row r="50">
      <c r="A50" s="19" t="s">
        <v>261</v>
      </c>
      <c r="B50" s="5" t="s">
        <v>1595</v>
      </c>
      <c r="C50" s="5" t="s">
        <v>262</v>
      </c>
      <c r="D50" s="38">
        <v>0.57</v>
      </c>
      <c r="E50" s="39">
        <f t="shared" si="1"/>
        <v>2</v>
      </c>
      <c r="F50" s="21">
        <f>ifna(vlookup(C50,'Player Ages'!A48:E532,5,),"")</f>
        <v>22</v>
      </c>
      <c r="G50" s="39">
        <f t="shared" si="2"/>
        <v>1</v>
      </c>
      <c r="H50" s="39">
        <f t="shared" si="3"/>
        <v>3</v>
      </c>
      <c r="I50" s="19" t="str">
        <f>vlookup(C50,'Player Codes'!$A:$D,4,)</f>
        <v>0103</v>
      </c>
      <c r="J50" s="40" t="s">
        <v>182</v>
      </c>
      <c r="K50" s="5">
        <v>29.0</v>
      </c>
      <c r="L50" s="30">
        <f t="shared" si="4"/>
        <v>0.1</v>
      </c>
    </row>
    <row r="51">
      <c r="A51" s="23">
        <v>0.1</v>
      </c>
      <c r="B51" s="5" t="s">
        <v>1596</v>
      </c>
      <c r="C51" s="5" t="s">
        <v>1337</v>
      </c>
      <c r="D51" s="38">
        <v>0.39</v>
      </c>
      <c r="E51" s="39">
        <f t="shared" si="1"/>
        <v>2</v>
      </c>
      <c r="F51" s="21">
        <f>ifna(vlookup(C51,'Player Ages'!A49:E533,5,),"")</f>
        <v>23</v>
      </c>
      <c r="G51" s="39">
        <f t="shared" si="2"/>
        <v>1</v>
      </c>
      <c r="H51" s="39">
        <f t="shared" si="3"/>
        <v>3</v>
      </c>
      <c r="I51" s="4" t="s">
        <v>1556</v>
      </c>
      <c r="J51" s="40" t="s">
        <v>102</v>
      </c>
      <c r="K51" s="5">
        <v>31.0</v>
      </c>
      <c r="L51" s="30">
        <f t="shared" si="4"/>
        <v>0.1</v>
      </c>
    </row>
    <row r="52">
      <c r="A52" s="19" t="s">
        <v>311</v>
      </c>
      <c r="B52" s="5" t="s">
        <v>1597</v>
      </c>
      <c r="C52" s="5" t="s">
        <v>313</v>
      </c>
      <c r="D52" s="38">
        <v>0.65</v>
      </c>
      <c r="E52" s="39">
        <f t="shared" si="1"/>
        <v>3</v>
      </c>
      <c r="F52" s="21">
        <f>ifna(vlookup(C52,'Player Ages'!A50:E534,5,),"")</f>
        <v>23</v>
      </c>
      <c r="G52" s="39">
        <f t="shared" si="2"/>
        <v>1</v>
      </c>
      <c r="H52" s="39">
        <f t="shared" si="3"/>
        <v>4</v>
      </c>
      <c r="I52" s="19" t="str">
        <f>vlookup(C52,'Player Codes'!$A:$D,4,)</f>
        <v>0106</v>
      </c>
      <c r="J52" s="40" t="s">
        <v>433</v>
      </c>
      <c r="K52" s="5">
        <v>22.0</v>
      </c>
      <c r="L52" s="30">
        <f t="shared" si="4"/>
        <v>0.1333333333</v>
      </c>
    </row>
    <row r="53">
      <c r="A53" s="23">
        <v>0.1</v>
      </c>
      <c r="B53" s="5" t="s">
        <v>1598</v>
      </c>
      <c r="C53" s="5" t="s">
        <v>1340</v>
      </c>
      <c r="D53" s="38">
        <v>0.33</v>
      </c>
      <c r="E53" s="39">
        <f t="shared" si="1"/>
        <v>2</v>
      </c>
      <c r="F53" s="21">
        <f>ifna(vlookup(C53,'Player Ages'!A51:E535,5,),"")</f>
        <v>26</v>
      </c>
      <c r="G53" s="39">
        <f t="shared" si="2"/>
        <v>2</v>
      </c>
      <c r="H53" s="39">
        <f t="shared" si="3"/>
        <v>4</v>
      </c>
      <c r="I53" s="4" t="s">
        <v>1556</v>
      </c>
      <c r="J53" s="40" t="s">
        <v>98</v>
      </c>
      <c r="K53" s="5">
        <v>28.0</v>
      </c>
      <c r="L53" s="30">
        <f t="shared" si="4"/>
        <v>0.1333333333</v>
      </c>
    </row>
    <row r="54">
      <c r="A54" s="23">
        <v>0.1</v>
      </c>
      <c r="B54" s="5" t="s">
        <v>1599</v>
      </c>
      <c r="C54" s="5" t="s">
        <v>1342</v>
      </c>
      <c r="D54" s="38">
        <v>0.36</v>
      </c>
      <c r="E54" s="39">
        <f t="shared" si="1"/>
        <v>2</v>
      </c>
      <c r="F54" s="23">
        <v>24.0</v>
      </c>
      <c r="G54" s="39">
        <f t="shared" si="2"/>
        <v>1</v>
      </c>
      <c r="H54" s="39">
        <f t="shared" si="3"/>
        <v>3</v>
      </c>
      <c r="I54" s="4" t="s">
        <v>1556</v>
      </c>
      <c r="J54" s="40" t="s">
        <v>207</v>
      </c>
      <c r="K54" s="5">
        <v>26.0</v>
      </c>
      <c r="L54" s="30">
        <f t="shared" si="4"/>
        <v>0.1</v>
      </c>
    </row>
    <row r="55">
      <c r="A55" s="19" t="s">
        <v>148</v>
      </c>
      <c r="B55" s="5" t="s">
        <v>1600</v>
      </c>
      <c r="C55" s="5" t="s">
        <v>149</v>
      </c>
      <c r="D55" s="38">
        <v>0.33</v>
      </c>
      <c r="E55" s="39">
        <f t="shared" si="1"/>
        <v>2</v>
      </c>
      <c r="F55" s="23">
        <v>23.0</v>
      </c>
      <c r="G55" s="39">
        <f t="shared" si="2"/>
        <v>1</v>
      </c>
      <c r="H55" s="39">
        <f t="shared" si="3"/>
        <v>3</v>
      </c>
      <c r="I55" s="19" t="str">
        <f>vlookup(C55,'Player Codes'!$A:$D,4,)</f>
        <v>0111</v>
      </c>
      <c r="J55" s="40" t="s">
        <v>235</v>
      </c>
      <c r="K55" s="5">
        <v>24.0</v>
      </c>
      <c r="L55" s="30">
        <f t="shared" si="4"/>
        <v>0.1</v>
      </c>
    </row>
    <row r="56">
      <c r="A56" s="19" t="s">
        <v>291</v>
      </c>
      <c r="B56" s="5" t="s">
        <v>1601</v>
      </c>
      <c r="C56" s="5" t="s">
        <v>292</v>
      </c>
      <c r="D56" s="38">
        <v>0.33</v>
      </c>
      <c r="E56" s="39">
        <f t="shared" si="1"/>
        <v>2</v>
      </c>
      <c r="F56" s="21">
        <f>ifna(vlookup(C56,'Player Ages'!A54:E538,5,),"")</f>
        <v>22</v>
      </c>
      <c r="G56" s="39">
        <f t="shared" si="2"/>
        <v>1</v>
      </c>
      <c r="H56" s="39">
        <f t="shared" si="3"/>
        <v>3</v>
      </c>
      <c r="I56" s="19" t="str">
        <f>vlookup(C56,'Player Codes'!$A:$D,4,)</f>
        <v>0114</v>
      </c>
      <c r="J56" s="40" t="s">
        <v>155</v>
      </c>
      <c r="K56" s="5">
        <v>28.0</v>
      </c>
      <c r="L56" s="30">
        <f t="shared" si="4"/>
        <v>0.1</v>
      </c>
    </row>
    <row r="57">
      <c r="A57" s="23">
        <v>0.1</v>
      </c>
      <c r="B57" s="5" t="s">
        <v>1602</v>
      </c>
      <c r="C57" s="5" t="s">
        <v>1346</v>
      </c>
      <c r="D57" s="38">
        <v>0.51</v>
      </c>
      <c r="E57" s="39">
        <f t="shared" si="1"/>
        <v>2</v>
      </c>
      <c r="F57" s="21">
        <f>ifna(vlookup(C57,'Player Ages'!A55:E539,5,),"")</f>
        <v>25</v>
      </c>
      <c r="G57" s="39">
        <f t="shared" si="2"/>
        <v>1</v>
      </c>
      <c r="H57" s="39">
        <f t="shared" si="3"/>
        <v>3</v>
      </c>
      <c r="I57" s="4" t="s">
        <v>1556</v>
      </c>
      <c r="J57" s="40" t="s">
        <v>185</v>
      </c>
      <c r="K57" s="5">
        <v>30.0</v>
      </c>
      <c r="L57" s="30">
        <f t="shared" si="4"/>
        <v>0.1</v>
      </c>
    </row>
    <row r="58">
      <c r="A58" s="19" t="s">
        <v>744</v>
      </c>
      <c r="B58" s="5" t="s">
        <v>1603</v>
      </c>
      <c r="C58" s="5" t="s">
        <v>745</v>
      </c>
      <c r="D58" s="38">
        <v>0.48</v>
      </c>
      <c r="E58" s="39">
        <f t="shared" si="1"/>
        <v>2</v>
      </c>
      <c r="F58" s="21">
        <f>ifna(vlookup(C58,'Player Ages'!A56:E540,5,),"")</f>
        <v>27</v>
      </c>
      <c r="G58" s="39">
        <f t="shared" si="2"/>
        <v>2</v>
      </c>
      <c r="H58" s="39">
        <f t="shared" si="3"/>
        <v>4</v>
      </c>
      <c r="I58" s="19" t="str">
        <f>vlookup(C58,'Player Codes'!$A:$D,4,)</f>
        <v>0126</v>
      </c>
      <c r="J58" s="40" t="s">
        <v>329</v>
      </c>
      <c r="K58" s="5">
        <v>29.0</v>
      </c>
      <c r="L58" s="30">
        <f t="shared" si="4"/>
        <v>0.1333333333</v>
      </c>
    </row>
    <row r="59">
      <c r="A59" s="19" t="s">
        <v>859</v>
      </c>
      <c r="B59" s="5" t="s">
        <v>1604</v>
      </c>
      <c r="C59" s="5" t="s">
        <v>860</v>
      </c>
      <c r="D59" s="38">
        <v>0.25</v>
      </c>
      <c r="E59" s="39">
        <f t="shared" si="1"/>
        <v>1</v>
      </c>
      <c r="F59" s="21">
        <f>ifna(vlookup(C59,'Player Ages'!A57:E541,5,),"")</f>
        <v>24</v>
      </c>
      <c r="G59" s="39">
        <f t="shared" si="2"/>
        <v>1</v>
      </c>
      <c r="H59" s="39">
        <f t="shared" si="3"/>
        <v>2</v>
      </c>
      <c r="I59" s="19" t="str">
        <f>vlookup(C59,'Player Codes'!$A:$D,4,)</f>
        <v>0129</v>
      </c>
      <c r="J59" s="40" t="s">
        <v>217</v>
      </c>
      <c r="K59" s="5">
        <v>24.0</v>
      </c>
      <c r="L59" s="30">
        <f t="shared" si="4"/>
        <v>0.06666666667</v>
      </c>
    </row>
    <row r="60">
      <c r="A60" s="23">
        <v>0.1</v>
      </c>
      <c r="B60" s="5" t="s">
        <v>1605</v>
      </c>
      <c r="C60" s="5" t="s">
        <v>1350</v>
      </c>
      <c r="D60" s="38">
        <v>0.31</v>
      </c>
      <c r="E60" s="39">
        <f t="shared" si="1"/>
        <v>2</v>
      </c>
      <c r="F60" s="21">
        <f>ifna(vlookup(C60,'Player Ages'!A58:E542,5,),"")</f>
        <v>28</v>
      </c>
      <c r="G60" s="39">
        <f t="shared" si="2"/>
        <v>2</v>
      </c>
      <c r="H60" s="39">
        <f t="shared" si="3"/>
        <v>4</v>
      </c>
      <c r="I60" s="4" t="s">
        <v>1556</v>
      </c>
      <c r="J60" s="40" t="s">
        <v>124</v>
      </c>
      <c r="K60" s="5">
        <v>27.0</v>
      </c>
      <c r="L60" s="30">
        <f t="shared" si="4"/>
        <v>0.1333333333</v>
      </c>
    </row>
    <row r="61">
      <c r="A61" s="19" t="s">
        <v>65</v>
      </c>
      <c r="B61" s="5" t="s">
        <v>1606</v>
      </c>
      <c r="C61" s="5" t="s">
        <v>67</v>
      </c>
      <c r="D61" s="38">
        <v>0.86</v>
      </c>
      <c r="E61" s="39">
        <f t="shared" si="1"/>
        <v>3</v>
      </c>
      <c r="F61" s="23">
        <v>23.0</v>
      </c>
      <c r="G61" s="39">
        <f t="shared" si="2"/>
        <v>1</v>
      </c>
      <c r="H61" s="39">
        <f t="shared" si="3"/>
        <v>4</v>
      </c>
      <c r="I61" s="19" t="str">
        <f>vlookup(C61,'Player Codes'!$A:$D,4,)</f>
        <v>0132</v>
      </c>
      <c r="J61" s="40" t="s">
        <v>109</v>
      </c>
      <c r="K61" s="5">
        <v>26.0</v>
      </c>
      <c r="L61" s="30">
        <f t="shared" si="4"/>
        <v>0.1333333333</v>
      </c>
    </row>
    <row r="62">
      <c r="A62" s="19" t="s">
        <v>388</v>
      </c>
      <c r="B62" s="5" t="s">
        <v>1607</v>
      </c>
      <c r="C62" s="5" t="s">
        <v>389</v>
      </c>
      <c r="D62" s="38">
        <v>0.6</v>
      </c>
      <c r="E62" s="39">
        <f t="shared" si="1"/>
        <v>2</v>
      </c>
      <c r="F62" s="21">
        <f>ifna(vlookup(C62,'Player Ages'!A60:E544,5,),"")</f>
        <v>23</v>
      </c>
      <c r="G62" s="39">
        <f t="shared" si="2"/>
        <v>1</v>
      </c>
      <c r="H62" s="39">
        <f t="shared" si="3"/>
        <v>3</v>
      </c>
      <c r="I62" s="19" t="str">
        <f>vlookup(C62,'Player Codes'!$A:$D,4,)</f>
        <v>0134</v>
      </c>
      <c r="J62" s="40" t="s">
        <v>262</v>
      </c>
      <c r="K62" s="5">
        <v>22.0</v>
      </c>
      <c r="L62" s="30">
        <f t="shared" si="4"/>
        <v>0.1</v>
      </c>
    </row>
    <row r="63">
      <c r="A63" s="19" t="s">
        <v>413</v>
      </c>
      <c r="B63" s="5" t="s">
        <v>1608</v>
      </c>
      <c r="C63" s="5" t="s">
        <v>415</v>
      </c>
      <c r="D63" s="38">
        <v>0.54</v>
      </c>
      <c r="E63" s="39">
        <f t="shared" si="1"/>
        <v>2</v>
      </c>
      <c r="F63" s="21">
        <f>ifna(vlookup(C63,'Player Ages'!A61:E545,5,),"")</f>
        <v>26</v>
      </c>
      <c r="G63" s="39">
        <f t="shared" si="2"/>
        <v>2</v>
      </c>
      <c r="H63" s="39">
        <f t="shared" si="3"/>
        <v>4</v>
      </c>
      <c r="I63" s="19" t="str">
        <f>vlookup(C63,'Player Codes'!$A:$D,4,)</f>
        <v>0139</v>
      </c>
      <c r="J63" s="40" t="s">
        <v>83</v>
      </c>
      <c r="K63" s="5">
        <v>26.0</v>
      </c>
      <c r="L63" s="30">
        <f t="shared" si="4"/>
        <v>0.1333333333</v>
      </c>
    </row>
    <row r="64">
      <c r="A64" s="23">
        <v>0.1</v>
      </c>
      <c r="B64" s="5" t="s">
        <v>1609</v>
      </c>
      <c r="C64" s="5" t="s">
        <v>1358</v>
      </c>
      <c r="D64" s="38">
        <v>0.3</v>
      </c>
      <c r="E64" s="39">
        <f t="shared" si="1"/>
        <v>1</v>
      </c>
      <c r="F64" s="21">
        <f>ifna(vlookup(C64,'Player Ages'!A62:E546,5,),"")</f>
        <v>24</v>
      </c>
      <c r="G64" s="39">
        <f t="shared" si="2"/>
        <v>1</v>
      </c>
      <c r="H64" s="39">
        <f t="shared" si="3"/>
        <v>2</v>
      </c>
      <c r="I64" s="4" t="s">
        <v>1556</v>
      </c>
      <c r="J64" s="40" t="s">
        <v>179</v>
      </c>
      <c r="K64" s="5">
        <v>30.0</v>
      </c>
      <c r="L64" s="30">
        <f t="shared" si="4"/>
        <v>0.06666666667</v>
      </c>
    </row>
    <row r="65">
      <c r="A65" s="19" t="s">
        <v>777</v>
      </c>
      <c r="B65" s="5" t="s">
        <v>1610</v>
      </c>
      <c r="C65" s="5" t="s">
        <v>779</v>
      </c>
      <c r="D65" s="38">
        <v>0.26</v>
      </c>
      <c r="E65" s="39">
        <f t="shared" si="1"/>
        <v>1</v>
      </c>
      <c r="F65" s="21">
        <f>ifna(vlookup(C65,'Player Ages'!A63:E547,5,),"")</f>
        <v>21</v>
      </c>
      <c r="G65" s="39">
        <f t="shared" si="2"/>
        <v>1</v>
      </c>
      <c r="H65" s="39">
        <f t="shared" si="3"/>
        <v>2</v>
      </c>
      <c r="I65" s="19" t="str">
        <f>vlookup(C65,'Player Codes'!$A:$D,4,)</f>
        <v>0141</v>
      </c>
      <c r="J65" s="40" t="s">
        <v>411</v>
      </c>
      <c r="K65" s="5">
        <v>28.0</v>
      </c>
      <c r="L65" s="30">
        <f t="shared" si="4"/>
        <v>0.06666666667</v>
      </c>
    </row>
    <row r="66">
      <c r="A66" s="19" t="s">
        <v>543</v>
      </c>
      <c r="B66" s="5" t="s">
        <v>1611</v>
      </c>
      <c r="C66" s="5" t="s">
        <v>545</v>
      </c>
      <c r="D66" s="38">
        <v>0.48</v>
      </c>
      <c r="E66" s="39">
        <f t="shared" si="1"/>
        <v>2</v>
      </c>
      <c r="F66" s="21">
        <f>ifna(vlookup(C66,'Player Ages'!A64:E548,5,),"")</f>
        <v>22</v>
      </c>
      <c r="G66" s="39">
        <f t="shared" si="2"/>
        <v>1</v>
      </c>
      <c r="H66" s="39">
        <f t="shared" si="3"/>
        <v>3</v>
      </c>
      <c r="I66" s="19" t="str">
        <f>vlookup(C66,'Player Codes'!$A:$D,4,)</f>
        <v>0145</v>
      </c>
      <c r="J66" s="40" t="s">
        <v>246</v>
      </c>
      <c r="K66" s="5">
        <v>24.0</v>
      </c>
      <c r="L66" s="30">
        <f t="shared" si="4"/>
        <v>0.1</v>
      </c>
    </row>
    <row r="67">
      <c r="A67" s="23">
        <v>0.1</v>
      </c>
      <c r="B67" s="5" t="s">
        <v>1612</v>
      </c>
      <c r="C67" s="5" t="s">
        <v>1362</v>
      </c>
      <c r="D67" s="38">
        <v>0.72</v>
      </c>
      <c r="E67" s="39">
        <f t="shared" si="1"/>
        <v>3</v>
      </c>
      <c r="F67" s="21">
        <f>ifna(vlookup(C67,'Player Ages'!A65:E549,5,),"")</f>
        <v>30</v>
      </c>
      <c r="G67" s="39">
        <f t="shared" si="2"/>
        <v>2</v>
      </c>
      <c r="H67" s="39">
        <f t="shared" si="3"/>
        <v>5</v>
      </c>
      <c r="I67" s="4" t="s">
        <v>1556</v>
      </c>
      <c r="J67" s="40" t="s">
        <v>257</v>
      </c>
      <c r="K67" s="5">
        <v>27.0</v>
      </c>
      <c r="L67" s="30">
        <f t="shared" si="4"/>
        <v>0.1666666667</v>
      </c>
    </row>
    <row r="68">
      <c r="A68" s="23">
        <v>0.1</v>
      </c>
      <c r="B68" s="5" t="s">
        <v>1613</v>
      </c>
      <c r="C68" s="5" t="s">
        <v>1364</v>
      </c>
      <c r="D68" s="38">
        <v>0.61</v>
      </c>
      <c r="E68" s="39">
        <f t="shared" si="1"/>
        <v>3</v>
      </c>
      <c r="F68" s="21">
        <f>ifna(vlookup(C68,'Player Ages'!A66:E550,5,),"")</f>
        <v>30</v>
      </c>
      <c r="G68" s="39">
        <f t="shared" si="2"/>
        <v>2</v>
      </c>
      <c r="H68" s="39">
        <f t="shared" si="3"/>
        <v>5</v>
      </c>
      <c r="I68" s="4" t="s">
        <v>1556</v>
      </c>
      <c r="J68" s="40" t="s">
        <v>279</v>
      </c>
      <c r="K68" s="5">
        <v>25.0</v>
      </c>
      <c r="L68" s="30">
        <f t="shared" si="4"/>
        <v>0.1666666667</v>
      </c>
    </row>
    <row r="69">
      <c r="A69" s="23">
        <v>0.1</v>
      </c>
      <c r="B69" s="5" t="s">
        <v>1614</v>
      </c>
      <c r="C69" s="5" t="s">
        <v>1366</v>
      </c>
      <c r="D69" s="38">
        <v>0.08</v>
      </c>
      <c r="E69" s="39">
        <f t="shared" si="1"/>
        <v>1</v>
      </c>
      <c r="F69" s="21">
        <f>ifna(vlookup(C69,'Player Ages'!A67:E551,5,),"")</f>
        <v>26</v>
      </c>
      <c r="G69" s="39">
        <f t="shared" si="2"/>
        <v>2</v>
      </c>
      <c r="H69" s="39">
        <f t="shared" si="3"/>
        <v>3</v>
      </c>
      <c r="I69" s="4" t="s">
        <v>1556</v>
      </c>
      <c r="J69" s="40" t="s">
        <v>243</v>
      </c>
      <c r="K69" s="5">
        <v>26.0</v>
      </c>
      <c r="L69" s="30">
        <f t="shared" si="4"/>
        <v>0.1</v>
      </c>
    </row>
    <row r="70">
      <c r="A70" s="19" t="s">
        <v>402</v>
      </c>
      <c r="B70" s="5" t="s">
        <v>1615</v>
      </c>
      <c r="C70" s="5" t="s">
        <v>403</v>
      </c>
      <c r="D70" s="38">
        <v>0.56</v>
      </c>
      <c r="E70" s="39">
        <f t="shared" si="1"/>
        <v>2</v>
      </c>
      <c r="F70" s="21">
        <f>ifna(vlookup(C70,'Player Ages'!A68:E552,5,),"")</f>
        <v>21</v>
      </c>
      <c r="G70" s="39">
        <f t="shared" si="2"/>
        <v>1</v>
      </c>
      <c r="H70" s="39">
        <f t="shared" si="3"/>
        <v>3</v>
      </c>
      <c r="I70" s="19" t="str">
        <f>vlookup(C70,'Player Codes'!$A:$D,4,)</f>
        <v>0150</v>
      </c>
      <c r="J70" s="40" t="s">
        <v>211</v>
      </c>
      <c r="K70" s="5">
        <v>26.0</v>
      </c>
      <c r="L70" s="30">
        <f t="shared" si="4"/>
        <v>0.1</v>
      </c>
    </row>
    <row r="71">
      <c r="A71" s="19" t="s">
        <v>678</v>
      </c>
      <c r="B71" s="5" t="s">
        <v>1616</v>
      </c>
      <c r="C71" s="5" t="s">
        <v>680</v>
      </c>
      <c r="D71" s="38">
        <v>0.63</v>
      </c>
      <c r="E71" s="39">
        <f t="shared" si="1"/>
        <v>3</v>
      </c>
      <c r="F71" s="23">
        <v>23.0</v>
      </c>
      <c r="G71" s="39">
        <f t="shared" si="2"/>
        <v>1</v>
      </c>
      <c r="H71" s="39">
        <f t="shared" si="3"/>
        <v>4</v>
      </c>
      <c r="I71" s="19" t="str">
        <f>vlookup(C71,'Player Codes'!$A:$D,4,)</f>
        <v>0151</v>
      </c>
      <c r="J71" s="40" t="s">
        <v>214</v>
      </c>
      <c r="K71" s="5">
        <v>26.0</v>
      </c>
      <c r="L71" s="30">
        <f t="shared" si="4"/>
        <v>0.1333333333</v>
      </c>
    </row>
    <row r="72">
      <c r="A72" s="19" t="s">
        <v>200</v>
      </c>
      <c r="B72" s="5" t="s">
        <v>1617</v>
      </c>
      <c r="C72" s="5" t="s">
        <v>202</v>
      </c>
      <c r="D72" s="38">
        <v>0.31</v>
      </c>
      <c r="E72" s="39">
        <f t="shared" si="1"/>
        <v>2</v>
      </c>
      <c r="F72" s="23">
        <v>24.0</v>
      </c>
      <c r="G72" s="39">
        <f t="shared" si="2"/>
        <v>1</v>
      </c>
      <c r="H72" s="39">
        <f t="shared" si="3"/>
        <v>3</v>
      </c>
      <c r="I72" s="19" t="str">
        <f>vlookup(C72,'Player Codes'!$A:$D,4,)</f>
        <v>0152</v>
      </c>
      <c r="J72" s="40" t="s">
        <v>1486</v>
      </c>
      <c r="K72" s="5">
        <v>28.0</v>
      </c>
      <c r="L72" s="30">
        <f t="shared" si="4"/>
        <v>0.1</v>
      </c>
    </row>
    <row r="73">
      <c r="A73" s="19" t="s">
        <v>245</v>
      </c>
      <c r="B73" s="5" t="s">
        <v>1618</v>
      </c>
      <c r="C73" s="5" t="s">
        <v>246</v>
      </c>
      <c r="D73" s="38">
        <v>0.71</v>
      </c>
      <c r="E73" s="39">
        <f t="shared" si="1"/>
        <v>3</v>
      </c>
      <c r="F73" s="23">
        <v>24.0</v>
      </c>
      <c r="G73" s="39">
        <f t="shared" si="2"/>
        <v>1</v>
      </c>
      <c r="H73" s="39">
        <f t="shared" si="3"/>
        <v>4</v>
      </c>
      <c r="I73" s="19" t="str">
        <f>vlookup(C73,'Player Codes'!$A:$D,4,)</f>
        <v>0157</v>
      </c>
      <c r="J73" s="40" t="s">
        <v>461</v>
      </c>
      <c r="K73" s="5">
        <v>23.0</v>
      </c>
      <c r="L73" s="30">
        <f t="shared" si="4"/>
        <v>0.1333333333</v>
      </c>
    </row>
    <row r="74">
      <c r="A74" s="23">
        <v>0.1</v>
      </c>
      <c r="B74" s="5" t="s">
        <v>1619</v>
      </c>
      <c r="C74" s="5" t="s">
        <v>1374</v>
      </c>
      <c r="D74" s="38">
        <v>0.63</v>
      </c>
      <c r="E74" s="39">
        <f t="shared" si="1"/>
        <v>3</v>
      </c>
      <c r="F74" s="23">
        <v>23.0</v>
      </c>
      <c r="G74" s="39">
        <f t="shared" si="2"/>
        <v>1</v>
      </c>
      <c r="H74" s="39">
        <f t="shared" si="3"/>
        <v>4</v>
      </c>
      <c r="I74" s="4" t="s">
        <v>1556</v>
      </c>
      <c r="J74" s="40" t="s">
        <v>254</v>
      </c>
      <c r="K74" s="5">
        <v>24.0</v>
      </c>
      <c r="L74" s="30">
        <f t="shared" si="4"/>
        <v>0.1333333333</v>
      </c>
    </row>
    <row r="75">
      <c r="A75" s="19" t="s">
        <v>538</v>
      </c>
      <c r="B75" s="5" t="s">
        <v>1620</v>
      </c>
      <c r="C75" s="5" t="s">
        <v>539</v>
      </c>
      <c r="D75" s="38">
        <v>0.28</v>
      </c>
      <c r="E75" s="39">
        <f t="shared" si="1"/>
        <v>1</v>
      </c>
      <c r="F75" s="23">
        <v>22.0</v>
      </c>
      <c r="G75" s="39">
        <f t="shared" si="2"/>
        <v>1</v>
      </c>
      <c r="H75" s="39">
        <f t="shared" si="3"/>
        <v>2</v>
      </c>
      <c r="I75" s="19" t="str">
        <f>vlookup(C75,'Player Codes'!$A:$D,4,)</f>
        <v>0163</v>
      </c>
      <c r="J75" s="40" t="s">
        <v>1261</v>
      </c>
      <c r="K75" s="5">
        <v>25.0</v>
      </c>
      <c r="L75" s="30">
        <f t="shared" si="4"/>
        <v>0.06666666667</v>
      </c>
    </row>
    <row r="76">
      <c r="A76" s="19" t="s">
        <v>315</v>
      </c>
      <c r="B76" s="5" t="s">
        <v>1621</v>
      </c>
      <c r="C76" s="5" t="s">
        <v>317</v>
      </c>
      <c r="D76" s="38">
        <v>0.32</v>
      </c>
      <c r="E76" s="39">
        <f t="shared" si="1"/>
        <v>2</v>
      </c>
      <c r="F76" s="21">
        <f>ifna(vlookup(C76,'Player Ages'!A74:E558,5,),"")</f>
        <v>21</v>
      </c>
      <c r="G76" s="39">
        <f t="shared" si="2"/>
        <v>1</v>
      </c>
      <c r="H76" s="39">
        <f t="shared" si="3"/>
        <v>3</v>
      </c>
      <c r="I76" s="19" t="str">
        <f>vlookup(C76,'Player Codes'!$A:$D,4,)</f>
        <v>0165</v>
      </c>
      <c r="J76" s="40" t="s">
        <v>222</v>
      </c>
      <c r="K76" s="5">
        <v>24.0</v>
      </c>
      <c r="L76" s="30">
        <f t="shared" si="4"/>
        <v>0.1</v>
      </c>
    </row>
    <row r="77">
      <c r="A77" s="23">
        <v>0.1</v>
      </c>
      <c r="B77" s="5" t="s">
        <v>1622</v>
      </c>
      <c r="C77" s="5" t="s">
        <v>1378</v>
      </c>
      <c r="D77" s="38">
        <v>0.36</v>
      </c>
      <c r="E77" s="39">
        <f t="shared" si="1"/>
        <v>2</v>
      </c>
      <c r="F77" s="21">
        <f>ifna(vlookup(C77,'Player Ages'!A75:E559,5,),"")</f>
        <v>22</v>
      </c>
      <c r="G77" s="39">
        <f t="shared" si="2"/>
        <v>1</v>
      </c>
      <c r="H77" s="39">
        <f t="shared" si="3"/>
        <v>3</v>
      </c>
      <c r="I77" s="4" t="s">
        <v>1556</v>
      </c>
      <c r="J77" s="40" t="s">
        <v>169</v>
      </c>
      <c r="K77" s="5">
        <v>24.0</v>
      </c>
      <c r="L77" s="30">
        <f t="shared" si="4"/>
        <v>0.1</v>
      </c>
    </row>
    <row r="78">
      <c r="A78" s="23">
        <v>0.1</v>
      </c>
      <c r="B78" s="5" t="s">
        <v>1623</v>
      </c>
      <c r="C78" s="5" t="s">
        <v>1380</v>
      </c>
      <c r="D78" s="38">
        <v>0.31</v>
      </c>
      <c r="E78" s="39">
        <f t="shared" si="1"/>
        <v>2</v>
      </c>
      <c r="F78" s="23">
        <v>23.0</v>
      </c>
      <c r="G78" s="39">
        <f t="shared" si="2"/>
        <v>1</v>
      </c>
      <c r="H78" s="39">
        <f t="shared" si="3"/>
        <v>3</v>
      </c>
      <c r="I78" s="4" t="s">
        <v>1556</v>
      </c>
      <c r="J78" s="40" t="s">
        <v>219</v>
      </c>
      <c r="K78" s="5">
        <v>25.0</v>
      </c>
      <c r="L78" s="30">
        <f t="shared" si="4"/>
        <v>0.1</v>
      </c>
    </row>
    <row r="79">
      <c r="A79" s="19" t="s">
        <v>816</v>
      </c>
      <c r="B79" s="2" t="s">
        <v>1624</v>
      </c>
      <c r="C79" s="2" t="s">
        <v>817</v>
      </c>
      <c r="D79" s="38">
        <v>0.07</v>
      </c>
      <c r="E79" s="39">
        <f t="shared" si="1"/>
        <v>1</v>
      </c>
      <c r="F79" s="21">
        <f>ifna(vlookup(C79,'Player Ages'!A77:E561,5,),"")</f>
        <v>28</v>
      </c>
      <c r="G79" s="39">
        <f t="shared" si="2"/>
        <v>2</v>
      </c>
      <c r="H79" s="39">
        <f t="shared" si="3"/>
        <v>3</v>
      </c>
      <c r="I79" s="19" t="str">
        <f>vlookup(C79,'Player Codes'!$A:$D,4,)</f>
        <v>0169</v>
      </c>
      <c r="J79" s="40" t="s">
        <v>303</v>
      </c>
      <c r="K79" s="5">
        <v>23.0</v>
      </c>
      <c r="L79" s="30">
        <f t="shared" si="4"/>
        <v>0.1</v>
      </c>
    </row>
    <row r="80">
      <c r="A80" s="19" t="s">
        <v>357</v>
      </c>
      <c r="B80" s="5" t="s">
        <v>1625</v>
      </c>
      <c r="C80" s="5" t="s">
        <v>358</v>
      </c>
      <c r="D80" s="38">
        <v>0.73</v>
      </c>
      <c r="E80" s="39">
        <f t="shared" si="1"/>
        <v>3</v>
      </c>
      <c r="F80" s="21">
        <f>ifna(vlookup(C80,'Player Ages'!A78:E562,5,),"")</f>
        <v>26</v>
      </c>
      <c r="G80" s="39">
        <f t="shared" si="2"/>
        <v>2</v>
      </c>
      <c r="H80" s="39">
        <f t="shared" si="3"/>
        <v>5</v>
      </c>
      <c r="I80" s="19" t="str">
        <f>vlookup(C80,'Player Codes'!$A:$D,4,)</f>
        <v>0171</v>
      </c>
      <c r="J80" s="40" t="s">
        <v>249</v>
      </c>
      <c r="K80" s="5">
        <v>23.0</v>
      </c>
      <c r="L80" s="30">
        <f t="shared" si="4"/>
        <v>0.1666666667</v>
      </c>
    </row>
    <row r="81">
      <c r="A81" s="19" t="s">
        <v>94</v>
      </c>
      <c r="B81" s="5" t="s">
        <v>1626</v>
      </c>
      <c r="C81" s="5" t="s">
        <v>95</v>
      </c>
      <c r="D81" s="38">
        <v>0.4</v>
      </c>
      <c r="E81" s="39">
        <f t="shared" si="1"/>
        <v>2</v>
      </c>
      <c r="F81" s="23">
        <v>24.0</v>
      </c>
      <c r="G81" s="39">
        <f t="shared" si="2"/>
        <v>1</v>
      </c>
      <c r="H81" s="39">
        <f t="shared" si="3"/>
        <v>3</v>
      </c>
      <c r="I81" s="19" t="str">
        <f>vlookup(C81,'Player Codes'!$A:$D,4,)</f>
        <v>0174</v>
      </c>
      <c r="J81" s="40" t="s">
        <v>295</v>
      </c>
      <c r="K81" s="5">
        <v>25.0</v>
      </c>
      <c r="L81" s="30">
        <f t="shared" si="4"/>
        <v>0.1</v>
      </c>
    </row>
    <row r="82">
      <c r="A82" s="23">
        <v>0.1</v>
      </c>
      <c r="B82" s="5" t="s">
        <v>1627</v>
      </c>
      <c r="C82" s="5" t="s">
        <v>1386</v>
      </c>
      <c r="D82" s="38">
        <v>0.16</v>
      </c>
      <c r="E82" s="39">
        <f t="shared" si="1"/>
        <v>1</v>
      </c>
      <c r="F82" s="21">
        <f>ifna(vlookup(C82,'Player Ages'!A80:E564,5,),"")</f>
        <v>27</v>
      </c>
      <c r="G82" s="39">
        <f t="shared" si="2"/>
        <v>2</v>
      </c>
      <c r="H82" s="39">
        <f t="shared" si="3"/>
        <v>3</v>
      </c>
      <c r="I82" s="4" t="s">
        <v>1556</v>
      </c>
      <c r="J82" s="40" t="s">
        <v>355</v>
      </c>
      <c r="K82" s="5">
        <v>27.0</v>
      </c>
      <c r="L82" s="30">
        <f t="shared" si="4"/>
        <v>0.1</v>
      </c>
    </row>
    <row r="83">
      <c r="A83" s="23">
        <v>0.1</v>
      </c>
      <c r="B83" s="5" t="s">
        <v>1628</v>
      </c>
      <c r="C83" s="5" t="s">
        <v>1389</v>
      </c>
      <c r="D83" s="38">
        <v>0.53</v>
      </c>
      <c r="E83" s="39">
        <f t="shared" si="1"/>
        <v>2</v>
      </c>
      <c r="F83" s="23">
        <v>24.0</v>
      </c>
      <c r="G83" s="39">
        <f t="shared" si="2"/>
        <v>1</v>
      </c>
      <c r="H83" s="39">
        <f t="shared" si="3"/>
        <v>3</v>
      </c>
      <c r="I83" s="4" t="s">
        <v>1556</v>
      </c>
      <c r="J83" s="40" t="s">
        <v>229</v>
      </c>
      <c r="K83" s="5">
        <v>30.0</v>
      </c>
      <c r="L83" s="30">
        <f t="shared" si="4"/>
        <v>0.1</v>
      </c>
    </row>
    <row r="84">
      <c r="A84" s="19" t="s">
        <v>535</v>
      </c>
      <c r="B84" s="5" t="s">
        <v>1629</v>
      </c>
      <c r="C84" s="5" t="s">
        <v>536</v>
      </c>
      <c r="D84" s="38">
        <v>0.4</v>
      </c>
      <c r="E84" s="39">
        <f t="shared" si="1"/>
        <v>2</v>
      </c>
      <c r="F84" s="21">
        <f>ifna(vlookup(C84,'Player Ages'!A82:E566,5,),"")</f>
        <v>26</v>
      </c>
      <c r="G84" s="39">
        <f t="shared" si="2"/>
        <v>2</v>
      </c>
      <c r="H84" s="39">
        <f t="shared" si="3"/>
        <v>4</v>
      </c>
      <c r="I84" s="19" t="str">
        <f>vlookup(C84,'Player Codes'!$A:$D,4,)</f>
        <v>0177</v>
      </c>
      <c r="J84" s="40" t="s">
        <v>1630</v>
      </c>
      <c r="K84" s="5">
        <v>24.0</v>
      </c>
      <c r="L84" s="30">
        <f t="shared" si="4"/>
        <v>0.1333333333</v>
      </c>
    </row>
    <row r="85">
      <c r="A85" s="19" t="s">
        <v>384</v>
      </c>
      <c r="B85" s="5" t="s">
        <v>1631</v>
      </c>
      <c r="C85" s="5" t="s">
        <v>386</v>
      </c>
      <c r="D85" s="38">
        <v>0.8</v>
      </c>
      <c r="E85" s="39">
        <f t="shared" si="1"/>
        <v>3</v>
      </c>
      <c r="F85" s="21">
        <f>ifna(vlookup(C85,'Player Ages'!A83:E567,5,),"")</f>
        <v>24</v>
      </c>
      <c r="G85" s="39">
        <f t="shared" si="2"/>
        <v>1</v>
      </c>
      <c r="H85" s="39">
        <f t="shared" si="3"/>
        <v>4</v>
      </c>
      <c r="I85" s="19" t="str">
        <f>vlookup(C85,'Player Codes'!$A:$D,4,)</f>
        <v>0179</v>
      </c>
      <c r="J85" s="40" t="s">
        <v>396</v>
      </c>
      <c r="K85" s="5">
        <v>28.0</v>
      </c>
      <c r="L85" s="30">
        <f t="shared" si="4"/>
        <v>0.1333333333</v>
      </c>
    </row>
    <row r="86">
      <c r="A86" s="23">
        <v>0.1</v>
      </c>
      <c r="B86" s="5" t="s">
        <v>1632</v>
      </c>
      <c r="C86" s="5" t="s">
        <v>1393</v>
      </c>
      <c r="D86" s="38">
        <v>0.08</v>
      </c>
      <c r="E86" s="39">
        <f t="shared" si="1"/>
        <v>1</v>
      </c>
      <c r="F86" s="21">
        <f>ifna(vlookup(C86,'Player Ages'!A84:E568,5,),"")</f>
        <v>29</v>
      </c>
      <c r="G86" s="39">
        <f t="shared" si="2"/>
        <v>2</v>
      </c>
      <c r="H86" s="39">
        <f t="shared" si="3"/>
        <v>3</v>
      </c>
      <c r="I86" s="4" t="s">
        <v>1556</v>
      </c>
      <c r="J86" s="40" t="s">
        <v>292</v>
      </c>
      <c r="K86" s="5">
        <v>22.0</v>
      </c>
      <c r="L86" s="30">
        <f t="shared" si="4"/>
        <v>0.1</v>
      </c>
    </row>
    <row r="87">
      <c r="A87" s="23">
        <v>0.1</v>
      </c>
      <c r="B87" s="5" t="s">
        <v>1633</v>
      </c>
      <c r="C87" s="5" t="s">
        <v>1395</v>
      </c>
      <c r="D87" s="38">
        <v>0.32</v>
      </c>
      <c r="E87" s="39">
        <f t="shared" si="1"/>
        <v>2</v>
      </c>
      <c r="F87" s="23">
        <v>30.0</v>
      </c>
      <c r="G87" s="39">
        <f t="shared" si="2"/>
        <v>2</v>
      </c>
      <c r="H87" s="39">
        <f t="shared" si="3"/>
        <v>4</v>
      </c>
      <c r="I87" s="4" t="s">
        <v>1556</v>
      </c>
      <c r="J87" s="40" t="s">
        <v>325</v>
      </c>
      <c r="K87" s="5">
        <v>30.0</v>
      </c>
      <c r="L87" s="30">
        <f t="shared" si="4"/>
        <v>0.1333333333</v>
      </c>
    </row>
    <row r="88">
      <c r="A88" s="19" t="s">
        <v>137</v>
      </c>
      <c r="B88" s="5" t="s">
        <v>1634</v>
      </c>
      <c r="C88" s="5" t="s">
        <v>139</v>
      </c>
      <c r="D88" s="38">
        <v>0.33</v>
      </c>
      <c r="E88" s="39">
        <f t="shared" si="1"/>
        <v>2</v>
      </c>
      <c r="F88" s="23">
        <v>31.0</v>
      </c>
      <c r="G88" s="39">
        <f t="shared" si="2"/>
        <v>3</v>
      </c>
      <c r="H88" s="39">
        <f t="shared" si="3"/>
        <v>5</v>
      </c>
      <c r="I88" s="19" t="str">
        <f>vlookup(C88,'Player Codes'!$A:$D,4,)</f>
        <v>0182</v>
      </c>
      <c r="J88" s="40" t="s">
        <v>603</v>
      </c>
      <c r="K88" s="5">
        <v>27.0</v>
      </c>
      <c r="L88" s="30">
        <f t="shared" si="4"/>
        <v>0.1666666667</v>
      </c>
    </row>
    <row r="89">
      <c r="A89" s="19" t="s">
        <v>809</v>
      </c>
      <c r="B89" s="5" t="s">
        <v>1635</v>
      </c>
      <c r="C89" s="5" t="s">
        <v>810</v>
      </c>
      <c r="D89" s="38">
        <v>0.08</v>
      </c>
      <c r="E89" s="39">
        <f t="shared" si="1"/>
        <v>1</v>
      </c>
      <c r="F89" s="21">
        <f>ifna(vlookup(C89,'Player Ages'!A87:E571,5,),"")</f>
        <v>28</v>
      </c>
      <c r="G89" s="39">
        <f t="shared" si="2"/>
        <v>2</v>
      </c>
      <c r="H89" s="39">
        <f t="shared" si="3"/>
        <v>3</v>
      </c>
      <c r="I89" s="19" t="str">
        <f>vlookup(C89,'Player Codes'!$A:$D,4,)</f>
        <v>0184</v>
      </c>
      <c r="J89" s="40" t="s">
        <v>507</v>
      </c>
      <c r="K89" s="5">
        <v>28.0</v>
      </c>
      <c r="L89" s="30">
        <f t="shared" si="4"/>
        <v>0.1</v>
      </c>
    </row>
    <row r="90">
      <c r="A90" s="23">
        <v>0.1</v>
      </c>
      <c r="B90" s="5" t="s">
        <v>1636</v>
      </c>
      <c r="C90" s="5" t="s">
        <v>1401</v>
      </c>
      <c r="D90" s="38">
        <v>0.94</v>
      </c>
      <c r="E90" s="39">
        <f t="shared" si="1"/>
        <v>3</v>
      </c>
      <c r="F90" s="21">
        <f>ifna(vlookup(C90,'Player Ages'!A88:E572,5,),"")</f>
        <v>29</v>
      </c>
      <c r="G90" s="39">
        <f t="shared" si="2"/>
        <v>2</v>
      </c>
      <c r="H90" s="39">
        <f t="shared" si="3"/>
        <v>5</v>
      </c>
      <c r="I90" s="4" t="s">
        <v>1556</v>
      </c>
      <c r="J90" s="40" t="s">
        <v>142</v>
      </c>
      <c r="K90" s="5">
        <v>23.0</v>
      </c>
      <c r="L90" s="30">
        <f t="shared" si="4"/>
        <v>0.1666666667</v>
      </c>
    </row>
    <row r="91">
      <c r="A91" s="19" t="s">
        <v>654</v>
      </c>
      <c r="B91" s="5" t="s">
        <v>1637</v>
      </c>
      <c r="C91" s="5" t="s">
        <v>655</v>
      </c>
      <c r="D91" s="38">
        <v>0.33</v>
      </c>
      <c r="E91" s="39">
        <f t="shared" si="1"/>
        <v>2</v>
      </c>
      <c r="F91" s="21">
        <f>ifna(vlookup(C91,'Player Ages'!A89:E573,5,),"")</f>
        <v>23</v>
      </c>
      <c r="G91" s="39">
        <f t="shared" si="2"/>
        <v>1</v>
      </c>
      <c r="H91" s="39">
        <f t="shared" si="3"/>
        <v>3</v>
      </c>
      <c r="I91" s="19" t="str">
        <f>vlookup(C91,'Player Codes'!$A:$D,4,)</f>
        <v>0189</v>
      </c>
      <c r="J91" s="40" t="s">
        <v>1476</v>
      </c>
      <c r="K91" s="5">
        <v>28.0</v>
      </c>
      <c r="L91" s="30">
        <f t="shared" si="4"/>
        <v>0.1</v>
      </c>
    </row>
    <row r="92">
      <c r="A92" s="23">
        <v>0.1</v>
      </c>
      <c r="B92" s="5" t="s">
        <v>1638</v>
      </c>
      <c r="C92" s="5" t="s">
        <v>1405</v>
      </c>
      <c r="D92" s="38">
        <v>0.34</v>
      </c>
      <c r="E92" s="39">
        <f t="shared" si="1"/>
        <v>2</v>
      </c>
      <c r="F92" s="23">
        <v>24.0</v>
      </c>
      <c r="G92" s="39">
        <f t="shared" si="2"/>
        <v>1</v>
      </c>
      <c r="H92" s="39">
        <f t="shared" si="3"/>
        <v>3</v>
      </c>
      <c r="I92" s="4" t="s">
        <v>1556</v>
      </c>
      <c r="J92" s="40" t="s">
        <v>475</v>
      </c>
      <c r="K92" s="5">
        <v>24.0</v>
      </c>
      <c r="L92" s="30">
        <f t="shared" si="4"/>
        <v>0.1</v>
      </c>
    </row>
    <row r="93">
      <c r="A93" s="19" t="s">
        <v>830</v>
      </c>
      <c r="B93" s="5" t="s">
        <v>1639</v>
      </c>
      <c r="C93" s="5" t="s">
        <v>832</v>
      </c>
      <c r="D93" s="38">
        <v>0.08</v>
      </c>
      <c r="E93" s="39">
        <f t="shared" si="1"/>
        <v>1</v>
      </c>
      <c r="F93" s="21">
        <f>ifna(vlookup(C93,'Player Ages'!A91:E575,5,),"")</f>
        <v>29</v>
      </c>
      <c r="G93" s="39">
        <f t="shared" si="2"/>
        <v>2</v>
      </c>
      <c r="H93" s="39">
        <f t="shared" si="3"/>
        <v>3</v>
      </c>
      <c r="I93" s="19" t="str">
        <f>vlookup(C93,'Player Codes'!$A:$D,4,)</f>
        <v>0201</v>
      </c>
      <c r="J93" s="40" t="s">
        <v>337</v>
      </c>
      <c r="K93" s="5">
        <v>23.0</v>
      </c>
      <c r="L93" s="30">
        <f t="shared" si="4"/>
        <v>0.1</v>
      </c>
    </row>
    <row r="94">
      <c r="A94" s="23">
        <v>0.1</v>
      </c>
      <c r="B94" s="5" t="s">
        <v>1640</v>
      </c>
      <c r="C94" s="5" t="s">
        <v>1408</v>
      </c>
      <c r="D94" s="38">
        <v>0.26</v>
      </c>
      <c r="E94" s="39">
        <f t="shared" si="1"/>
        <v>1</v>
      </c>
      <c r="F94" s="21">
        <f>ifna(vlookup(C94,'Player Ages'!A92:E576,5,),"")</f>
        <v>25</v>
      </c>
      <c r="G94" s="39">
        <f t="shared" si="2"/>
        <v>1</v>
      </c>
      <c r="H94" s="39">
        <f t="shared" si="3"/>
        <v>2</v>
      </c>
      <c r="I94" s="4" t="s">
        <v>1556</v>
      </c>
      <c r="J94" s="40" t="s">
        <v>419</v>
      </c>
      <c r="K94" s="5">
        <v>23.0</v>
      </c>
      <c r="L94" s="30">
        <f t="shared" si="4"/>
        <v>0.06666666667</v>
      </c>
    </row>
    <row r="95">
      <c r="A95" s="19" t="s">
        <v>716</v>
      </c>
      <c r="B95" s="5" t="s">
        <v>1641</v>
      </c>
      <c r="C95" s="5" t="s">
        <v>718</v>
      </c>
      <c r="D95" s="38">
        <v>0.57</v>
      </c>
      <c r="E95" s="39">
        <f t="shared" si="1"/>
        <v>2</v>
      </c>
      <c r="F95" s="21">
        <f>ifna(vlookup(C95,'Player Ages'!A93:E577,5,),"")</f>
        <v>28</v>
      </c>
      <c r="G95" s="39">
        <f t="shared" si="2"/>
        <v>2</v>
      </c>
      <c r="H95" s="39">
        <f t="shared" si="3"/>
        <v>4</v>
      </c>
      <c r="I95" s="19" t="str">
        <f>vlookup(C95,'Player Codes'!$A:$D,4,)</f>
        <v>0203</v>
      </c>
      <c r="J95" s="40" t="s">
        <v>571</v>
      </c>
      <c r="K95" s="5">
        <v>25.0</v>
      </c>
      <c r="L95" s="30">
        <f t="shared" si="4"/>
        <v>0.1333333333</v>
      </c>
    </row>
    <row r="96">
      <c r="A96" s="19" t="s">
        <v>213</v>
      </c>
      <c r="B96" s="5" t="s">
        <v>1642</v>
      </c>
      <c r="C96" s="5" t="s">
        <v>214</v>
      </c>
      <c r="D96" s="38">
        <v>0.79</v>
      </c>
      <c r="E96" s="39">
        <f t="shared" si="1"/>
        <v>3</v>
      </c>
      <c r="F96" s="23">
        <v>26.0</v>
      </c>
      <c r="G96" s="39">
        <f t="shared" si="2"/>
        <v>2</v>
      </c>
      <c r="H96" s="39">
        <f t="shared" si="3"/>
        <v>5</v>
      </c>
      <c r="I96" s="19" t="str">
        <f>vlookup(C96,'Player Codes'!$A:$D,4,)</f>
        <v>0204</v>
      </c>
      <c r="J96" s="40" t="s">
        <v>580</v>
      </c>
      <c r="K96" s="5">
        <v>27.0</v>
      </c>
      <c r="L96" s="30">
        <f t="shared" si="4"/>
        <v>0.1666666667</v>
      </c>
    </row>
    <row r="97">
      <c r="A97" s="23">
        <v>0.1</v>
      </c>
      <c r="B97" s="5" t="s">
        <v>1643</v>
      </c>
      <c r="C97" s="5" t="s">
        <v>1415</v>
      </c>
      <c r="D97" s="38">
        <v>0.82</v>
      </c>
      <c r="E97" s="39">
        <f t="shared" si="1"/>
        <v>3</v>
      </c>
      <c r="F97" s="21">
        <f>ifna(vlookup(C97,'Player Ages'!A95:E579,5,),"")</f>
        <v>32</v>
      </c>
      <c r="G97" s="39">
        <f t="shared" si="2"/>
        <v>3</v>
      </c>
      <c r="H97" s="39">
        <f t="shared" si="3"/>
        <v>6</v>
      </c>
      <c r="I97" s="4" t="s">
        <v>1556</v>
      </c>
      <c r="J97" s="40" t="s">
        <v>225</v>
      </c>
      <c r="K97" s="5">
        <v>25.0</v>
      </c>
      <c r="L97" s="30">
        <f t="shared" si="4"/>
        <v>0.2</v>
      </c>
    </row>
    <row r="98">
      <c r="A98" s="23">
        <v>0.1</v>
      </c>
      <c r="B98" s="5" t="s">
        <v>1644</v>
      </c>
      <c r="C98" s="5" t="s">
        <v>1417</v>
      </c>
      <c r="D98" s="38">
        <v>0.75</v>
      </c>
      <c r="E98" s="39">
        <f t="shared" si="1"/>
        <v>3</v>
      </c>
      <c r="F98" s="23">
        <v>33.0</v>
      </c>
      <c r="G98" s="39">
        <f t="shared" si="2"/>
        <v>3</v>
      </c>
      <c r="H98" s="39">
        <f t="shared" si="3"/>
        <v>6</v>
      </c>
      <c r="I98" s="4" t="s">
        <v>1556</v>
      </c>
      <c r="J98" s="40" t="s">
        <v>275</v>
      </c>
      <c r="K98" s="5">
        <v>27.0</v>
      </c>
      <c r="L98" s="30">
        <f t="shared" si="4"/>
        <v>0.2</v>
      </c>
    </row>
    <row r="99">
      <c r="A99" s="19" t="s">
        <v>734</v>
      </c>
      <c r="B99" s="5" t="s">
        <v>1645</v>
      </c>
      <c r="C99" s="5" t="s">
        <v>736</v>
      </c>
      <c r="D99" s="38">
        <v>0.19</v>
      </c>
      <c r="E99" s="39">
        <f t="shared" si="1"/>
        <v>1</v>
      </c>
      <c r="F99" s="23">
        <v>21.0</v>
      </c>
      <c r="G99" s="39">
        <f t="shared" si="2"/>
        <v>1</v>
      </c>
      <c r="H99" s="39">
        <f t="shared" si="3"/>
        <v>2</v>
      </c>
      <c r="I99" s="19" t="str">
        <f>vlookup(C99,'Player Codes'!$A:$D,4,)</f>
        <v>0206</v>
      </c>
      <c r="J99" s="40" t="s">
        <v>478</v>
      </c>
      <c r="K99" s="5">
        <v>26.0</v>
      </c>
      <c r="L99" s="30">
        <f t="shared" si="4"/>
        <v>0.06666666667</v>
      </c>
    </row>
    <row r="100">
      <c r="A100" s="23">
        <v>0.1</v>
      </c>
      <c r="B100" s="5" t="s">
        <v>1646</v>
      </c>
      <c r="C100" s="5" t="s">
        <v>1420</v>
      </c>
      <c r="D100" s="38">
        <v>0.71</v>
      </c>
      <c r="E100" s="39">
        <f t="shared" si="1"/>
        <v>3</v>
      </c>
      <c r="F100" s="21">
        <f>ifna(vlookup(C100,'Player Ages'!A98:E582,5,),"")</f>
        <v>25</v>
      </c>
      <c r="G100" s="39">
        <f t="shared" si="2"/>
        <v>1</v>
      </c>
      <c r="H100" s="39">
        <f t="shared" si="3"/>
        <v>4</v>
      </c>
      <c r="I100" s="4" t="s">
        <v>1556</v>
      </c>
      <c r="J100" s="40" t="s">
        <v>358</v>
      </c>
      <c r="K100" s="5">
        <v>26.0</v>
      </c>
      <c r="L100" s="30">
        <f t="shared" si="4"/>
        <v>0.1333333333</v>
      </c>
    </row>
    <row r="101">
      <c r="A101" s="19" t="s">
        <v>470</v>
      </c>
      <c r="B101" s="5" t="s">
        <v>1647</v>
      </c>
      <c r="C101" s="5" t="s">
        <v>472</v>
      </c>
      <c r="D101" s="38">
        <v>0.37</v>
      </c>
      <c r="E101" s="39">
        <f t="shared" si="1"/>
        <v>2</v>
      </c>
      <c r="F101" s="21">
        <f>ifna(vlookup(C101,'Player Ages'!A99:E583,5,),"")</f>
        <v>27</v>
      </c>
      <c r="G101" s="39">
        <f t="shared" si="2"/>
        <v>2</v>
      </c>
      <c r="H101" s="39">
        <f t="shared" si="3"/>
        <v>4</v>
      </c>
      <c r="I101" s="19" t="str">
        <f>vlookup(C101,'Player Codes'!$A:$D,4,)</f>
        <v>0213</v>
      </c>
      <c r="J101" s="40" t="s">
        <v>376</v>
      </c>
      <c r="K101" s="5">
        <v>29.0</v>
      </c>
      <c r="L101" s="30">
        <f t="shared" si="4"/>
        <v>0.1333333333</v>
      </c>
    </row>
    <row r="102">
      <c r="A102" s="23">
        <v>0.1</v>
      </c>
      <c r="B102" s="5" t="s">
        <v>1648</v>
      </c>
      <c r="C102" s="5" t="s">
        <v>1423</v>
      </c>
      <c r="D102" s="38">
        <v>0.44</v>
      </c>
      <c r="E102" s="39">
        <f t="shared" si="1"/>
        <v>2</v>
      </c>
      <c r="F102" s="23">
        <v>25.0</v>
      </c>
      <c r="G102" s="39">
        <f t="shared" si="2"/>
        <v>1</v>
      </c>
      <c r="H102" s="39">
        <f t="shared" si="3"/>
        <v>3</v>
      </c>
      <c r="I102" s="4" t="s">
        <v>1556</v>
      </c>
      <c r="J102" s="40" t="s">
        <v>821</v>
      </c>
      <c r="K102" s="5">
        <v>24.0</v>
      </c>
      <c r="L102" s="30">
        <f t="shared" si="4"/>
        <v>0.1</v>
      </c>
    </row>
    <row r="103">
      <c r="A103" s="19" t="s">
        <v>370</v>
      </c>
      <c r="B103" s="5" t="s">
        <v>1649</v>
      </c>
      <c r="C103" s="5" t="s">
        <v>372</v>
      </c>
      <c r="D103" s="38">
        <v>0.64</v>
      </c>
      <c r="E103" s="39">
        <f t="shared" si="1"/>
        <v>3</v>
      </c>
      <c r="F103" s="21">
        <f>ifna(vlookup(C103,'Player Ages'!A101:E585,5,),"")</f>
        <v>30</v>
      </c>
      <c r="G103" s="39">
        <f t="shared" si="2"/>
        <v>2</v>
      </c>
      <c r="H103" s="39">
        <f t="shared" si="3"/>
        <v>5</v>
      </c>
      <c r="I103" s="19" t="str">
        <f>vlookup(C103,'Player Codes'!$A:$D,4,)</f>
        <v>0216</v>
      </c>
      <c r="J103" s="40" t="s">
        <v>468</v>
      </c>
      <c r="K103" s="5">
        <v>28.0</v>
      </c>
      <c r="L103" s="30">
        <f t="shared" si="4"/>
        <v>0.1666666667</v>
      </c>
    </row>
    <row r="104">
      <c r="A104" s="19" t="s">
        <v>870</v>
      </c>
      <c r="B104" s="5" t="s">
        <v>1650</v>
      </c>
      <c r="C104" s="5" t="s">
        <v>871</v>
      </c>
      <c r="D104" s="38">
        <v>0.21</v>
      </c>
      <c r="E104" s="39">
        <f t="shared" si="1"/>
        <v>1</v>
      </c>
      <c r="F104" s="23">
        <v>23.0</v>
      </c>
      <c r="G104" s="39">
        <f t="shared" si="2"/>
        <v>1</v>
      </c>
      <c r="H104" s="39">
        <f t="shared" si="3"/>
        <v>2</v>
      </c>
      <c r="I104" s="19" t="str">
        <f>vlookup(C104,'Player Codes'!$A:$D,4,)</f>
        <v>0217</v>
      </c>
      <c r="J104" s="40" t="s">
        <v>300</v>
      </c>
      <c r="K104" s="5">
        <v>24.0</v>
      </c>
      <c r="L104" s="30">
        <f t="shared" si="4"/>
        <v>0.06666666667</v>
      </c>
    </row>
    <row r="105">
      <c r="A105" s="19" t="s">
        <v>184</v>
      </c>
      <c r="B105" s="5" t="s">
        <v>1651</v>
      </c>
      <c r="C105" s="5" t="s">
        <v>185</v>
      </c>
      <c r="D105" s="38">
        <v>0.86</v>
      </c>
      <c r="E105" s="39">
        <f t="shared" si="1"/>
        <v>3</v>
      </c>
      <c r="F105" s="23">
        <v>30.0</v>
      </c>
      <c r="G105" s="39">
        <f t="shared" si="2"/>
        <v>2</v>
      </c>
      <c r="H105" s="39">
        <f t="shared" si="3"/>
        <v>5</v>
      </c>
      <c r="I105" s="19" t="str">
        <f>vlookup(C105,'Player Codes'!$A:$D,4,)</f>
        <v>0218</v>
      </c>
      <c r="J105" s="40" t="s">
        <v>237</v>
      </c>
      <c r="K105" s="5">
        <v>35.0</v>
      </c>
      <c r="L105" s="30">
        <f t="shared" si="4"/>
        <v>0.1666666667</v>
      </c>
    </row>
    <row r="106">
      <c r="A106" s="19" t="s">
        <v>154</v>
      </c>
      <c r="B106" s="5" t="s">
        <v>1652</v>
      </c>
      <c r="C106" s="5" t="s">
        <v>155</v>
      </c>
      <c r="D106" s="38">
        <v>0.8</v>
      </c>
      <c r="E106" s="39">
        <f t="shared" si="1"/>
        <v>3</v>
      </c>
      <c r="F106" s="23">
        <v>28.0</v>
      </c>
      <c r="G106" s="39">
        <f t="shared" si="2"/>
        <v>2</v>
      </c>
      <c r="H106" s="39">
        <f t="shared" si="3"/>
        <v>5</v>
      </c>
      <c r="I106" s="19" t="str">
        <f>vlookup(C106,'Player Codes'!$A:$D,4,)</f>
        <v>0220</v>
      </c>
      <c r="J106" s="40" t="s">
        <v>415</v>
      </c>
      <c r="K106" s="5">
        <v>26.0</v>
      </c>
      <c r="L106" s="30">
        <f t="shared" si="4"/>
        <v>0.1666666667</v>
      </c>
    </row>
    <row r="107">
      <c r="A107" s="23">
        <v>0.1</v>
      </c>
      <c r="B107" s="5" t="s">
        <v>1653</v>
      </c>
      <c r="C107" s="5" t="s">
        <v>1428</v>
      </c>
      <c r="D107" s="38">
        <v>0.85</v>
      </c>
      <c r="E107" s="39">
        <f t="shared" si="1"/>
        <v>3</v>
      </c>
      <c r="F107" s="21">
        <f>ifna(vlookup(C107,'Player Ages'!A105:E589,5,),"")</f>
        <v>25</v>
      </c>
      <c r="G107" s="39">
        <f t="shared" si="2"/>
        <v>1</v>
      </c>
      <c r="H107" s="39">
        <f t="shared" si="3"/>
        <v>4</v>
      </c>
      <c r="I107" s="4" t="s">
        <v>1556</v>
      </c>
      <c r="J107" s="40" t="s">
        <v>389</v>
      </c>
      <c r="K107" s="5">
        <v>23.0</v>
      </c>
      <c r="L107" s="30">
        <f t="shared" si="4"/>
        <v>0.1333333333</v>
      </c>
    </row>
    <row r="108">
      <c r="A108" s="23">
        <v>0.1</v>
      </c>
      <c r="B108" s="5" t="s">
        <v>1654</v>
      </c>
      <c r="C108" s="5" t="s">
        <v>1429</v>
      </c>
      <c r="D108" s="38">
        <v>0.22</v>
      </c>
      <c r="E108" s="39">
        <f t="shared" si="1"/>
        <v>1</v>
      </c>
      <c r="F108" s="23">
        <v>23.0</v>
      </c>
      <c r="G108" s="39">
        <f t="shared" si="2"/>
        <v>1</v>
      </c>
      <c r="H108" s="39">
        <f t="shared" si="3"/>
        <v>2</v>
      </c>
      <c r="I108" s="4" t="s">
        <v>1556</v>
      </c>
      <c r="J108" s="40" t="s">
        <v>231</v>
      </c>
      <c r="K108" s="5">
        <v>25.0</v>
      </c>
      <c r="L108" s="30">
        <f t="shared" si="4"/>
        <v>0.06666666667</v>
      </c>
    </row>
    <row r="109">
      <c r="A109" s="23">
        <v>0.1</v>
      </c>
      <c r="B109" s="5" t="s">
        <v>1655</v>
      </c>
      <c r="C109" s="5" t="s">
        <v>1430</v>
      </c>
      <c r="D109" s="38">
        <v>0.6</v>
      </c>
      <c r="E109" s="39">
        <f t="shared" si="1"/>
        <v>2</v>
      </c>
      <c r="F109" s="21">
        <f>ifna(vlookup(C109,'Player Ages'!A107:E591,5,),"")</f>
        <v>30</v>
      </c>
      <c r="G109" s="39">
        <f t="shared" si="2"/>
        <v>2</v>
      </c>
      <c r="H109" s="39">
        <f t="shared" si="3"/>
        <v>4</v>
      </c>
      <c r="I109" s="4" t="s">
        <v>1556</v>
      </c>
      <c r="J109" s="40" t="s">
        <v>513</v>
      </c>
      <c r="K109" s="5">
        <v>25.0</v>
      </c>
      <c r="L109" s="30">
        <f t="shared" si="4"/>
        <v>0.1333333333</v>
      </c>
    </row>
    <row r="110">
      <c r="A110" s="19" t="s">
        <v>435</v>
      </c>
      <c r="B110" s="5" t="s">
        <v>1656</v>
      </c>
      <c r="C110" s="5" t="s">
        <v>436</v>
      </c>
      <c r="D110" s="38">
        <v>0.92</v>
      </c>
      <c r="E110" s="39">
        <f t="shared" si="1"/>
        <v>3</v>
      </c>
      <c r="F110" s="21">
        <f>ifna(vlookup(C110,'Player Ages'!A108:E592,5,),"")</f>
        <v>24</v>
      </c>
      <c r="G110" s="39">
        <f t="shared" si="2"/>
        <v>1</v>
      </c>
      <c r="H110" s="39">
        <f t="shared" si="3"/>
        <v>4</v>
      </c>
      <c r="I110" s="19" t="str">
        <f>vlookup(C110,'Player Codes'!$A:$D,4,)</f>
        <v>0230</v>
      </c>
      <c r="J110" s="40" t="s">
        <v>313</v>
      </c>
      <c r="K110" s="5">
        <v>23.0</v>
      </c>
      <c r="L110" s="30">
        <f t="shared" si="4"/>
        <v>0.1333333333</v>
      </c>
    </row>
    <row r="111">
      <c r="A111" s="19" t="s">
        <v>428</v>
      </c>
      <c r="B111" s="5" t="s">
        <v>1657</v>
      </c>
      <c r="C111" s="5" t="s">
        <v>430</v>
      </c>
      <c r="D111" s="38">
        <v>0.61</v>
      </c>
      <c r="E111" s="39">
        <f t="shared" si="1"/>
        <v>3</v>
      </c>
      <c r="F111" s="21">
        <f>ifna(vlookup(C111,'Player Ages'!A109:E593,5,),"")</f>
        <v>30</v>
      </c>
      <c r="G111" s="39">
        <f t="shared" si="2"/>
        <v>2</v>
      </c>
      <c r="H111" s="39">
        <f t="shared" si="3"/>
        <v>5</v>
      </c>
      <c r="I111" s="19" t="str">
        <f>vlookup(C111,'Player Codes'!$A:$D,4,)</f>
        <v>0232</v>
      </c>
      <c r="J111" s="40" t="s">
        <v>551</v>
      </c>
      <c r="K111" s="5">
        <v>23.0</v>
      </c>
      <c r="L111" s="30">
        <f t="shared" si="4"/>
        <v>0.1666666667</v>
      </c>
    </row>
    <row r="112">
      <c r="A112" s="23">
        <v>0.1</v>
      </c>
      <c r="B112" s="5" t="s">
        <v>1658</v>
      </c>
      <c r="C112" s="5" t="s">
        <v>1431</v>
      </c>
      <c r="D112" s="38">
        <v>0.08</v>
      </c>
      <c r="E112" s="39">
        <f t="shared" si="1"/>
        <v>1</v>
      </c>
      <c r="F112" s="21">
        <f>ifna(vlookup(C112,'Player Ages'!A110:E594,5,),"")</f>
        <v>26</v>
      </c>
      <c r="G112" s="39">
        <f t="shared" si="2"/>
        <v>2</v>
      </c>
      <c r="H112" s="39">
        <f t="shared" si="3"/>
        <v>3</v>
      </c>
      <c r="I112" s="4" t="s">
        <v>1556</v>
      </c>
      <c r="J112" s="40" t="s">
        <v>426</v>
      </c>
      <c r="K112" s="5">
        <v>31.0</v>
      </c>
      <c r="L112" s="30">
        <f t="shared" si="4"/>
        <v>0.1</v>
      </c>
    </row>
    <row r="113">
      <c r="A113" s="19" t="s">
        <v>642</v>
      </c>
      <c r="B113" s="5" t="s">
        <v>1659</v>
      </c>
      <c r="C113" s="5" t="s">
        <v>643</v>
      </c>
      <c r="D113" s="38">
        <v>0.43</v>
      </c>
      <c r="E113" s="39">
        <f t="shared" si="1"/>
        <v>2</v>
      </c>
      <c r="F113" s="21">
        <f>ifna(vlookup(C113,'Player Ages'!A111:E595,5,),"")</f>
        <v>26</v>
      </c>
      <c r="G113" s="39">
        <f t="shared" si="2"/>
        <v>2</v>
      </c>
      <c r="H113" s="39">
        <f t="shared" si="3"/>
        <v>4</v>
      </c>
      <c r="I113" s="19" t="str">
        <f>vlookup(C113,'Player Codes'!$A:$D,4,)</f>
        <v>0233</v>
      </c>
      <c r="J113" s="40" t="s">
        <v>407</v>
      </c>
      <c r="K113" s="5">
        <v>25.0</v>
      </c>
      <c r="L113" s="30">
        <f t="shared" si="4"/>
        <v>0.1333333333</v>
      </c>
    </row>
    <row r="114">
      <c r="A114" s="23">
        <v>0.1</v>
      </c>
      <c r="B114" s="5" t="s">
        <v>1660</v>
      </c>
      <c r="C114" s="5" t="s">
        <v>1433</v>
      </c>
      <c r="D114" s="38">
        <v>0.43</v>
      </c>
      <c r="E114" s="39">
        <f t="shared" si="1"/>
        <v>2</v>
      </c>
      <c r="F114" s="23">
        <v>30.0</v>
      </c>
      <c r="G114" s="39">
        <f t="shared" si="2"/>
        <v>2</v>
      </c>
      <c r="H114" s="39">
        <f t="shared" si="3"/>
        <v>4</v>
      </c>
      <c r="I114" s="4" t="s">
        <v>1556</v>
      </c>
      <c r="J114" s="40" t="s">
        <v>545</v>
      </c>
      <c r="K114" s="5">
        <v>22.0</v>
      </c>
      <c r="L114" s="30">
        <f t="shared" si="4"/>
        <v>0.1333333333</v>
      </c>
    </row>
    <row r="115">
      <c r="A115" s="19" t="s">
        <v>378</v>
      </c>
      <c r="B115" s="5" t="s">
        <v>1661</v>
      </c>
      <c r="C115" s="5" t="s">
        <v>380</v>
      </c>
      <c r="D115" s="38">
        <v>0.49</v>
      </c>
      <c r="E115" s="39">
        <f t="shared" si="1"/>
        <v>2</v>
      </c>
      <c r="F115" s="21">
        <f>ifna(vlookup(C115,'Player Ages'!A113:E597,5,),"")</f>
        <v>21</v>
      </c>
      <c r="G115" s="39">
        <f t="shared" si="2"/>
        <v>1</v>
      </c>
      <c r="H115" s="39">
        <f t="shared" si="3"/>
        <v>3</v>
      </c>
      <c r="I115" s="19" t="str">
        <f>vlookup(C115,'Player Codes'!$A:$D,4,)</f>
        <v>0239</v>
      </c>
      <c r="J115" s="40" t="s">
        <v>173</v>
      </c>
      <c r="K115" s="5">
        <v>26.0</v>
      </c>
      <c r="L115" s="30">
        <f t="shared" si="4"/>
        <v>0.1</v>
      </c>
    </row>
    <row r="116">
      <c r="A116" s="23">
        <v>0.1</v>
      </c>
      <c r="B116" s="5" t="s">
        <v>1662</v>
      </c>
      <c r="C116" s="5" t="s">
        <v>1435</v>
      </c>
      <c r="D116" s="38">
        <v>0.08</v>
      </c>
      <c r="E116" s="39">
        <f t="shared" si="1"/>
        <v>1</v>
      </c>
      <c r="F116" s="21">
        <f>ifna(vlookup(C116,'Player Ages'!A114:E598,5,),"")</f>
        <v>25</v>
      </c>
      <c r="G116" s="39">
        <f t="shared" si="2"/>
        <v>1</v>
      </c>
      <c r="H116" s="39">
        <f t="shared" si="3"/>
        <v>2</v>
      </c>
      <c r="I116" s="4" t="s">
        <v>1556</v>
      </c>
      <c r="J116" s="40" t="s">
        <v>745</v>
      </c>
      <c r="K116" s="5">
        <v>27.0</v>
      </c>
      <c r="L116" s="30">
        <f t="shared" si="4"/>
        <v>0.06666666667</v>
      </c>
    </row>
    <row r="117">
      <c r="A117" s="23">
        <v>0.1</v>
      </c>
      <c r="B117" s="5" t="s">
        <v>1663</v>
      </c>
      <c r="C117" s="5" t="s">
        <v>1436</v>
      </c>
      <c r="D117" s="38">
        <v>0.95</v>
      </c>
      <c r="E117" s="39">
        <f t="shared" si="1"/>
        <v>3</v>
      </c>
      <c r="F117" s="21">
        <f>ifna(vlookup(C117,'Player Ages'!A115:E599,5,),"")</f>
        <v>33</v>
      </c>
      <c r="G117" s="39">
        <f t="shared" si="2"/>
        <v>3</v>
      </c>
      <c r="H117" s="39">
        <f t="shared" si="3"/>
        <v>6</v>
      </c>
      <c r="I117" s="4" t="s">
        <v>1556</v>
      </c>
      <c r="J117" s="40" t="s">
        <v>386</v>
      </c>
      <c r="K117" s="5">
        <v>24.0</v>
      </c>
      <c r="L117" s="30">
        <f t="shared" si="4"/>
        <v>0.2</v>
      </c>
    </row>
    <row r="118">
      <c r="A118" s="19" t="s">
        <v>659</v>
      </c>
      <c r="B118" s="5" t="s">
        <v>1664</v>
      </c>
      <c r="C118" s="5" t="s">
        <v>660</v>
      </c>
      <c r="D118" s="38">
        <v>0.29</v>
      </c>
      <c r="E118" s="39">
        <f t="shared" si="1"/>
        <v>1</v>
      </c>
      <c r="F118" s="21">
        <f>ifna(vlookup(C118,'Player Ages'!A116:E600,5,),"")</f>
        <v>23</v>
      </c>
      <c r="G118" s="39">
        <f t="shared" si="2"/>
        <v>1</v>
      </c>
      <c r="H118" s="39">
        <f t="shared" si="3"/>
        <v>2</v>
      </c>
      <c r="I118" s="19" t="str">
        <f>vlookup(C118,'Player Codes'!$A:$D,4,)</f>
        <v>0243</v>
      </c>
      <c r="J118" s="40" t="s">
        <v>47</v>
      </c>
      <c r="K118" s="5">
        <v>21.0</v>
      </c>
      <c r="L118" s="30">
        <f t="shared" si="4"/>
        <v>0.06666666667</v>
      </c>
    </row>
    <row r="119">
      <c r="A119" s="19" t="s">
        <v>651</v>
      </c>
      <c r="B119" s="5" t="s">
        <v>1665</v>
      </c>
      <c r="C119" s="5" t="s">
        <v>652</v>
      </c>
      <c r="D119" s="38">
        <v>0.22</v>
      </c>
      <c r="E119" s="39">
        <f t="shared" si="1"/>
        <v>1</v>
      </c>
      <c r="F119" s="21">
        <f>ifna(vlookup(C119,'Player Ages'!A117:E601,5,),"")</f>
        <v>24</v>
      </c>
      <c r="G119" s="39">
        <f t="shared" si="2"/>
        <v>1</v>
      </c>
      <c r="H119" s="39">
        <f t="shared" si="3"/>
        <v>2</v>
      </c>
      <c r="I119" s="19" t="str">
        <f>vlookup(C119,'Player Codes'!$A:$D,4,)</f>
        <v>0244</v>
      </c>
      <c r="J119" s="40" t="s">
        <v>454</v>
      </c>
      <c r="K119" s="5">
        <v>28.0</v>
      </c>
      <c r="L119" s="30">
        <f t="shared" si="4"/>
        <v>0.06666666667</v>
      </c>
    </row>
    <row r="120">
      <c r="A120" s="19" t="s">
        <v>417</v>
      </c>
      <c r="B120" s="5" t="s">
        <v>1666</v>
      </c>
      <c r="C120" s="5" t="s">
        <v>419</v>
      </c>
      <c r="D120" s="38">
        <v>0.6</v>
      </c>
      <c r="E120" s="39">
        <f t="shared" si="1"/>
        <v>2</v>
      </c>
      <c r="F120" s="23">
        <v>23.0</v>
      </c>
      <c r="G120" s="39">
        <f t="shared" si="2"/>
        <v>1</v>
      </c>
      <c r="H120" s="39">
        <f t="shared" si="3"/>
        <v>3</v>
      </c>
      <c r="I120" s="19" t="str">
        <f>vlookup(C120,'Player Codes'!$A:$D,4,)</f>
        <v>0245</v>
      </c>
      <c r="J120" s="40" t="s">
        <v>135</v>
      </c>
      <c r="K120" s="5">
        <v>25.0</v>
      </c>
      <c r="L120" s="30">
        <f t="shared" si="4"/>
        <v>0.1</v>
      </c>
    </row>
    <row r="121">
      <c r="A121" s="23">
        <v>0.1</v>
      </c>
      <c r="B121" s="5" t="s">
        <v>1667</v>
      </c>
      <c r="C121" s="5" t="s">
        <v>1438</v>
      </c>
      <c r="D121" s="38">
        <v>0.09</v>
      </c>
      <c r="E121" s="39">
        <f t="shared" si="1"/>
        <v>1</v>
      </c>
      <c r="F121" s="23">
        <v>27.0</v>
      </c>
      <c r="G121" s="39">
        <f t="shared" si="2"/>
        <v>2</v>
      </c>
      <c r="H121" s="39">
        <f t="shared" si="3"/>
        <v>3</v>
      </c>
      <c r="I121" s="4" t="s">
        <v>1556</v>
      </c>
      <c r="J121" s="40" t="s">
        <v>152</v>
      </c>
      <c r="K121" s="5">
        <v>28.0</v>
      </c>
      <c r="L121" s="30">
        <f t="shared" si="4"/>
        <v>0.1</v>
      </c>
    </row>
    <row r="122">
      <c r="A122" s="19" t="s">
        <v>625</v>
      </c>
      <c r="B122" s="2" t="s">
        <v>1668</v>
      </c>
      <c r="C122" s="2" t="s">
        <v>627</v>
      </c>
      <c r="D122" s="38">
        <v>0.59</v>
      </c>
      <c r="E122" s="39">
        <f t="shared" si="1"/>
        <v>2</v>
      </c>
      <c r="F122" s="21">
        <f>ifna(vlookup(C122,'Player Ages'!A120:E604,5,),"")</f>
        <v>31</v>
      </c>
      <c r="G122" s="39">
        <f t="shared" si="2"/>
        <v>3</v>
      </c>
      <c r="H122" s="39">
        <f t="shared" si="3"/>
        <v>5</v>
      </c>
      <c r="I122" s="19" t="str">
        <f>vlookup(C122,'Player Codes'!$A:$D,4,)</f>
        <v>0249</v>
      </c>
      <c r="J122" s="40" t="s">
        <v>372</v>
      </c>
      <c r="K122" s="5">
        <v>30.0</v>
      </c>
      <c r="L122" s="30">
        <f t="shared" si="4"/>
        <v>0.1666666667</v>
      </c>
    </row>
    <row r="123">
      <c r="A123" s="19" t="s">
        <v>496</v>
      </c>
      <c r="B123" s="5" t="s">
        <v>1669</v>
      </c>
      <c r="C123" s="5" t="s">
        <v>497</v>
      </c>
      <c r="D123" s="38">
        <v>0.3</v>
      </c>
      <c r="E123" s="39">
        <f t="shared" si="1"/>
        <v>1</v>
      </c>
      <c r="F123" s="21">
        <f>ifna(vlookup(C123,'Player Ages'!A121:E605,5,),"")</f>
        <v>23</v>
      </c>
      <c r="G123" s="39">
        <f t="shared" si="2"/>
        <v>1</v>
      </c>
      <c r="H123" s="39">
        <f t="shared" si="3"/>
        <v>2</v>
      </c>
      <c r="I123" s="19" t="str">
        <f>vlookup(C123,'Player Codes'!$A:$D,4,)</f>
        <v>0250</v>
      </c>
      <c r="J123" s="40" t="s">
        <v>1519</v>
      </c>
      <c r="K123" s="5">
        <v>23.0</v>
      </c>
      <c r="L123" s="30">
        <f t="shared" si="4"/>
        <v>0.06666666667</v>
      </c>
    </row>
    <row r="124">
      <c r="A124" s="19" t="s">
        <v>550</v>
      </c>
      <c r="B124" s="5" t="s">
        <v>1670</v>
      </c>
      <c r="C124" s="5" t="s">
        <v>551</v>
      </c>
      <c r="D124" s="38">
        <v>0.91</v>
      </c>
      <c r="E124" s="39">
        <f t="shared" si="1"/>
        <v>3</v>
      </c>
      <c r="F124" s="23">
        <v>23.0</v>
      </c>
      <c r="G124" s="39">
        <f t="shared" si="2"/>
        <v>1</v>
      </c>
      <c r="H124" s="39">
        <f t="shared" si="3"/>
        <v>4</v>
      </c>
      <c r="I124" s="19" t="str">
        <f>vlookup(C124,'Player Codes'!$A:$D,4,)</f>
        <v>0251</v>
      </c>
      <c r="J124" s="40" t="s">
        <v>361</v>
      </c>
      <c r="K124" s="5">
        <v>27.0</v>
      </c>
      <c r="L124" s="30">
        <f t="shared" si="4"/>
        <v>0.1333333333</v>
      </c>
    </row>
    <row r="125">
      <c r="A125" s="23">
        <v>0.1</v>
      </c>
      <c r="B125" s="5" t="s">
        <v>1671</v>
      </c>
      <c r="C125" s="5" t="s">
        <v>1441</v>
      </c>
      <c r="D125" s="38">
        <v>0.57</v>
      </c>
      <c r="E125" s="39">
        <f t="shared" si="1"/>
        <v>2</v>
      </c>
      <c r="F125" s="21">
        <f>ifna(vlookup(C125,'Player Ages'!A123:E607,5,),"")</f>
        <v>27</v>
      </c>
      <c r="G125" s="39">
        <f t="shared" si="2"/>
        <v>2</v>
      </c>
      <c r="H125" s="39">
        <f t="shared" si="3"/>
        <v>4</v>
      </c>
      <c r="I125" s="4" t="s">
        <v>1556</v>
      </c>
      <c r="J125" s="40" t="s">
        <v>814</v>
      </c>
      <c r="K125" s="5">
        <v>26.0</v>
      </c>
      <c r="L125" s="30">
        <f t="shared" si="4"/>
        <v>0.1333333333</v>
      </c>
    </row>
    <row r="126">
      <c r="A126" s="23">
        <v>0.1</v>
      </c>
      <c r="B126" s="5" t="s">
        <v>1672</v>
      </c>
      <c r="C126" s="5" t="s">
        <v>1442</v>
      </c>
      <c r="D126" s="38">
        <v>0.92</v>
      </c>
      <c r="E126" s="39">
        <f t="shared" si="1"/>
        <v>3</v>
      </c>
      <c r="F126" s="21">
        <f>ifna(vlookup(C126,'Player Ages'!A124:E608,5,),"")</f>
        <v>30</v>
      </c>
      <c r="G126" s="39">
        <f t="shared" si="2"/>
        <v>2</v>
      </c>
      <c r="H126" s="39">
        <f t="shared" si="3"/>
        <v>5</v>
      </c>
      <c r="I126" s="4" t="s">
        <v>1556</v>
      </c>
      <c r="J126" s="40" t="s">
        <v>227</v>
      </c>
      <c r="K126" s="5">
        <v>32.0</v>
      </c>
      <c r="L126" s="30">
        <f t="shared" si="4"/>
        <v>0.1666666667</v>
      </c>
    </row>
    <row r="127">
      <c r="A127" s="19" t="s">
        <v>442</v>
      </c>
      <c r="B127" s="5" t="s">
        <v>1673</v>
      </c>
      <c r="C127" s="5" t="s">
        <v>443</v>
      </c>
      <c r="D127" s="38">
        <v>0.73</v>
      </c>
      <c r="E127" s="39">
        <f t="shared" si="1"/>
        <v>3</v>
      </c>
      <c r="F127" s="21">
        <f>ifna(vlookup(C127,'Player Ages'!A125:E609,5,),"")</f>
        <v>22</v>
      </c>
      <c r="G127" s="39">
        <f t="shared" si="2"/>
        <v>1</v>
      </c>
      <c r="H127" s="39">
        <f t="shared" si="3"/>
        <v>4</v>
      </c>
      <c r="I127" s="19" t="str">
        <f>vlookup(C127,'Player Codes'!$A:$D,4,)</f>
        <v>0262</v>
      </c>
      <c r="J127" s="40" t="s">
        <v>510</v>
      </c>
      <c r="K127" s="5">
        <v>24.0</v>
      </c>
      <c r="L127" s="30">
        <f t="shared" si="4"/>
        <v>0.1333333333</v>
      </c>
    </row>
    <row r="128">
      <c r="A128" s="19" t="s">
        <v>88</v>
      </c>
      <c r="B128" s="5" t="s">
        <v>1674</v>
      </c>
      <c r="C128" s="5" t="s">
        <v>89</v>
      </c>
      <c r="D128" s="38">
        <v>0.33</v>
      </c>
      <c r="E128" s="39">
        <f t="shared" si="1"/>
        <v>2</v>
      </c>
      <c r="F128" s="23">
        <v>29.0</v>
      </c>
      <c r="G128" s="39">
        <f t="shared" si="2"/>
        <v>2</v>
      </c>
      <c r="H128" s="39">
        <f t="shared" si="3"/>
        <v>4</v>
      </c>
      <c r="I128" s="19" t="str">
        <f>vlookup(C128,'Player Codes'!$A:$D,4,)</f>
        <v>0263</v>
      </c>
      <c r="J128" s="40" t="s">
        <v>1460</v>
      </c>
      <c r="K128" s="5">
        <v>22.0</v>
      </c>
      <c r="L128" s="30">
        <f t="shared" si="4"/>
        <v>0.1333333333</v>
      </c>
    </row>
    <row r="129">
      <c r="A129" s="23">
        <v>0.1</v>
      </c>
      <c r="B129" s="5" t="s">
        <v>1675</v>
      </c>
      <c r="C129" s="5" t="s">
        <v>1444</v>
      </c>
      <c r="D129" s="38">
        <v>0.59</v>
      </c>
      <c r="E129" s="39">
        <f t="shared" si="1"/>
        <v>2</v>
      </c>
      <c r="F129" s="21">
        <f>ifna(vlookup(C129,'Player Ages'!A127:E611,5,),"")</f>
        <v>30</v>
      </c>
      <c r="G129" s="39">
        <f t="shared" si="2"/>
        <v>2</v>
      </c>
      <c r="H129" s="39">
        <f t="shared" si="3"/>
        <v>4</v>
      </c>
      <c r="I129" s="4" t="s">
        <v>1556</v>
      </c>
      <c r="J129" s="40" t="s">
        <v>393</v>
      </c>
      <c r="K129" s="5">
        <v>31.0</v>
      </c>
      <c r="L129" s="30">
        <f t="shared" si="4"/>
        <v>0.1333333333</v>
      </c>
    </row>
    <row r="130">
      <c r="A130" s="19" t="s">
        <v>130</v>
      </c>
      <c r="B130" s="5" t="s">
        <v>1676</v>
      </c>
      <c r="C130" s="5" t="s">
        <v>131</v>
      </c>
      <c r="D130" s="38">
        <v>0.89</v>
      </c>
      <c r="E130" s="39">
        <f t="shared" si="1"/>
        <v>3</v>
      </c>
      <c r="F130" s="23">
        <v>24.0</v>
      </c>
      <c r="G130" s="39">
        <f t="shared" si="2"/>
        <v>1</v>
      </c>
      <c r="H130" s="39">
        <f t="shared" si="3"/>
        <v>4</v>
      </c>
      <c r="I130" s="19" t="str">
        <f>vlookup(C130,'Player Codes'!$A:$D,4,)</f>
        <v>0270</v>
      </c>
      <c r="J130" s="40" t="s">
        <v>352</v>
      </c>
      <c r="K130" s="5">
        <v>26.0</v>
      </c>
      <c r="L130" s="30">
        <f t="shared" si="4"/>
        <v>0.1333333333</v>
      </c>
    </row>
    <row r="131">
      <c r="A131" s="23">
        <v>0.1</v>
      </c>
      <c r="B131" s="5" t="s">
        <v>1677</v>
      </c>
      <c r="C131" s="5" t="s">
        <v>1446</v>
      </c>
      <c r="D131" s="38">
        <v>0.67</v>
      </c>
      <c r="E131" s="39">
        <f t="shared" si="1"/>
        <v>3</v>
      </c>
      <c r="F131" s="23">
        <v>23.0</v>
      </c>
      <c r="G131" s="39">
        <f t="shared" si="2"/>
        <v>1</v>
      </c>
      <c r="H131" s="39">
        <f t="shared" si="3"/>
        <v>4</v>
      </c>
      <c r="I131" s="4" t="s">
        <v>1556</v>
      </c>
      <c r="J131" s="40" t="s">
        <v>486</v>
      </c>
      <c r="K131" s="5">
        <v>28.0</v>
      </c>
      <c r="L131" s="30">
        <f t="shared" si="4"/>
        <v>0.1333333333</v>
      </c>
    </row>
    <row r="132">
      <c r="A132" s="19" t="s">
        <v>123</v>
      </c>
      <c r="B132" s="5" t="s">
        <v>1678</v>
      </c>
      <c r="C132" s="5" t="s">
        <v>124</v>
      </c>
      <c r="D132" s="38">
        <v>0.63</v>
      </c>
      <c r="E132" s="39">
        <f t="shared" si="1"/>
        <v>3</v>
      </c>
      <c r="F132" s="23">
        <v>27.0</v>
      </c>
      <c r="G132" s="39">
        <f t="shared" si="2"/>
        <v>2</v>
      </c>
      <c r="H132" s="39">
        <f t="shared" si="3"/>
        <v>5</v>
      </c>
      <c r="I132" s="19" t="str">
        <f>vlookup(C132,'Player Codes'!$A:$D,4,)</f>
        <v>0273</v>
      </c>
      <c r="J132" s="40" t="s">
        <v>472</v>
      </c>
      <c r="K132" s="5">
        <v>27.0</v>
      </c>
      <c r="L132" s="30">
        <f t="shared" si="4"/>
        <v>0.1666666667</v>
      </c>
    </row>
    <row r="133">
      <c r="A133" s="23">
        <v>0.1</v>
      </c>
      <c r="B133" s="5" t="s">
        <v>1679</v>
      </c>
      <c r="C133" s="5" t="s">
        <v>1449</v>
      </c>
      <c r="D133" s="38">
        <v>0.25</v>
      </c>
      <c r="E133" s="39">
        <f t="shared" si="1"/>
        <v>1</v>
      </c>
      <c r="F133" s="21">
        <f>ifna(vlookup(C133,'Player Ages'!A131:E615,5,),"")</f>
        <v>29</v>
      </c>
      <c r="G133" s="39">
        <f t="shared" si="2"/>
        <v>2</v>
      </c>
      <c r="H133" s="39">
        <f t="shared" si="3"/>
        <v>3</v>
      </c>
      <c r="I133" s="4" t="s">
        <v>1556</v>
      </c>
      <c r="J133" s="40" t="s">
        <v>199</v>
      </c>
      <c r="K133" s="5">
        <v>34.0</v>
      </c>
      <c r="L133" s="30">
        <f t="shared" si="4"/>
        <v>0.1</v>
      </c>
    </row>
    <row r="134">
      <c r="A134" s="23">
        <v>0.1</v>
      </c>
      <c r="B134" s="5" t="s">
        <v>1680</v>
      </c>
      <c r="C134" s="5" t="s">
        <v>1451</v>
      </c>
      <c r="D134" s="38">
        <v>0.6</v>
      </c>
      <c r="E134" s="39">
        <f t="shared" si="1"/>
        <v>2</v>
      </c>
      <c r="F134" s="21">
        <f>ifna(vlookup(C134,'Player Ages'!A132:E616,5,),"")</f>
        <v>27</v>
      </c>
      <c r="G134" s="39">
        <f t="shared" si="2"/>
        <v>2</v>
      </c>
      <c r="H134" s="39">
        <f t="shared" si="3"/>
        <v>4</v>
      </c>
      <c r="I134" s="4" t="s">
        <v>1556</v>
      </c>
      <c r="J134" s="40" t="s">
        <v>567</v>
      </c>
      <c r="K134" s="5">
        <v>32.0</v>
      </c>
      <c r="L134" s="30">
        <f t="shared" si="4"/>
        <v>0.1333333333</v>
      </c>
    </row>
    <row r="135">
      <c r="A135" s="19" t="s">
        <v>336</v>
      </c>
      <c r="B135" s="5" t="s">
        <v>1681</v>
      </c>
      <c r="C135" s="5" t="s">
        <v>337</v>
      </c>
      <c r="D135" s="38">
        <v>0.58</v>
      </c>
      <c r="E135" s="39">
        <f t="shared" si="1"/>
        <v>2</v>
      </c>
      <c r="F135" s="23">
        <v>23.0</v>
      </c>
      <c r="G135" s="39">
        <f t="shared" si="2"/>
        <v>1</v>
      </c>
      <c r="H135" s="39">
        <f t="shared" si="3"/>
        <v>3</v>
      </c>
      <c r="I135" s="19" t="str">
        <f>vlookup(C135,'Player Codes'!$A:$D,4,)</f>
        <v>0279</v>
      </c>
      <c r="J135" s="40" t="s">
        <v>436</v>
      </c>
      <c r="K135" s="5">
        <v>24.0</v>
      </c>
      <c r="L135" s="30">
        <f t="shared" si="4"/>
        <v>0.1</v>
      </c>
    </row>
    <row r="136">
      <c r="A136" s="19" t="s">
        <v>850</v>
      </c>
      <c r="B136" s="5" t="s">
        <v>1682</v>
      </c>
      <c r="C136" s="5" t="s">
        <v>852</v>
      </c>
      <c r="D136" s="38">
        <v>0.16</v>
      </c>
      <c r="E136" s="39">
        <f t="shared" si="1"/>
        <v>1</v>
      </c>
      <c r="F136" s="21">
        <f>ifna(vlookup(C136,'Player Ages'!A134:E618,5,),"")</f>
        <v>23</v>
      </c>
      <c r="G136" s="39">
        <f t="shared" si="2"/>
        <v>1</v>
      </c>
      <c r="H136" s="39">
        <f t="shared" si="3"/>
        <v>2</v>
      </c>
      <c r="I136" s="19" t="str">
        <f>vlookup(C136,'Player Codes'!$A:$D,4,)</f>
        <v>0281</v>
      </c>
      <c r="J136" s="40" t="s">
        <v>590</v>
      </c>
      <c r="K136" s="5">
        <v>30.0</v>
      </c>
      <c r="L136" s="30">
        <f t="shared" si="4"/>
        <v>0.06666666667</v>
      </c>
    </row>
    <row r="137">
      <c r="A137" s="23">
        <v>0.1</v>
      </c>
      <c r="B137" s="5" t="s">
        <v>1683</v>
      </c>
      <c r="C137" s="5" t="s">
        <v>1454</v>
      </c>
      <c r="D137" s="38">
        <v>0.09</v>
      </c>
      <c r="E137" s="39">
        <f t="shared" si="1"/>
        <v>1</v>
      </c>
      <c r="F137" s="21">
        <f>ifna(vlookup(C137,'Player Ages'!A135:E619,5,),"")</f>
        <v>24</v>
      </c>
      <c r="G137" s="39">
        <f t="shared" si="2"/>
        <v>1</v>
      </c>
      <c r="H137" s="39">
        <f t="shared" si="3"/>
        <v>2</v>
      </c>
      <c r="I137" s="4" t="s">
        <v>1556</v>
      </c>
      <c r="J137" s="40" t="s">
        <v>290</v>
      </c>
      <c r="K137" s="5">
        <v>28.0</v>
      </c>
      <c r="L137" s="30">
        <f t="shared" si="4"/>
        <v>0.06666666667</v>
      </c>
    </row>
    <row r="138">
      <c r="A138" s="19" t="s">
        <v>484</v>
      </c>
      <c r="B138" s="5" t="s">
        <v>1684</v>
      </c>
      <c r="C138" s="5" t="s">
        <v>486</v>
      </c>
      <c r="D138" s="38">
        <v>0.39</v>
      </c>
      <c r="E138" s="39">
        <f t="shared" si="1"/>
        <v>2</v>
      </c>
      <c r="F138" s="23">
        <v>28.0</v>
      </c>
      <c r="G138" s="39">
        <f t="shared" si="2"/>
        <v>2</v>
      </c>
      <c r="H138" s="39">
        <f t="shared" si="3"/>
        <v>4</v>
      </c>
      <c r="I138" s="19" t="str">
        <f>vlookup(C138,'Player Codes'!$A:$D,4,)</f>
        <v>0286</v>
      </c>
      <c r="J138" s="40" t="s">
        <v>649</v>
      </c>
      <c r="K138" s="5">
        <v>24.0</v>
      </c>
      <c r="L138" s="30">
        <f t="shared" si="4"/>
        <v>0.1333333333</v>
      </c>
    </row>
    <row r="139">
      <c r="A139" s="19" t="s">
        <v>177</v>
      </c>
      <c r="B139" s="5" t="s">
        <v>1685</v>
      </c>
      <c r="C139" s="5" t="s">
        <v>179</v>
      </c>
      <c r="D139" s="38">
        <v>0.78</v>
      </c>
      <c r="E139" s="39">
        <f t="shared" si="1"/>
        <v>3</v>
      </c>
      <c r="F139" s="23">
        <v>30.0</v>
      </c>
      <c r="G139" s="39">
        <f t="shared" si="2"/>
        <v>2</v>
      </c>
      <c r="H139" s="39">
        <f t="shared" si="3"/>
        <v>5</v>
      </c>
      <c r="I139" s="19" t="str">
        <f>vlookup(C139,'Player Codes'!$A:$D,4,)</f>
        <v>0289</v>
      </c>
      <c r="J139" s="40" t="s">
        <v>443</v>
      </c>
      <c r="K139" s="5">
        <v>22.0</v>
      </c>
      <c r="L139" s="30">
        <f t="shared" si="4"/>
        <v>0.1666666667</v>
      </c>
    </row>
    <row r="140">
      <c r="A140" s="19" t="s">
        <v>892</v>
      </c>
      <c r="B140" s="5" t="s">
        <v>1686</v>
      </c>
      <c r="C140" s="5" t="s">
        <v>893</v>
      </c>
      <c r="D140" s="38">
        <v>0.3</v>
      </c>
      <c r="E140" s="39">
        <f t="shared" si="1"/>
        <v>1</v>
      </c>
      <c r="F140" s="21">
        <f>ifna(vlookup(C140,'Player Ages'!A138:E622,5,),"")</f>
        <v>23</v>
      </c>
      <c r="G140" s="39">
        <f t="shared" si="2"/>
        <v>1</v>
      </c>
      <c r="H140" s="39">
        <f t="shared" si="3"/>
        <v>2</v>
      </c>
      <c r="I140" s="19" t="str">
        <f>vlookup(C140,'Player Codes'!$A:$D,4,)</f>
        <v>0290</v>
      </c>
      <c r="J140" s="40" t="s">
        <v>805</v>
      </c>
      <c r="K140" s="5">
        <v>29.0</v>
      </c>
      <c r="L140" s="30">
        <f t="shared" si="4"/>
        <v>0.06666666667</v>
      </c>
    </row>
    <row r="141">
      <c r="A141" s="19" t="s">
        <v>28</v>
      </c>
      <c r="B141" s="5" t="s">
        <v>1687</v>
      </c>
      <c r="C141" s="5" t="s">
        <v>31</v>
      </c>
      <c r="D141" s="38">
        <v>0.91</v>
      </c>
      <c r="E141" s="39">
        <f t="shared" si="1"/>
        <v>3</v>
      </c>
      <c r="F141" s="23">
        <v>29.0</v>
      </c>
      <c r="G141" s="39">
        <f t="shared" si="2"/>
        <v>2</v>
      </c>
      <c r="H141" s="39">
        <f t="shared" si="3"/>
        <v>5</v>
      </c>
      <c r="I141" s="19" t="str">
        <f>vlookup(C141,'Player Codes'!$A:$D,4,)</f>
        <v>0291</v>
      </c>
      <c r="J141" s="40" t="s">
        <v>400</v>
      </c>
      <c r="K141" s="5">
        <v>27.0</v>
      </c>
      <c r="L141" s="30">
        <f t="shared" si="4"/>
        <v>0.1666666667</v>
      </c>
    </row>
    <row r="142">
      <c r="A142" s="19" t="s">
        <v>488</v>
      </c>
      <c r="B142" s="5" t="s">
        <v>1688</v>
      </c>
      <c r="C142" s="5" t="s">
        <v>490</v>
      </c>
      <c r="D142" s="38">
        <v>0.48</v>
      </c>
      <c r="E142" s="39">
        <f t="shared" si="1"/>
        <v>2</v>
      </c>
      <c r="F142" s="21">
        <f>ifna(vlookup(C142,'Player Ages'!A140:E624,5,),"")</f>
        <v>27</v>
      </c>
      <c r="G142" s="39">
        <f t="shared" si="2"/>
        <v>2</v>
      </c>
      <c r="H142" s="39">
        <f t="shared" si="3"/>
        <v>4</v>
      </c>
      <c r="I142" s="19" t="str">
        <f>vlookup(C142,'Player Codes'!$A:$D,4,)</f>
        <v>0292</v>
      </c>
      <c r="J142" s="40" t="s">
        <v>828</v>
      </c>
      <c r="K142" s="5">
        <v>25.0</v>
      </c>
      <c r="L142" s="30">
        <f t="shared" si="4"/>
        <v>0.1333333333</v>
      </c>
    </row>
    <row r="143">
      <c r="A143" s="23">
        <v>0.1</v>
      </c>
      <c r="B143" s="5" t="s">
        <v>1689</v>
      </c>
      <c r="C143" s="5" t="s">
        <v>1458</v>
      </c>
      <c r="D143" s="38">
        <v>0.55</v>
      </c>
      <c r="E143" s="39">
        <f t="shared" si="1"/>
        <v>2</v>
      </c>
      <c r="F143" s="23">
        <v>26.0</v>
      </c>
      <c r="G143" s="39">
        <f t="shared" si="2"/>
        <v>2</v>
      </c>
      <c r="H143" s="39">
        <f t="shared" si="3"/>
        <v>4</v>
      </c>
      <c r="I143" s="4" t="s">
        <v>1556</v>
      </c>
      <c r="J143" s="40" t="s">
        <v>793</v>
      </c>
      <c r="K143" s="5">
        <v>32.0</v>
      </c>
      <c r="L143" s="30">
        <f t="shared" si="4"/>
        <v>0.1333333333</v>
      </c>
    </row>
    <row r="144">
      <c r="A144" s="23">
        <v>0.1</v>
      </c>
      <c r="B144" s="5" t="s">
        <v>1690</v>
      </c>
      <c r="C144" s="5" t="s">
        <v>1460</v>
      </c>
      <c r="D144" s="38">
        <v>0.55</v>
      </c>
      <c r="E144" s="39">
        <f t="shared" si="1"/>
        <v>2</v>
      </c>
      <c r="F144" s="23">
        <v>22.0</v>
      </c>
      <c r="G144" s="39">
        <f t="shared" si="2"/>
        <v>1</v>
      </c>
      <c r="H144" s="39">
        <f t="shared" si="3"/>
        <v>3</v>
      </c>
      <c r="I144" s="4" t="s">
        <v>1556</v>
      </c>
      <c r="J144" s="40" t="s">
        <v>465</v>
      </c>
      <c r="K144" s="5">
        <v>33.0</v>
      </c>
      <c r="L144" s="30">
        <f t="shared" si="4"/>
        <v>0.1</v>
      </c>
    </row>
    <row r="145">
      <c r="A145" s="19" t="s">
        <v>524</v>
      </c>
      <c r="B145" s="5" t="s">
        <v>1691</v>
      </c>
      <c r="C145" s="5" t="s">
        <v>526</v>
      </c>
      <c r="D145" s="38">
        <v>0.23</v>
      </c>
      <c r="E145" s="39">
        <f t="shared" si="1"/>
        <v>1</v>
      </c>
      <c r="F145" s="21">
        <f>ifna(vlookup(C145,'Player Ages'!A143:E627,5,),"")</f>
        <v>22</v>
      </c>
      <c r="G145" s="39">
        <f t="shared" si="2"/>
        <v>1</v>
      </c>
      <c r="H145" s="39">
        <f t="shared" si="3"/>
        <v>2</v>
      </c>
      <c r="I145" s="19" t="str">
        <f>vlookup(C145,'Player Codes'!$A:$D,4,)</f>
        <v>0299</v>
      </c>
      <c r="J145" s="40" t="s">
        <v>1471</v>
      </c>
      <c r="K145" s="5">
        <v>24.0</v>
      </c>
      <c r="L145" s="30">
        <f t="shared" si="4"/>
        <v>0.06666666667</v>
      </c>
    </row>
    <row r="146">
      <c r="A146" s="19" t="s">
        <v>453</v>
      </c>
      <c r="B146" s="5" t="s">
        <v>1692</v>
      </c>
      <c r="C146" s="5" t="s">
        <v>454</v>
      </c>
      <c r="D146" s="38">
        <v>0.36</v>
      </c>
      <c r="E146" s="39">
        <f t="shared" si="1"/>
        <v>2</v>
      </c>
      <c r="F146" s="23">
        <v>28.0</v>
      </c>
      <c r="G146" s="39">
        <f t="shared" si="2"/>
        <v>2</v>
      </c>
      <c r="H146" s="39">
        <f t="shared" si="3"/>
        <v>4</v>
      </c>
      <c r="I146" s="19" t="str">
        <f>vlookup(C146,'Player Codes'!$A:$D,4,)</f>
        <v>0300</v>
      </c>
      <c r="J146" s="40" t="s">
        <v>440</v>
      </c>
      <c r="K146" s="5">
        <v>27.0</v>
      </c>
      <c r="L146" s="30">
        <f t="shared" si="4"/>
        <v>0.1333333333</v>
      </c>
    </row>
    <row r="147">
      <c r="A147" s="19" t="s">
        <v>308</v>
      </c>
      <c r="B147" s="5" t="s">
        <v>1693</v>
      </c>
      <c r="C147" s="5" t="s">
        <v>309</v>
      </c>
      <c r="D147" s="38">
        <v>0.53</v>
      </c>
      <c r="E147" s="39">
        <f t="shared" si="1"/>
        <v>2</v>
      </c>
      <c r="F147" s="23">
        <v>25.0</v>
      </c>
      <c r="G147" s="39">
        <f t="shared" si="2"/>
        <v>1</v>
      </c>
      <c r="H147" s="39">
        <f t="shared" si="3"/>
        <v>3</v>
      </c>
      <c r="I147" s="19" t="str">
        <f>vlookup(C147,'Player Codes'!$A:$D,4,)</f>
        <v>0005</v>
      </c>
      <c r="J147" s="40" t="s">
        <v>846</v>
      </c>
      <c r="K147" s="5">
        <v>23.0</v>
      </c>
      <c r="L147" s="30">
        <f t="shared" si="4"/>
        <v>0.1</v>
      </c>
    </row>
    <row r="148">
      <c r="A148" s="19" t="s">
        <v>57</v>
      </c>
      <c r="B148" s="5" t="s">
        <v>1694</v>
      </c>
      <c r="C148" s="5" t="s">
        <v>59</v>
      </c>
      <c r="D148" s="38">
        <v>0.87</v>
      </c>
      <c r="E148" s="39">
        <f t="shared" si="1"/>
        <v>3</v>
      </c>
      <c r="F148" s="23">
        <v>28.0</v>
      </c>
      <c r="G148" s="39">
        <f t="shared" si="2"/>
        <v>2</v>
      </c>
      <c r="H148" s="39">
        <f t="shared" si="3"/>
        <v>5</v>
      </c>
      <c r="I148" s="19" t="str">
        <f>vlookup(C148,'Player Codes'!$A:$D,4,)</f>
        <v>0002</v>
      </c>
      <c r="J148" s="40" t="s">
        <v>905</v>
      </c>
      <c r="K148" s="5">
        <v>23.0</v>
      </c>
      <c r="L148" s="30">
        <f t="shared" si="4"/>
        <v>0.1666666667</v>
      </c>
    </row>
    <row r="149">
      <c r="A149" s="19" t="s">
        <v>133</v>
      </c>
      <c r="B149" s="5" t="s">
        <v>1695</v>
      </c>
      <c r="C149" s="5" t="s">
        <v>135</v>
      </c>
      <c r="D149" s="38">
        <v>0.57</v>
      </c>
      <c r="E149" s="39">
        <f t="shared" si="1"/>
        <v>2</v>
      </c>
      <c r="F149" s="23">
        <v>25.0</v>
      </c>
      <c r="G149" s="39">
        <f t="shared" si="2"/>
        <v>1</v>
      </c>
      <c r="H149" s="39">
        <f t="shared" si="3"/>
        <v>3</v>
      </c>
      <c r="I149" s="19" t="str">
        <f>vlookup(C149,'Player Codes'!$A:$D,4,)</f>
        <v>0007</v>
      </c>
      <c r="J149" s="40" t="s">
        <v>668</v>
      </c>
      <c r="K149" s="5">
        <v>24.0</v>
      </c>
      <c r="L149" s="30">
        <f t="shared" si="4"/>
        <v>0.1</v>
      </c>
    </row>
    <row r="150">
      <c r="A150" s="19" t="s">
        <v>204</v>
      </c>
      <c r="B150" s="5" t="s">
        <v>1696</v>
      </c>
      <c r="C150" s="5" t="s">
        <v>205</v>
      </c>
      <c r="D150" s="38">
        <v>0.73</v>
      </c>
      <c r="E150" s="39">
        <f t="shared" si="1"/>
        <v>3</v>
      </c>
      <c r="F150" s="23">
        <v>28.0</v>
      </c>
      <c r="G150" s="39">
        <f t="shared" si="2"/>
        <v>2</v>
      </c>
      <c r="H150" s="39">
        <f t="shared" si="3"/>
        <v>5</v>
      </c>
      <c r="I150" s="19" t="str">
        <f>vlookup(C150,'Player Codes'!$A:$D,4,)</f>
        <v>0010</v>
      </c>
      <c r="J150" s="40" t="s">
        <v>705</v>
      </c>
      <c r="K150" s="5">
        <v>23.0</v>
      </c>
      <c r="L150" s="30">
        <f t="shared" si="4"/>
        <v>0.1666666667</v>
      </c>
    </row>
    <row r="151">
      <c r="A151" s="23">
        <v>0.1</v>
      </c>
      <c r="B151" s="5" t="s">
        <v>1697</v>
      </c>
      <c r="C151" s="5" t="s">
        <v>1277</v>
      </c>
      <c r="D151" s="38">
        <v>0.07</v>
      </c>
      <c r="E151" s="39">
        <f t="shared" si="1"/>
        <v>1</v>
      </c>
      <c r="F151" s="21">
        <f>ifna(vlookup(C151,'Player Ages'!A149:E633,5,),"")</f>
        <v>30</v>
      </c>
      <c r="G151" s="39">
        <f t="shared" si="2"/>
        <v>2</v>
      </c>
      <c r="H151" s="39">
        <f t="shared" si="3"/>
        <v>3</v>
      </c>
      <c r="I151" s="4" t="s">
        <v>1556</v>
      </c>
      <c r="J151" s="40" t="s">
        <v>497</v>
      </c>
      <c r="K151" s="5">
        <v>23.0</v>
      </c>
      <c r="L151" s="30">
        <f t="shared" si="4"/>
        <v>0.1</v>
      </c>
    </row>
    <row r="152">
      <c r="A152" s="19" t="s">
        <v>294</v>
      </c>
      <c r="B152" s="5" t="s">
        <v>1698</v>
      </c>
      <c r="C152" s="5" t="s">
        <v>295</v>
      </c>
      <c r="D152" s="38">
        <v>0.63</v>
      </c>
      <c r="E152" s="39">
        <f t="shared" si="1"/>
        <v>3</v>
      </c>
      <c r="F152" s="23">
        <v>25.0</v>
      </c>
      <c r="G152" s="39">
        <f t="shared" si="2"/>
        <v>1</v>
      </c>
      <c r="H152" s="39">
        <f t="shared" si="3"/>
        <v>4</v>
      </c>
      <c r="I152" s="19" t="str">
        <f>vlookup(C152,'Player Codes'!$A:$D,4,)</f>
        <v>0015</v>
      </c>
      <c r="J152" s="40" t="s">
        <v>422</v>
      </c>
      <c r="K152" s="5">
        <v>24.0</v>
      </c>
      <c r="L152" s="30">
        <f t="shared" si="4"/>
        <v>0.1333333333</v>
      </c>
    </row>
    <row r="153">
      <c r="A153" s="19" t="s">
        <v>16</v>
      </c>
      <c r="B153" s="5" t="s">
        <v>1699</v>
      </c>
      <c r="C153" s="5" t="s">
        <v>18</v>
      </c>
      <c r="D153" s="38">
        <v>0.78</v>
      </c>
      <c r="E153" s="39">
        <f t="shared" si="1"/>
        <v>3</v>
      </c>
      <c r="F153" s="23">
        <v>28.0</v>
      </c>
      <c r="G153" s="39">
        <f t="shared" si="2"/>
        <v>2</v>
      </c>
      <c r="H153" s="39">
        <f t="shared" si="3"/>
        <v>5</v>
      </c>
      <c r="I153" s="19" t="str">
        <f>vlookup(C153,'Player Codes'!$A:$D,4,)</f>
        <v>0018</v>
      </c>
      <c r="J153" s="40" t="s">
        <v>843</v>
      </c>
      <c r="K153" s="5">
        <v>28.0</v>
      </c>
      <c r="L153" s="30">
        <f t="shared" si="4"/>
        <v>0.1666666667</v>
      </c>
    </row>
    <row r="154">
      <c r="A154" s="19" t="s">
        <v>45</v>
      </c>
      <c r="B154" s="5" t="s">
        <v>1700</v>
      </c>
      <c r="C154" s="5" t="s">
        <v>47</v>
      </c>
      <c r="D154" s="38">
        <v>0.57</v>
      </c>
      <c r="E154" s="39">
        <f t="shared" si="1"/>
        <v>2</v>
      </c>
      <c r="F154" s="23">
        <v>21.0</v>
      </c>
      <c r="G154" s="39">
        <f t="shared" si="2"/>
        <v>1</v>
      </c>
      <c r="H154" s="39">
        <f t="shared" si="3"/>
        <v>3</v>
      </c>
      <c r="I154" s="19" t="str">
        <f>vlookup(C154,'Player Codes'!$A:$D,4,)</f>
        <v>0021</v>
      </c>
      <c r="J154" s="40" t="s">
        <v>504</v>
      </c>
      <c r="K154" s="5">
        <v>26.0</v>
      </c>
      <c r="L154" s="30">
        <f t="shared" si="4"/>
        <v>0.1</v>
      </c>
    </row>
    <row r="155">
      <c r="A155" s="19" t="s">
        <v>77</v>
      </c>
      <c r="B155" s="5" t="s">
        <v>1701</v>
      </c>
      <c r="C155" s="5" t="s">
        <v>79</v>
      </c>
      <c r="D155" s="38">
        <v>0.8</v>
      </c>
      <c r="E155" s="39">
        <f t="shared" si="1"/>
        <v>3</v>
      </c>
      <c r="F155" s="23">
        <v>22.0</v>
      </c>
      <c r="G155" s="39">
        <f t="shared" si="2"/>
        <v>1</v>
      </c>
      <c r="H155" s="39">
        <f t="shared" si="3"/>
        <v>4</v>
      </c>
      <c r="I155" s="19" t="str">
        <f>vlookup(C155,'Player Codes'!$A:$D,4,)</f>
        <v>0026</v>
      </c>
      <c r="J155" s="40" t="s">
        <v>239</v>
      </c>
      <c r="K155" s="5">
        <v>35.0</v>
      </c>
      <c r="L155" s="30">
        <f t="shared" si="4"/>
        <v>0.1333333333</v>
      </c>
    </row>
    <row r="156">
      <c r="A156" s="19" t="s">
        <v>297</v>
      </c>
      <c r="B156" s="5" t="s">
        <v>1702</v>
      </c>
      <c r="C156" s="5" t="s">
        <v>298</v>
      </c>
      <c r="D156" s="38">
        <v>0.54</v>
      </c>
      <c r="E156" s="39">
        <f t="shared" si="1"/>
        <v>2</v>
      </c>
      <c r="F156" s="23">
        <v>24.0</v>
      </c>
      <c r="G156" s="39">
        <f t="shared" si="2"/>
        <v>1</v>
      </c>
      <c r="H156" s="39">
        <f t="shared" si="3"/>
        <v>3</v>
      </c>
      <c r="I156" s="19" t="str">
        <f>vlookup(C156,'Player Codes'!$A:$D,4,)</f>
        <v>0028</v>
      </c>
      <c r="J156" s="40" t="s">
        <v>1527</v>
      </c>
      <c r="K156" s="5">
        <v>27.0</v>
      </c>
      <c r="L156" s="30">
        <f t="shared" si="4"/>
        <v>0.1</v>
      </c>
    </row>
    <row r="157">
      <c r="A157" s="19" t="s">
        <v>233</v>
      </c>
      <c r="B157" s="5" t="s">
        <v>1703</v>
      </c>
      <c r="C157" s="5" t="s">
        <v>235</v>
      </c>
      <c r="D157" s="38">
        <v>0.48</v>
      </c>
      <c r="E157" s="39">
        <f t="shared" si="1"/>
        <v>2</v>
      </c>
      <c r="F157" s="23">
        <v>24.0</v>
      </c>
      <c r="G157" s="39">
        <f t="shared" si="2"/>
        <v>1</v>
      </c>
      <c r="H157" s="39">
        <f t="shared" si="3"/>
        <v>3</v>
      </c>
      <c r="I157" s="19" t="str">
        <f>vlookup(C157,'Player Codes'!$A:$D,4,)</f>
        <v>0038</v>
      </c>
      <c r="J157" s="40" t="s">
        <v>1334</v>
      </c>
      <c r="K157" s="5">
        <v>27.0</v>
      </c>
      <c r="L157" s="30">
        <f t="shared" si="4"/>
        <v>0.1</v>
      </c>
    </row>
    <row r="158">
      <c r="A158" s="23">
        <v>0.1</v>
      </c>
      <c r="B158" s="2" t="s">
        <v>1704</v>
      </c>
      <c r="C158" s="2" t="s">
        <v>1334</v>
      </c>
      <c r="D158" s="38">
        <v>0.87</v>
      </c>
      <c r="E158" s="39">
        <f t="shared" si="1"/>
        <v>3</v>
      </c>
      <c r="F158" s="23">
        <v>27.0</v>
      </c>
      <c r="G158" s="39">
        <f t="shared" si="2"/>
        <v>2</v>
      </c>
      <c r="H158" s="39">
        <f t="shared" si="3"/>
        <v>5</v>
      </c>
      <c r="I158" s="4" t="s">
        <v>1556</v>
      </c>
      <c r="J158" s="40" t="s">
        <v>113</v>
      </c>
      <c r="K158" s="5">
        <v>21.0</v>
      </c>
      <c r="L158" s="30">
        <f t="shared" si="4"/>
        <v>0.1666666667</v>
      </c>
    </row>
    <row r="159">
      <c r="A159" s="19" t="s">
        <v>11</v>
      </c>
      <c r="B159" s="5" t="s">
        <v>1705</v>
      </c>
      <c r="C159" s="5" t="s">
        <v>14</v>
      </c>
      <c r="D159" s="38">
        <v>0.82</v>
      </c>
      <c r="E159" s="39">
        <f t="shared" si="1"/>
        <v>3</v>
      </c>
      <c r="F159" s="23">
        <v>27.0</v>
      </c>
      <c r="G159" s="39">
        <f t="shared" si="2"/>
        <v>2</v>
      </c>
      <c r="H159" s="39">
        <f t="shared" si="3"/>
        <v>5</v>
      </c>
      <c r="I159" s="19" t="str">
        <f>vlookup(C159,'Player Codes'!$A:$D,4,)</f>
        <v>0055</v>
      </c>
      <c r="J159" s="40" t="s">
        <v>620</v>
      </c>
      <c r="K159" s="5">
        <v>24.0</v>
      </c>
      <c r="L159" s="30">
        <f t="shared" si="4"/>
        <v>0.1666666667</v>
      </c>
    </row>
    <row r="160">
      <c r="A160" s="19" t="s">
        <v>619</v>
      </c>
      <c r="B160" s="5" t="s">
        <v>1706</v>
      </c>
      <c r="C160" s="5" t="s">
        <v>620</v>
      </c>
      <c r="D160" s="38">
        <v>0.33</v>
      </c>
      <c r="E160" s="39">
        <f t="shared" si="1"/>
        <v>2</v>
      </c>
      <c r="F160" s="23">
        <v>24.0</v>
      </c>
      <c r="G160" s="39">
        <f t="shared" si="2"/>
        <v>1</v>
      </c>
      <c r="H160" s="39">
        <f t="shared" si="3"/>
        <v>3</v>
      </c>
      <c r="I160" s="19" t="str">
        <f>vlookup(C160,'Player Codes'!$A:$D,4,)</f>
        <v>0057</v>
      </c>
      <c r="J160" s="40" t="s">
        <v>196</v>
      </c>
      <c r="K160" s="5">
        <v>39.0</v>
      </c>
      <c r="L160" s="30">
        <f t="shared" si="4"/>
        <v>0.1</v>
      </c>
    </row>
    <row r="161">
      <c r="A161" s="19" t="s">
        <v>667</v>
      </c>
      <c r="B161" s="2" t="s">
        <v>1707</v>
      </c>
      <c r="C161" s="2" t="s">
        <v>668</v>
      </c>
      <c r="D161" s="38">
        <v>0.78</v>
      </c>
      <c r="E161" s="39">
        <f t="shared" si="1"/>
        <v>3</v>
      </c>
      <c r="F161" s="23">
        <v>24.0</v>
      </c>
      <c r="G161" s="39">
        <f t="shared" si="2"/>
        <v>1</v>
      </c>
      <c r="H161" s="39">
        <f t="shared" si="3"/>
        <v>4</v>
      </c>
      <c r="I161" s="19" t="str">
        <f>vlookup(C161,'Player Codes'!$A:$D,4,)</f>
        <v>0060</v>
      </c>
      <c r="J161" s="40" t="s">
        <v>1271</v>
      </c>
      <c r="K161" s="5">
        <v>30.0</v>
      </c>
      <c r="L161" s="30">
        <f t="shared" si="4"/>
        <v>0.1333333333</v>
      </c>
    </row>
    <row r="162">
      <c r="A162" s="19" t="s">
        <v>566</v>
      </c>
      <c r="B162" s="5" t="s">
        <v>1708</v>
      </c>
      <c r="C162" s="5" t="s">
        <v>567</v>
      </c>
      <c r="D162" s="38">
        <v>0.62</v>
      </c>
      <c r="E162" s="39">
        <f t="shared" si="1"/>
        <v>3</v>
      </c>
      <c r="F162" s="23">
        <v>32.0</v>
      </c>
      <c r="G162" s="39">
        <f t="shared" si="2"/>
        <v>3</v>
      </c>
      <c r="H162" s="39">
        <f t="shared" si="3"/>
        <v>6</v>
      </c>
      <c r="I162" s="19" t="str">
        <f>vlookup(C162,'Player Codes'!$A:$D,4,)</f>
        <v>0064</v>
      </c>
      <c r="J162" s="40" t="s">
        <v>899</v>
      </c>
      <c r="K162" s="5">
        <v>27.0</v>
      </c>
      <c r="L162" s="30">
        <f t="shared" si="4"/>
        <v>0.2</v>
      </c>
    </row>
    <row r="163">
      <c r="A163" s="19" t="s">
        <v>271</v>
      </c>
      <c r="B163" s="5" t="s">
        <v>1709</v>
      </c>
      <c r="C163" s="5" t="s">
        <v>272</v>
      </c>
      <c r="D163" s="38">
        <v>0.64</v>
      </c>
      <c r="E163" s="39">
        <f t="shared" si="1"/>
        <v>3</v>
      </c>
      <c r="F163" s="23">
        <v>24.0</v>
      </c>
      <c r="G163" s="39">
        <f t="shared" si="2"/>
        <v>1</v>
      </c>
      <c r="H163" s="39">
        <f t="shared" si="3"/>
        <v>4</v>
      </c>
      <c r="I163" s="19" t="str">
        <f>vlookup(C163,'Player Codes'!$A:$D,4,)</f>
        <v>0067</v>
      </c>
      <c r="J163" s="40" t="s">
        <v>269</v>
      </c>
      <c r="K163" s="5">
        <v>32.0</v>
      </c>
      <c r="L163" s="30">
        <f t="shared" si="4"/>
        <v>0.1333333333</v>
      </c>
    </row>
    <row r="164">
      <c r="A164" s="23">
        <v>0.1</v>
      </c>
      <c r="B164" s="5" t="s">
        <v>1710</v>
      </c>
      <c r="C164" s="2" t="s">
        <v>1370</v>
      </c>
      <c r="D164" s="38">
        <v>0.24</v>
      </c>
      <c r="E164" s="39">
        <f t="shared" si="1"/>
        <v>1</v>
      </c>
      <c r="F164" s="23">
        <v>27.0</v>
      </c>
      <c r="G164" s="39">
        <f t="shared" si="2"/>
        <v>2</v>
      </c>
      <c r="H164" s="39">
        <f t="shared" si="3"/>
        <v>3</v>
      </c>
      <c r="I164" s="19" t="str">
        <f>vlookup(C164,'Player Codes'!$A:$D,4,)</f>
        <v>0301</v>
      </c>
      <c r="J164" s="40" t="s">
        <v>885</v>
      </c>
      <c r="K164" s="5">
        <v>25.0</v>
      </c>
      <c r="L164" s="30">
        <f t="shared" si="4"/>
        <v>0.1</v>
      </c>
    </row>
    <row r="165">
      <c r="A165" s="19" t="s">
        <v>281</v>
      </c>
      <c r="B165" s="5" t="s">
        <v>1711</v>
      </c>
      <c r="C165" s="5" t="s">
        <v>283</v>
      </c>
      <c r="D165" s="38">
        <v>0.81</v>
      </c>
      <c r="E165" s="39">
        <f t="shared" si="1"/>
        <v>3</v>
      </c>
      <c r="F165" s="23">
        <v>28.0</v>
      </c>
      <c r="G165" s="39">
        <f t="shared" si="2"/>
        <v>2</v>
      </c>
      <c r="H165" s="39">
        <f t="shared" si="3"/>
        <v>5</v>
      </c>
      <c r="I165" s="19" t="str">
        <f>vlookup(C165,'Player Codes'!$A:$D,4,)</f>
        <v>0073</v>
      </c>
      <c r="J165" s="40" t="s">
        <v>837</v>
      </c>
      <c r="K165" s="5">
        <v>30.0</v>
      </c>
      <c r="L165" s="30">
        <f t="shared" si="4"/>
        <v>0.1666666667</v>
      </c>
    </row>
    <row r="166">
      <c r="A166" s="19" t="s">
        <v>161</v>
      </c>
      <c r="B166" s="5" t="s">
        <v>1712</v>
      </c>
      <c r="C166" s="5" t="s">
        <v>163</v>
      </c>
      <c r="D166" s="38">
        <v>0.57</v>
      </c>
      <c r="E166" s="39">
        <f t="shared" si="1"/>
        <v>2</v>
      </c>
      <c r="F166" s="23">
        <v>23.0</v>
      </c>
      <c r="G166" s="39">
        <f t="shared" si="2"/>
        <v>1</v>
      </c>
      <c r="H166" s="39">
        <f t="shared" si="3"/>
        <v>3</v>
      </c>
      <c r="I166" s="19" t="str">
        <f>vlookup(C166,'Player Codes'!$A:$D,4,)</f>
        <v>0074</v>
      </c>
      <c r="J166" s="40" t="s">
        <v>790</v>
      </c>
      <c r="K166" s="5">
        <v>23.0</v>
      </c>
      <c r="L166" s="30">
        <f t="shared" si="4"/>
        <v>0.1</v>
      </c>
    </row>
    <row r="167">
      <c r="A167" s="19" t="s">
        <v>477</v>
      </c>
      <c r="B167" s="5" t="s">
        <v>1713</v>
      </c>
      <c r="C167" s="5" t="s">
        <v>478</v>
      </c>
      <c r="D167" s="38">
        <v>0.92</v>
      </c>
      <c r="E167" s="39">
        <f t="shared" si="1"/>
        <v>3</v>
      </c>
      <c r="F167" s="23">
        <v>26.0</v>
      </c>
      <c r="G167" s="39">
        <f t="shared" si="2"/>
        <v>2</v>
      </c>
      <c r="H167" s="39">
        <f t="shared" si="3"/>
        <v>5</v>
      </c>
      <c r="I167" s="19" t="str">
        <f>vlookup(C167,'Player Codes'!$A:$D,4,)</f>
        <v>0075</v>
      </c>
      <c r="J167" s="40" t="s">
        <v>517</v>
      </c>
      <c r="K167" s="5">
        <v>33.0</v>
      </c>
      <c r="L167" s="30">
        <f t="shared" si="4"/>
        <v>0.1666666667</v>
      </c>
    </row>
    <row r="168">
      <c r="A168" s="23">
        <v>0.1</v>
      </c>
      <c r="B168" s="5" t="s">
        <v>1714</v>
      </c>
      <c r="C168" s="5" t="s">
        <v>1384</v>
      </c>
      <c r="D168" s="38">
        <v>0.92</v>
      </c>
      <c r="E168" s="39">
        <f t="shared" si="1"/>
        <v>3</v>
      </c>
      <c r="F168" s="21">
        <f>ifna(vlookup(C168,'Player Ages'!A166:E650,5,),"")</f>
        <v>31</v>
      </c>
      <c r="G168" s="39">
        <f t="shared" si="2"/>
        <v>3</v>
      </c>
      <c r="H168" s="39">
        <f t="shared" si="3"/>
        <v>6</v>
      </c>
      <c r="I168" s="4" t="s">
        <v>1556</v>
      </c>
      <c r="J168" s="40" t="s">
        <v>341</v>
      </c>
      <c r="K168" s="5">
        <v>27.0</v>
      </c>
      <c r="L168" s="30">
        <f t="shared" si="4"/>
        <v>0.2</v>
      </c>
    </row>
    <row r="169">
      <c r="A169" s="23">
        <v>0.1</v>
      </c>
      <c r="B169" s="5" t="s">
        <v>1715</v>
      </c>
      <c r="C169" s="5" t="s">
        <v>1399</v>
      </c>
      <c r="D169" s="38">
        <v>0.6</v>
      </c>
      <c r="E169" s="39">
        <f t="shared" si="1"/>
        <v>2</v>
      </c>
      <c r="F169" s="23">
        <v>26.0</v>
      </c>
      <c r="G169" s="39">
        <f t="shared" si="2"/>
        <v>2</v>
      </c>
      <c r="H169" s="39">
        <f t="shared" si="3"/>
        <v>4</v>
      </c>
      <c r="I169" s="4" t="s">
        <v>1556</v>
      </c>
      <c r="J169" s="40" t="s">
        <v>721</v>
      </c>
      <c r="K169" s="5">
        <v>23.0</v>
      </c>
      <c r="L169" s="30">
        <f t="shared" si="4"/>
        <v>0.1333333333</v>
      </c>
    </row>
    <row r="170">
      <c r="A170" s="19" t="s">
        <v>108</v>
      </c>
      <c r="B170" s="5" t="s">
        <v>1716</v>
      </c>
      <c r="C170" s="5" t="s">
        <v>109</v>
      </c>
      <c r="D170" s="38">
        <v>0.67</v>
      </c>
      <c r="E170" s="39">
        <f t="shared" si="1"/>
        <v>3</v>
      </c>
      <c r="F170" s="23">
        <v>26.0</v>
      </c>
      <c r="G170" s="39">
        <f t="shared" si="2"/>
        <v>2</v>
      </c>
      <c r="H170" s="39">
        <f t="shared" si="3"/>
        <v>5</v>
      </c>
      <c r="I170" s="19" t="str">
        <f>vlookup(C170,'Player Codes'!$A:$D,4,)</f>
        <v>0082</v>
      </c>
      <c r="J170" s="40" t="s">
        <v>574</v>
      </c>
      <c r="K170" s="5">
        <v>26.0</v>
      </c>
      <c r="L170" s="30">
        <f t="shared" si="4"/>
        <v>0.1666666667</v>
      </c>
    </row>
    <row r="171">
      <c r="A171" s="23">
        <v>0.1</v>
      </c>
      <c r="B171" s="5" t="s">
        <v>1717</v>
      </c>
      <c r="C171" s="5" t="s">
        <v>1413</v>
      </c>
      <c r="D171" s="38">
        <v>0.55</v>
      </c>
      <c r="E171" s="39">
        <f t="shared" si="1"/>
        <v>2</v>
      </c>
      <c r="F171" s="23">
        <v>21.0</v>
      </c>
      <c r="G171" s="39">
        <f t="shared" si="2"/>
        <v>1</v>
      </c>
      <c r="H171" s="39">
        <f t="shared" si="3"/>
        <v>3</v>
      </c>
      <c r="I171" s="19" t="str">
        <f>vlookup(C171,'Player Codes'!$A:$D,4,)</f>
        <v>0302</v>
      </c>
      <c r="J171" s="40" t="s">
        <v>536</v>
      </c>
      <c r="K171" s="5">
        <v>26.0</v>
      </c>
      <c r="L171" s="30">
        <f t="shared" si="4"/>
        <v>0.1</v>
      </c>
    </row>
    <row r="172">
      <c r="A172" s="19" t="s">
        <v>37</v>
      </c>
      <c r="B172" s="5" t="s">
        <v>1718</v>
      </c>
      <c r="C172" s="5" t="s">
        <v>39</v>
      </c>
      <c r="D172" s="38">
        <v>0.56</v>
      </c>
      <c r="E172" s="39">
        <f t="shared" si="1"/>
        <v>2</v>
      </c>
      <c r="F172" s="23">
        <v>29.0</v>
      </c>
      <c r="G172" s="39">
        <f t="shared" si="2"/>
        <v>2</v>
      </c>
      <c r="H172" s="39">
        <f t="shared" si="3"/>
        <v>4</v>
      </c>
      <c r="I172" s="19" t="str">
        <f>vlookup(C172,'Player Codes'!$A:$D,4,)</f>
        <v>0089</v>
      </c>
      <c r="J172" s="40" t="s">
        <v>646</v>
      </c>
      <c r="K172" s="5">
        <v>23.0</v>
      </c>
      <c r="L172" s="30">
        <f t="shared" si="4"/>
        <v>0.1333333333</v>
      </c>
    </row>
    <row r="173">
      <c r="A173" s="19" t="s">
        <v>512</v>
      </c>
      <c r="B173" s="5" t="s">
        <v>1719</v>
      </c>
      <c r="C173" s="5" t="s">
        <v>513</v>
      </c>
      <c r="D173" s="38">
        <v>0.57</v>
      </c>
      <c r="E173" s="39">
        <f t="shared" si="1"/>
        <v>2</v>
      </c>
      <c r="F173" s="23">
        <v>25.0</v>
      </c>
      <c r="G173" s="39">
        <f t="shared" si="2"/>
        <v>1</v>
      </c>
      <c r="H173" s="39">
        <f t="shared" si="3"/>
        <v>3</v>
      </c>
      <c r="I173" s="19" t="str">
        <f>vlookup(C173,'Player Codes'!$A:$D,4,)</f>
        <v>0094</v>
      </c>
      <c r="J173" s="40" t="s">
        <v>1720</v>
      </c>
      <c r="K173" s="5">
        <v>27.0</v>
      </c>
      <c r="L173" s="30">
        <f t="shared" si="4"/>
        <v>0.1</v>
      </c>
    </row>
    <row r="174">
      <c r="A174" s="19" t="s">
        <v>405</v>
      </c>
      <c r="B174" s="5" t="s">
        <v>1721</v>
      </c>
      <c r="C174" s="5" t="s">
        <v>407</v>
      </c>
      <c r="D174" s="38">
        <v>0.94</v>
      </c>
      <c r="E174" s="39">
        <f t="shared" si="1"/>
        <v>3</v>
      </c>
      <c r="F174" s="23">
        <v>25.0</v>
      </c>
      <c r="G174" s="39">
        <f t="shared" si="2"/>
        <v>1</v>
      </c>
      <c r="H174" s="39">
        <f t="shared" si="3"/>
        <v>4</v>
      </c>
      <c r="I174" s="19" t="str">
        <f>vlookup(C174,'Player Codes'!$A:$D,4,)</f>
        <v>0105</v>
      </c>
      <c r="J174" s="40" t="s">
        <v>334</v>
      </c>
      <c r="K174" s="5">
        <v>25.0</v>
      </c>
      <c r="L174" s="30">
        <f t="shared" si="4"/>
        <v>0.1333333333</v>
      </c>
    </row>
    <row r="175">
      <c r="A175" s="19" t="s">
        <v>395</v>
      </c>
      <c r="B175" s="5" t="s">
        <v>1722</v>
      </c>
      <c r="C175" s="5" t="s">
        <v>396</v>
      </c>
      <c r="D175" s="38">
        <v>0.73</v>
      </c>
      <c r="E175" s="39">
        <f t="shared" si="1"/>
        <v>3</v>
      </c>
      <c r="F175" s="23">
        <v>28.0</v>
      </c>
      <c r="G175" s="39">
        <f t="shared" si="2"/>
        <v>2</v>
      </c>
      <c r="H175" s="39">
        <f t="shared" si="3"/>
        <v>5</v>
      </c>
      <c r="I175" s="19" t="str">
        <f>vlookup(C175,'Player Codes'!$A:$D,4,)</f>
        <v>0109</v>
      </c>
      <c r="J175" s="40" t="s">
        <v>482</v>
      </c>
      <c r="K175" s="5">
        <v>27.0</v>
      </c>
      <c r="L175" s="30">
        <f t="shared" si="4"/>
        <v>0.1666666667</v>
      </c>
    </row>
    <row r="176">
      <c r="A176" s="19" t="s">
        <v>672</v>
      </c>
      <c r="B176" s="2" t="s">
        <v>1723</v>
      </c>
      <c r="C176" s="2" t="s">
        <v>673</v>
      </c>
      <c r="D176" s="38">
        <v>0.6</v>
      </c>
      <c r="E176" s="39">
        <f t="shared" si="1"/>
        <v>2</v>
      </c>
      <c r="F176" s="21">
        <f>ifna(vlookup(C176,'Player Ages'!A174:E658,5,),"")</f>
        <v>28</v>
      </c>
      <c r="G176" s="39">
        <f t="shared" si="2"/>
        <v>2</v>
      </c>
      <c r="H176" s="39">
        <f t="shared" si="3"/>
        <v>4</v>
      </c>
      <c r="I176" s="19" t="str">
        <f>vlookup(C176,'Player Codes'!$A:$D,4,)</f>
        <v>0121</v>
      </c>
      <c r="J176" s="40" t="s">
        <v>627</v>
      </c>
      <c r="K176" s="5">
        <v>31.0</v>
      </c>
      <c r="L176" s="30">
        <f t="shared" si="4"/>
        <v>0.1333333333</v>
      </c>
    </row>
    <row r="177">
      <c r="A177" s="23">
        <v>0.1</v>
      </c>
      <c r="B177" s="5" t="s">
        <v>1724</v>
      </c>
      <c r="C177" s="5" t="s">
        <v>1450</v>
      </c>
      <c r="D177" s="38">
        <v>0.22</v>
      </c>
      <c r="E177" s="39">
        <f t="shared" si="1"/>
        <v>1</v>
      </c>
      <c r="F177" s="21">
        <f>ifna(vlookup(C177,'Player Ages'!A175:E659,5,),"")</f>
        <v>23</v>
      </c>
      <c r="G177" s="39">
        <f t="shared" si="2"/>
        <v>1</v>
      </c>
      <c r="H177" s="39">
        <f t="shared" si="3"/>
        <v>2</v>
      </c>
      <c r="I177" s="4" t="s">
        <v>1556</v>
      </c>
      <c r="J177" s="40" t="s">
        <v>600</v>
      </c>
      <c r="K177" s="5">
        <v>28.0</v>
      </c>
      <c r="L177" s="30">
        <f t="shared" si="4"/>
        <v>0.06666666667</v>
      </c>
    </row>
    <row r="178">
      <c r="A178" s="23">
        <v>0.1</v>
      </c>
      <c r="B178" s="5" t="s">
        <v>1725</v>
      </c>
      <c r="C178" s="5" t="s">
        <v>1459</v>
      </c>
      <c r="D178" s="38">
        <v>0.32</v>
      </c>
      <c r="E178" s="39">
        <f t="shared" si="1"/>
        <v>2</v>
      </c>
      <c r="F178" s="21">
        <f>ifna(vlookup(C178,'Player Ages'!A176:E660,5,),"")</f>
        <v>22</v>
      </c>
      <c r="G178" s="39">
        <f t="shared" si="2"/>
        <v>1</v>
      </c>
      <c r="H178" s="39">
        <f t="shared" si="3"/>
        <v>3</v>
      </c>
      <c r="I178" s="4" t="s">
        <v>1556</v>
      </c>
      <c r="J178" s="40" t="s">
        <v>1441</v>
      </c>
      <c r="K178" s="5">
        <v>27.0</v>
      </c>
      <c r="L178" s="30">
        <f t="shared" si="4"/>
        <v>0.1</v>
      </c>
    </row>
    <row r="179">
      <c r="A179" s="19" t="s">
        <v>141</v>
      </c>
      <c r="B179" s="5" t="s">
        <v>1726</v>
      </c>
      <c r="C179" s="5" t="s">
        <v>142</v>
      </c>
      <c r="D179" s="38">
        <v>0.94</v>
      </c>
      <c r="E179" s="39">
        <f t="shared" si="1"/>
        <v>3</v>
      </c>
      <c r="F179" s="23">
        <v>24.0</v>
      </c>
      <c r="G179" s="39">
        <f t="shared" si="2"/>
        <v>1</v>
      </c>
      <c r="H179" s="39">
        <f t="shared" si="3"/>
        <v>4</v>
      </c>
      <c r="I179" s="19" t="str">
        <f>vlookup(C179,'Player Codes'!$A:$D,4,)</f>
        <v>0130</v>
      </c>
      <c r="J179" s="40" t="s">
        <v>1463</v>
      </c>
      <c r="K179" s="5">
        <v>25.0</v>
      </c>
      <c r="L179" s="30">
        <f t="shared" si="4"/>
        <v>0.1333333333</v>
      </c>
    </row>
    <row r="180">
      <c r="A180" s="19" t="s">
        <v>216</v>
      </c>
      <c r="B180" s="5" t="s">
        <v>1727</v>
      </c>
      <c r="C180" s="5" t="s">
        <v>217</v>
      </c>
      <c r="D180" s="38">
        <v>0.42</v>
      </c>
      <c r="E180" s="39">
        <f t="shared" si="1"/>
        <v>2</v>
      </c>
      <c r="F180" s="23">
        <v>24.0</v>
      </c>
      <c r="G180" s="39">
        <f t="shared" si="2"/>
        <v>1</v>
      </c>
      <c r="H180" s="39">
        <f t="shared" si="3"/>
        <v>3</v>
      </c>
      <c r="I180" s="19" t="str">
        <f>vlookup(C180,'Player Codes'!$A:$D,4,)</f>
        <v>0131</v>
      </c>
      <c r="J180" s="40" t="s">
        <v>554</v>
      </c>
      <c r="K180" s="5">
        <v>24.0</v>
      </c>
      <c r="L180" s="30">
        <f t="shared" si="4"/>
        <v>0.1</v>
      </c>
    </row>
    <row r="181">
      <c r="A181" s="19" t="s">
        <v>111</v>
      </c>
      <c r="B181" s="5" t="s">
        <v>1728</v>
      </c>
      <c r="C181" s="5" t="s">
        <v>113</v>
      </c>
      <c r="D181" s="38">
        <v>0.42</v>
      </c>
      <c r="E181" s="39">
        <f t="shared" si="1"/>
        <v>2</v>
      </c>
      <c r="F181" s="23">
        <v>21.0</v>
      </c>
      <c r="G181" s="39">
        <f t="shared" si="2"/>
        <v>1</v>
      </c>
      <c r="H181" s="39">
        <f t="shared" si="3"/>
        <v>3</v>
      </c>
      <c r="I181" s="19" t="str">
        <f>vlookup(C181,'Player Codes'!$A:$D,4,)</f>
        <v>0135</v>
      </c>
      <c r="J181" s="40" t="s">
        <v>1459</v>
      </c>
      <c r="K181" s="5">
        <v>22.0</v>
      </c>
      <c r="L181" s="30">
        <f t="shared" si="4"/>
        <v>0.1</v>
      </c>
    </row>
    <row r="182">
      <c r="A182" s="19" t="s">
        <v>467</v>
      </c>
      <c r="B182" s="5" t="s">
        <v>1729</v>
      </c>
      <c r="C182" s="5" t="s">
        <v>468</v>
      </c>
      <c r="D182" s="38">
        <v>0.86</v>
      </c>
      <c r="E182" s="39">
        <f t="shared" si="1"/>
        <v>3</v>
      </c>
      <c r="F182" s="23">
        <v>28.0</v>
      </c>
      <c r="G182" s="39">
        <f t="shared" si="2"/>
        <v>2</v>
      </c>
      <c r="H182" s="39">
        <f t="shared" si="3"/>
        <v>5</v>
      </c>
      <c r="I182" s="19" t="str">
        <f>vlookup(C182,'Player Codes'!$A:$D,4,)</f>
        <v>0142</v>
      </c>
      <c r="J182" s="40" t="s">
        <v>1489</v>
      </c>
      <c r="K182" s="5">
        <v>26.0</v>
      </c>
      <c r="L182" s="30">
        <f t="shared" si="4"/>
        <v>0.1666666667</v>
      </c>
    </row>
    <row r="183">
      <c r="A183" s="19" t="s">
        <v>97</v>
      </c>
      <c r="B183" s="5" t="s">
        <v>1730</v>
      </c>
      <c r="C183" s="5" t="s">
        <v>98</v>
      </c>
      <c r="D183" s="38">
        <v>0.88</v>
      </c>
      <c r="E183" s="39">
        <f t="shared" si="1"/>
        <v>3</v>
      </c>
      <c r="F183" s="23">
        <v>28.0</v>
      </c>
      <c r="G183" s="39">
        <f t="shared" si="2"/>
        <v>2</v>
      </c>
      <c r="H183" s="39">
        <f t="shared" si="3"/>
        <v>5</v>
      </c>
      <c r="I183" s="19" t="str">
        <f>vlookup(C183,'Player Codes'!$A:$D,4,)</f>
        <v>0143</v>
      </c>
      <c r="J183" s="40" t="s">
        <v>1420</v>
      </c>
      <c r="K183" s="5">
        <v>25.0</v>
      </c>
      <c r="L183" s="30">
        <f t="shared" si="4"/>
        <v>0.1666666667</v>
      </c>
    </row>
    <row r="184">
      <c r="A184" s="19" t="s">
        <v>248</v>
      </c>
      <c r="B184" s="5" t="s">
        <v>1731</v>
      </c>
      <c r="C184" s="5" t="s">
        <v>249</v>
      </c>
      <c r="D184" s="38">
        <v>0.34</v>
      </c>
      <c r="E184" s="39">
        <f t="shared" si="1"/>
        <v>2</v>
      </c>
      <c r="F184" s="23">
        <v>23.0</v>
      </c>
      <c r="G184" s="39">
        <f t="shared" si="2"/>
        <v>1</v>
      </c>
      <c r="H184" s="39">
        <f t="shared" si="3"/>
        <v>3</v>
      </c>
      <c r="I184" s="19" t="str">
        <f>vlookup(C184,'Player Codes'!$A:$D,4,)</f>
        <v>0144</v>
      </c>
      <c r="J184" s="40" t="s">
        <v>643</v>
      </c>
      <c r="K184" s="5">
        <v>26.0</v>
      </c>
      <c r="L184" s="30">
        <f t="shared" si="4"/>
        <v>0.1</v>
      </c>
    </row>
    <row r="185">
      <c r="A185" s="23">
        <v>0.1</v>
      </c>
      <c r="B185" s="5" t="s">
        <v>1732</v>
      </c>
      <c r="C185" s="5" t="s">
        <v>1463</v>
      </c>
      <c r="D185" s="38">
        <v>0.17</v>
      </c>
      <c r="E185" s="39">
        <f t="shared" si="1"/>
        <v>1</v>
      </c>
      <c r="F185" s="23">
        <v>25.0</v>
      </c>
      <c r="G185" s="39">
        <f t="shared" si="2"/>
        <v>1</v>
      </c>
      <c r="H185" s="39">
        <f t="shared" si="3"/>
        <v>2</v>
      </c>
      <c r="I185" s="4" t="s">
        <v>1556</v>
      </c>
      <c r="J185" s="40" t="s">
        <v>757</v>
      </c>
      <c r="K185" s="5">
        <v>26.0</v>
      </c>
      <c r="L185" s="30">
        <f t="shared" si="4"/>
        <v>0.06666666667</v>
      </c>
    </row>
    <row r="186">
      <c r="A186" s="19" t="s">
        <v>259</v>
      </c>
      <c r="B186" s="5" t="s">
        <v>1733</v>
      </c>
      <c r="C186" s="5" t="s">
        <v>260</v>
      </c>
      <c r="D186" s="38">
        <v>0.57</v>
      </c>
      <c r="E186" s="39">
        <f t="shared" si="1"/>
        <v>2</v>
      </c>
      <c r="F186" s="23">
        <v>23.0</v>
      </c>
      <c r="G186" s="39">
        <f t="shared" si="2"/>
        <v>1</v>
      </c>
      <c r="H186" s="39">
        <f t="shared" si="3"/>
        <v>3</v>
      </c>
      <c r="I186" s="19" t="str">
        <f>vlookup(C186,'Player Codes'!$A:$D,4,)</f>
        <v>0149</v>
      </c>
      <c r="J186" s="40" t="s">
        <v>533</v>
      </c>
      <c r="K186" s="5">
        <v>28.0</v>
      </c>
      <c r="L186" s="30">
        <f t="shared" si="4"/>
        <v>0.1</v>
      </c>
    </row>
    <row r="187">
      <c r="A187" s="19" t="s">
        <v>421</v>
      </c>
      <c r="B187" s="5" t="s">
        <v>1734</v>
      </c>
      <c r="C187" s="5" t="s">
        <v>422</v>
      </c>
      <c r="D187" s="38">
        <v>0.57</v>
      </c>
      <c r="E187" s="39">
        <f t="shared" si="1"/>
        <v>2</v>
      </c>
      <c r="F187" s="23">
        <v>24.0</v>
      </c>
      <c r="G187" s="39">
        <f t="shared" si="2"/>
        <v>1</v>
      </c>
      <c r="H187" s="39">
        <f t="shared" si="3"/>
        <v>3</v>
      </c>
      <c r="I187" s="19" t="str">
        <f>vlookup(C187,'Player Codes'!$A:$D,4,)</f>
        <v>0153</v>
      </c>
      <c r="J187" s="40" t="s">
        <v>718</v>
      </c>
      <c r="K187" s="5">
        <v>28.0</v>
      </c>
      <c r="L187" s="30">
        <f t="shared" si="4"/>
        <v>0.1</v>
      </c>
    </row>
    <row r="188">
      <c r="A188" s="19" t="s">
        <v>438</v>
      </c>
      <c r="B188" s="5" t="s">
        <v>1735</v>
      </c>
      <c r="C188" s="5" t="s">
        <v>440</v>
      </c>
      <c r="D188" s="38">
        <v>0.8</v>
      </c>
      <c r="E188" s="39">
        <f t="shared" si="1"/>
        <v>3</v>
      </c>
      <c r="F188" s="23">
        <v>27.0</v>
      </c>
      <c r="G188" s="39">
        <f t="shared" si="2"/>
        <v>2</v>
      </c>
      <c r="H188" s="39">
        <f t="shared" si="3"/>
        <v>5</v>
      </c>
      <c r="I188" s="19" t="str">
        <f>vlookup(C188,'Player Codes'!$A:$D,4,)</f>
        <v>0154</v>
      </c>
      <c r="J188" s="40" t="s">
        <v>331</v>
      </c>
      <c r="K188" s="5">
        <v>24.0</v>
      </c>
      <c r="L188" s="30">
        <f t="shared" si="4"/>
        <v>0.1666666667</v>
      </c>
    </row>
    <row r="189">
      <c r="A189" s="19" t="s">
        <v>424</v>
      </c>
      <c r="B189" s="5" t="s">
        <v>1736</v>
      </c>
      <c r="C189" s="5" t="s">
        <v>426</v>
      </c>
      <c r="D189" s="38">
        <v>0.23</v>
      </c>
      <c r="E189" s="39">
        <f t="shared" si="1"/>
        <v>1</v>
      </c>
      <c r="F189" s="23">
        <v>31.0</v>
      </c>
      <c r="G189" s="39">
        <f t="shared" si="2"/>
        <v>3</v>
      </c>
      <c r="H189" s="39">
        <f t="shared" si="3"/>
        <v>4</v>
      </c>
      <c r="I189" s="19" t="str">
        <f>vlookup(C189,'Player Codes'!$A:$D,4,)</f>
        <v>0155</v>
      </c>
      <c r="J189" s="40" t="s">
        <v>1473</v>
      </c>
      <c r="K189" s="5">
        <v>25.0</v>
      </c>
      <c r="L189" s="30">
        <f t="shared" si="4"/>
        <v>0.1333333333</v>
      </c>
    </row>
    <row r="190">
      <c r="A190" s="19" t="s">
        <v>556</v>
      </c>
      <c r="B190" s="5" t="s">
        <v>1737</v>
      </c>
      <c r="C190" s="5" t="s">
        <v>558</v>
      </c>
      <c r="D190" s="38">
        <v>0.42</v>
      </c>
      <c r="E190" s="39">
        <f t="shared" si="1"/>
        <v>2</v>
      </c>
      <c r="F190" s="21">
        <f>ifna(vlookup(C190,'Player Ages'!A188:E672,5,),"")</f>
        <v>23</v>
      </c>
      <c r="G190" s="39">
        <f t="shared" si="2"/>
        <v>1</v>
      </c>
      <c r="H190" s="39">
        <f t="shared" si="3"/>
        <v>3</v>
      </c>
      <c r="I190" s="19" t="str">
        <f>vlookup(C190,'Player Codes'!$A:$D,4,)</f>
        <v>0156</v>
      </c>
      <c r="J190" s="40" t="s">
        <v>702</v>
      </c>
      <c r="K190" s="5">
        <v>26.0</v>
      </c>
      <c r="L190" s="30">
        <f t="shared" si="4"/>
        <v>0.1</v>
      </c>
    </row>
    <row r="191">
      <c r="A191" s="19" t="s">
        <v>53</v>
      </c>
      <c r="B191" s="5" t="s">
        <v>1738</v>
      </c>
      <c r="C191" s="5" t="s">
        <v>55</v>
      </c>
      <c r="D191" s="38">
        <v>0.87</v>
      </c>
      <c r="E191" s="39">
        <f t="shared" si="1"/>
        <v>3</v>
      </c>
      <c r="F191" s="23">
        <v>27.0</v>
      </c>
      <c r="G191" s="39">
        <f t="shared" si="2"/>
        <v>2</v>
      </c>
      <c r="H191" s="39">
        <f t="shared" si="3"/>
        <v>5</v>
      </c>
      <c r="I191" s="19" t="str">
        <f>vlookup(C191,'Player Codes'!$A:$D,4,)</f>
        <v>0160</v>
      </c>
      <c r="J191" s="40" t="s">
        <v>494</v>
      </c>
      <c r="K191" s="5">
        <v>27.0</v>
      </c>
      <c r="L191" s="30">
        <f t="shared" si="4"/>
        <v>0.1666666667</v>
      </c>
    </row>
    <row r="192">
      <c r="A192" s="23">
        <v>0.1</v>
      </c>
      <c r="B192" s="5" t="s">
        <v>1739</v>
      </c>
      <c r="C192" s="5" t="s">
        <v>1466</v>
      </c>
      <c r="D192" s="38">
        <v>0.12</v>
      </c>
      <c r="E192" s="39">
        <f t="shared" si="1"/>
        <v>1</v>
      </c>
      <c r="F192" s="23">
        <v>26.0</v>
      </c>
      <c r="G192" s="39">
        <f t="shared" si="2"/>
        <v>2</v>
      </c>
      <c r="H192" s="39">
        <f t="shared" si="3"/>
        <v>3</v>
      </c>
      <c r="I192" s="4" t="s">
        <v>1556</v>
      </c>
      <c r="J192" s="40" t="s">
        <v>783</v>
      </c>
      <c r="K192" s="5">
        <v>25.0</v>
      </c>
      <c r="L192" s="30">
        <f t="shared" si="4"/>
        <v>0.1</v>
      </c>
    </row>
    <row r="193">
      <c r="A193" s="19" t="s">
        <v>49</v>
      </c>
      <c r="B193" s="5" t="s">
        <v>1740</v>
      </c>
      <c r="C193" s="5" t="s">
        <v>51</v>
      </c>
      <c r="D193" s="38">
        <v>0.75</v>
      </c>
      <c r="E193" s="39">
        <f t="shared" si="1"/>
        <v>3</v>
      </c>
      <c r="F193" s="23">
        <v>24.0</v>
      </c>
      <c r="G193" s="39">
        <f t="shared" si="2"/>
        <v>1</v>
      </c>
      <c r="H193" s="39">
        <f t="shared" si="3"/>
        <v>4</v>
      </c>
      <c r="I193" s="19" t="str">
        <f>vlookup(C193,'Player Codes'!$A:$D,4,)</f>
        <v>0164</v>
      </c>
      <c r="J193" s="40" t="s">
        <v>1350</v>
      </c>
      <c r="K193" s="5">
        <v>28.0</v>
      </c>
      <c r="L193" s="30">
        <f t="shared" si="4"/>
        <v>0.1333333333</v>
      </c>
    </row>
    <row r="194">
      <c r="A194" s="23">
        <v>0.1</v>
      </c>
      <c r="B194" s="5" t="s">
        <v>1741</v>
      </c>
      <c r="C194" s="5" t="s">
        <v>1470</v>
      </c>
      <c r="D194" s="38">
        <v>0.18</v>
      </c>
      <c r="E194" s="39">
        <f t="shared" si="1"/>
        <v>1</v>
      </c>
      <c r="F194" s="21">
        <f>ifna(vlookup(C194,'Player Ages'!A192:E676,5,),"")</f>
        <v>24</v>
      </c>
      <c r="G194" s="39">
        <f t="shared" si="2"/>
        <v>1</v>
      </c>
      <c r="H194" s="39">
        <f t="shared" si="3"/>
        <v>2</v>
      </c>
      <c r="I194" s="4" t="s">
        <v>1556</v>
      </c>
      <c r="J194" s="40" t="s">
        <v>1742</v>
      </c>
      <c r="K194" s="5">
        <v>22.0</v>
      </c>
      <c r="L194" s="30">
        <f t="shared" si="4"/>
        <v>0.06666666667</v>
      </c>
    </row>
    <row r="195">
      <c r="A195" s="19" t="s">
        <v>41</v>
      </c>
      <c r="B195" s="5" t="s">
        <v>1743</v>
      </c>
      <c r="C195" s="5" t="s">
        <v>43</v>
      </c>
      <c r="D195" s="38">
        <v>0.61</v>
      </c>
      <c r="E195" s="39">
        <f t="shared" si="1"/>
        <v>3</v>
      </c>
      <c r="F195" s="23">
        <v>25.0</v>
      </c>
      <c r="G195" s="39">
        <f t="shared" si="2"/>
        <v>1</v>
      </c>
      <c r="H195" s="39">
        <f t="shared" si="3"/>
        <v>4</v>
      </c>
      <c r="I195" s="19" t="str">
        <f>vlookup(C195,'Player Codes'!$A:$D,4,)</f>
        <v>0168</v>
      </c>
      <c r="J195" s="40" t="s">
        <v>1387</v>
      </c>
      <c r="K195" s="5">
        <v>22.0</v>
      </c>
      <c r="L195" s="30">
        <f t="shared" si="4"/>
        <v>0.1333333333</v>
      </c>
    </row>
    <row r="196">
      <c r="A196" s="23">
        <v>0.1</v>
      </c>
      <c r="B196" s="5" t="s">
        <v>1744</v>
      </c>
      <c r="C196" s="5" t="s">
        <v>1473</v>
      </c>
      <c r="D196" s="38">
        <v>0.5</v>
      </c>
      <c r="E196" s="39">
        <f t="shared" si="1"/>
        <v>2</v>
      </c>
      <c r="F196" s="23">
        <v>25.0</v>
      </c>
      <c r="G196" s="39">
        <f t="shared" si="2"/>
        <v>1</v>
      </c>
      <c r="H196" s="39">
        <f t="shared" si="3"/>
        <v>3</v>
      </c>
      <c r="I196" s="19" t="str">
        <f>vlookup(C196,'Player Codes'!$A:$D,4,)</f>
        <v>0304</v>
      </c>
      <c r="J196" s="40" t="s">
        <v>1745</v>
      </c>
      <c r="K196" s="5">
        <v>28.0</v>
      </c>
      <c r="L196" s="30">
        <f t="shared" si="4"/>
        <v>0.1</v>
      </c>
    </row>
    <row r="197">
      <c r="A197" s="23">
        <v>0.1</v>
      </c>
      <c r="B197" s="5" t="s">
        <v>1746</v>
      </c>
      <c r="C197" s="5" t="s">
        <v>1475</v>
      </c>
      <c r="D197" s="38">
        <v>0.24</v>
      </c>
      <c r="E197" s="39">
        <f t="shared" si="1"/>
        <v>1</v>
      </c>
      <c r="F197" s="21">
        <f>ifna(vlookup(C197,'Player Ages'!A195:E679,5,),"")</f>
        <v>25</v>
      </c>
      <c r="G197" s="39">
        <f t="shared" si="2"/>
        <v>1</v>
      </c>
      <c r="H197" s="39">
        <f t="shared" si="3"/>
        <v>2</v>
      </c>
      <c r="I197" s="4" t="s">
        <v>1556</v>
      </c>
      <c r="J197" s="40" t="s">
        <v>490</v>
      </c>
      <c r="K197" s="5">
        <v>27.0</v>
      </c>
      <c r="L197" s="30">
        <f t="shared" si="4"/>
        <v>0.06666666667</v>
      </c>
    </row>
    <row r="198">
      <c r="A198" s="23">
        <v>0.1</v>
      </c>
      <c r="B198" s="5" t="s">
        <v>1747</v>
      </c>
      <c r="C198" s="5" t="s">
        <v>1476</v>
      </c>
      <c r="D198" s="38">
        <v>0.36</v>
      </c>
      <c r="E198" s="39">
        <f t="shared" si="1"/>
        <v>2</v>
      </c>
      <c r="F198" s="23">
        <v>28.0</v>
      </c>
      <c r="G198" s="39">
        <f t="shared" si="2"/>
        <v>2</v>
      </c>
      <c r="H198" s="39">
        <f t="shared" si="3"/>
        <v>4</v>
      </c>
      <c r="I198" s="4" t="s">
        <v>1556</v>
      </c>
      <c r="J198" s="40" t="s">
        <v>606</v>
      </c>
      <c r="K198" s="5">
        <v>38.0</v>
      </c>
      <c r="L198" s="30">
        <f t="shared" si="4"/>
        <v>0.1333333333</v>
      </c>
    </row>
    <row r="199">
      <c r="A199" s="23">
        <v>0.1</v>
      </c>
      <c r="B199" s="5" t="s">
        <v>1748</v>
      </c>
      <c r="C199" s="5" t="s">
        <v>1477</v>
      </c>
      <c r="D199" s="38">
        <v>0.24</v>
      </c>
      <c r="E199" s="39">
        <f t="shared" si="1"/>
        <v>1</v>
      </c>
      <c r="F199" s="21">
        <f>ifna(vlookup(C199,'Player Ages'!A197:E681,5,),"")</f>
        <v>26</v>
      </c>
      <c r="G199" s="39">
        <f t="shared" si="2"/>
        <v>2</v>
      </c>
      <c r="H199" s="39">
        <f t="shared" si="3"/>
        <v>3</v>
      </c>
      <c r="I199" s="4" t="s">
        <v>1556</v>
      </c>
      <c r="J199" s="40" t="s">
        <v>403</v>
      </c>
      <c r="K199" s="5">
        <v>21.0</v>
      </c>
      <c r="L199" s="30">
        <f t="shared" si="4"/>
        <v>0.1</v>
      </c>
    </row>
    <row r="200">
      <c r="A200" s="19" t="s">
        <v>528</v>
      </c>
      <c r="B200" s="5" t="s">
        <v>1749</v>
      </c>
      <c r="C200" s="5" t="s">
        <v>530</v>
      </c>
      <c r="D200" s="38">
        <v>0.46</v>
      </c>
      <c r="E200" s="39">
        <f t="shared" si="1"/>
        <v>2</v>
      </c>
      <c r="F200" s="21">
        <f>ifna(vlookup(C200,'Player Ages'!A198:E682,5,),"")</f>
        <v>21</v>
      </c>
      <c r="G200" s="39">
        <f t="shared" si="2"/>
        <v>1</v>
      </c>
      <c r="H200" s="39">
        <f t="shared" si="3"/>
        <v>3</v>
      </c>
      <c r="I200" s="19" t="str">
        <f>vlookup(C200,'Player Codes'!$A:$D,4,)</f>
        <v>0183</v>
      </c>
      <c r="J200" s="40" t="s">
        <v>673</v>
      </c>
      <c r="K200" s="5">
        <v>28.0</v>
      </c>
      <c r="L200" s="30">
        <f t="shared" si="4"/>
        <v>0.1</v>
      </c>
    </row>
    <row r="201">
      <c r="A201" s="23">
        <v>0.1</v>
      </c>
      <c r="B201" s="5" t="s">
        <v>1750</v>
      </c>
      <c r="C201" s="5" t="s">
        <v>1480</v>
      </c>
      <c r="D201" s="38">
        <v>0.17</v>
      </c>
      <c r="E201" s="39">
        <f t="shared" si="1"/>
        <v>1</v>
      </c>
      <c r="F201" s="21">
        <f>ifna(vlookup(C201,'Player Ages'!A199:E683,5,),"")</f>
        <v>25</v>
      </c>
      <c r="G201" s="39">
        <f t="shared" si="2"/>
        <v>1</v>
      </c>
      <c r="H201" s="39">
        <f t="shared" si="3"/>
        <v>2</v>
      </c>
      <c r="I201" s="4" t="s">
        <v>1556</v>
      </c>
      <c r="J201" s="40" t="s">
        <v>319</v>
      </c>
      <c r="K201" s="5">
        <v>35.0</v>
      </c>
      <c r="L201" s="30">
        <f t="shared" si="4"/>
        <v>0.06666666667</v>
      </c>
    </row>
    <row r="202">
      <c r="A202" s="19" t="s">
        <v>509</v>
      </c>
      <c r="B202" s="5" t="s">
        <v>1751</v>
      </c>
      <c r="C202" s="5" t="s">
        <v>510</v>
      </c>
      <c r="D202" s="38">
        <v>0.22</v>
      </c>
      <c r="E202" s="39">
        <f t="shared" si="1"/>
        <v>1</v>
      </c>
      <c r="F202" s="23">
        <v>24.0</v>
      </c>
      <c r="G202" s="39">
        <f t="shared" si="2"/>
        <v>1</v>
      </c>
      <c r="H202" s="39">
        <f t="shared" si="3"/>
        <v>2</v>
      </c>
      <c r="I202" s="19" t="str">
        <f>vlookup(C202,'Player Codes'!$A:$D,4,)</f>
        <v>0185</v>
      </c>
      <c r="J202" s="40" t="s">
        <v>317</v>
      </c>
      <c r="K202" s="5">
        <v>21.0</v>
      </c>
      <c r="L202" s="30">
        <f t="shared" si="4"/>
        <v>0.06666666667</v>
      </c>
    </row>
    <row r="203">
      <c r="A203" s="23">
        <v>0.1</v>
      </c>
      <c r="B203" s="5" t="s">
        <v>1752</v>
      </c>
      <c r="C203" s="5" t="s">
        <v>1482</v>
      </c>
      <c r="D203" s="38">
        <v>0.67</v>
      </c>
      <c r="E203" s="39">
        <f t="shared" si="1"/>
        <v>3</v>
      </c>
      <c r="F203" s="23">
        <v>22.0</v>
      </c>
      <c r="G203" s="39">
        <f t="shared" si="2"/>
        <v>1</v>
      </c>
      <c r="H203" s="39">
        <f t="shared" si="3"/>
        <v>4</v>
      </c>
      <c r="I203" s="4" t="s">
        <v>1556</v>
      </c>
      <c r="J203" s="40" t="s">
        <v>380</v>
      </c>
      <c r="K203" s="5">
        <v>21.0</v>
      </c>
      <c r="L203" s="30">
        <f t="shared" si="4"/>
        <v>0.1333333333</v>
      </c>
    </row>
    <row r="204">
      <c r="A204" s="23">
        <v>0.1</v>
      </c>
      <c r="B204" s="5" t="s">
        <v>1753</v>
      </c>
      <c r="C204" s="5" t="s">
        <v>1483</v>
      </c>
      <c r="D204" s="38">
        <v>0.42</v>
      </c>
      <c r="E204" s="39">
        <f t="shared" si="1"/>
        <v>2</v>
      </c>
      <c r="F204" s="21">
        <f>ifna(vlookup(C204,'Player Ages'!A202:E686,5,),"")</f>
        <v>29</v>
      </c>
      <c r="G204" s="39">
        <f t="shared" si="2"/>
        <v>2</v>
      </c>
      <c r="H204" s="39">
        <f t="shared" si="3"/>
        <v>4</v>
      </c>
      <c r="I204" s="4" t="s">
        <v>1556</v>
      </c>
      <c r="J204" s="40" t="s">
        <v>690</v>
      </c>
      <c r="K204" s="5">
        <v>29.0</v>
      </c>
      <c r="L204" s="30">
        <f t="shared" si="4"/>
        <v>0.1333333333</v>
      </c>
    </row>
    <row r="205">
      <c r="A205" s="23">
        <v>0.1</v>
      </c>
      <c r="B205" s="5" t="s">
        <v>1754</v>
      </c>
      <c r="C205" s="5" t="s">
        <v>1484</v>
      </c>
      <c r="D205" s="38">
        <v>0.3</v>
      </c>
      <c r="E205" s="39">
        <f t="shared" si="1"/>
        <v>1</v>
      </c>
      <c r="F205" s="21">
        <f>ifna(vlookup(C205,'Player Ages'!A203:E687,5,),"")</f>
        <v>22</v>
      </c>
      <c r="G205" s="39">
        <f t="shared" si="2"/>
        <v>1</v>
      </c>
      <c r="H205" s="39">
        <f t="shared" si="3"/>
        <v>2</v>
      </c>
      <c r="I205" s="4" t="s">
        <v>1556</v>
      </c>
      <c r="J205" s="40" t="s">
        <v>1755</v>
      </c>
      <c r="K205" s="5">
        <v>36.0</v>
      </c>
      <c r="L205" s="30">
        <f t="shared" si="4"/>
        <v>0.06666666667</v>
      </c>
    </row>
    <row r="206">
      <c r="A206" s="19" t="s">
        <v>224</v>
      </c>
      <c r="B206" s="5" t="s">
        <v>1756</v>
      </c>
      <c r="C206" s="5" t="s">
        <v>225</v>
      </c>
      <c r="D206" s="38">
        <v>0.92</v>
      </c>
      <c r="E206" s="39">
        <f t="shared" si="1"/>
        <v>3</v>
      </c>
      <c r="F206" s="23">
        <v>25.0</v>
      </c>
      <c r="G206" s="39">
        <f t="shared" si="2"/>
        <v>1</v>
      </c>
      <c r="H206" s="39">
        <f t="shared" si="3"/>
        <v>4</v>
      </c>
      <c r="I206" s="19" t="str">
        <f>vlookup(C206,'Player Codes'!$A:$D,4,)</f>
        <v>0188</v>
      </c>
      <c r="J206" s="40" t="s">
        <v>693</v>
      </c>
      <c r="K206" s="5">
        <v>23.0</v>
      </c>
      <c r="L206" s="30">
        <f t="shared" si="4"/>
        <v>0.1333333333</v>
      </c>
    </row>
    <row r="207">
      <c r="A207" s="19" t="s">
        <v>456</v>
      </c>
      <c r="B207" s="5" t="s">
        <v>1757</v>
      </c>
      <c r="C207" s="5" t="s">
        <v>458</v>
      </c>
      <c r="D207" s="38">
        <v>0.35</v>
      </c>
      <c r="E207" s="39">
        <f t="shared" si="1"/>
        <v>2</v>
      </c>
      <c r="F207" s="21">
        <f>ifna(vlookup(C207,'Player Ages'!A205:E689,5,),"")</f>
        <v>23</v>
      </c>
      <c r="G207" s="39">
        <f t="shared" si="2"/>
        <v>1</v>
      </c>
      <c r="H207" s="39">
        <f t="shared" si="3"/>
        <v>3</v>
      </c>
      <c r="I207" s="19" t="str">
        <f>vlookup(C207,'Player Codes'!$A:$D,4,)</f>
        <v>0194</v>
      </c>
      <c r="J207" s="40" t="s">
        <v>1758</v>
      </c>
      <c r="K207" s="5">
        <v>30.0</v>
      </c>
      <c r="L207" s="30">
        <f t="shared" si="4"/>
        <v>0.1</v>
      </c>
    </row>
    <row r="208">
      <c r="A208" s="23">
        <v>0.1</v>
      </c>
      <c r="B208" s="5" t="s">
        <v>1759</v>
      </c>
      <c r="C208" s="5" t="s">
        <v>1485</v>
      </c>
      <c r="D208" s="38">
        <v>0.33</v>
      </c>
      <c r="E208" s="39">
        <f t="shared" si="1"/>
        <v>2</v>
      </c>
      <c r="F208" s="21">
        <f>ifna(vlookup(C208,'Player Ages'!A206:E690,5,),"")</f>
        <v>33</v>
      </c>
      <c r="G208" s="39">
        <f t="shared" si="2"/>
        <v>3</v>
      </c>
      <c r="H208" s="39">
        <f t="shared" si="3"/>
        <v>5</v>
      </c>
      <c r="I208" s="4" t="s">
        <v>1556</v>
      </c>
      <c r="J208" s="40" t="s">
        <v>652</v>
      </c>
      <c r="K208" s="5">
        <v>24.0</v>
      </c>
      <c r="L208" s="30">
        <f t="shared" si="4"/>
        <v>0.1666666667</v>
      </c>
    </row>
    <row r="209">
      <c r="A209" s="23">
        <v>0.1</v>
      </c>
      <c r="B209" s="5" t="s">
        <v>1760</v>
      </c>
      <c r="C209" s="5" t="s">
        <v>1486</v>
      </c>
      <c r="D209" s="38">
        <v>0.92</v>
      </c>
      <c r="E209" s="39">
        <f t="shared" si="1"/>
        <v>3</v>
      </c>
      <c r="F209" s="23">
        <v>28.0</v>
      </c>
      <c r="G209" s="39">
        <f t="shared" si="2"/>
        <v>2</v>
      </c>
      <c r="H209" s="39">
        <f t="shared" si="3"/>
        <v>5</v>
      </c>
      <c r="I209" s="4" t="s">
        <v>1556</v>
      </c>
      <c r="J209" s="40" t="s">
        <v>1490</v>
      </c>
      <c r="K209" s="5">
        <v>24.0</v>
      </c>
      <c r="L209" s="30">
        <f t="shared" si="4"/>
        <v>0.1666666667</v>
      </c>
    </row>
    <row r="210">
      <c r="A210" s="19" t="s">
        <v>592</v>
      </c>
      <c r="B210" s="5" t="s">
        <v>1761</v>
      </c>
      <c r="C210" s="5" t="s">
        <v>594</v>
      </c>
      <c r="D210" s="38">
        <v>0.32</v>
      </c>
      <c r="E210" s="39">
        <f t="shared" si="1"/>
        <v>2</v>
      </c>
      <c r="F210" s="21">
        <f>ifna(vlookup(C210,'Player Ages'!A208:E692,5,),"")</f>
        <v>28</v>
      </c>
      <c r="G210" s="39">
        <f t="shared" si="2"/>
        <v>2</v>
      </c>
      <c r="H210" s="39">
        <f t="shared" si="3"/>
        <v>4</v>
      </c>
      <c r="I210" s="19" t="str">
        <f>vlookup(C210,'Player Codes'!$A:$D,4,)</f>
        <v>0207</v>
      </c>
      <c r="J210" s="40" t="s">
        <v>1457</v>
      </c>
      <c r="K210" s="5">
        <v>23.0</v>
      </c>
      <c r="L210" s="30">
        <f t="shared" si="4"/>
        <v>0.1333333333</v>
      </c>
    </row>
    <row r="211">
      <c r="A211" s="23">
        <v>0.1</v>
      </c>
      <c r="B211" s="5" t="s">
        <v>1762</v>
      </c>
      <c r="C211" s="5" t="s">
        <v>1487</v>
      </c>
      <c r="D211" s="38">
        <v>0.68</v>
      </c>
      <c r="E211" s="39">
        <f t="shared" si="1"/>
        <v>3</v>
      </c>
      <c r="F211" s="23">
        <v>30.0</v>
      </c>
      <c r="G211" s="39">
        <f t="shared" si="2"/>
        <v>2</v>
      </c>
      <c r="H211" s="39">
        <f t="shared" si="3"/>
        <v>5</v>
      </c>
      <c r="I211" s="4" t="s">
        <v>1556</v>
      </c>
      <c r="J211" s="40" t="s">
        <v>612</v>
      </c>
      <c r="K211" s="5">
        <v>29.0</v>
      </c>
      <c r="L211" s="30">
        <f t="shared" si="4"/>
        <v>0.1666666667</v>
      </c>
    </row>
    <row r="212">
      <c r="A212" s="23">
        <v>0.1</v>
      </c>
      <c r="B212" s="5" t="s">
        <v>1763</v>
      </c>
      <c r="C212" s="5" t="s">
        <v>1471</v>
      </c>
      <c r="D212" s="38">
        <v>0.57</v>
      </c>
      <c r="E212" s="39">
        <f t="shared" si="1"/>
        <v>2</v>
      </c>
      <c r="F212" s="23">
        <v>24.0</v>
      </c>
      <c r="G212" s="39">
        <f t="shared" si="2"/>
        <v>1</v>
      </c>
      <c r="H212" s="39">
        <f t="shared" si="3"/>
        <v>3</v>
      </c>
      <c r="I212" s="19" t="str">
        <f>vlookup(C212,'Player Codes'!$A:$D,4,)</f>
        <v>0303</v>
      </c>
      <c r="J212" s="40" t="s">
        <v>1764</v>
      </c>
      <c r="K212" s="5">
        <v>40.0</v>
      </c>
      <c r="L212" s="30">
        <f t="shared" si="4"/>
        <v>0.1</v>
      </c>
    </row>
    <row r="213">
      <c r="A213" s="19" t="s">
        <v>81</v>
      </c>
      <c r="B213" s="5" t="s">
        <v>1765</v>
      </c>
      <c r="C213" s="5" t="s">
        <v>83</v>
      </c>
      <c r="D213" s="38">
        <v>0.77</v>
      </c>
      <c r="E213" s="39">
        <f t="shared" si="1"/>
        <v>3</v>
      </c>
      <c r="F213" s="23">
        <v>26.0</v>
      </c>
      <c r="G213" s="39">
        <f t="shared" si="2"/>
        <v>2</v>
      </c>
      <c r="H213" s="39">
        <f t="shared" si="3"/>
        <v>5</v>
      </c>
      <c r="I213" s="19" t="str">
        <f>vlookup(C213,'Player Codes'!$A:$D,4,)</f>
        <v>0221</v>
      </c>
      <c r="J213" s="40" t="s">
        <v>1508</v>
      </c>
      <c r="K213" s="5">
        <v>22.0</v>
      </c>
      <c r="L213" s="30">
        <f t="shared" si="4"/>
        <v>0.1666666667</v>
      </c>
    </row>
    <row r="214">
      <c r="A214" s="19" t="s">
        <v>73</v>
      </c>
      <c r="B214" s="5" t="s">
        <v>1766</v>
      </c>
      <c r="C214" s="5" t="s">
        <v>75</v>
      </c>
      <c r="D214" s="38">
        <v>0.67</v>
      </c>
      <c r="E214" s="39">
        <f t="shared" si="1"/>
        <v>3</v>
      </c>
      <c r="F214" s="23">
        <v>25.0</v>
      </c>
      <c r="G214" s="39">
        <f t="shared" si="2"/>
        <v>1</v>
      </c>
      <c r="H214" s="39">
        <f t="shared" si="3"/>
        <v>4</v>
      </c>
      <c r="I214" s="19" t="str">
        <f>vlookup(C214,'Player Codes'!$A:$D,4,)</f>
        <v>0223</v>
      </c>
      <c r="J214" s="40" t="s">
        <v>597</v>
      </c>
      <c r="K214" s="5">
        <v>32.0</v>
      </c>
      <c r="L214" s="30">
        <f t="shared" si="4"/>
        <v>0.1333333333</v>
      </c>
    </row>
    <row r="215">
      <c r="A215" s="19" t="s">
        <v>20</v>
      </c>
      <c r="B215" s="5" t="s">
        <v>1767</v>
      </c>
      <c r="C215" s="5" t="s">
        <v>22</v>
      </c>
      <c r="D215" s="38">
        <v>0.63</v>
      </c>
      <c r="E215" s="39">
        <f t="shared" si="1"/>
        <v>3</v>
      </c>
      <c r="F215" s="23">
        <v>27.0</v>
      </c>
      <c r="G215" s="39">
        <f t="shared" si="2"/>
        <v>2</v>
      </c>
      <c r="H215" s="39">
        <f t="shared" si="3"/>
        <v>5</v>
      </c>
      <c r="I215" s="19" t="str">
        <f>vlookup(C215,'Player Codes'!$A:$D,4,)</f>
        <v>0228</v>
      </c>
      <c r="J215" s="40" t="s">
        <v>1768</v>
      </c>
      <c r="K215" s="5">
        <v>30.0</v>
      </c>
      <c r="L215" s="30">
        <f t="shared" si="4"/>
        <v>0.1666666667</v>
      </c>
    </row>
    <row r="216">
      <c r="A216" s="23">
        <v>0.1</v>
      </c>
      <c r="B216" s="5" t="s">
        <v>1769</v>
      </c>
      <c r="C216" s="5" t="s">
        <v>1489</v>
      </c>
      <c r="D216" s="38">
        <v>0.22</v>
      </c>
      <c r="E216" s="39">
        <f t="shared" si="1"/>
        <v>1</v>
      </c>
      <c r="F216" s="23">
        <v>26.0</v>
      </c>
      <c r="G216" s="39">
        <f t="shared" si="2"/>
        <v>2</v>
      </c>
      <c r="H216" s="39">
        <f t="shared" si="3"/>
        <v>3</v>
      </c>
      <c r="I216" s="4" t="s">
        <v>1556</v>
      </c>
      <c r="J216" s="40" t="s">
        <v>1444</v>
      </c>
      <c r="K216" s="5">
        <v>30.0</v>
      </c>
      <c r="L216" s="30">
        <f t="shared" si="4"/>
        <v>0.1</v>
      </c>
    </row>
    <row r="217">
      <c r="A217" s="23">
        <v>0.1</v>
      </c>
      <c r="B217" s="5" t="s">
        <v>1770</v>
      </c>
      <c r="C217" s="5" t="s">
        <v>1490</v>
      </c>
      <c r="D217" s="38">
        <v>0.33</v>
      </c>
      <c r="E217" s="39">
        <f t="shared" si="1"/>
        <v>2</v>
      </c>
      <c r="F217" s="23">
        <v>24.0</v>
      </c>
      <c r="G217" s="39">
        <f t="shared" si="2"/>
        <v>1</v>
      </c>
      <c r="H217" s="39">
        <f t="shared" si="3"/>
        <v>3</v>
      </c>
      <c r="I217" s="4" t="s">
        <v>1556</v>
      </c>
      <c r="J217" s="40" t="s">
        <v>548</v>
      </c>
      <c r="K217" s="5">
        <v>27.0</v>
      </c>
      <c r="L217" s="30">
        <f t="shared" si="4"/>
        <v>0.1</v>
      </c>
    </row>
    <row r="218">
      <c r="A218" s="19" t="s">
        <v>253</v>
      </c>
      <c r="B218" s="5" t="s">
        <v>1771</v>
      </c>
      <c r="C218" s="5" t="s">
        <v>254</v>
      </c>
      <c r="D218" s="38">
        <v>0.61</v>
      </c>
      <c r="E218" s="39">
        <f t="shared" si="1"/>
        <v>3</v>
      </c>
      <c r="F218" s="23">
        <v>24.0</v>
      </c>
      <c r="G218" s="39">
        <f t="shared" si="2"/>
        <v>1</v>
      </c>
      <c r="H218" s="39">
        <f t="shared" si="3"/>
        <v>4</v>
      </c>
      <c r="I218" s="19" t="str">
        <f>vlookup(C218,'Player Codes'!$A:$D,4,)</f>
        <v>0240</v>
      </c>
      <c r="J218" s="40" t="s">
        <v>368</v>
      </c>
      <c r="K218" s="5">
        <v>22.0</v>
      </c>
      <c r="L218" s="30">
        <f t="shared" si="4"/>
        <v>0.1333333333</v>
      </c>
    </row>
    <row r="219">
      <c r="A219" s="19" t="s">
        <v>391</v>
      </c>
      <c r="B219" s="5" t="s">
        <v>1772</v>
      </c>
      <c r="C219" s="5" t="s">
        <v>393</v>
      </c>
      <c r="D219" s="38">
        <v>0.85</v>
      </c>
      <c r="E219" s="39">
        <f t="shared" si="1"/>
        <v>3</v>
      </c>
      <c r="F219" s="23">
        <v>31.0</v>
      </c>
      <c r="G219" s="39">
        <f t="shared" si="2"/>
        <v>3</v>
      </c>
      <c r="H219" s="39">
        <f t="shared" si="3"/>
        <v>6</v>
      </c>
      <c r="I219" s="19" t="str">
        <f>vlookup(C219,'Player Codes'!$A:$D,4,)</f>
        <v>0241</v>
      </c>
      <c r="J219" s="40" t="s">
        <v>1773</v>
      </c>
      <c r="K219" s="5">
        <v>34.0</v>
      </c>
      <c r="L219" s="30">
        <f t="shared" si="4"/>
        <v>0.2</v>
      </c>
    </row>
    <row r="220">
      <c r="A220" s="19" t="s">
        <v>398</v>
      </c>
      <c r="B220" s="5" t="s">
        <v>1774</v>
      </c>
      <c r="C220" s="5" t="s">
        <v>400</v>
      </c>
      <c r="D220" s="38">
        <v>0.91</v>
      </c>
      <c r="E220" s="39">
        <f t="shared" si="1"/>
        <v>3</v>
      </c>
      <c r="F220" s="23">
        <v>27.0</v>
      </c>
      <c r="G220" s="39">
        <f t="shared" si="2"/>
        <v>2</v>
      </c>
      <c r="H220" s="39">
        <f t="shared" si="3"/>
        <v>5</v>
      </c>
      <c r="I220" s="19" t="str">
        <f>vlookup(C220,'Player Codes'!$A:$D,4,)</f>
        <v>0242</v>
      </c>
      <c r="J220" s="40" t="s">
        <v>760</v>
      </c>
      <c r="K220" s="5">
        <v>39.0</v>
      </c>
      <c r="L220" s="30">
        <f t="shared" si="4"/>
        <v>0.1666666667</v>
      </c>
    </row>
    <row r="221">
      <c r="A221" s="19" t="s">
        <v>61</v>
      </c>
      <c r="B221" s="5" t="s">
        <v>1775</v>
      </c>
      <c r="C221" s="5" t="s">
        <v>63</v>
      </c>
      <c r="D221" s="38">
        <v>0.81</v>
      </c>
      <c r="E221" s="39">
        <f t="shared" si="1"/>
        <v>3</v>
      </c>
      <c r="F221" s="23">
        <v>25.0</v>
      </c>
      <c r="G221" s="39">
        <f t="shared" si="2"/>
        <v>1</v>
      </c>
      <c r="H221" s="39">
        <f t="shared" si="3"/>
        <v>4</v>
      </c>
      <c r="I221" s="19" t="str">
        <f>vlookup(C221,'Player Codes'!$A:$D,4,)</f>
        <v>0246</v>
      </c>
      <c r="J221" s="40" t="s">
        <v>1505</v>
      </c>
      <c r="K221" s="5">
        <v>25.0</v>
      </c>
      <c r="L221" s="30">
        <f t="shared" si="4"/>
        <v>0.1333333333</v>
      </c>
    </row>
    <row r="222">
      <c r="A222" s="23">
        <v>0.1</v>
      </c>
      <c r="B222" s="5" t="s">
        <v>1776</v>
      </c>
      <c r="C222" s="5" t="s">
        <v>1491</v>
      </c>
      <c r="D222" s="38">
        <v>0.72</v>
      </c>
      <c r="E222" s="39">
        <f t="shared" si="1"/>
        <v>3</v>
      </c>
      <c r="F222" s="23">
        <v>26.0</v>
      </c>
      <c r="G222" s="39">
        <f t="shared" si="2"/>
        <v>2</v>
      </c>
      <c r="H222" s="39">
        <f t="shared" si="3"/>
        <v>5</v>
      </c>
      <c r="I222" s="4" t="s">
        <v>1556</v>
      </c>
      <c r="J222" s="40" t="s">
        <v>1264</v>
      </c>
      <c r="K222" s="5">
        <v>25.0</v>
      </c>
      <c r="L222" s="30">
        <f t="shared" si="4"/>
        <v>0.1666666667</v>
      </c>
    </row>
    <row r="223">
      <c r="A223" s="19" t="s">
        <v>339</v>
      </c>
      <c r="B223" s="5" t="s">
        <v>1777</v>
      </c>
      <c r="C223" s="5" t="s">
        <v>341</v>
      </c>
      <c r="D223" s="38">
        <v>0.39</v>
      </c>
      <c r="E223" s="39">
        <f t="shared" si="1"/>
        <v>2</v>
      </c>
      <c r="F223" s="23">
        <v>27.0</v>
      </c>
      <c r="G223" s="39">
        <f t="shared" si="2"/>
        <v>2</v>
      </c>
      <c r="H223" s="39">
        <f t="shared" si="3"/>
        <v>4</v>
      </c>
      <c r="I223" s="19" t="str">
        <f>vlookup(C223,'Player Codes'!$A:$D,4,)</f>
        <v>0257</v>
      </c>
      <c r="J223" s="40" t="s">
        <v>1520</v>
      </c>
      <c r="K223" s="5">
        <v>29.0</v>
      </c>
      <c r="L223" s="30">
        <f t="shared" si="4"/>
        <v>0.1333333333</v>
      </c>
    </row>
    <row r="224">
      <c r="A224" s="19" t="s">
        <v>24</v>
      </c>
      <c r="B224" s="5" t="s">
        <v>1778</v>
      </c>
      <c r="C224" s="5" t="s">
        <v>26</v>
      </c>
      <c r="D224" s="38">
        <v>0.62</v>
      </c>
      <c r="E224" s="39">
        <f t="shared" si="1"/>
        <v>3</v>
      </c>
      <c r="F224" s="23">
        <v>26.0</v>
      </c>
      <c r="G224" s="39">
        <f t="shared" si="2"/>
        <v>2</v>
      </c>
      <c r="H224" s="39">
        <f t="shared" si="3"/>
        <v>5</v>
      </c>
      <c r="I224" s="19" t="str">
        <f>vlookup(C224,'Player Codes'!$A:$D,4,)</f>
        <v>0259</v>
      </c>
      <c r="J224" s="40" t="s">
        <v>860</v>
      </c>
      <c r="K224" s="5">
        <v>24.0</v>
      </c>
      <c r="L224" s="30">
        <f t="shared" si="4"/>
        <v>0.1666666667</v>
      </c>
    </row>
    <row r="225">
      <c r="A225" s="19" t="s">
        <v>449</v>
      </c>
      <c r="B225" s="5" t="s">
        <v>1779</v>
      </c>
      <c r="C225" s="5" t="s">
        <v>451</v>
      </c>
      <c r="D225" s="38">
        <v>0.22</v>
      </c>
      <c r="E225" s="39">
        <f t="shared" si="1"/>
        <v>1</v>
      </c>
      <c r="F225" s="21">
        <f>ifna(vlookup(C225,'Player Ages'!A223:E707,5,),"")</f>
        <v>21</v>
      </c>
      <c r="G225" s="39">
        <f t="shared" si="2"/>
        <v>1</v>
      </c>
      <c r="H225" s="39">
        <f t="shared" si="3"/>
        <v>2</v>
      </c>
      <c r="I225" s="19" t="str">
        <f>vlookup(C225,'Player Codes'!$A:$D,4,)</f>
        <v>0266</v>
      </c>
      <c r="J225" s="40" t="s">
        <v>742</v>
      </c>
      <c r="K225" s="5">
        <v>33.0</v>
      </c>
      <c r="L225" s="30">
        <f t="shared" si="4"/>
        <v>0.06666666667</v>
      </c>
    </row>
    <row r="226">
      <c r="A226" s="19" t="s">
        <v>33</v>
      </c>
      <c r="B226" s="5" t="s">
        <v>1780</v>
      </c>
      <c r="C226" s="5" t="s">
        <v>35</v>
      </c>
      <c r="D226" s="38">
        <v>0.52</v>
      </c>
      <c r="E226" s="39">
        <f t="shared" si="1"/>
        <v>2</v>
      </c>
      <c r="F226" s="23">
        <v>26.0</v>
      </c>
      <c r="G226" s="39">
        <f t="shared" si="2"/>
        <v>2</v>
      </c>
      <c r="H226" s="39">
        <f t="shared" si="3"/>
        <v>4</v>
      </c>
      <c r="I226" s="19" t="str">
        <f>vlookup(C226,'Player Codes'!$A:$D,4,)</f>
        <v>0274</v>
      </c>
      <c r="J226" s="40" t="s">
        <v>708</v>
      </c>
      <c r="K226" s="5">
        <v>23.0</v>
      </c>
      <c r="L226" s="30">
        <f t="shared" si="4"/>
        <v>0.1333333333</v>
      </c>
    </row>
    <row r="227">
      <c r="A227" s="23">
        <v>0.1</v>
      </c>
      <c r="B227" s="5" t="s">
        <v>1781</v>
      </c>
      <c r="C227" s="5" t="s">
        <v>1494</v>
      </c>
      <c r="D227" s="38">
        <v>0.6</v>
      </c>
      <c r="E227" s="39">
        <f t="shared" si="1"/>
        <v>2</v>
      </c>
      <c r="F227" s="23">
        <v>24.0</v>
      </c>
      <c r="G227" s="39">
        <f t="shared" si="2"/>
        <v>1</v>
      </c>
      <c r="H227" s="39">
        <f t="shared" si="3"/>
        <v>3</v>
      </c>
      <c r="I227" s="4" t="s">
        <v>1556</v>
      </c>
      <c r="J227" s="40" t="s">
        <v>893</v>
      </c>
      <c r="K227" s="5">
        <v>23.0</v>
      </c>
      <c r="L227" s="30">
        <f t="shared" si="4"/>
        <v>0.1</v>
      </c>
    </row>
    <row r="228">
      <c r="A228" s="23">
        <v>0.1</v>
      </c>
      <c r="B228" s="5" t="s">
        <v>1782</v>
      </c>
      <c r="C228" s="5" t="s">
        <v>1496</v>
      </c>
      <c r="D228" s="38">
        <v>0.18</v>
      </c>
      <c r="E228" s="39">
        <f t="shared" si="1"/>
        <v>1</v>
      </c>
      <c r="F228" s="23">
        <v>25.0</v>
      </c>
      <c r="G228" s="39">
        <f t="shared" si="2"/>
        <v>1</v>
      </c>
      <c r="H228" s="39">
        <f t="shared" si="3"/>
        <v>2</v>
      </c>
      <c r="I228" s="4" t="s">
        <v>1556</v>
      </c>
      <c r="J228" s="40" t="s">
        <v>711</v>
      </c>
      <c r="K228" s="5">
        <v>33.0</v>
      </c>
      <c r="L228" s="30">
        <f t="shared" si="4"/>
        <v>0.06666666667</v>
      </c>
    </row>
    <row r="229">
      <c r="A229" s="23">
        <v>0.1</v>
      </c>
      <c r="B229" s="5" t="s">
        <v>1783</v>
      </c>
      <c r="C229" s="5" t="s">
        <v>1498</v>
      </c>
      <c r="D229" s="38">
        <v>0.31</v>
      </c>
      <c r="E229" s="39">
        <f t="shared" si="1"/>
        <v>2</v>
      </c>
      <c r="F229" s="21">
        <f>ifna(vlookup(C229,'Player Ages'!A227:E711,5,),"")</f>
        <v>24</v>
      </c>
      <c r="G229" s="39">
        <f t="shared" si="2"/>
        <v>1</v>
      </c>
      <c r="H229" s="39">
        <f t="shared" si="3"/>
        <v>3</v>
      </c>
      <c r="I229" s="4" t="s">
        <v>1556</v>
      </c>
      <c r="J229" s="40" t="s">
        <v>526</v>
      </c>
      <c r="K229" s="5">
        <v>22.0</v>
      </c>
      <c r="L229" s="30">
        <f t="shared" si="4"/>
        <v>0.1</v>
      </c>
    </row>
    <row r="230">
      <c r="A230" s="19" t="s">
        <v>695</v>
      </c>
      <c r="B230" s="5" t="s">
        <v>1784</v>
      </c>
      <c r="C230" s="5" t="s">
        <v>696</v>
      </c>
      <c r="D230" s="38">
        <v>0.22</v>
      </c>
      <c r="E230" s="39">
        <f t="shared" si="1"/>
        <v>1</v>
      </c>
      <c r="F230" s="21">
        <f>ifna(vlookup(C230,'Player Ages'!A228:E712,5,),"")</f>
        <v>25</v>
      </c>
      <c r="G230" s="39">
        <f t="shared" si="2"/>
        <v>1</v>
      </c>
      <c r="H230" s="39">
        <f t="shared" si="3"/>
        <v>2</v>
      </c>
      <c r="I230" s="19" t="str">
        <f>vlookup(C230,'Player Codes'!$A:$D,4,)</f>
        <v>0282</v>
      </c>
      <c r="J230" s="40" t="s">
        <v>1502</v>
      </c>
      <c r="K230" s="5">
        <v>32.0</v>
      </c>
      <c r="L230" s="30">
        <f t="shared" si="4"/>
        <v>0.06666666667</v>
      </c>
    </row>
    <row r="231">
      <c r="A231" s="23">
        <v>0.1</v>
      </c>
      <c r="B231" s="5" t="s">
        <v>1785</v>
      </c>
      <c r="C231" s="5" t="s">
        <v>1501</v>
      </c>
      <c r="D231" s="38">
        <v>0.76</v>
      </c>
      <c r="E231" s="39">
        <f t="shared" si="1"/>
        <v>3</v>
      </c>
      <c r="F231" s="21">
        <f>ifna(vlookup(C231,'Player Ages'!A229:E713,5,),"")</f>
        <v>30</v>
      </c>
      <c r="G231" s="39">
        <f t="shared" si="2"/>
        <v>2</v>
      </c>
      <c r="H231" s="39">
        <f t="shared" si="3"/>
        <v>5</v>
      </c>
      <c r="I231" s="4" t="s">
        <v>1556</v>
      </c>
      <c r="J231" s="40" t="s">
        <v>609</v>
      </c>
      <c r="K231" s="5">
        <v>28.0</v>
      </c>
      <c r="L231" s="30">
        <f t="shared" si="4"/>
        <v>0.1666666667</v>
      </c>
    </row>
    <row r="232">
      <c r="A232" s="19" t="s">
        <v>584</v>
      </c>
      <c r="B232" s="5" t="s">
        <v>1786</v>
      </c>
      <c r="C232" s="5" t="s">
        <v>585</v>
      </c>
      <c r="D232" s="38">
        <v>0.24</v>
      </c>
      <c r="E232" s="39">
        <f t="shared" si="1"/>
        <v>1</v>
      </c>
      <c r="F232" s="21">
        <f>ifna(vlookup(C232,'Player Ages'!A230:E714,5,),"")</f>
        <v>22</v>
      </c>
      <c r="G232" s="39">
        <f t="shared" si="2"/>
        <v>1</v>
      </c>
      <c r="H232" s="39">
        <f t="shared" si="3"/>
        <v>2</v>
      </c>
      <c r="I232" s="19" t="str">
        <f>vlookup(C232,'Player Codes'!$A:$D,4,)</f>
        <v>0283</v>
      </c>
      <c r="J232" s="40" t="s">
        <v>1787</v>
      </c>
      <c r="K232" s="5">
        <v>46.0</v>
      </c>
      <c r="L232" s="30">
        <f t="shared" si="4"/>
        <v>0.06666666667</v>
      </c>
    </row>
    <row r="233">
      <c r="A233" s="19" t="s">
        <v>460</v>
      </c>
      <c r="B233" s="5" t="s">
        <v>1788</v>
      </c>
      <c r="C233" s="5" t="s">
        <v>461</v>
      </c>
      <c r="D233" s="38">
        <v>0.32</v>
      </c>
      <c r="E233" s="39">
        <f t="shared" si="1"/>
        <v>2</v>
      </c>
      <c r="F233" s="23">
        <v>23.0</v>
      </c>
      <c r="G233" s="39">
        <f t="shared" si="2"/>
        <v>1</v>
      </c>
      <c r="H233" s="39">
        <f t="shared" si="3"/>
        <v>3</v>
      </c>
      <c r="I233" s="19" t="str">
        <f>vlookup(C233,'Player Codes'!$A:$D,4,)</f>
        <v>0284</v>
      </c>
      <c r="J233" s="40" t="s">
        <v>1470</v>
      </c>
      <c r="K233" s="5">
        <v>24.0</v>
      </c>
      <c r="L233" s="30">
        <f t="shared" si="4"/>
        <v>0.1</v>
      </c>
    </row>
    <row r="234">
      <c r="A234" s="23">
        <v>0.1</v>
      </c>
      <c r="B234" s="5" t="s">
        <v>1789</v>
      </c>
      <c r="C234" s="5" t="s">
        <v>1504</v>
      </c>
      <c r="D234" s="38">
        <v>0.24</v>
      </c>
      <c r="E234" s="39">
        <f t="shared" si="1"/>
        <v>1</v>
      </c>
      <c r="F234" s="21">
        <f>ifna(vlookup(C234,'Player Ages'!A232:E716,5,),"")</f>
        <v>22</v>
      </c>
      <c r="G234" s="39">
        <f t="shared" si="2"/>
        <v>1</v>
      </c>
      <c r="H234" s="39">
        <f t="shared" si="3"/>
        <v>2</v>
      </c>
      <c r="I234" s="4" t="s">
        <v>1556</v>
      </c>
      <c r="J234" s="40" t="s">
        <v>520</v>
      </c>
      <c r="K234" s="5">
        <v>32.0</v>
      </c>
      <c r="L234" s="30">
        <f t="shared" si="4"/>
        <v>0.06666666667</v>
      </c>
    </row>
    <row r="235">
      <c r="A235" s="19" t="s">
        <v>366</v>
      </c>
      <c r="B235" s="5" t="s">
        <v>1790</v>
      </c>
      <c r="C235" s="5" t="s">
        <v>368</v>
      </c>
      <c r="D235" s="38">
        <v>0.4</v>
      </c>
      <c r="E235" s="39">
        <f t="shared" si="1"/>
        <v>2</v>
      </c>
      <c r="F235" s="23">
        <v>22.0</v>
      </c>
      <c r="G235" s="39">
        <f t="shared" si="2"/>
        <v>1</v>
      </c>
      <c r="H235" s="39">
        <f t="shared" si="3"/>
        <v>3</v>
      </c>
      <c r="I235" s="19" t="str">
        <f>vlookup(C235,'Player Codes'!$A:$D,4,)</f>
        <v>0296</v>
      </c>
      <c r="J235" s="40" t="s">
        <v>1791</v>
      </c>
      <c r="K235" s="5">
        <v>26.0</v>
      </c>
      <c r="L235" s="30">
        <f t="shared" si="4"/>
        <v>0.1</v>
      </c>
    </row>
    <row r="236">
      <c r="A236" s="23">
        <v>0.1</v>
      </c>
      <c r="B236" s="5" t="s">
        <v>1792</v>
      </c>
      <c r="C236" s="5" t="s">
        <v>1505</v>
      </c>
      <c r="D236" s="38">
        <v>0.33</v>
      </c>
      <c r="E236" s="39">
        <f t="shared" si="1"/>
        <v>2</v>
      </c>
      <c r="F236" s="23">
        <v>25.0</v>
      </c>
      <c r="G236" s="39">
        <f t="shared" si="2"/>
        <v>1</v>
      </c>
      <c r="H236" s="39">
        <f t="shared" si="3"/>
        <v>3</v>
      </c>
      <c r="I236" s="4" t="s">
        <v>1556</v>
      </c>
      <c r="J236" s="40" t="s">
        <v>1793</v>
      </c>
      <c r="K236" s="5">
        <v>24.0</v>
      </c>
      <c r="L236" s="30">
        <f t="shared" si="4"/>
        <v>0.1</v>
      </c>
    </row>
    <row r="237">
      <c r="A237" s="19" t="s">
        <v>788</v>
      </c>
      <c r="B237" s="5" t="s">
        <v>1794</v>
      </c>
      <c r="C237" s="5" t="s">
        <v>790</v>
      </c>
      <c r="D237" s="38">
        <v>0.22</v>
      </c>
      <c r="E237" s="39">
        <f t="shared" si="1"/>
        <v>1</v>
      </c>
      <c r="F237" s="23">
        <v>23.0</v>
      </c>
      <c r="G237" s="39">
        <f t="shared" si="2"/>
        <v>1</v>
      </c>
      <c r="H237" s="39">
        <f t="shared" si="3"/>
        <v>2</v>
      </c>
      <c r="I237" s="19" t="str">
        <f>vlookup(C237,'Player Codes'!$A:$D,4,)</f>
        <v>0298</v>
      </c>
      <c r="J237" s="40" t="s">
        <v>1364</v>
      </c>
      <c r="K237" s="5">
        <v>30.0</v>
      </c>
      <c r="L237" s="30">
        <f t="shared" si="4"/>
        <v>0.06666666667</v>
      </c>
    </row>
    <row r="238">
      <c r="A238" s="23">
        <v>0.1</v>
      </c>
      <c r="B238" s="5" t="s">
        <v>1795</v>
      </c>
      <c r="C238" s="5" t="s">
        <v>1508</v>
      </c>
      <c r="D238" s="38">
        <v>0.17</v>
      </c>
      <c r="E238" s="39">
        <f t="shared" si="1"/>
        <v>1</v>
      </c>
      <c r="F238" s="23">
        <v>22.0</v>
      </c>
      <c r="G238" s="39">
        <f t="shared" si="2"/>
        <v>1</v>
      </c>
      <c r="H238" s="39">
        <f t="shared" si="3"/>
        <v>2</v>
      </c>
      <c r="I238" s="4" t="s">
        <v>1556</v>
      </c>
      <c r="J238" s="40" t="s">
        <v>1450</v>
      </c>
      <c r="K238" s="5">
        <v>23.0</v>
      </c>
      <c r="L238" s="30">
        <f t="shared" si="4"/>
        <v>0.06666666667</v>
      </c>
    </row>
    <row r="239">
      <c r="A239" s="19" t="s">
        <v>195</v>
      </c>
      <c r="B239" s="5" t="s">
        <v>1796</v>
      </c>
      <c r="C239" s="5" t="s">
        <v>196</v>
      </c>
      <c r="D239" s="38">
        <v>0.39</v>
      </c>
      <c r="E239" s="39">
        <f t="shared" si="1"/>
        <v>2</v>
      </c>
      <c r="F239" s="23">
        <v>39.0</v>
      </c>
      <c r="G239" s="39">
        <f t="shared" si="2"/>
        <v>3</v>
      </c>
      <c r="H239" s="39">
        <f t="shared" si="3"/>
        <v>5</v>
      </c>
      <c r="I239" s="19" t="str">
        <f>vlookup(C239,'Player Codes'!$A:$D,4,)</f>
        <v>0003</v>
      </c>
      <c r="J239" s="40" t="s">
        <v>688</v>
      </c>
      <c r="K239" s="5">
        <v>36.0</v>
      </c>
      <c r="L239" s="30">
        <f t="shared" si="4"/>
        <v>0.1666666667</v>
      </c>
    </row>
    <row r="240">
      <c r="A240" s="23">
        <v>0.1</v>
      </c>
      <c r="B240" s="5" t="s">
        <v>1797</v>
      </c>
      <c r="C240" s="5" t="s">
        <v>1281</v>
      </c>
      <c r="D240" s="38">
        <v>0.49</v>
      </c>
      <c r="E240" s="39">
        <f t="shared" si="1"/>
        <v>2</v>
      </c>
      <c r="F240" s="21">
        <f>ifna(vlookup(C240,'Player Ages'!A238:E722,5,),"")</f>
        <v>35</v>
      </c>
      <c r="G240" s="39">
        <f t="shared" si="2"/>
        <v>3</v>
      </c>
      <c r="H240" s="39">
        <f t="shared" si="3"/>
        <v>5</v>
      </c>
      <c r="I240" s="4" t="s">
        <v>1556</v>
      </c>
      <c r="J240" s="40" t="s">
        <v>779</v>
      </c>
      <c r="K240" s="5">
        <v>21.0</v>
      </c>
      <c r="L240" s="30">
        <f t="shared" si="4"/>
        <v>0.1666666667</v>
      </c>
    </row>
    <row r="241">
      <c r="A241" s="19" t="s">
        <v>286</v>
      </c>
      <c r="B241" s="2" t="s">
        <v>1798</v>
      </c>
      <c r="C241" s="2" t="s">
        <v>288</v>
      </c>
      <c r="D241" s="38">
        <v>0.44</v>
      </c>
      <c r="E241" s="39">
        <f t="shared" si="1"/>
        <v>2</v>
      </c>
      <c r="F241" s="21">
        <f>ifna(vlookup(C241,'Player Ages'!A239:E723,5,),"")</f>
        <v>21</v>
      </c>
      <c r="G241" s="39">
        <f t="shared" si="2"/>
        <v>1</v>
      </c>
      <c r="H241" s="39">
        <f t="shared" si="3"/>
        <v>3</v>
      </c>
      <c r="I241" s="19" t="str">
        <f>vlookup(C241,'Player Codes'!$A:$D,4,)</f>
        <v>0014</v>
      </c>
      <c r="J241" s="40" t="s">
        <v>810</v>
      </c>
      <c r="K241" s="5">
        <v>28.0</v>
      </c>
      <c r="L241" s="30">
        <f t="shared" si="4"/>
        <v>0.1</v>
      </c>
    </row>
    <row r="242">
      <c r="A242" s="19" t="s">
        <v>562</v>
      </c>
      <c r="B242" s="5" t="s">
        <v>1799</v>
      </c>
      <c r="C242" s="5" t="s">
        <v>564</v>
      </c>
      <c r="D242" s="38">
        <v>0.59</v>
      </c>
      <c r="E242" s="39">
        <f t="shared" si="1"/>
        <v>2</v>
      </c>
      <c r="F242" s="21">
        <f>ifna(vlookup(C242,'Player Ages'!A240:E724,5,),"")</f>
        <v>28</v>
      </c>
      <c r="G242" s="39">
        <f t="shared" si="2"/>
        <v>2</v>
      </c>
      <c r="H242" s="39">
        <f t="shared" si="3"/>
        <v>4</v>
      </c>
      <c r="I242" s="19" t="str">
        <f>vlookup(C242,'Player Codes'!$A:$D,4,)</f>
        <v>0019</v>
      </c>
      <c r="J242" s="40" t="s">
        <v>1467</v>
      </c>
      <c r="K242" s="5">
        <v>28.0</v>
      </c>
      <c r="L242" s="30">
        <f t="shared" si="4"/>
        <v>0.1333333333</v>
      </c>
    </row>
    <row r="243">
      <c r="A243" s="23">
        <v>0.1</v>
      </c>
      <c r="B243" s="5" t="s">
        <v>1800</v>
      </c>
      <c r="C243" s="5" t="s">
        <v>1294</v>
      </c>
      <c r="D243" s="38">
        <v>0.19</v>
      </c>
      <c r="E243" s="39">
        <f t="shared" si="1"/>
        <v>1</v>
      </c>
      <c r="F243" s="23">
        <v>33.0</v>
      </c>
      <c r="G243" s="39">
        <f t="shared" si="2"/>
        <v>3</v>
      </c>
      <c r="H243" s="39">
        <f t="shared" si="3"/>
        <v>4</v>
      </c>
      <c r="I243" s="4" t="s">
        <v>1556</v>
      </c>
      <c r="J243" s="40" t="s">
        <v>458</v>
      </c>
      <c r="K243" s="5">
        <v>23.0</v>
      </c>
      <c r="L243" s="30">
        <f t="shared" si="4"/>
        <v>0.1333333333</v>
      </c>
    </row>
    <row r="244">
      <c r="A244" s="19" t="s">
        <v>381</v>
      </c>
      <c r="B244" s="5" t="s">
        <v>1801</v>
      </c>
      <c r="C244" s="5" t="s">
        <v>382</v>
      </c>
      <c r="D244" s="38">
        <v>0.18</v>
      </c>
      <c r="E244" s="39">
        <f t="shared" si="1"/>
        <v>1</v>
      </c>
      <c r="F244" s="21">
        <f>ifna(vlookup(C244,'Player Ages'!A242:E726,5,),"")</f>
        <v>23</v>
      </c>
      <c r="G244" s="39">
        <f t="shared" si="2"/>
        <v>1</v>
      </c>
      <c r="H244" s="39">
        <f t="shared" si="3"/>
        <v>2</v>
      </c>
      <c r="I244" s="19" t="str">
        <f>vlookup(C244,'Player Codes'!$A:$D,4,)</f>
        <v>0029</v>
      </c>
      <c r="J244" s="40" t="s">
        <v>817</v>
      </c>
      <c r="K244" s="5">
        <v>28.0</v>
      </c>
      <c r="L244" s="30">
        <f t="shared" si="4"/>
        <v>0.06666666667</v>
      </c>
    </row>
    <row r="245">
      <c r="A245" s="19" t="s">
        <v>304</v>
      </c>
      <c r="B245" s="5" t="s">
        <v>1802</v>
      </c>
      <c r="C245" s="5" t="s">
        <v>306</v>
      </c>
      <c r="D245" s="38">
        <v>0.31</v>
      </c>
      <c r="E245" s="39">
        <f t="shared" si="1"/>
        <v>2</v>
      </c>
      <c r="F245" s="21">
        <f>ifna(vlookup(C245,'Player Ages'!A243:E727,5,),"")</f>
        <v>22</v>
      </c>
      <c r="G245" s="39">
        <f t="shared" si="2"/>
        <v>1</v>
      </c>
      <c r="H245" s="39">
        <f t="shared" si="3"/>
        <v>3</v>
      </c>
      <c r="I245" s="19" t="str">
        <f>vlookup(C245,'Player Codes'!$A:$D,4,)</f>
        <v>0030</v>
      </c>
      <c r="J245" s="40" t="s">
        <v>451</v>
      </c>
      <c r="K245" s="5">
        <v>21.0</v>
      </c>
      <c r="L245" s="30">
        <f t="shared" si="4"/>
        <v>0.1</v>
      </c>
    </row>
    <row r="246">
      <c r="A246" s="19" t="s">
        <v>345</v>
      </c>
      <c r="B246" s="5" t="s">
        <v>1803</v>
      </c>
      <c r="C246" s="5" t="s">
        <v>346</v>
      </c>
      <c r="D246" s="38">
        <v>0.24</v>
      </c>
      <c r="E246" s="39">
        <f t="shared" si="1"/>
        <v>1</v>
      </c>
      <c r="F246" s="21">
        <f>ifna(vlookup(C246,'Player Ages'!A244:E728,5,),"")</f>
        <v>21</v>
      </c>
      <c r="G246" s="39">
        <f t="shared" si="2"/>
        <v>1</v>
      </c>
      <c r="H246" s="39">
        <f t="shared" si="3"/>
        <v>2</v>
      </c>
      <c r="I246" s="19" t="str">
        <f>vlookup(C246,'Player Codes'!$A:$D,4,)</f>
        <v>0032</v>
      </c>
      <c r="J246" s="40" t="s">
        <v>561</v>
      </c>
      <c r="K246" s="5">
        <v>29.0</v>
      </c>
      <c r="L246" s="30">
        <f t="shared" si="4"/>
        <v>0.06666666667</v>
      </c>
    </row>
    <row r="247">
      <c r="A247" s="23">
        <v>0.1</v>
      </c>
      <c r="B247" s="5" t="s">
        <v>1804</v>
      </c>
      <c r="C247" s="5" t="s">
        <v>1327</v>
      </c>
      <c r="D247" s="38">
        <v>0.64</v>
      </c>
      <c r="E247" s="39">
        <f t="shared" si="1"/>
        <v>3</v>
      </c>
      <c r="F247" s="21">
        <f>ifna(vlookup(C247,'Player Ages'!A245:E729,5,),"")</f>
        <v>30</v>
      </c>
      <c r="G247" s="39">
        <f t="shared" si="2"/>
        <v>2</v>
      </c>
      <c r="H247" s="39">
        <f t="shared" si="3"/>
        <v>5</v>
      </c>
      <c r="I247" s="4" t="s">
        <v>1556</v>
      </c>
      <c r="J247" s="40" t="s">
        <v>869</v>
      </c>
      <c r="K247" s="5">
        <v>24.0</v>
      </c>
      <c r="L247" s="30">
        <f t="shared" si="4"/>
        <v>0.1666666667</v>
      </c>
    </row>
    <row r="248">
      <c r="A248" s="23">
        <v>0.1</v>
      </c>
      <c r="B248" s="5" t="s">
        <v>1805</v>
      </c>
      <c r="C248" s="5" t="s">
        <v>1356</v>
      </c>
      <c r="D248" s="38">
        <v>0.22</v>
      </c>
      <c r="E248" s="39">
        <f t="shared" si="1"/>
        <v>1</v>
      </c>
      <c r="F248" s="23">
        <v>36.0</v>
      </c>
      <c r="G248" s="39">
        <f t="shared" si="2"/>
        <v>3</v>
      </c>
      <c r="H248" s="39">
        <f t="shared" si="3"/>
        <v>4</v>
      </c>
      <c r="I248" s="4" t="s">
        <v>1556</v>
      </c>
      <c r="J248" s="40" t="s">
        <v>1806</v>
      </c>
      <c r="K248" s="5">
        <v>30.0</v>
      </c>
      <c r="L248" s="30">
        <f t="shared" si="4"/>
        <v>0.1333333333</v>
      </c>
    </row>
    <row r="249">
      <c r="A249" s="19" t="s">
        <v>228</v>
      </c>
      <c r="B249" s="5" t="s">
        <v>1807</v>
      </c>
      <c r="C249" s="5" t="s">
        <v>229</v>
      </c>
      <c r="D249" s="38">
        <v>0.51</v>
      </c>
      <c r="E249" s="39">
        <f t="shared" si="1"/>
        <v>2</v>
      </c>
      <c r="F249" s="23">
        <v>30.0</v>
      </c>
      <c r="G249" s="39">
        <f t="shared" si="2"/>
        <v>2</v>
      </c>
      <c r="H249" s="39">
        <f t="shared" si="3"/>
        <v>4</v>
      </c>
      <c r="I249" s="19" t="str">
        <f>vlookup(C249,'Player Codes'!$A:$D,4,)</f>
        <v>0068</v>
      </c>
      <c r="J249" s="40" t="s">
        <v>1483</v>
      </c>
      <c r="K249" s="5">
        <v>29.0</v>
      </c>
      <c r="L249" s="30">
        <f t="shared" si="4"/>
        <v>0.1333333333</v>
      </c>
    </row>
    <row r="250">
      <c r="A250" s="19" t="s">
        <v>170</v>
      </c>
      <c r="B250" s="5" t="s">
        <v>1808</v>
      </c>
      <c r="C250" s="5" t="s">
        <v>173</v>
      </c>
      <c r="D250" s="38">
        <v>0.64</v>
      </c>
      <c r="E250" s="39">
        <f t="shared" si="1"/>
        <v>3</v>
      </c>
      <c r="F250" s="23">
        <v>26.0</v>
      </c>
      <c r="G250" s="39">
        <f t="shared" si="2"/>
        <v>2</v>
      </c>
      <c r="H250" s="39">
        <f t="shared" si="3"/>
        <v>5</v>
      </c>
      <c r="I250" s="19" t="str">
        <f>vlookup(C250,'Player Codes'!$A:$D,4,)</f>
        <v>0077</v>
      </c>
      <c r="J250" s="40" t="s">
        <v>1289</v>
      </c>
      <c r="K250" s="5">
        <v>28.0</v>
      </c>
      <c r="L250" s="30">
        <f t="shared" si="4"/>
        <v>0.1666666667</v>
      </c>
    </row>
    <row r="251">
      <c r="A251" s="23">
        <v>0.1</v>
      </c>
      <c r="B251" s="5" t="s">
        <v>1809</v>
      </c>
      <c r="C251" s="5" t="s">
        <v>1409</v>
      </c>
      <c r="D251" s="38">
        <v>0.18</v>
      </c>
      <c r="E251" s="39">
        <f t="shared" si="1"/>
        <v>1</v>
      </c>
      <c r="F251" s="21">
        <f>ifna(vlookup(C251,'Player Ages'!A249:E733,5,),"")</f>
        <v>24</v>
      </c>
      <c r="G251" s="39">
        <f t="shared" si="2"/>
        <v>1</v>
      </c>
      <c r="H251" s="39">
        <f t="shared" si="3"/>
        <v>2</v>
      </c>
      <c r="I251" s="4" t="s">
        <v>1556</v>
      </c>
      <c r="J251" s="40" t="s">
        <v>615</v>
      </c>
      <c r="K251" s="5">
        <v>29.0</v>
      </c>
      <c r="L251" s="30">
        <f t="shared" si="4"/>
        <v>0.06666666667</v>
      </c>
    </row>
    <row r="252">
      <c r="A252" s="19" t="s">
        <v>268</v>
      </c>
      <c r="B252" s="5" t="s">
        <v>1810</v>
      </c>
      <c r="C252" s="5" t="s">
        <v>269</v>
      </c>
      <c r="D252" s="38">
        <v>0.07</v>
      </c>
      <c r="E252" s="39">
        <f t="shared" si="1"/>
        <v>1</v>
      </c>
      <c r="F252" s="23">
        <v>32.0</v>
      </c>
      <c r="G252" s="39">
        <f t="shared" si="2"/>
        <v>3</v>
      </c>
      <c r="H252" s="39">
        <f t="shared" si="3"/>
        <v>4</v>
      </c>
      <c r="I252" s="19" t="str">
        <f>vlookup(C252,'Player Codes'!$A:$D,4,)</f>
        <v>0088</v>
      </c>
      <c r="J252" s="40" t="s">
        <v>1435</v>
      </c>
      <c r="K252" s="5">
        <v>25.0</v>
      </c>
      <c r="L252" s="30">
        <f t="shared" si="4"/>
        <v>0.1333333333</v>
      </c>
    </row>
    <row r="253">
      <c r="A253" s="19" t="s">
        <v>273</v>
      </c>
      <c r="B253" s="5" t="s">
        <v>1811</v>
      </c>
      <c r="C253" s="5" t="s">
        <v>275</v>
      </c>
      <c r="D253" s="38">
        <v>0.06</v>
      </c>
      <c r="E253" s="39">
        <f t="shared" si="1"/>
        <v>1</v>
      </c>
      <c r="F253" s="23">
        <v>27.0</v>
      </c>
      <c r="G253" s="39">
        <f t="shared" si="2"/>
        <v>2</v>
      </c>
      <c r="H253" s="39">
        <f t="shared" si="3"/>
        <v>3</v>
      </c>
      <c r="I253" s="19" t="str">
        <f>vlookup(C253,'Player Codes'!$A:$D,4,)</f>
        <v>0090</v>
      </c>
      <c r="J253" s="40" t="s">
        <v>1812</v>
      </c>
      <c r="K253" s="5">
        <v>24.0</v>
      </c>
      <c r="L253" s="30">
        <f t="shared" si="4"/>
        <v>0.1</v>
      </c>
    </row>
    <row r="254">
      <c r="A254" s="19" t="s">
        <v>362</v>
      </c>
      <c r="B254" s="5" t="s">
        <v>1813</v>
      </c>
      <c r="C254" s="5" t="s">
        <v>364</v>
      </c>
      <c r="D254" s="38">
        <v>0.26</v>
      </c>
      <c r="E254" s="39">
        <f t="shared" si="1"/>
        <v>1</v>
      </c>
      <c r="F254" s="21">
        <f>ifna(vlookup(C254,'Player Ages'!A252:E736,5,),"")</f>
        <v>23</v>
      </c>
      <c r="G254" s="39">
        <f t="shared" si="2"/>
        <v>1</v>
      </c>
      <c r="H254" s="39">
        <f t="shared" si="3"/>
        <v>2</v>
      </c>
      <c r="I254" s="19" t="str">
        <f>vlookup(C254,'Player Codes'!$A:$D,4,)</f>
        <v>0091</v>
      </c>
      <c r="J254" s="40" t="s">
        <v>1464</v>
      </c>
      <c r="K254" s="5">
        <v>24.0</v>
      </c>
      <c r="L254" s="30">
        <f t="shared" si="4"/>
        <v>0.06666666667</v>
      </c>
    </row>
    <row r="255">
      <c r="A255" s="23">
        <v>0.1</v>
      </c>
      <c r="B255" s="5" t="s">
        <v>1814</v>
      </c>
      <c r="C255" s="5" t="s">
        <v>1432</v>
      </c>
      <c r="D255" s="38">
        <v>0.3</v>
      </c>
      <c r="E255" s="39">
        <f t="shared" si="1"/>
        <v>1</v>
      </c>
      <c r="F255" s="23">
        <v>26.0</v>
      </c>
      <c r="G255" s="39">
        <f t="shared" si="2"/>
        <v>2</v>
      </c>
      <c r="H255" s="39">
        <f t="shared" si="3"/>
        <v>3</v>
      </c>
      <c r="I255" s="4" t="s">
        <v>1556</v>
      </c>
      <c r="J255" s="40" t="s">
        <v>1329</v>
      </c>
      <c r="K255" s="5">
        <v>25.0</v>
      </c>
      <c r="L255" s="30">
        <f t="shared" si="4"/>
        <v>0.1</v>
      </c>
    </row>
    <row r="256">
      <c r="A256" s="23">
        <v>0.1</v>
      </c>
      <c r="B256" s="5" t="s">
        <v>1815</v>
      </c>
      <c r="C256" s="5" t="s">
        <v>1440</v>
      </c>
      <c r="D256" s="38">
        <v>0.14</v>
      </c>
      <c r="E256" s="39">
        <f t="shared" si="1"/>
        <v>1</v>
      </c>
      <c r="F256" s="23">
        <v>27.0</v>
      </c>
      <c r="G256" s="39">
        <f t="shared" si="2"/>
        <v>2</v>
      </c>
      <c r="H256" s="39">
        <f t="shared" si="3"/>
        <v>3</v>
      </c>
      <c r="I256" s="4" t="s">
        <v>1556</v>
      </c>
      <c r="J256" s="40" t="s">
        <v>633</v>
      </c>
      <c r="K256" s="5">
        <v>33.0</v>
      </c>
      <c r="L256" s="30">
        <f t="shared" si="4"/>
        <v>0.1</v>
      </c>
    </row>
    <row r="257">
      <c r="A257" s="19" t="s">
        <v>226</v>
      </c>
      <c r="B257" s="5" t="s">
        <v>1816</v>
      </c>
      <c r="C257" s="5" t="s">
        <v>227</v>
      </c>
      <c r="D257" s="38">
        <v>0.2</v>
      </c>
      <c r="E257" s="39">
        <f t="shared" si="1"/>
        <v>1</v>
      </c>
      <c r="F257" s="23">
        <v>32.0</v>
      </c>
      <c r="G257" s="39">
        <f t="shared" si="2"/>
        <v>3</v>
      </c>
      <c r="H257" s="39">
        <f t="shared" si="3"/>
        <v>4</v>
      </c>
      <c r="I257" s="19" t="str">
        <f>vlookup(C257,'Player Codes'!$A:$D,4,)</f>
        <v>0112</v>
      </c>
      <c r="J257" s="40" t="s">
        <v>541</v>
      </c>
      <c r="K257" s="5">
        <v>35.0</v>
      </c>
      <c r="L257" s="30">
        <f t="shared" si="4"/>
        <v>0.1333333333</v>
      </c>
    </row>
    <row r="258">
      <c r="A258" s="23">
        <v>0.1</v>
      </c>
      <c r="B258" s="5" t="s">
        <v>1817</v>
      </c>
      <c r="C258" s="5" t="s">
        <v>1452</v>
      </c>
      <c r="D258" s="38">
        <v>0.35</v>
      </c>
      <c r="E258" s="39">
        <f t="shared" si="1"/>
        <v>2</v>
      </c>
      <c r="F258" s="23">
        <v>25.0</v>
      </c>
      <c r="G258" s="39">
        <f t="shared" si="2"/>
        <v>1</v>
      </c>
      <c r="H258" s="39">
        <f t="shared" si="3"/>
        <v>3</v>
      </c>
      <c r="I258" s="4" t="s">
        <v>1556</v>
      </c>
      <c r="J258" s="40" t="s">
        <v>1818</v>
      </c>
      <c r="K258" s="5">
        <v>27.0</v>
      </c>
      <c r="L258" s="30">
        <f t="shared" si="4"/>
        <v>0.1</v>
      </c>
    </row>
    <row r="259">
      <c r="A259" s="23">
        <v>0.1</v>
      </c>
      <c r="B259" s="5" t="s">
        <v>1819</v>
      </c>
      <c r="C259" s="5" t="s">
        <v>1461</v>
      </c>
      <c r="D259" s="38">
        <v>0.07</v>
      </c>
      <c r="E259" s="39">
        <f t="shared" si="1"/>
        <v>1</v>
      </c>
      <c r="F259" s="21">
        <f>ifna(vlookup(C259,'Player Ages'!A257:E741,5,),"")</f>
        <v>30</v>
      </c>
      <c r="G259" s="39">
        <f t="shared" si="2"/>
        <v>2</v>
      </c>
      <c r="H259" s="39">
        <f t="shared" si="3"/>
        <v>3</v>
      </c>
      <c r="I259" s="4" t="s">
        <v>1556</v>
      </c>
      <c r="J259" s="40" t="s">
        <v>1820</v>
      </c>
      <c r="K259" s="5">
        <v>24.0</v>
      </c>
      <c r="L259" s="30">
        <f t="shared" si="4"/>
        <v>0.1</v>
      </c>
    </row>
    <row r="260">
      <c r="A260" s="19" t="s">
        <v>263</v>
      </c>
      <c r="B260" s="5" t="s">
        <v>1821</v>
      </c>
      <c r="C260" s="5" t="s">
        <v>264</v>
      </c>
      <c r="D260" s="38">
        <v>0.59</v>
      </c>
      <c r="E260" s="39">
        <f t="shared" si="1"/>
        <v>2</v>
      </c>
      <c r="F260" s="23">
        <v>25.0</v>
      </c>
      <c r="G260" s="39">
        <f t="shared" si="2"/>
        <v>1</v>
      </c>
      <c r="H260" s="39">
        <f t="shared" si="3"/>
        <v>3</v>
      </c>
      <c r="I260" s="19" t="str">
        <f>vlookup(C260,'Player Codes'!$A:$D,4,)</f>
        <v>0140</v>
      </c>
      <c r="J260" s="40" t="s">
        <v>306</v>
      </c>
      <c r="K260" s="5">
        <v>22.0</v>
      </c>
      <c r="L260" s="30">
        <f t="shared" si="4"/>
        <v>0.1</v>
      </c>
    </row>
    <row r="261">
      <c r="A261" s="19" t="s">
        <v>289</v>
      </c>
      <c r="B261" s="5" t="s">
        <v>1822</v>
      </c>
      <c r="C261" s="5" t="s">
        <v>290</v>
      </c>
      <c r="D261" s="38">
        <v>0.18</v>
      </c>
      <c r="E261" s="39">
        <f t="shared" si="1"/>
        <v>1</v>
      </c>
      <c r="F261" s="23">
        <v>28.0</v>
      </c>
      <c r="G261" s="39">
        <f t="shared" si="2"/>
        <v>2</v>
      </c>
      <c r="H261" s="39">
        <f t="shared" si="3"/>
        <v>3</v>
      </c>
      <c r="I261" s="19" t="str">
        <f>vlookup(C261,'Player Codes'!$A:$D,4,)</f>
        <v>0146</v>
      </c>
      <c r="J261" s="40" t="s">
        <v>1823</v>
      </c>
      <c r="K261" s="5">
        <v>32.0</v>
      </c>
      <c r="L261" s="30">
        <f t="shared" si="4"/>
        <v>0.1</v>
      </c>
    </row>
    <row r="262">
      <c r="A262" s="19" t="s">
        <v>193</v>
      </c>
      <c r="B262" s="5" t="s">
        <v>1824</v>
      </c>
      <c r="C262" s="5" t="s">
        <v>194</v>
      </c>
      <c r="D262" s="38">
        <v>0.65</v>
      </c>
      <c r="E262" s="39">
        <f t="shared" si="1"/>
        <v>3</v>
      </c>
      <c r="F262" s="21">
        <f>ifna(vlookup(C262,'Player Ages'!A260:E744,5,),"")</f>
        <v>31</v>
      </c>
      <c r="G262" s="39">
        <f t="shared" si="2"/>
        <v>3</v>
      </c>
      <c r="H262" s="39">
        <f t="shared" si="3"/>
        <v>6</v>
      </c>
      <c r="I262" s="19" t="str">
        <f>vlookup(C262,'Player Codes'!$A:$D,4,)</f>
        <v>0158</v>
      </c>
      <c r="J262" s="40" t="s">
        <v>1378</v>
      </c>
      <c r="K262" s="5">
        <v>22.0</v>
      </c>
      <c r="L262" s="30">
        <f t="shared" si="4"/>
        <v>0.2</v>
      </c>
    </row>
    <row r="263">
      <c r="A263" s="19" t="s">
        <v>206</v>
      </c>
      <c r="B263" s="5" t="s">
        <v>1825</v>
      </c>
      <c r="C263" s="5" t="s">
        <v>207</v>
      </c>
      <c r="D263" s="38">
        <v>0.58</v>
      </c>
      <c r="E263" s="39">
        <f t="shared" si="1"/>
        <v>2</v>
      </c>
      <c r="F263" s="23">
        <v>26.0</v>
      </c>
      <c r="G263" s="39">
        <f t="shared" si="2"/>
        <v>2</v>
      </c>
      <c r="H263" s="39">
        <f t="shared" si="3"/>
        <v>4</v>
      </c>
      <c r="I263" s="19" t="str">
        <f>vlookup(C263,'Player Codes'!$A:$D,4,)</f>
        <v>0159</v>
      </c>
      <c r="J263" s="40" t="s">
        <v>1826</v>
      </c>
      <c r="K263" s="5">
        <v>26.0</v>
      </c>
      <c r="L263" s="30">
        <f t="shared" si="4"/>
        <v>0.1333333333</v>
      </c>
    </row>
    <row r="264">
      <c r="A264" s="19" t="s">
        <v>342</v>
      </c>
      <c r="B264" s="5" t="s">
        <v>1827</v>
      </c>
      <c r="C264" s="5" t="s">
        <v>344</v>
      </c>
      <c r="D264" s="38">
        <v>0.22</v>
      </c>
      <c r="E264" s="39">
        <f t="shared" si="1"/>
        <v>1</v>
      </c>
      <c r="F264" s="21">
        <f>ifna(vlookup(C264,'Player Ages'!A262:E746,5,),"")</f>
        <v>24</v>
      </c>
      <c r="G264" s="39">
        <f t="shared" si="2"/>
        <v>1</v>
      </c>
      <c r="H264" s="39">
        <f t="shared" si="3"/>
        <v>2</v>
      </c>
      <c r="I264" s="19" t="str">
        <f>vlookup(C264,'Player Codes'!$A:$D,4,)</f>
        <v>0166</v>
      </c>
      <c r="J264" s="40" t="s">
        <v>322</v>
      </c>
      <c r="K264" s="5">
        <v>22.0</v>
      </c>
      <c r="L264" s="30">
        <f t="shared" si="4"/>
        <v>0.06666666667</v>
      </c>
    </row>
    <row r="265">
      <c r="A265" s="19" t="s">
        <v>250</v>
      </c>
      <c r="B265" s="5" t="s">
        <v>1828</v>
      </c>
      <c r="C265" s="5" t="s">
        <v>251</v>
      </c>
      <c r="D265" s="38">
        <v>0.13</v>
      </c>
      <c r="E265" s="39">
        <f t="shared" si="1"/>
        <v>1</v>
      </c>
      <c r="F265" s="23">
        <v>27.0</v>
      </c>
      <c r="G265" s="39">
        <f t="shared" si="2"/>
        <v>2</v>
      </c>
      <c r="H265" s="39">
        <f t="shared" si="3"/>
        <v>3</v>
      </c>
      <c r="I265" s="19" t="str">
        <f>vlookup(C265,'Player Codes'!$A:$D,4,)</f>
        <v>0167</v>
      </c>
      <c r="J265" s="40" t="s">
        <v>1504</v>
      </c>
      <c r="K265" s="5">
        <v>22.0</v>
      </c>
      <c r="L265" s="30">
        <f t="shared" si="4"/>
        <v>0.1</v>
      </c>
    </row>
    <row r="266">
      <c r="A266" s="19" t="s">
        <v>220</v>
      </c>
      <c r="B266" s="2" t="s">
        <v>1829</v>
      </c>
      <c r="C266" s="2" t="s">
        <v>222</v>
      </c>
      <c r="D266" s="38">
        <v>0.89</v>
      </c>
      <c r="E266" s="39">
        <f t="shared" si="1"/>
        <v>3</v>
      </c>
      <c r="F266" s="23">
        <v>24.0</v>
      </c>
      <c r="G266" s="39">
        <f t="shared" si="2"/>
        <v>1</v>
      </c>
      <c r="H266" s="39">
        <f t="shared" si="3"/>
        <v>4</v>
      </c>
      <c r="I266" s="19" t="str">
        <f>vlookup(C266,'Player Codes'!$A:$D,4,)</f>
        <v>0172</v>
      </c>
      <c r="J266" s="40" t="s">
        <v>530</v>
      </c>
      <c r="K266" s="5">
        <v>21.0</v>
      </c>
      <c r="L266" s="30">
        <f t="shared" si="4"/>
        <v>0.1333333333</v>
      </c>
    </row>
    <row r="267">
      <c r="A267" s="19" t="s">
        <v>218</v>
      </c>
      <c r="B267" s="5" t="s">
        <v>1830</v>
      </c>
      <c r="C267" s="5" t="s">
        <v>219</v>
      </c>
      <c r="D267" s="38">
        <v>0.67</v>
      </c>
      <c r="E267" s="39">
        <f t="shared" si="1"/>
        <v>3</v>
      </c>
      <c r="F267" s="23">
        <v>25.0</v>
      </c>
      <c r="G267" s="39">
        <f t="shared" si="2"/>
        <v>1</v>
      </c>
      <c r="H267" s="39">
        <f t="shared" si="3"/>
        <v>4</v>
      </c>
      <c r="I267" s="19" t="str">
        <f>vlookup(C267,'Player Codes'!$A:$D,4,)</f>
        <v>0173</v>
      </c>
      <c r="J267" s="40" t="s">
        <v>500</v>
      </c>
      <c r="K267" s="5">
        <v>21.0</v>
      </c>
      <c r="L267" s="30">
        <f t="shared" si="4"/>
        <v>0.1333333333</v>
      </c>
    </row>
    <row r="268">
      <c r="A268" s="19" t="s">
        <v>332</v>
      </c>
      <c r="B268" s="5" t="s">
        <v>1831</v>
      </c>
      <c r="C268" s="5" t="s">
        <v>334</v>
      </c>
      <c r="D268" s="38">
        <v>0.3</v>
      </c>
      <c r="E268" s="39">
        <f t="shared" si="1"/>
        <v>1</v>
      </c>
      <c r="F268" s="23">
        <v>25.0</v>
      </c>
      <c r="G268" s="39">
        <f t="shared" si="2"/>
        <v>1</v>
      </c>
      <c r="H268" s="39">
        <f t="shared" si="3"/>
        <v>2</v>
      </c>
      <c r="I268" s="19" t="str">
        <f>vlookup(C268,'Player Codes'!$A:$D,4,)</f>
        <v>0187</v>
      </c>
      <c r="J268" s="40" t="s">
        <v>1832</v>
      </c>
      <c r="K268" s="5">
        <v>28.0</v>
      </c>
      <c r="L268" s="30">
        <f t="shared" si="4"/>
        <v>0.06666666667</v>
      </c>
    </row>
    <row r="269">
      <c r="A269" s="19" t="s">
        <v>236</v>
      </c>
      <c r="B269" s="5" t="s">
        <v>1833</v>
      </c>
      <c r="C269" s="5" t="s">
        <v>237</v>
      </c>
      <c r="D269" s="38">
        <v>0.06</v>
      </c>
      <c r="E269" s="39">
        <f t="shared" si="1"/>
        <v>1</v>
      </c>
      <c r="F269" s="23">
        <v>35.0</v>
      </c>
      <c r="G269" s="39">
        <f t="shared" si="2"/>
        <v>3</v>
      </c>
      <c r="H269" s="39">
        <f t="shared" si="3"/>
        <v>4</v>
      </c>
      <c r="I269" s="19" t="str">
        <f>vlookup(C269,'Player Codes'!$A:$D,4,)</f>
        <v>0190</v>
      </c>
      <c r="J269" s="40" t="s">
        <v>430</v>
      </c>
      <c r="K269" s="5">
        <v>30.0</v>
      </c>
      <c r="L269" s="30">
        <f t="shared" si="4"/>
        <v>0.1333333333</v>
      </c>
    </row>
    <row r="270">
      <c r="A270" s="19" t="s">
        <v>877</v>
      </c>
      <c r="B270" s="5" t="s">
        <v>1834</v>
      </c>
      <c r="C270" s="5" t="s">
        <v>878</v>
      </c>
      <c r="D270" s="38">
        <v>0.1</v>
      </c>
      <c r="E270" s="39">
        <f t="shared" si="1"/>
        <v>1</v>
      </c>
      <c r="F270" s="23">
        <v>25.0</v>
      </c>
      <c r="G270" s="39">
        <f t="shared" si="2"/>
        <v>1</v>
      </c>
      <c r="H270" s="39">
        <f t="shared" si="3"/>
        <v>2</v>
      </c>
      <c r="I270" s="19" t="str">
        <f>vlookup(C270,'Player Codes'!$A:$D,4,)</f>
        <v>0192</v>
      </c>
      <c r="J270" s="40" t="s">
        <v>676</v>
      </c>
      <c r="K270" s="5">
        <v>32.0</v>
      </c>
      <c r="L270" s="30">
        <f t="shared" si="4"/>
        <v>0.06666666667</v>
      </c>
    </row>
    <row r="271">
      <c r="A271" s="19" t="s">
        <v>350</v>
      </c>
      <c r="B271" s="5" t="s">
        <v>1835</v>
      </c>
      <c r="C271" s="5" t="s">
        <v>352</v>
      </c>
      <c r="D271" s="38">
        <v>0.58</v>
      </c>
      <c r="E271" s="39">
        <f t="shared" si="1"/>
        <v>2</v>
      </c>
      <c r="F271" s="23">
        <v>26.0</v>
      </c>
      <c r="G271" s="39">
        <f t="shared" si="2"/>
        <v>2</v>
      </c>
      <c r="H271" s="39">
        <f t="shared" si="3"/>
        <v>4</v>
      </c>
      <c r="I271" s="19" t="str">
        <f>vlookup(C271,'Player Codes'!$A:$D,4,)</f>
        <v>0193</v>
      </c>
      <c r="J271" s="40" t="s">
        <v>631</v>
      </c>
      <c r="K271" s="5">
        <v>21.0</v>
      </c>
      <c r="L271" s="30">
        <f t="shared" si="4"/>
        <v>0.1333333333</v>
      </c>
    </row>
    <row r="272">
      <c r="A272" s="19" t="s">
        <v>210</v>
      </c>
      <c r="B272" s="5" t="s">
        <v>1836</v>
      </c>
      <c r="C272" s="5" t="s">
        <v>211</v>
      </c>
      <c r="D272" s="38">
        <v>0.52</v>
      </c>
      <c r="E272" s="39">
        <f t="shared" si="1"/>
        <v>2</v>
      </c>
      <c r="F272" s="23">
        <v>26.0</v>
      </c>
      <c r="G272" s="39">
        <f t="shared" si="2"/>
        <v>2</v>
      </c>
      <c r="H272" s="39">
        <f t="shared" si="3"/>
        <v>4</v>
      </c>
      <c r="I272" s="19" t="str">
        <f>vlookup(C272,'Player Codes'!$A:$D,4,)</f>
        <v>0195</v>
      </c>
      <c r="J272" s="40" t="s">
        <v>1837</v>
      </c>
      <c r="K272" s="5">
        <v>26.0</v>
      </c>
      <c r="L272" s="30">
        <f t="shared" si="4"/>
        <v>0.1333333333</v>
      </c>
    </row>
    <row r="273">
      <c r="A273" s="19" t="s">
        <v>330</v>
      </c>
      <c r="B273" s="5" t="s">
        <v>1838</v>
      </c>
      <c r="C273" s="5" t="s">
        <v>331</v>
      </c>
      <c r="D273" s="38">
        <v>0.37</v>
      </c>
      <c r="E273" s="39">
        <f t="shared" si="1"/>
        <v>2</v>
      </c>
      <c r="F273" s="23">
        <v>24.0</v>
      </c>
      <c r="G273" s="39">
        <f t="shared" si="2"/>
        <v>1</v>
      </c>
      <c r="H273" s="39">
        <f t="shared" si="3"/>
        <v>3</v>
      </c>
      <c r="I273" s="19" t="str">
        <f>vlookup(C273,'Player Codes'!$A:$D,4,)</f>
        <v>0200</v>
      </c>
      <c r="J273" s="40" t="s">
        <v>346</v>
      </c>
      <c r="K273" s="5">
        <v>21.0</v>
      </c>
      <c r="L273" s="30">
        <f t="shared" si="4"/>
        <v>0.1</v>
      </c>
    </row>
    <row r="274">
      <c r="A274" s="23">
        <v>0.1</v>
      </c>
      <c r="B274" s="5" t="s">
        <v>1839</v>
      </c>
      <c r="C274" s="5" t="s">
        <v>1506</v>
      </c>
      <c r="D274" s="38">
        <v>0.21</v>
      </c>
      <c r="E274" s="39">
        <f t="shared" si="1"/>
        <v>1</v>
      </c>
      <c r="F274" s="21">
        <f>ifna(vlookup(C274,'Player Ages'!A272:E756,5,),"")</f>
        <v>24</v>
      </c>
      <c r="G274" s="39">
        <f t="shared" si="2"/>
        <v>1</v>
      </c>
      <c r="H274" s="39">
        <f t="shared" si="3"/>
        <v>2</v>
      </c>
      <c r="I274" s="4" t="s">
        <v>1556</v>
      </c>
      <c r="J274" s="40" t="s">
        <v>1840</v>
      </c>
      <c r="K274" s="5">
        <v>22.0</v>
      </c>
      <c r="L274" s="30">
        <f t="shared" si="4"/>
        <v>0.06666666667</v>
      </c>
    </row>
    <row r="275">
      <c r="A275" s="23">
        <v>0.1</v>
      </c>
      <c r="B275" s="5" t="s">
        <v>1841</v>
      </c>
      <c r="C275" s="5" t="s">
        <v>1507</v>
      </c>
      <c r="D275" s="38">
        <v>0.61</v>
      </c>
      <c r="E275" s="39">
        <f t="shared" si="1"/>
        <v>3</v>
      </c>
      <c r="F275" s="21">
        <f>ifna(vlookup(C275,'Player Ages'!A273:E757,5,),"")</f>
        <v>29</v>
      </c>
      <c r="G275" s="39">
        <f t="shared" si="2"/>
        <v>2</v>
      </c>
      <c r="H275" s="39">
        <f t="shared" si="3"/>
        <v>5</v>
      </c>
      <c r="I275" s="4" t="s">
        <v>1556</v>
      </c>
      <c r="J275" s="40" t="s">
        <v>832</v>
      </c>
      <c r="K275" s="5">
        <v>29.0</v>
      </c>
      <c r="L275" s="30">
        <f t="shared" si="4"/>
        <v>0.1666666667</v>
      </c>
    </row>
    <row r="276">
      <c r="A276" s="19" t="s">
        <v>238</v>
      </c>
      <c r="B276" s="5" t="s">
        <v>1842</v>
      </c>
      <c r="C276" s="5" t="s">
        <v>239</v>
      </c>
      <c r="D276" s="38">
        <v>0.58</v>
      </c>
      <c r="E276" s="39">
        <f t="shared" si="1"/>
        <v>2</v>
      </c>
      <c r="F276" s="23">
        <v>35.0</v>
      </c>
      <c r="G276" s="39">
        <f t="shared" si="2"/>
        <v>3</v>
      </c>
      <c r="H276" s="39">
        <f t="shared" si="3"/>
        <v>5</v>
      </c>
      <c r="I276" s="19" t="str">
        <f>vlookup(C276,'Player Codes'!$A:$D,4,)</f>
        <v>0210</v>
      </c>
      <c r="J276" s="40" t="s">
        <v>194</v>
      </c>
      <c r="K276" s="5">
        <v>31.0</v>
      </c>
      <c r="L276" s="30">
        <f t="shared" si="4"/>
        <v>0.1666666667</v>
      </c>
    </row>
    <row r="277">
      <c r="A277" s="19" t="s">
        <v>265</v>
      </c>
      <c r="B277" s="5" t="s">
        <v>1843</v>
      </c>
      <c r="C277" s="5" t="s">
        <v>267</v>
      </c>
      <c r="D277" s="38">
        <v>0.25</v>
      </c>
      <c r="E277" s="39">
        <f t="shared" si="1"/>
        <v>1</v>
      </c>
      <c r="F277" s="23">
        <v>27.0</v>
      </c>
      <c r="G277" s="39">
        <f t="shared" si="2"/>
        <v>2</v>
      </c>
      <c r="H277" s="39">
        <f t="shared" si="3"/>
        <v>3</v>
      </c>
      <c r="I277" s="19" t="str">
        <f>vlookup(C277,'Player Codes'!$A:$D,4,)</f>
        <v>0235</v>
      </c>
      <c r="J277" s="40" t="s">
        <v>1485</v>
      </c>
      <c r="K277" s="5">
        <v>33.0</v>
      </c>
      <c r="L277" s="30">
        <f t="shared" si="4"/>
        <v>0.1</v>
      </c>
    </row>
    <row r="278">
      <c r="A278" s="19" t="s">
        <v>197</v>
      </c>
      <c r="B278" s="5" t="s">
        <v>1844</v>
      </c>
      <c r="C278" s="5" t="s">
        <v>199</v>
      </c>
      <c r="D278" s="38">
        <v>0.49</v>
      </c>
      <c r="E278" s="39">
        <f t="shared" si="1"/>
        <v>2</v>
      </c>
      <c r="F278" s="23">
        <v>34.0</v>
      </c>
      <c r="G278" s="39">
        <f t="shared" si="2"/>
        <v>3</v>
      </c>
      <c r="H278" s="39">
        <f t="shared" si="3"/>
        <v>5</v>
      </c>
      <c r="I278" s="19" t="str">
        <f>vlookup(C278,'Player Codes'!$A:$D,4,)</f>
        <v>0253</v>
      </c>
      <c r="J278" s="40" t="s">
        <v>1845</v>
      </c>
      <c r="K278" s="5">
        <v>38.0</v>
      </c>
      <c r="L278" s="30">
        <f t="shared" si="4"/>
        <v>0.1666666667</v>
      </c>
    </row>
    <row r="279">
      <c r="A279" s="19" t="s">
        <v>318</v>
      </c>
      <c r="B279" s="5" t="s">
        <v>1846</v>
      </c>
      <c r="C279" s="5" t="s">
        <v>319</v>
      </c>
      <c r="D279" s="38">
        <v>0.3</v>
      </c>
      <c r="E279" s="39">
        <f t="shared" si="1"/>
        <v>1</v>
      </c>
      <c r="F279" s="23">
        <v>35.0</v>
      </c>
      <c r="G279" s="39">
        <f t="shared" si="2"/>
        <v>3</v>
      </c>
      <c r="H279" s="39">
        <f t="shared" si="3"/>
        <v>4</v>
      </c>
      <c r="I279" s="19" t="str">
        <f>vlookup(C279,'Player Codes'!$A:$D,4,)</f>
        <v>0254</v>
      </c>
      <c r="J279" s="40" t="s">
        <v>1847</v>
      </c>
      <c r="K279" s="5">
        <v>33.0</v>
      </c>
      <c r="L279" s="30">
        <f t="shared" si="4"/>
        <v>0.1333333333</v>
      </c>
    </row>
    <row r="280">
      <c r="A280" s="23">
        <v>0.1</v>
      </c>
      <c r="B280" s="5" t="s">
        <v>1848</v>
      </c>
      <c r="C280" s="5" t="s">
        <v>1516</v>
      </c>
      <c r="D280" s="38">
        <v>0.63</v>
      </c>
      <c r="E280" s="39">
        <f t="shared" si="1"/>
        <v>3</v>
      </c>
      <c r="F280" s="21">
        <f>ifna(vlookup(C280,'Player Ages'!A278:E762,5,),"")</f>
        <v>26</v>
      </c>
      <c r="G280" s="39">
        <f t="shared" si="2"/>
        <v>2</v>
      </c>
      <c r="H280" s="39">
        <f t="shared" si="3"/>
        <v>5</v>
      </c>
      <c r="I280" s="4" t="s">
        <v>1556</v>
      </c>
      <c r="J280" s="40" t="s">
        <v>1449</v>
      </c>
      <c r="K280" s="5">
        <v>29.0</v>
      </c>
      <c r="L280" s="30">
        <f t="shared" si="4"/>
        <v>0.1666666667</v>
      </c>
    </row>
    <row r="281">
      <c r="A281" s="19" t="s">
        <v>320</v>
      </c>
      <c r="B281" s="5" t="s">
        <v>1849</v>
      </c>
      <c r="C281" s="5" t="s">
        <v>322</v>
      </c>
      <c r="D281" s="38">
        <v>0.35</v>
      </c>
      <c r="E281" s="39">
        <f t="shared" si="1"/>
        <v>2</v>
      </c>
      <c r="F281" s="23">
        <v>22.0</v>
      </c>
      <c r="G281" s="39">
        <f t="shared" si="2"/>
        <v>1</v>
      </c>
      <c r="H281" s="39">
        <f t="shared" si="3"/>
        <v>3</v>
      </c>
      <c r="I281" s="19" t="str">
        <f>vlookup(C281,'Player Codes'!$A:$D,4,)</f>
        <v>0255</v>
      </c>
      <c r="J281" s="40" t="s">
        <v>1401</v>
      </c>
      <c r="K281" s="5">
        <v>29.0</v>
      </c>
      <c r="L281" s="30">
        <f t="shared" si="4"/>
        <v>0.1</v>
      </c>
    </row>
    <row r="282">
      <c r="A282" s="23">
        <v>0.1</v>
      </c>
      <c r="B282" s="5" t="s">
        <v>1850</v>
      </c>
      <c r="C282" s="5" t="s">
        <v>1517</v>
      </c>
      <c r="D282" s="38">
        <v>0.3</v>
      </c>
      <c r="E282" s="39">
        <f t="shared" si="1"/>
        <v>1</v>
      </c>
      <c r="F282" s="21">
        <f>ifna(vlookup(C282,'Player Ages'!A280:E764,5,),"")</f>
        <v>30</v>
      </c>
      <c r="G282" s="39">
        <f t="shared" si="2"/>
        <v>2</v>
      </c>
      <c r="H282" s="39">
        <f t="shared" si="3"/>
        <v>3</v>
      </c>
      <c r="I282" s="4" t="s">
        <v>1556</v>
      </c>
      <c r="J282" s="40" t="s">
        <v>754</v>
      </c>
      <c r="K282" s="5">
        <v>25.0</v>
      </c>
      <c r="L282" s="30">
        <f t="shared" si="4"/>
        <v>0.1</v>
      </c>
    </row>
    <row r="283">
      <c r="A283" s="23">
        <v>0.1</v>
      </c>
      <c r="B283" s="5" t="s">
        <v>1851</v>
      </c>
      <c r="C283" s="5" t="s">
        <v>1518</v>
      </c>
      <c r="D283" s="38">
        <v>0.5</v>
      </c>
      <c r="E283" s="39">
        <f t="shared" si="1"/>
        <v>2</v>
      </c>
      <c r="F283" s="23">
        <v>30.0</v>
      </c>
      <c r="G283" s="39">
        <f t="shared" si="2"/>
        <v>2</v>
      </c>
      <c r="H283" s="39">
        <f t="shared" si="3"/>
        <v>4</v>
      </c>
      <c r="I283" s="4" t="s">
        <v>1556</v>
      </c>
      <c r="J283" s="40" t="s">
        <v>1852</v>
      </c>
      <c r="K283" s="5">
        <v>28.0</v>
      </c>
      <c r="L283" s="30">
        <f t="shared" si="4"/>
        <v>0.1333333333</v>
      </c>
    </row>
    <row r="284">
      <c r="A284" s="19" t="s">
        <v>301</v>
      </c>
      <c r="B284" s="5" t="s">
        <v>1853</v>
      </c>
      <c r="C284" s="5" t="s">
        <v>303</v>
      </c>
      <c r="D284" s="38">
        <v>0.17</v>
      </c>
      <c r="E284" s="39">
        <f t="shared" si="1"/>
        <v>1</v>
      </c>
      <c r="F284" s="23">
        <v>23.0</v>
      </c>
      <c r="G284" s="39">
        <f t="shared" si="2"/>
        <v>1</v>
      </c>
      <c r="H284" s="39">
        <f t="shared" si="3"/>
        <v>2</v>
      </c>
      <c r="I284" s="19" t="str">
        <f>vlookup(C284,'Player Codes'!$A:$D,4,)</f>
        <v>0277</v>
      </c>
      <c r="J284" s="40" t="s">
        <v>1854</v>
      </c>
      <c r="K284" s="5">
        <v>20.0</v>
      </c>
      <c r="L284" s="30">
        <f t="shared" si="4"/>
        <v>0.06666666667</v>
      </c>
    </row>
    <row r="285">
      <c r="A285" s="23">
        <v>0.1</v>
      </c>
      <c r="B285" s="5" t="s">
        <v>1855</v>
      </c>
      <c r="C285" s="5" t="s">
        <v>1519</v>
      </c>
      <c r="D285" s="38">
        <v>0.58</v>
      </c>
      <c r="E285" s="39">
        <f t="shared" si="1"/>
        <v>2</v>
      </c>
      <c r="F285" s="23">
        <v>23.0</v>
      </c>
      <c r="G285" s="39">
        <f t="shared" si="2"/>
        <v>1</v>
      </c>
      <c r="H285" s="39">
        <f t="shared" si="3"/>
        <v>3</v>
      </c>
      <c r="I285" s="4" t="s">
        <v>1556</v>
      </c>
      <c r="J285" s="40" t="s">
        <v>1268</v>
      </c>
      <c r="K285" s="5">
        <v>27.0</v>
      </c>
      <c r="L285" s="30">
        <f t="shared" si="4"/>
        <v>0.1</v>
      </c>
    </row>
    <row r="286">
      <c r="A286" s="19" t="s">
        <v>230</v>
      </c>
      <c r="B286" s="5" t="s">
        <v>1856</v>
      </c>
      <c r="C286" s="5" t="s">
        <v>231</v>
      </c>
      <c r="D286" s="38">
        <v>0.84</v>
      </c>
      <c r="E286" s="39">
        <f t="shared" si="1"/>
        <v>3</v>
      </c>
      <c r="F286" s="23">
        <v>25.0</v>
      </c>
      <c r="G286" s="39">
        <f t="shared" si="2"/>
        <v>1</v>
      </c>
      <c r="H286" s="39">
        <f t="shared" si="3"/>
        <v>4</v>
      </c>
      <c r="I286" s="19" t="str">
        <f>vlookup(C286,'Player Codes'!$A:$D,4,)</f>
        <v>0280</v>
      </c>
      <c r="J286" s="40" t="s">
        <v>670</v>
      </c>
      <c r="K286" s="5">
        <v>29.0</v>
      </c>
      <c r="L286" s="30">
        <f t="shared" si="4"/>
        <v>0.1333333333</v>
      </c>
    </row>
    <row r="287">
      <c r="A287" s="23">
        <v>0.1</v>
      </c>
      <c r="B287" s="5" t="s">
        <v>1857</v>
      </c>
      <c r="C287" s="5" t="s">
        <v>1521</v>
      </c>
      <c r="D287" s="38">
        <v>0.92</v>
      </c>
      <c r="E287" s="39">
        <f t="shared" si="1"/>
        <v>3</v>
      </c>
      <c r="F287" s="23">
        <v>34.0</v>
      </c>
      <c r="G287" s="39">
        <f t="shared" si="2"/>
        <v>3</v>
      </c>
      <c r="H287" s="39">
        <f t="shared" si="3"/>
        <v>6</v>
      </c>
      <c r="I287" s="4" t="s">
        <v>1556</v>
      </c>
      <c r="J287" s="40" t="s">
        <v>1858</v>
      </c>
      <c r="K287" s="5">
        <v>27.0</v>
      </c>
      <c r="L287" s="30">
        <f t="shared" si="4"/>
        <v>0.2</v>
      </c>
    </row>
    <row r="288">
      <c r="A288" s="23">
        <v>0.1</v>
      </c>
      <c r="B288" s="5" t="s">
        <v>1859</v>
      </c>
      <c r="C288" s="5" t="s">
        <v>1522</v>
      </c>
      <c r="D288" s="38">
        <v>0.35</v>
      </c>
      <c r="E288" s="39">
        <f t="shared" si="1"/>
        <v>2</v>
      </c>
      <c r="F288" s="21">
        <f>ifna(vlookup(C288,'Player Ages'!A286:E770,5,),"")</f>
        <v>24</v>
      </c>
      <c r="G288" s="39">
        <f t="shared" si="2"/>
        <v>1</v>
      </c>
      <c r="H288" s="39">
        <f t="shared" si="3"/>
        <v>3</v>
      </c>
      <c r="I288" s="4" t="s">
        <v>1556</v>
      </c>
      <c r="J288" s="40" t="s">
        <v>594</v>
      </c>
      <c r="K288" s="5">
        <v>28.0</v>
      </c>
      <c r="L288" s="30">
        <f t="shared" si="4"/>
        <v>0.1</v>
      </c>
    </row>
    <row r="289">
      <c r="A289" s="23">
        <v>0.1</v>
      </c>
      <c r="B289" s="5" t="s">
        <v>1860</v>
      </c>
      <c r="C289" s="5" t="s">
        <v>1523</v>
      </c>
      <c r="D289" s="38">
        <v>0.33</v>
      </c>
      <c r="E289" s="39">
        <f t="shared" si="1"/>
        <v>2</v>
      </c>
      <c r="F289" s="21">
        <f>ifna(vlookup(C289,'Player Ages'!A287:E771,5,),"")</f>
        <v>24</v>
      </c>
      <c r="G289" s="39">
        <f t="shared" si="2"/>
        <v>1</v>
      </c>
      <c r="H289" s="39">
        <f t="shared" si="3"/>
        <v>3</v>
      </c>
      <c r="I289" s="4" t="s">
        <v>1556</v>
      </c>
      <c r="J289" s="40" t="s">
        <v>1861</v>
      </c>
      <c r="K289" s="5">
        <v>26.0</v>
      </c>
      <c r="L289" s="30">
        <f t="shared" si="4"/>
        <v>0.1</v>
      </c>
    </row>
    <row r="290">
      <c r="A290" s="23">
        <v>0.1</v>
      </c>
      <c r="B290" s="5" t="s">
        <v>1862</v>
      </c>
      <c r="C290" s="41" t="s">
        <v>1262</v>
      </c>
      <c r="D290" s="38">
        <v>0.35</v>
      </c>
      <c r="E290" s="39">
        <f t="shared" si="1"/>
        <v>2</v>
      </c>
      <c r="F290" s="21">
        <f>ifna(vlookup(C290,'Player Ages'!A288:E772,5,),"")</f>
        <v>26</v>
      </c>
      <c r="G290" s="39">
        <f t="shared" si="2"/>
        <v>2</v>
      </c>
      <c r="H290" s="39">
        <f t="shared" si="3"/>
        <v>4</v>
      </c>
      <c r="I290" s="4" t="s">
        <v>1556</v>
      </c>
      <c r="J290" s="40" t="s">
        <v>834</v>
      </c>
      <c r="K290" s="5">
        <v>22.0</v>
      </c>
      <c r="L290" s="30">
        <f t="shared" si="4"/>
        <v>0.1333333333</v>
      </c>
    </row>
    <row r="291">
      <c r="A291" s="23">
        <v>0.1</v>
      </c>
      <c r="B291" s="5" t="s">
        <v>1863</v>
      </c>
      <c r="C291" s="41" t="s">
        <v>1264</v>
      </c>
      <c r="D291" s="38">
        <v>0.34</v>
      </c>
      <c r="E291" s="39">
        <f t="shared" si="1"/>
        <v>2</v>
      </c>
      <c r="F291" s="21">
        <f t="shared" ref="F291:F292" si="5">VLOOKUP(C291, J4:K488, 2, FALSE)</f>
        <v>25</v>
      </c>
      <c r="G291" s="39">
        <f t="shared" si="2"/>
        <v>1</v>
      </c>
      <c r="H291" s="39">
        <f t="shared" si="3"/>
        <v>3</v>
      </c>
      <c r="I291" s="4" t="s">
        <v>1556</v>
      </c>
      <c r="J291" s="40" t="s">
        <v>558</v>
      </c>
      <c r="K291" s="5">
        <v>23.0</v>
      </c>
      <c r="L291" s="30">
        <f t="shared" si="4"/>
        <v>0.1</v>
      </c>
    </row>
    <row r="292">
      <c r="A292" s="23">
        <v>0.1</v>
      </c>
      <c r="B292" s="5" t="s">
        <v>1864</v>
      </c>
      <c r="C292" s="41" t="s">
        <v>1289</v>
      </c>
      <c r="D292" s="38">
        <v>0.22</v>
      </c>
      <c r="E292" s="39">
        <f t="shared" si="1"/>
        <v>1</v>
      </c>
      <c r="F292" s="21">
        <f t="shared" si="5"/>
        <v>28</v>
      </c>
      <c r="G292" s="39">
        <f t="shared" si="2"/>
        <v>2</v>
      </c>
      <c r="H292" s="39">
        <f t="shared" si="3"/>
        <v>3</v>
      </c>
      <c r="I292" s="4" t="s">
        <v>1556</v>
      </c>
      <c r="J292" s="40" t="s">
        <v>1865</v>
      </c>
      <c r="K292" s="5">
        <v>21.0</v>
      </c>
      <c r="L292" s="30">
        <f t="shared" si="4"/>
        <v>0.1</v>
      </c>
    </row>
    <row r="293">
      <c r="A293" s="23">
        <v>0.1</v>
      </c>
      <c r="B293" s="5" t="s">
        <v>1866</v>
      </c>
      <c r="C293" s="41" t="s">
        <v>1301</v>
      </c>
      <c r="D293" s="38">
        <v>0.16</v>
      </c>
      <c r="E293" s="39">
        <f t="shared" si="1"/>
        <v>1</v>
      </c>
      <c r="F293" s="23">
        <v>22.0</v>
      </c>
      <c r="G293" s="39">
        <f t="shared" si="2"/>
        <v>1</v>
      </c>
      <c r="H293" s="39">
        <f t="shared" si="3"/>
        <v>2</v>
      </c>
      <c r="I293" s="4" t="s">
        <v>1556</v>
      </c>
      <c r="J293" s="40" t="s">
        <v>1867</v>
      </c>
      <c r="K293" s="5">
        <v>33.0</v>
      </c>
      <c r="L293" s="30">
        <f t="shared" si="4"/>
        <v>0.06666666667</v>
      </c>
    </row>
    <row r="294">
      <c r="A294" s="23">
        <v>0.1</v>
      </c>
      <c r="B294" s="5" t="s">
        <v>1868</v>
      </c>
      <c r="C294" s="41" t="s">
        <v>1305</v>
      </c>
      <c r="D294" s="38">
        <v>0.42</v>
      </c>
      <c r="E294" s="39">
        <f t="shared" si="1"/>
        <v>2</v>
      </c>
      <c r="F294" s="21">
        <f>VLOOKUP(C294, J7:K491, 2, FALSE)</f>
        <v>23</v>
      </c>
      <c r="G294" s="39">
        <f t="shared" si="2"/>
        <v>1</v>
      </c>
      <c r="H294" s="39">
        <f t="shared" si="3"/>
        <v>3</v>
      </c>
      <c r="I294" s="4" t="s">
        <v>1556</v>
      </c>
      <c r="J294" s="40" t="s">
        <v>1869</v>
      </c>
      <c r="K294" s="5">
        <v>29.0</v>
      </c>
      <c r="L294" s="30">
        <f t="shared" si="4"/>
        <v>0.1</v>
      </c>
    </row>
    <row r="295">
      <c r="A295" s="23">
        <v>0.1</v>
      </c>
      <c r="B295" s="5" t="s">
        <v>1870</v>
      </c>
      <c r="C295" s="41" t="s">
        <v>1315</v>
      </c>
      <c r="D295" s="38">
        <v>0.08</v>
      </c>
      <c r="E295" s="39">
        <f t="shared" si="1"/>
        <v>1</v>
      </c>
      <c r="F295" s="23">
        <v>26.0</v>
      </c>
      <c r="G295" s="39">
        <f t="shared" si="2"/>
        <v>2</v>
      </c>
      <c r="H295" s="39">
        <f t="shared" si="3"/>
        <v>3</v>
      </c>
      <c r="I295" s="4" t="s">
        <v>1556</v>
      </c>
      <c r="J295" s="40" t="s">
        <v>1305</v>
      </c>
      <c r="K295" s="5">
        <v>23.0</v>
      </c>
      <c r="L295" s="30">
        <f t="shared" si="4"/>
        <v>0.1</v>
      </c>
    </row>
    <row r="296">
      <c r="A296" s="23">
        <v>0.1</v>
      </c>
      <c r="B296" s="5" t="s">
        <v>1871</v>
      </c>
      <c r="C296" s="41" t="s">
        <v>1318</v>
      </c>
      <c r="D296" s="38">
        <v>0.79</v>
      </c>
      <c r="E296" s="39">
        <f t="shared" si="1"/>
        <v>3</v>
      </c>
      <c r="F296" s="21">
        <f t="shared" ref="F296:F307" si="6">VLOOKUP(C296, J9:K493, 2, FALSE)</f>
        <v>30</v>
      </c>
      <c r="G296" s="39">
        <f t="shared" si="2"/>
        <v>2</v>
      </c>
      <c r="H296" s="39">
        <f t="shared" si="3"/>
        <v>5</v>
      </c>
      <c r="I296" s="4" t="s">
        <v>1556</v>
      </c>
      <c r="J296" s="40" t="s">
        <v>699</v>
      </c>
      <c r="K296" s="5">
        <v>31.0</v>
      </c>
      <c r="L296" s="30">
        <f t="shared" si="4"/>
        <v>0.1666666667</v>
      </c>
    </row>
    <row r="297">
      <c r="A297" s="19" t="s">
        <v>868</v>
      </c>
      <c r="B297" s="5" t="s">
        <v>1872</v>
      </c>
      <c r="C297" s="41" t="s">
        <v>869</v>
      </c>
      <c r="D297" s="38">
        <v>0.39</v>
      </c>
      <c r="E297" s="39">
        <f t="shared" si="1"/>
        <v>2</v>
      </c>
      <c r="F297" s="21">
        <f t="shared" si="6"/>
        <v>24</v>
      </c>
      <c r="G297" s="39">
        <f t="shared" si="2"/>
        <v>1</v>
      </c>
      <c r="H297" s="39">
        <f t="shared" si="3"/>
        <v>3</v>
      </c>
      <c r="I297" s="19" t="str">
        <f>vlookup(C297,'Player Codes'!$A:$D,4,)</f>
        <v>0033</v>
      </c>
      <c r="J297" s="40" t="s">
        <v>1873</v>
      </c>
      <c r="K297" s="5">
        <v>28.0</v>
      </c>
      <c r="L297" s="30">
        <f t="shared" si="4"/>
        <v>0.1</v>
      </c>
    </row>
    <row r="298">
      <c r="A298" s="19" t="s">
        <v>644</v>
      </c>
      <c r="B298" s="5" t="s">
        <v>1874</v>
      </c>
      <c r="C298" s="41" t="s">
        <v>646</v>
      </c>
      <c r="D298" s="38">
        <v>0.29</v>
      </c>
      <c r="E298" s="39">
        <f t="shared" si="1"/>
        <v>1</v>
      </c>
      <c r="F298" s="21">
        <f t="shared" si="6"/>
        <v>23</v>
      </c>
      <c r="G298" s="39">
        <f t="shared" si="2"/>
        <v>1</v>
      </c>
      <c r="H298" s="39">
        <f t="shared" si="3"/>
        <v>2</v>
      </c>
      <c r="I298" s="19" t="str">
        <f>vlookup(C298,'Player Codes'!$A:$D,4,)</f>
        <v>0048</v>
      </c>
      <c r="J298" s="40" t="s">
        <v>1875</v>
      </c>
      <c r="K298" s="5">
        <v>24.0</v>
      </c>
      <c r="L298" s="30">
        <f t="shared" si="4"/>
        <v>0.06666666667</v>
      </c>
    </row>
    <row r="299">
      <c r="A299" s="19" t="s">
        <v>820</v>
      </c>
      <c r="B299" s="5" t="s">
        <v>1876</v>
      </c>
      <c r="C299" s="41" t="s">
        <v>821</v>
      </c>
      <c r="D299" s="38">
        <v>0.22</v>
      </c>
      <c r="E299" s="39">
        <f t="shared" si="1"/>
        <v>1</v>
      </c>
      <c r="F299" s="21">
        <f t="shared" si="6"/>
        <v>24</v>
      </c>
      <c r="G299" s="39">
        <f t="shared" si="2"/>
        <v>1</v>
      </c>
      <c r="H299" s="39">
        <f t="shared" si="3"/>
        <v>2</v>
      </c>
      <c r="I299" s="19" t="str">
        <f>vlookup(C299,'Player Codes'!$A:$D,4,)</f>
        <v>0061</v>
      </c>
      <c r="J299" s="40" t="s">
        <v>364</v>
      </c>
      <c r="K299" s="5">
        <v>23.0</v>
      </c>
      <c r="L299" s="30">
        <f t="shared" si="4"/>
        <v>0.06666666667</v>
      </c>
    </row>
    <row r="300">
      <c r="A300" s="19" t="s">
        <v>409</v>
      </c>
      <c r="B300" s="5" t="s">
        <v>1877</v>
      </c>
      <c r="C300" s="41" t="s">
        <v>411</v>
      </c>
      <c r="D300" s="38">
        <v>0.64</v>
      </c>
      <c r="E300" s="39">
        <f t="shared" si="1"/>
        <v>3</v>
      </c>
      <c r="F300" s="21">
        <f t="shared" si="6"/>
        <v>28</v>
      </c>
      <c r="G300" s="39">
        <f t="shared" si="2"/>
        <v>2</v>
      </c>
      <c r="H300" s="39">
        <f t="shared" si="3"/>
        <v>5</v>
      </c>
      <c r="I300" s="19" t="str">
        <f>vlookup(C300,'Player Codes'!$A:$D,4,)</f>
        <v>0070</v>
      </c>
      <c r="J300" s="40" t="s">
        <v>1362</v>
      </c>
      <c r="K300" s="5">
        <v>30.0</v>
      </c>
      <c r="L300" s="30">
        <f t="shared" si="4"/>
        <v>0.1666666667</v>
      </c>
    </row>
    <row r="301">
      <c r="A301" s="19" t="s">
        <v>767</v>
      </c>
      <c r="B301" s="5" t="s">
        <v>1878</v>
      </c>
      <c r="C301" s="41" t="s">
        <v>768</v>
      </c>
      <c r="D301" s="38">
        <v>0.25</v>
      </c>
      <c r="E301" s="39">
        <f t="shared" si="1"/>
        <v>1</v>
      </c>
      <c r="F301" s="21">
        <f t="shared" si="6"/>
        <v>23</v>
      </c>
      <c r="G301" s="39">
        <f t="shared" si="2"/>
        <v>1</v>
      </c>
      <c r="H301" s="39">
        <f t="shared" si="3"/>
        <v>2</v>
      </c>
      <c r="I301" s="19" t="str">
        <f>vlookup(C301,'Player Codes'!$A:$D,4,)</f>
        <v>0071</v>
      </c>
      <c r="J301" s="40" t="s">
        <v>382</v>
      </c>
      <c r="K301" s="5">
        <v>23.0</v>
      </c>
      <c r="L301" s="30">
        <f t="shared" si="4"/>
        <v>0.06666666667</v>
      </c>
    </row>
    <row r="302">
      <c r="A302" s="19" t="s">
        <v>602</v>
      </c>
      <c r="B302" s="5" t="s">
        <v>1879</v>
      </c>
      <c r="C302" s="41" t="s">
        <v>603</v>
      </c>
      <c r="D302" s="38">
        <v>0.36</v>
      </c>
      <c r="E302" s="39">
        <f t="shared" si="1"/>
        <v>2</v>
      </c>
      <c r="F302" s="21">
        <f t="shared" si="6"/>
        <v>27</v>
      </c>
      <c r="G302" s="39">
        <f t="shared" si="2"/>
        <v>2</v>
      </c>
      <c r="H302" s="39">
        <f t="shared" si="3"/>
        <v>4</v>
      </c>
      <c r="I302" s="19" t="str">
        <f>vlookup(C302,'Player Codes'!$A:$D,4,)</f>
        <v>0072</v>
      </c>
      <c r="J302" s="40" t="s">
        <v>1880</v>
      </c>
      <c r="K302" s="5">
        <v>35.0</v>
      </c>
      <c r="L302" s="30">
        <f t="shared" si="4"/>
        <v>0.1333333333</v>
      </c>
    </row>
    <row r="303">
      <c r="A303" s="23">
        <v>0.1</v>
      </c>
      <c r="B303" s="5" t="s">
        <v>1881</v>
      </c>
      <c r="C303" s="41" t="s">
        <v>1387</v>
      </c>
      <c r="D303" s="38">
        <v>0.44</v>
      </c>
      <c r="E303" s="39">
        <f t="shared" si="1"/>
        <v>2</v>
      </c>
      <c r="F303" s="21">
        <f t="shared" si="6"/>
        <v>22</v>
      </c>
      <c r="G303" s="39">
        <f t="shared" si="2"/>
        <v>1</v>
      </c>
      <c r="H303" s="39">
        <f t="shared" si="3"/>
        <v>3</v>
      </c>
      <c r="I303" s="4" t="s">
        <v>1556</v>
      </c>
      <c r="J303" s="40" t="s">
        <v>660</v>
      </c>
      <c r="K303" s="5">
        <v>23.0</v>
      </c>
      <c r="L303" s="30">
        <f t="shared" si="4"/>
        <v>0.1</v>
      </c>
    </row>
    <row r="304">
      <c r="A304" s="23">
        <v>0.1</v>
      </c>
      <c r="B304" s="5" t="s">
        <v>1882</v>
      </c>
      <c r="C304" s="41" t="s">
        <v>1397</v>
      </c>
      <c r="D304" s="38">
        <v>0.35</v>
      </c>
      <c r="E304" s="39">
        <f t="shared" si="1"/>
        <v>2</v>
      </c>
      <c r="F304" s="21">
        <f t="shared" si="6"/>
        <v>22</v>
      </c>
      <c r="G304" s="39">
        <f t="shared" si="2"/>
        <v>1</v>
      </c>
      <c r="H304" s="39">
        <f t="shared" si="3"/>
        <v>3</v>
      </c>
      <c r="I304" s="4" t="s">
        <v>1556</v>
      </c>
      <c r="J304" s="40" t="s">
        <v>1883</v>
      </c>
      <c r="K304" s="5">
        <v>28.0</v>
      </c>
      <c r="L304" s="30">
        <f t="shared" si="4"/>
        <v>0.1</v>
      </c>
    </row>
    <row r="305">
      <c r="A305" s="19" t="s">
        <v>324</v>
      </c>
      <c r="B305" s="5" t="s">
        <v>1884</v>
      </c>
      <c r="C305" s="41" t="s">
        <v>325</v>
      </c>
      <c r="D305" s="38">
        <v>0.79</v>
      </c>
      <c r="E305" s="39">
        <f t="shared" si="1"/>
        <v>3</v>
      </c>
      <c r="F305" s="21">
        <f t="shared" si="6"/>
        <v>30</v>
      </c>
      <c r="G305" s="39">
        <f t="shared" si="2"/>
        <v>2</v>
      </c>
      <c r="H305" s="39">
        <f t="shared" si="3"/>
        <v>5</v>
      </c>
      <c r="I305" s="19" t="str">
        <f>vlookup(C305,'Player Codes'!$A:$D,4,)</f>
        <v>0080</v>
      </c>
      <c r="J305" s="40" t="s">
        <v>1885</v>
      </c>
      <c r="K305" s="5">
        <v>33.0</v>
      </c>
      <c r="L305" s="30">
        <f t="shared" si="4"/>
        <v>0.1666666667</v>
      </c>
    </row>
    <row r="306">
      <c r="A306" s="19" t="s">
        <v>579</v>
      </c>
      <c r="B306" s="5" t="s">
        <v>1886</v>
      </c>
      <c r="C306" s="41" t="s">
        <v>580</v>
      </c>
      <c r="D306" s="38">
        <v>0.45</v>
      </c>
      <c r="E306" s="39">
        <f t="shared" si="1"/>
        <v>2</v>
      </c>
      <c r="F306" s="21">
        <f t="shared" si="6"/>
        <v>27</v>
      </c>
      <c r="G306" s="39">
        <f t="shared" si="2"/>
        <v>2</v>
      </c>
      <c r="H306" s="39">
        <f t="shared" si="3"/>
        <v>4</v>
      </c>
      <c r="I306" s="19" t="str">
        <f>vlookup(C306,'Player Codes'!$A:$D,4,)</f>
        <v>0083</v>
      </c>
      <c r="J306" s="40" t="s">
        <v>1887</v>
      </c>
      <c r="K306" s="5">
        <v>24.0</v>
      </c>
      <c r="L306" s="30">
        <f t="shared" si="4"/>
        <v>0.1333333333</v>
      </c>
    </row>
    <row r="307">
      <c r="A307" s="19" t="s">
        <v>812</v>
      </c>
      <c r="B307" s="5" t="s">
        <v>1888</v>
      </c>
      <c r="C307" s="41" t="s">
        <v>814</v>
      </c>
      <c r="D307" s="38">
        <v>0.56</v>
      </c>
      <c r="E307" s="39">
        <f t="shared" si="1"/>
        <v>2</v>
      </c>
      <c r="F307" s="21">
        <f t="shared" si="6"/>
        <v>26</v>
      </c>
      <c r="G307" s="39">
        <f t="shared" si="2"/>
        <v>2</v>
      </c>
      <c r="H307" s="39">
        <f t="shared" si="3"/>
        <v>4</v>
      </c>
      <c r="I307" s="19" t="str">
        <f>vlookup(C307,'Player Codes'!$A:$D,4,)</f>
        <v>0084</v>
      </c>
      <c r="J307" s="40" t="s">
        <v>803</v>
      </c>
      <c r="K307" s="5">
        <v>28.0</v>
      </c>
      <c r="L307" s="30">
        <f t="shared" si="4"/>
        <v>0.1333333333</v>
      </c>
    </row>
    <row r="308">
      <c r="A308" s="23">
        <v>0.1</v>
      </c>
      <c r="B308" s="5" t="s">
        <v>1889</v>
      </c>
      <c r="C308" s="41" t="s">
        <v>1427</v>
      </c>
      <c r="D308" s="38">
        <v>0.12</v>
      </c>
      <c r="E308" s="39">
        <f t="shared" si="1"/>
        <v>1</v>
      </c>
      <c r="F308" s="23">
        <v>26.0</v>
      </c>
      <c r="G308" s="39">
        <f t="shared" si="2"/>
        <v>2</v>
      </c>
      <c r="H308" s="39">
        <f t="shared" si="3"/>
        <v>3</v>
      </c>
      <c r="I308" s="4" t="s">
        <v>1556</v>
      </c>
      <c r="J308" s="40" t="s">
        <v>1890</v>
      </c>
      <c r="K308" s="5">
        <v>27.0</v>
      </c>
      <c r="L308" s="30">
        <f t="shared" si="4"/>
        <v>0.1</v>
      </c>
    </row>
    <row r="309">
      <c r="A309" s="23">
        <v>0.1</v>
      </c>
      <c r="B309" s="5" t="s">
        <v>1891</v>
      </c>
      <c r="C309" s="41" t="s">
        <v>1434</v>
      </c>
      <c r="D309" s="38">
        <v>0.24</v>
      </c>
      <c r="E309" s="39">
        <f t="shared" si="1"/>
        <v>1</v>
      </c>
      <c r="F309" s="23">
        <v>28.0</v>
      </c>
      <c r="G309" s="39">
        <f t="shared" si="2"/>
        <v>2</v>
      </c>
      <c r="H309" s="39">
        <f t="shared" si="3"/>
        <v>3</v>
      </c>
      <c r="I309" s="4" t="s">
        <v>1556</v>
      </c>
      <c r="J309" s="40" t="s">
        <v>1892</v>
      </c>
      <c r="K309" s="5">
        <v>26.0</v>
      </c>
      <c r="L309" s="30">
        <f t="shared" si="4"/>
        <v>0.1</v>
      </c>
    </row>
    <row r="310">
      <c r="A310" s="19" t="s">
        <v>506</v>
      </c>
      <c r="B310" s="5" t="s">
        <v>1893</v>
      </c>
      <c r="C310" s="41" t="s">
        <v>507</v>
      </c>
      <c r="D310" s="38">
        <v>0.39</v>
      </c>
      <c r="E310" s="39">
        <f t="shared" si="1"/>
        <v>2</v>
      </c>
      <c r="F310" s="21">
        <f t="shared" ref="F310:F318" si="7">VLOOKUP(C310, J23:K507, 2, FALSE)</f>
        <v>28</v>
      </c>
      <c r="G310" s="39">
        <f t="shared" si="2"/>
        <v>2</v>
      </c>
      <c r="H310" s="39">
        <f t="shared" si="3"/>
        <v>4</v>
      </c>
      <c r="I310" s="19" t="str">
        <f>vlookup(C310,'Player Codes'!$A:$D,4,)</f>
        <v>0107</v>
      </c>
      <c r="J310" s="40" t="s">
        <v>564</v>
      </c>
      <c r="K310" s="5">
        <v>28.0</v>
      </c>
      <c r="L310" s="30">
        <f t="shared" si="4"/>
        <v>0.1333333333</v>
      </c>
    </row>
    <row r="311">
      <c r="A311" s="23">
        <v>0.1</v>
      </c>
      <c r="B311" s="5" t="s">
        <v>1894</v>
      </c>
      <c r="C311" s="41" t="s">
        <v>1439</v>
      </c>
      <c r="D311" s="38">
        <v>0.16</v>
      </c>
      <c r="E311" s="39">
        <f t="shared" si="1"/>
        <v>1</v>
      </c>
      <c r="F311" s="21">
        <f t="shared" si="7"/>
        <v>26</v>
      </c>
      <c r="G311" s="39">
        <f t="shared" si="2"/>
        <v>2</v>
      </c>
      <c r="H311" s="39">
        <f t="shared" si="3"/>
        <v>3</v>
      </c>
      <c r="I311" s="4" t="s">
        <v>1556</v>
      </c>
      <c r="J311" s="40" t="s">
        <v>344</v>
      </c>
      <c r="K311" s="5">
        <v>24.0</v>
      </c>
      <c r="L311" s="30">
        <f t="shared" si="4"/>
        <v>0.1</v>
      </c>
    </row>
    <row r="312">
      <c r="A312" s="19" t="s">
        <v>327</v>
      </c>
      <c r="B312" s="5" t="s">
        <v>1895</v>
      </c>
      <c r="C312" s="41" t="s">
        <v>329</v>
      </c>
      <c r="D312" s="38">
        <v>0.89</v>
      </c>
      <c r="E312" s="39">
        <f t="shared" si="1"/>
        <v>3</v>
      </c>
      <c r="F312" s="21">
        <f t="shared" si="7"/>
        <v>29</v>
      </c>
      <c r="G312" s="39">
        <f t="shared" si="2"/>
        <v>2</v>
      </c>
      <c r="H312" s="39">
        <f t="shared" si="3"/>
        <v>5</v>
      </c>
      <c r="I312" s="19" t="str">
        <f>vlookup(C312,'Player Codes'!$A:$D,4,)</f>
        <v>0113</v>
      </c>
      <c r="J312" s="40" t="s">
        <v>888</v>
      </c>
      <c r="K312" s="2">
        <v>23.0</v>
      </c>
      <c r="L312" s="30">
        <f t="shared" si="4"/>
        <v>0.1666666667</v>
      </c>
    </row>
    <row r="313">
      <c r="A313" s="19" t="s">
        <v>804</v>
      </c>
      <c r="B313" s="5" t="s">
        <v>1896</v>
      </c>
      <c r="C313" s="41" t="s">
        <v>805</v>
      </c>
      <c r="D313" s="38">
        <v>0.3</v>
      </c>
      <c r="E313" s="39">
        <f t="shared" si="1"/>
        <v>1</v>
      </c>
      <c r="F313" s="21">
        <f t="shared" si="7"/>
        <v>29</v>
      </c>
      <c r="G313" s="39">
        <f t="shared" si="2"/>
        <v>2</v>
      </c>
      <c r="H313" s="39">
        <f t="shared" si="3"/>
        <v>3</v>
      </c>
      <c r="I313" s="19" t="str">
        <f>vlookup(C313,'Player Codes'!$A:$D,4,)</f>
        <v>0115</v>
      </c>
      <c r="J313" s="40" t="s">
        <v>1897</v>
      </c>
      <c r="K313" s="5">
        <v>25.0</v>
      </c>
      <c r="L313" s="30">
        <f t="shared" si="4"/>
        <v>0.1</v>
      </c>
    </row>
    <row r="314">
      <c r="A314" s="19" t="s">
        <v>704</v>
      </c>
      <c r="B314" s="5" t="s">
        <v>1898</v>
      </c>
      <c r="C314" s="41" t="s">
        <v>705</v>
      </c>
      <c r="D314" s="38">
        <v>0.79</v>
      </c>
      <c r="E314" s="39">
        <f t="shared" si="1"/>
        <v>3</v>
      </c>
      <c r="F314" s="21">
        <f t="shared" si="7"/>
        <v>23</v>
      </c>
      <c r="G314" s="39">
        <f t="shared" si="2"/>
        <v>1</v>
      </c>
      <c r="H314" s="39">
        <f t="shared" si="3"/>
        <v>4</v>
      </c>
      <c r="I314" s="19" t="str">
        <f>vlookup(C314,'Player Codes'!$A:$D,4,)</f>
        <v>0118</v>
      </c>
      <c r="J314" s="40" t="s">
        <v>764</v>
      </c>
      <c r="K314" s="5">
        <v>22.0</v>
      </c>
      <c r="L314" s="30">
        <f t="shared" si="4"/>
        <v>0.1333333333</v>
      </c>
    </row>
    <row r="315">
      <c r="A315" s="23">
        <v>0.1</v>
      </c>
      <c r="B315" s="5" t="s">
        <v>1899</v>
      </c>
      <c r="C315" s="41" t="s">
        <v>1447</v>
      </c>
      <c r="D315" s="38">
        <v>0.1</v>
      </c>
      <c r="E315" s="39">
        <f t="shared" si="1"/>
        <v>1</v>
      </c>
      <c r="F315" s="21">
        <f t="shared" si="7"/>
        <v>25</v>
      </c>
      <c r="G315" s="39">
        <f t="shared" si="2"/>
        <v>1</v>
      </c>
      <c r="H315" s="39">
        <f t="shared" si="3"/>
        <v>2</v>
      </c>
      <c r="I315" s="4" t="s">
        <v>1556</v>
      </c>
      <c r="J315" s="40" t="s">
        <v>1900</v>
      </c>
      <c r="K315" s="5">
        <v>38.0</v>
      </c>
      <c r="L315" s="30">
        <f t="shared" si="4"/>
        <v>0.06666666667</v>
      </c>
    </row>
    <row r="316">
      <c r="A316" s="19" t="s">
        <v>836</v>
      </c>
      <c r="B316" s="5" t="s">
        <v>1901</v>
      </c>
      <c r="C316" s="41" t="s">
        <v>837</v>
      </c>
      <c r="D316" s="38">
        <v>0.48</v>
      </c>
      <c r="E316" s="39">
        <f t="shared" si="1"/>
        <v>2</v>
      </c>
      <c r="F316" s="21">
        <f t="shared" si="7"/>
        <v>30</v>
      </c>
      <c r="G316" s="39">
        <f t="shared" si="2"/>
        <v>2</v>
      </c>
      <c r="H316" s="39">
        <f t="shared" si="3"/>
        <v>4</v>
      </c>
      <c r="I316" s="19" t="str">
        <f>vlookup(C316,'Player Codes'!$A:$D,4,)</f>
        <v>0123</v>
      </c>
      <c r="J316" s="40" t="s">
        <v>655</v>
      </c>
      <c r="K316" s="5">
        <v>23.0</v>
      </c>
      <c r="L316" s="30">
        <f t="shared" si="4"/>
        <v>0.1333333333</v>
      </c>
    </row>
    <row r="317">
      <c r="A317" s="19" t="s">
        <v>841</v>
      </c>
      <c r="B317" s="5" t="s">
        <v>1902</v>
      </c>
      <c r="C317" s="41" t="s">
        <v>843</v>
      </c>
      <c r="D317" s="38">
        <v>0.23</v>
      </c>
      <c r="E317" s="39">
        <f t="shared" si="1"/>
        <v>1</v>
      </c>
      <c r="F317" s="21">
        <f t="shared" si="7"/>
        <v>28</v>
      </c>
      <c r="G317" s="39">
        <f t="shared" si="2"/>
        <v>2</v>
      </c>
      <c r="H317" s="39">
        <f t="shared" si="3"/>
        <v>3</v>
      </c>
      <c r="I317" s="19" t="str">
        <f>vlookup(C317,'Player Codes'!$A:$D,4,)</f>
        <v>0125</v>
      </c>
      <c r="J317" s="40" t="s">
        <v>1277</v>
      </c>
      <c r="K317" s="5">
        <v>30.0</v>
      </c>
      <c r="L317" s="30">
        <f t="shared" si="4"/>
        <v>0.1</v>
      </c>
    </row>
    <row r="318">
      <c r="A318" s="23">
        <v>0.1</v>
      </c>
      <c r="B318" s="5" t="s">
        <v>1903</v>
      </c>
      <c r="C318" s="41" t="s">
        <v>1455</v>
      </c>
      <c r="D318" s="38">
        <v>0.08</v>
      </c>
      <c r="E318" s="39">
        <f t="shared" si="1"/>
        <v>1</v>
      </c>
      <c r="F318" s="21">
        <f t="shared" si="7"/>
        <v>25</v>
      </c>
      <c r="G318" s="39">
        <f t="shared" si="2"/>
        <v>1</v>
      </c>
      <c r="H318" s="39">
        <f t="shared" si="3"/>
        <v>2</v>
      </c>
      <c r="I318" s="4" t="s">
        <v>1556</v>
      </c>
      <c r="J318" s="40" t="s">
        <v>1904</v>
      </c>
      <c r="K318" s="5">
        <v>24.0</v>
      </c>
      <c r="L318" s="30">
        <f t="shared" si="4"/>
        <v>0.06666666667</v>
      </c>
    </row>
    <row r="319">
      <c r="A319" s="23">
        <v>0.1</v>
      </c>
      <c r="B319" s="5" t="s">
        <v>1905</v>
      </c>
      <c r="C319" s="41" t="s">
        <v>1456</v>
      </c>
      <c r="D319" s="38">
        <v>0.49</v>
      </c>
      <c r="E319" s="39">
        <f t="shared" si="1"/>
        <v>2</v>
      </c>
      <c r="F319" s="23">
        <v>25.0</v>
      </c>
      <c r="G319" s="39">
        <f t="shared" si="2"/>
        <v>1</v>
      </c>
      <c r="H319" s="39">
        <f t="shared" si="3"/>
        <v>3</v>
      </c>
      <c r="I319" s="4" t="s">
        <v>1556</v>
      </c>
      <c r="J319" s="40" t="s">
        <v>1522</v>
      </c>
      <c r="K319" s="5">
        <v>24.0</v>
      </c>
      <c r="L319" s="30">
        <f t="shared" si="4"/>
        <v>0.1</v>
      </c>
    </row>
    <row r="320">
      <c r="A320" s="23">
        <v>0.1</v>
      </c>
      <c r="B320" s="5" t="s">
        <v>1906</v>
      </c>
      <c r="C320" s="41" t="s">
        <v>1457</v>
      </c>
      <c r="D320" s="38">
        <v>0.23</v>
      </c>
      <c r="E320" s="39">
        <f t="shared" si="1"/>
        <v>1</v>
      </c>
      <c r="F320" s="21">
        <f t="shared" ref="F320:F322" si="8">VLOOKUP(C320, J33:K517, 2, FALSE)</f>
        <v>23</v>
      </c>
      <c r="G320" s="39">
        <f t="shared" si="2"/>
        <v>1</v>
      </c>
      <c r="H320" s="39">
        <f t="shared" si="3"/>
        <v>2</v>
      </c>
      <c r="I320" s="4" t="s">
        <v>1556</v>
      </c>
      <c r="J320" s="40" t="s">
        <v>1346</v>
      </c>
      <c r="K320" s="5">
        <v>25.0</v>
      </c>
      <c r="L320" s="30">
        <f t="shared" si="4"/>
        <v>0.06666666667</v>
      </c>
    </row>
    <row r="321">
      <c r="A321" s="19" t="s">
        <v>889</v>
      </c>
      <c r="B321" s="5" t="s">
        <v>1907</v>
      </c>
      <c r="C321" s="41" t="s">
        <v>890</v>
      </c>
      <c r="D321" s="38">
        <v>0.41</v>
      </c>
      <c r="E321" s="39">
        <f t="shared" si="1"/>
        <v>2</v>
      </c>
      <c r="F321" s="21">
        <f t="shared" si="8"/>
        <v>24</v>
      </c>
      <c r="G321" s="39">
        <f t="shared" si="2"/>
        <v>1</v>
      </c>
      <c r="H321" s="39">
        <f t="shared" si="3"/>
        <v>3</v>
      </c>
      <c r="I321" s="19" t="str">
        <f>vlookup(C321,'Player Codes'!$A:$D,4,)</f>
        <v>0137</v>
      </c>
      <c r="J321" s="40" t="s">
        <v>1908</v>
      </c>
      <c r="K321" s="5">
        <v>26.0</v>
      </c>
      <c r="L321" s="30">
        <f t="shared" si="4"/>
        <v>0.1</v>
      </c>
    </row>
    <row r="322">
      <c r="A322" s="23">
        <v>0.1</v>
      </c>
      <c r="B322" s="2" t="s">
        <v>1909</v>
      </c>
      <c r="C322" s="41" t="s">
        <v>1464</v>
      </c>
      <c r="D322" s="38">
        <v>0.62</v>
      </c>
      <c r="E322" s="39">
        <f t="shared" si="1"/>
        <v>3</v>
      </c>
      <c r="F322" s="21">
        <f t="shared" si="8"/>
        <v>24</v>
      </c>
      <c r="G322" s="39">
        <f t="shared" si="2"/>
        <v>1</v>
      </c>
      <c r="H322" s="39">
        <f t="shared" si="3"/>
        <v>4</v>
      </c>
      <c r="I322" s="4" t="s">
        <v>1556</v>
      </c>
      <c r="J322" s="40" t="s">
        <v>447</v>
      </c>
      <c r="K322" s="5">
        <v>22.0</v>
      </c>
      <c r="L322" s="30">
        <f t="shared" si="4"/>
        <v>0.1333333333</v>
      </c>
    </row>
    <row r="323">
      <c r="A323" s="23">
        <v>0.1</v>
      </c>
      <c r="B323" s="5" t="s">
        <v>1910</v>
      </c>
      <c r="C323" s="41" t="s">
        <v>1465</v>
      </c>
      <c r="D323" s="38">
        <v>0.25</v>
      </c>
      <c r="E323" s="39">
        <f t="shared" si="1"/>
        <v>1</v>
      </c>
      <c r="F323" s="23">
        <v>36.0</v>
      </c>
      <c r="G323" s="39">
        <f t="shared" si="2"/>
        <v>3</v>
      </c>
      <c r="H323" s="39">
        <f t="shared" si="3"/>
        <v>4</v>
      </c>
      <c r="I323" s="4" t="s">
        <v>1556</v>
      </c>
      <c r="J323" s="40" t="s">
        <v>1911</v>
      </c>
      <c r="K323" s="5">
        <v>29.0</v>
      </c>
      <c r="L323" s="30">
        <f t="shared" si="4"/>
        <v>0.1333333333</v>
      </c>
    </row>
    <row r="324">
      <c r="A324" s="23">
        <v>0.1</v>
      </c>
      <c r="B324" s="5" t="s">
        <v>1912</v>
      </c>
      <c r="C324" s="41" t="s">
        <v>1467</v>
      </c>
      <c r="D324" s="38">
        <v>0.59</v>
      </c>
      <c r="E324" s="39">
        <f t="shared" si="1"/>
        <v>2</v>
      </c>
      <c r="F324" s="21">
        <f>VLOOKUP(C324, J37:K521, 2, FALSE)</f>
        <v>28</v>
      </c>
      <c r="G324" s="39">
        <f t="shared" si="2"/>
        <v>2</v>
      </c>
      <c r="H324" s="39">
        <f t="shared" si="3"/>
        <v>4</v>
      </c>
      <c r="I324" s="4" t="s">
        <v>1556</v>
      </c>
      <c r="J324" s="40" t="s">
        <v>582</v>
      </c>
      <c r="K324" s="5">
        <v>23.0</v>
      </c>
      <c r="L324" s="30">
        <f t="shared" si="4"/>
        <v>0.1333333333</v>
      </c>
    </row>
    <row r="325">
      <c r="A325" s="23">
        <v>0.1</v>
      </c>
      <c r="B325" s="5" t="s">
        <v>1913</v>
      </c>
      <c r="C325" s="41" t="s">
        <v>1469</v>
      </c>
      <c r="D325" s="38">
        <v>0.24</v>
      </c>
      <c r="E325" s="39">
        <f t="shared" si="1"/>
        <v>1</v>
      </c>
      <c r="F325" s="23">
        <v>31.0</v>
      </c>
      <c r="G325" s="39">
        <f t="shared" si="2"/>
        <v>3</v>
      </c>
      <c r="H325" s="39">
        <f t="shared" si="3"/>
        <v>4</v>
      </c>
      <c r="I325" s="4" t="s">
        <v>1556</v>
      </c>
      <c r="J325" s="40" t="s">
        <v>1439</v>
      </c>
      <c r="K325" s="5">
        <v>26.0</v>
      </c>
      <c r="L325" s="30">
        <f t="shared" si="4"/>
        <v>0.1333333333</v>
      </c>
    </row>
    <row r="326">
      <c r="A326" s="23">
        <v>0.1</v>
      </c>
      <c r="B326" s="5" t="s">
        <v>1914</v>
      </c>
      <c r="C326" s="41" t="s">
        <v>1472</v>
      </c>
      <c r="D326" s="38">
        <v>0.22</v>
      </c>
      <c r="E326" s="39">
        <f t="shared" si="1"/>
        <v>1</v>
      </c>
      <c r="F326" s="23">
        <v>26.0</v>
      </c>
      <c r="G326" s="39">
        <f t="shared" si="2"/>
        <v>2</v>
      </c>
      <c r="H326" s="39">
        <f t="shared" si="3"/>
        <v>3</v>
      </c>
      <c r="I326" s="4" t="s">
        <v>1556</v>
      </c>
      <c r="J326" s="40" t="s">
        <v>1327</v>
      </c>
      <c r="K326" s="5">
        <v>30.0</v>
      </c>
      <c r="L326" s="30">
        <f t="shared" si="4"/>
        <v>0.1</v>
      </c>
    </row>
    <row r="327">
      <c r="A327" s="23">
        <v>0.1</v>
      </c>
      <c r="B327" s="5" t="s">
        <v>1915</v>
      </c>
      <c r="C327" s="41" t="s">
        <v>1474</v>
      </c>
      <c r="D327" s="38">
        <v>0.33</v>
      </c>
      <c r="E327" s="39">
        <f t="shared" si="1"/>
        <v>2</v>
      </c>
      <c r="F327" s="23">
        <v>26.0</v>
      </c>
      <c r="G327" s="39">
        <f t="shared" si="2"/>
        <v>2</v>
      </c>
      <c r="H327" s="39">
        <f t="shared" si="3"/>
        <v>4</v>
      </c>
      <c r="I327" s="4" t="s">
        <v>1556</v>
      </c>
      <c r="J327" s="40" t="s">
        <v>727</v>
      </c>
      <c r="K327" s="5">
        <v>23.0</v>
      </c>
      <c r="L327" s="30">
        <f t="shared" si="4"/>
        <v>0.1333333333</v>
      </c>
    </row>
    <row r="328">
      <c r="A328" s="19" t="s">
        <v>756</v>
      </c>
      <c r="B328" s="5" t="s">
        <v>1916</v>
      </c>
      <c r="C328" s="41" t="s">
        <v>757</v>
      </c>
      <c r="D328" s="38">
        <v>0.33</v>
      </c>
      <c r="E328" s="39">
        <f t="shared" si="1"/>
        <v>2</v>
      </c>
      <c r="F328" s="21">
        <f t="shared" ref="F328:F332" si="9">VLOOKUP(C328, J41:K525, 2, FALSE)</f>
        <v>26</v>
      </c>
      <c r="G328" s="39">
        <f t="shared" si="2"/>
        <v>2</v>
      </c>
      <c r="H328" s="39">
        <f t="shared" si="3"/>
        <v>4</v>
      </c>
      <c r="I328" s="19" t="str">
        <f>vlookup(C328,'Player Codes'!$A:$D,4,)</f>
        <v>0176</v>
      </c>
      <c r="J328" s="40" t="s">
        <v>1430</v>
      </c>
      <c r="K328" s="5">
        <v>30.0</v>
      </c>
      <c r="L328" s="30">
        <f t="shared" si="4"/>
        <v>0.1333333333</v>
      </c>
    </row>
    <row r="329">
      <c r="A329" s="19" t="s">
        <v>432</v>
      </c>
      <c r="B329" s="5" t="s">
        <v>1917</v>
      </c>
      <c r="C329" s="41" t="s">
        <v>433</v>
      </c>
      <c r="D329" s="38">
        <v>0.62</v>
      </c>
      <c r="E329" s="39">
        <f t="shared" si="1"/>
        <v>3</v>
      </c>
      <c r="F329" s="21">
        <f t="shared" si="9"/>
        <v>22</v>
      </c>
      <c r="G329" s="39">
        <f t="shared" si="2"/>
        <v>1</v>
      </c>
      <c r="H329" s="39">
        <f t="shared" si="3"/>
        <v>4</v>
      </c>
      <c r="I329" s="19" t="str">
        <f>vlookup(C329,'Player Codes'!$A:$D,4,)</f>
        <v>0191</v>
      </c>
      <c r="J329" s="40" t="s">
        <v>1918</v>
      </c>
      <c r="K329" s="5">
        <v>27.0</v>
      </c>
      <c r="L329" s="30">
        <f t="shared" si="4"/>
        <v>0.1333333333</v>
      </c>
    </row>
    <row r="330">
      <c r="A330" s="23">
        <v>0.1</v>
      </c>
      <c r="B330" s="5" t="s">
        <v>1919</v>
      </c>
      <c r="C330" s="41" t="s">
        <v>1492</v>
      </c>
      <c r="D330" s="38">
        <v>0.17</v>
      </c>
      <c r="E330" s="39">
        <f t="shared" si="1"/>
        <v>1</v>
      </c>
      <c r="F330" s="21">
        <f t="shared" si="9"/>
        <v>25</v>
      </c>
      <c r="G330" s="39">
        <f t="shared" si="2"/>
        <v>1</v>
      </c>
      <c r="H330" s="39">
        <f t="shared" si="3"/>
        <v>2</v>
      </c>
      <c r="I330" s="4" t="s">
        <v>1556</v>
      </c>
      <c r="J330" s="40" t="s">
        <v>1920</v>
      </c>
      <c r="K330" s="5">
        <v>21.0</v>
      </c>
      <c r="L330" s="30">
        <f t="shared" si="4"/>
        <v>0.06666666667</v>
      </c>
    </row>
    <row r="331">
      <c r="A331" s="23">
        <v>0.1</v>
      </c>
      <c r="B331" s="5" t="s">
        <v>1921</v>
      </c>
      <c r="C331" s="41" t="s">
        <v>1502</v>
      </c>
      <c r="D331" s="38">
        <v>0.8</v>
      </c>
      <c r="E331" s="39">
        <f t="shared" si="1"/>
        <v>3</v>
      </c>
      <c r="F331" s="21">
        <f t="shared" si="9"/>
        <v>32</v>
      </c>
      <c r="G331" s="39">
        <f t="shared" si="2"/>
        <v>3</v>
      </c>
      <c r="H331" s="39">
        <f t="shared" si="3"/>
        <v>6</v>
      </c>
      <c r="I331" s="4" t="s">
        <v>1556</v>
      </c>
      <c r="J331" s="40" t="s">
        <v>768</v>
      </c>
      <c r="K331" s="5">
        <v>23.0</v>
      </c>
      <c r="L331" s="30">
        <f t="shared" si="4"/>
        <v>0.2</v>
      </c>
    </row>
    <row r="332">
      <c r="A332" s="19" t="s">
        <v>902</v>
      </c>
      <c r="B332" s="5" t="s">
        <v>1922</v>
      </c>
      <c r="C332" s="2" t="s">
        <v>903</v>
      </c>
      <c r="D332" s="38">
        <v>0.3</v>
      </c>
      <c r="E332" s="39">
        <f t="shared" si="1"/>
        <v>1</v>
      </c>
      <c r="F332" s="21">
        <f t="shared" si="9"/>
        <v>22</v>
      </c>
      <c r="G332" s="39">
        <f t="shared" si="2"/>
        <v>1</v>
      </c>
      <c r="H332" s="39">
        <f t="shared" si="3"/>
        <v>2</v>
      </c>
      <c r="I332" s="19" t="str">
        <f>vlookup(C332,'Player Codes'!$A:$D,4,)</f>
        <v>0199</v>
      </c>
      <c r="J332" s="40" t="s">
        <v>1511</v>
      </c>
      <c r="K332" s="5">
        <v>29.0</v>
      </c>
      <c r="L332" s="30">
        <f t="shared" si="4"/>
        <v>0.06666666667</v>
      </c>
    </row>
    <row r="333">
      <c r="A333" s="23">
        <v>0.1</v>
      </c>
      <c r="B333" s="5" t="s">
        <v>1923</v>
      </c>
      <c r="C333" s="2" t="s">
        <v>1503</v>
      </c>
      <c r="D333" s="38">
        <v>0.36</v>
      </c>
      <c r="E333" s="39">
        <f t="shared" si="1"/>
        <v>2</v>
      </c>
      <c r="F333" s="23">
        <v>24.0</v>
      </c>
      <c r="G333" s="39">
        <f t="shared" si="2"/>
        <v>1</v>
      </c>
      <c r="H333" s="39">
        <f t="shared" si="3"/>
        <v>3</v>
      </c>
      <c r="I333" s="4" t="s">
        <v>1556</v>
      </c>
      <c r="J333" s="40" t="s">
        <v>890</v>
      </c>
      <c r="K333" s="5">
        <v>24.0</v>
      </c>
      <c r="L333" s="30">
        <f t="shared" si="4"/>
        <v>0.1</v>
      </c>
    </row>
    <row r="334">
      <c r="A334" s="19" t="s">
        <v>276</v>
      </c>
      <c r="B334" s="5" t="s">
        <v>1924</v>
      </c>
      <c r="C334" s="2" t="s">
        <v>277</v>
      </c>
      <c r="D334" s="38">
        <v>0.45</v>
      </c>
      <c r="E334" s="39">
        <f t="shared" si="1"/>
        <v>2</v>
      </c>
      <c r="F334" s="23">
        <v>27.0</v>
      </c>
      <c r="G334" s="39">
        <f t="shared" si="2"/>
        <v>2</v>
      </c>
      <c r="H334" s="39">
        <f t="shared" si="3"/>
        <v>4</v>
      </c>
      <c r="I334" s="19" t="str">
        <f>vlookup(C334,'Player Codes'!$A:$D,4,)</f>
        <v>0202</v>
      </c>
      <c r="J334" s="40" t="s">
        <v>1925</v>
      </c>
      <c r="K334" s="5">
        <v>30.0</v>
      </c>
      <c r="L334" s="30">
        <f t="shared" si="4"/>
        <v>0.1333333333</v>
      </c>
    </row>
    <row r="335">
      <c r="A335" s="19" t="s">
        <v>833</v>
      </c>
      <c r="B335" s="5" t="s">
        <v>1926</v>
      </c>
      <c r="C335" s="2" t="s">
        <v>834</v>
      </c>
      <c r="D335" s="38">
        <v>0.32</v>
      </c>
      <c r="E335" s="39">
        <f t="shared" si="1"/>
        <v>2</v>
      </c>
      <c r="F335" s="21">
        <f t="shared" ref="F335:F341" si="10">VLOOKUP(C335, J48:K532, 2, FALSE)</f>
        <v>22</v>
      </c>
      <c r="G335" s="39">
        <f t="shared" si="2"/>
        <v>1</v>
      </c>
      <c r="H335" s="39">
        <f t="shared" si="3"/>
        <v>3</v>
      </c>
      <c r="I335" s="19" t="str">
        <f>vlookup(C335,'Player Codes'!$A:$D,4,)</f>
        <v>0214</v>
      </c>
      <c r="J335" s="40" t="s">
        <v>1927</v>
      </c>
      <c r="K335" s="5">
        <v>21.0</v>
      </c>
      <c r="L335" s="30">
        <f t="shared" si="4"/>
        <v>0.1</v>
      </c>
    </row>
    <row r="336">
      <c r="A336" s="19" t="s">
        <v>898</v>
      </c>
      <c r="B336" s="5" t="s">
        <v>1928</v>
      </c>
      <c r="C336" s="2" t="s">
        <v>899</v>
      </c>
      <c r="D336" s="38">
        <v>0.25</v>
      </c>
      <c r="E336" s="39">
        <f t="shared" si="1"/>
        <v>1</v>
      </c>
      <c r="F336" s="21">
        <f t="shared" si="10"/>
        <v>27</v>
      </c>
      <c r="G336" s="39">
        <f t="shared" si="2"/>
        <v>2</v>
      </c>
      <c r="H336" s="39">
        <f t="shared" si="3"/>
        <v>3</v>
      </c>
      <c r="I336" s="19" t="str">
        <f>vlookup(C336,'Player Codes'!$A:$D,4,)</f>
        <v>0219</v>
      </c>
      <c r="J336" s="40" t="s">
        <v>1281</v>
      </c>
      <c r="K336" s="5">
        <v>35.0</v>
      </c>
      <c r="L336" s="30">
        <f t="shared" si="4"/>
        <v>0.1</v>
      </c>
    </row>
    <row r="337">
      <c r="A337" s="23">
        <v>0.1</v>
      </c>
      <c r="B337" s="5" t="s">
        <v>1929</v>
      </c>
      <c r="C337" s="2" t="s">
        <v>1511</v>
      </c>
      <c r="D337" s="38">
        <v>0.23</v>
      </c>
      <c r="E337" s="39">
        <f t="shared" si="1"/>
        <v>1</v>
      </c>
      <c r="F337" s="21">
        <f t="shared" si="10"/>
        <v>29</v>
      </c>
      <c r="G337" s="39">
        <f t="shared" si="2"/>
        <v>2</v>
      </c>
      <c r="H337" s="39">
        <f t="shared" si="3"/>
        <v>3</v>
      </c>
      <c r="I337" s="4" t="s">
        <v>1556</v>
      </c>
      <c r="J337" s="40" t="s">
        <v>1436</v>
      </c>
      <c r="K337" s="5">
        <v>33.0</v>
      </c>
      <c r="L337" s="30">
        <f t="shared" si="4"/>
        <v>0.1</v>
      </c>
    </row>
    <row r="338">
      <c r="A338" s="19" t="s">
        <v>884</v>
      </c>
      <c r="B338" s="5" t="s">
        <v>1930</v>
      </c>
      <c r="C338" s="2" t="s">
        <v>885</v>
      </c>
      <c r="D338" s="38">
        <v>0.33</v>
      </c>
      <c r="E338" s="39">
        <f t="shared" si="1"/>
        <v>2</v>
      </c>
      <c r="F338" s="21">
        <f t="shared" si="10"/>
        <v>25</v>
      </c>
      <c r="G338" s="39">
        <f t="shared" si="2"/>
        <v>1</v>
      </c>
      <c r="H338" s="39">
        <f t="shared" si="3"/>
        <v>3</v>
      </c>
      <c r="I338" s="19" t="str">
        <f>vlookup(C338,'Player Codes'!$A:$D,4,)</f>
        <v>0231</v>
      </c>
      <c r="J338" s="40" t="s">
        <v>1931</v>
      </c>
      <c r="K338" s="5">
        <v>30.0</v>
      </c>
      <c r="L338" s="30">
        <f t="shared" si="4"/>
        <v>0.1</v>
      </c>
    </row>
    <row r="339">
      <c r="A339" s="19" t="s">
        <v>474</v>
      </c>
      <c r="B339" s="5" t="s">
        <v>1932</v>
      </c>
      <c r="C339" s="2" t="s">
        <v>475</v>
      </c>
      <c r="D339" s="38">
        <v>0.91</v>
      </c>
      <c r="E339" s="39">
        <f t="shared" si="1"/>
        <v>3</v>
      </c>
      <c r="F339" s="21">
        <f t="shared" si="10"/>
        <v>24</v>
      </c>
      <c r="G339" s="39">
        <f t="shared" si="2"/>
        <v>1</v>
      </c>
      <c r="H339" s="39">
        <f t="shared" si="3"/>
        <v>4</v>
      </c>
      <c r="I339" s="19" t="str">
        <f>vlookup(C339,'Player Codes'!$A:$D,4,)</f>
        <v>0234</v>
      </c>
      <c r="J339" s="40" t="s">
        <v>1933</v>
      </c>
      <c r="K339" s="2">
        <v>23.0</v>
      </c>
      <c r="L339" s="30">
        <f t="shared" si="4"/>
        <v>0.1333333333</v>
      </c>
    </row>
    <row r="340">
      <c r="A340" s="23">
        <v>0.1</v>
      </c>
      <c r="B340" s="5" t="s">
        <v>1934</v>
      </c>
      <c r="C340" s="2" t="s">
        <v>1520</v>
      </c>
      <c r="D340" s="38">
        <v>0.26</v>
      </c>
      <c r="E340" s="39">
        <f t="shared" si="1"/>
        <v>1</v>
      </c>
      <c r="F340" s="21">
        <f t="shared" si="10"/>
        <v>29</v>
      </c>
      <c r="G340" s="39">
        <f t="shared" si="2"/>
        <v>2</v>
      </c>
      <c r="H340" s="39">
        <f t="shared" si="3"/>
        <v>3</v>
      </c>
      <c r="I340" s="4" t="s">
        <v>1556</v>
      </c>
      <c r="J340" s="40" t="s">
        <v>1935</v>
      </c>
      <c r="K340" s="5">
        <v>24.0</v>
      </c>
      <c r="L340" s="30">
        <f t="shared" si="4"/>
        <v>0.1</v>
      </c>
    </row>
    <row r="341">
      <c r="A341" s="19" t="s">
        <v>731</v>
      </c>
      <c r="B341" s="5" t="s">
        <v>1936</v>
      </c>
      <c r="C341" s="2" t="s">
        <v>732</v>
      </c>
      <c r="D341" s="38">
        <v>0.34</v>
      </c>
      <c r="E341" s="39">
        <f t="shared" si="1"/>
        <v>2</v>
      </c>
      <c r="F341" s="21">
        <f t="shared" si="10"/>
        <v>22</v>
      </c>
      <c r="G341" s="39">
        <f t="shared" si="2"/>
        <v>1</v>
      </c>
      <c r="H341" s="39">
        <f t="shared" si="3"/>
        <v>3</v>
      </c>
      <c r="I341" s="19" t="str">
        <f>vlookup(C341,'Player Codes'!$A:$D,4,)</f>
        <v>0256</v>
      </c>
      <c r="J341" s="40" t="s">
        <v>1408</v>
      </c>
      <c r="K341" s="5">
        <v>25.0</v>
      </c>
      <c r="L341" s="30">
        <f t="shared" si="4"/>
        <v>0.1</v>
      </c>
    </row>
    <row r="342">
      <c r="A342" s="19" t="s">
        <v>347</v>
      </c>
      <c r="B342" s="5" t="s">
        <v>1937</v>
      </c>
      <c r="C342" s="2" t="s">
        <v>349</v>
      </c>
      <c r="D342" s="38">
        <v>0.51</v>
      </c>
      <c r="E342" s="39">
        <f t="shared" si="1"/>
        <v>2</v>
      </c>
      <c r="F342" s="23">
        <v>26.0</v>
      </c>
      <c r="G342" s="39">
        <f t="shared" si="2"/>
        <v>2</v>
      </c>
      <c r="H342" s="39">
        <f t="shared" si="3"/>
        <v>4</v>
      </c>
      <c r="I342" s="19" t="str">
        <f>vlookup(C342,'Player Codes'!$A:$D,4,)</f>
        <v>0264</v>
      </c>
      <c r="J342" s="40" t="s">
        <v>1477</v>
      </c>
      <c r="K342" s="5">
        <v>26.0</v>
      </c>
      <c r="L342" s="30">
        <f t="shared" si="4"/>
        <v>0.1333333333</v>
      </c>
    </row>
    <row r="343">
      <c r="A343" s="19" t="s">
        <v>741</v>
      </c>
      <c r="B343" s="5" t="s">
        <v>1938</v>
      </c>
      <c r="C343" s="2" t="s">
        <v>742</v>
      </c>
      <c r="D343" s="38">
        <v>0.93</v>
      </c>
      <c r="E343" s="39">
        <f t="shared" si="1"/>
        <v>3</v>
      </c>
      <c r="F343" s="21">
        <f>VLOOKUP(C343, J56:K540, 2, FALSE)</f>
        <v>33</v>
      </c>
      <c r="G343" s="39">
        <f t="shared" si="2"/>
        <v>3</v>
      </c>
      <c r="H343" s="39">
        <f t="shared" si="3"/>
        <v>6</v>
      </c>
      <c r="I343" s="19" t="str">
        <f>vlookup(C343,'Player Codes'!$A:$D,4,)</f>
        <v>0269</v>
      </c>
      <c r="J343" s="40" t="s">
        <v>1523</v>
      </c>
      <c r="K343" s="5">
        <v>24.0</v>
      </c>
      <c r="L343" s="30">
        <f t="shared" si="4"/>
        <v>0.2</v>
      </c>
    </row>
    <row r="344">
      <c r="A344" s="19" t="s">
        <v>189</v>
      </c>
      <c r="B344" s="5" t="s">
        <v>1939</v>
      </c>
      <c r="C344" s="2" t="s">
        <v>192</v>
      </c>
      <c r="D344" s="38">
        <v>0.23</v>
      </c>
      <c r="E344" s="39">
        <f t="shared" si="1"/>
        <v>1</v>
      </c>
      <c r="F344" s="23">
        <v>33.0</v>
      </c>
      <c r="G344" s="39">
        <f t="shared" si="2"/>
        <v>3</v>
      </c>
      <c r="H344" s="39">
        <f t="shared" si="3"/>
        <v>4</v>
      </c>
      <c r="I344" s="19" t="str">
        <f>vlookup(C344,'Player Codes'!$A:$D,4,)</f>
        <v>0276</v>
      </c>
      <c r="J344" s="40" t="s">
        <v>1940</v>
      </c>
      <c r="K344" s="5">
        <v>26.0</v>
      </c>
      <c r="L344" s="30">
        <f t="shared" si="4"/>
        <v>0.1333333333</v>
      </c>
    </row>
    <row r="345">
      <c r="A345" s="19" t="s">
        <v>904</v>
      </c>
      <c r="B345" s="5" t="s">
        <v>1941</v>
      </c>
      <c r="C345" s="2" t="s">
        <v>905</v>
      </c>
      <c r="D345" s="38">
        <v>0.35</v>
      </c>
      <c r="E345" s="39">
        <f t="shared" si="1"/>
        <v>2</v>
      </c>
      <c r="F345" s="21">
        <f t="shared" ref="F345:F350" si="11">VLOOKUP(C345, J58:K542, 2, FALSE)</f>
        <v>23</v>
      </c>
      <c r="G345" s="39">
        <f t="shared" si="2"/>
        <v>1</v>
      </c>
      <c r="H345" s="39">
        <f t="shared" si="3"/>
        <v>3</v>
      </c>
      <c r="I345" s="19" t="str">
        <f>vlookup(C345,'Player Codes'!$A:$D,4,)</f>
        <v>0278</v>
      </c>
      <c r="J345" s="40" t="s">
        <v>288</v>
      </c>
      <c r="K345" s="2">
        <v>21.0</v>
      </c>
      <c r="L345" s="30">
        <f t="shared" si="4"/>
        <v>0.1</v>
      </c>
    </row>
    <row r="346">
      <c r="A346" s="23">
        <v>0.1</v>
      </c>
      <c r="B346" s="5" t="s">
        <v>1942</v>
      </c>
      <c r="C346" s="2" t="s">
        <v>1525</v>
      </c>
      <c r="D346" s="38">
        <v>0.27</v>
      </c>
      <c r="E346" s="39">
        <f t="shared" si="1"/>
        <v>1</v>
      </c>
      <c r="F346" s="21">
        <f t="shared" si="11"/>
        <v>22</v>
      </c>
      <c r="G346" s="39">
        <f t="shared" si="2"/>
        <v>1</v>
      </c>
      <c r="H346" s="39">
        <f t="shared" si="3"/>
        <v>2</v>
      </c>
      <c r="I346" s="4" t="s">
        <v>1556</v>
      </c>
      <c r="J346" s="40" t="s">
        <v>1409</v>
      </c>
      <c r="K346" s="5">
        <v>24.0</v>
      </c>
      <c r="L346" s="30">
        <f t="shared" si="4"/>
        <v>0.06666666667</v>
      </c>
    </row>
    <row r="347">
      <c r="A347" s="19" t="s">
        <v>802</v>
      </c>
      <c r="B347" s="5" t="s">
        <v>1943</v>
      </c>
      <c r="C347" s="2" t="s">
        <v>803</v>
      </c>
      <c r="D347" s="38">
        <v>0.22</v>
      </c>
      <c r="E347" s="39">
        <f t="shared" si="1"/>
        <v>1</v>
      </c>
      <c r="F347" s="21">
        <f t="shared" si="11"/>
        <v>28</v>
      </c>
      <c r="G347" s="39">
        <f t="shared" si="2"/>
        <v>2</v>
      </c>
      <c r="H347" s="39">
        <f t="shared" si="3"/>
        <v>3</v>
      </c>
      <c r="I347" s="19" t="str">
        <f>vlookup(C347,'Player Codes'!$A:$D,4,)</f>
        <v>0287</v>
      </c>
      <c r="J347" s="40" t="s">
        <v>1384</v>
      </c>
      <c r="K347" s="5">
        <v>31.0</v>
      </c>
      <c r="L347" s="30">
        <f t="shared" si="4"/>
        <v>0.1</v>
      </c>
    </row>
    <row r="348">
      <c r="A348" s="19" t="s">
        <v>589</v>
      </c>
      <c r="B348" s="5" t="s">
        <v>1944</v>
      </c>
      <c r="C348" s="2" t="s">
        <v>590</v>
      </c>
      <c r="D348" s="38">
        <v>0.62</v>
      </c>
      <c r="E348" s="39">
        <f t="shared" si="1"/>
        <v>3</v>
      </c>
      <c r="F348" s="21">
        <f t="shared" si="11"/>
        <v>30</v>
      </c>
      <c r="G348" s="39">
        <f t="shared" si="2"/>
        <v>2</v>
      </c>
      <c r="H348" s="39">
        <f t="shared" si="3"/>
        <v>5</v>
      </c>
      <c r="I348" s="19" t="str">
        <f>vlookup(C348,'Player Codes'!$A:$D,4,)</f>
        <v>0288</v>
      </c>
      <c r="J348" s="40" t="s">
        <v>1442</v>
      </c>
      <c r="K348" s="5">
        <v>30.0</v>
      </c>
      <c r="L348" s="30">
        <f t="shared" si="4"/>
        <v>0.1666666667</v>
      </c>
    </row>
    <row r="349">
      <c r="A349" s="23">
        <v>0.1</v>
      </c>
      <c r="B349" s="5" t="s">
        <v>1945</v>
      </c>
      <c r="C349" s="2" t="s">
        <v>1526</v>
      </c>
      <c r="D349" s="38">
        <v>0.31</v>
      </c>
      <c r="E349" s="39">
        <f t="shared" si="1"/>
        <v>2</v>
      </c>
      <c r="F349" s="21">
        <f t="shared" si="11"/>
        <v>27</v>
      </c>
      <c r="G349" s="39">
        <f t="shared" si="2"/>
        <v>2</v>
      </c>
      <c r="H349" s="39">
        <f t="shared" si="3"/>
        <v>4</v>
      </c>
      <c r="I349" s="4" t="s">
        <v>1556</v>
      </c>
      <c r="J349" s="40" t="s">
        <v>1946</v>
      </c>
      <c r="K349" s="5">
        <v>28.0</v>
      </c>
      <c r="L349" s="30">
        <f t="shared" si="4"/>
        <v>0.1333333333</v>
      </c>
    </row>
    <row r="350">
      <c r="A350" s="19" t="s">
        <v>792</v>
      </c>
      <c r="B350" s="5" t="s">
        <v>1947</v>
      </c>
      <c r="C350" s="2" t="s">
        <v>793</v>
      </c>
      <c r="D350" s="38">
        <v>0.71</v>
      </c>
      <c r="E350" s="39">
        <f t="shared" si="1"/>
        <v>3</v>
      </c>
      <c r="F350" s="21">
        <f t="shared" si="11"/>
        <v>32</v>
      </c>
      <c r="G350" s="39">
        <f t="shared" si="2"/>
        <v>3</v>
      </c>
      <c r="H350" s="39">
        <f t="shared" si="3"/>
        <v>6</v>
      </c>
      <c r="I350" s="19" t="str">
        <f>vlookup(C350,'Player Codes'!$A:$D,4,)</f>
        <v>0297</v>
      </c>
      <c r="J350" s="40" t="s">
        <v>1262</v>
      </c>
      <c r="K350" s="5">
        <v>26.0</v>
      </c>
      <c r="L350" s="30">
        <f t="shared" si="4"/>
        <v>0.2</v>
      </c>
    </row>
    <row r="351">
      <c r="E351" s="16"/>
      <c r="H351" s="16"/>
      <c r="J351" s="40" t="s">
        <v>852</v>
      </c>
      <c r="K351" s="5">
        <v>23.0</v>
      </c>
    </row>
    <row r="352">
      <c r="E352" s="16"/>
      <c r="H352" s="16"/>
      <c r="J352" s="40" t="s">
        <v>1948</v>
      </c>
      <c r="K352" s="5">
        <v>28.0</v>
      </c>
    </row>
    <row r="353">
      <c r="E353" s="16"/>
      <c r="H353" s="16"/>
      <c r="J353" s="40" t="s">
        <v>1337</v>
      </c>
      <c r="K353" s="5">
        <v>23.0</v>
      </c>
    </row>
    <row r="354">
      <c r="E354" s="16"/>
      <c r="H354" s="16"/>
      <c r="J354" s="40" t="s">
        <v>617</v>
      </c>
      <c r="K354" s="5">
        <v>22.0</v>
      </c>
    </row>
    <row r="355">
      <c r="E355" s="16"/>
      <c r="H355" s="16"/>
      <c r="J355" s="40" t="s">
        <v>1498</v>
      </c>
      <c r="K355" s="5">
        <v>24.0</v>
      </c>
    </row>
    <row r="356">
      <c r="E356" s="16"/>
      <c r="H356" s="16"/>
      <c r="J356" s="40" t="s">
        <v>1949</v>
      </c>
      <c r="K356" s="5">
        <v>26.0</v>
      </c>
    </row>
    <row r="357">
      <c r="E357" s="16"/>
      <c r="H357" s="16"/>
      <c r="J357" s="40" t="s">
        <v>1950</v>
      </c>
      <c r="K357" s="5">
        <v>32.0</v>
      </c>
    </row>
    <row r="358">
      <c r="E358" s="16"/>
      <c r="H358" s="16"/>
      <c r="J358" s="40" t="s">
        <v>1318</v>
      </c>
      <c r="K358" s="5">
        <v>30.0</v>
      </c>
    </row>
    <row r="359">
      <c r="E359" s="16"/>
      <c r="H359" s="16"/>
      <c r="J359" s="40" t="s">
        <v>1447</v>
      </c>
      <c r="K359" s="5">
        <v>25.0</v>
      </c>
    </row>
    <row r="360">
      <c r="E360" s="16"/>
      <c r="H360" s="16"/>
      <c r="J360" s="40" t="s">
        <v>1484</v>
      </c>
      <c r="K360" s="5">
        <v>22.0</v>
      </c>
    </row>
    <row r="361">
      <c r="E361" s="16"/>
      <c r="H361" s="16"/>
      <c r="J361" s="40" t="s">
        <v>1951</v>
      </c>
      <c r="K361" s="5">
        <v>27.0</v>
      </c>
    </row>
    <row r="362">
      <c r="E362" s="16"/>
      <c r="H362" s="16"/>
      <c r="J362" s="40" t="s">
        <v>1952</v>
      </c>
      <c r="K362" s="2">
        <v>21.0</v>
      </c>
    </row>
    <row r="363">
      <c r="E363" s="16"/>
      <c r="H363" s="16"/>
      <c r="J363" s="40" t="s">
        <v>1953</v>
      </c>
      <c r="K363" s="2">
        <v>23.0</v>
      </c>
    </row>
    <row r="364">
      <c r="E364" s="16"/>
      <c r="H364" s="16"/>
      <c r="J364" s="40" t="s">
        <v>1954</v>
      </c>
      <c r="K364" s="5">
        <v>27.0</v>
      </c>
    </row>
    <row r="365">
      <c r="E365" s="16"/>
      <c r="H365" s="16"/>
      <c r="J365" s="40" t="s">
        <v>1461</v>
      </c>
      <c r="K365" s="5">
        <v>30.0</v>
      </c>
    </row>
    <row r="366">
      <c r="E366" s="16"/>
      <c r="H366" s="16"/>
      <c r="J366" s="40" t="s">
        <v>1955</v>
      </c>
      <c r="K366" s="5">
        <v>24.0</v>
      </c>
    </row>
    <row r="367">
      <c r="E367" s="16"/>
      <c r="H367" s="16"/>
      <c r="J367" s="40" t="s">
        <v>1358</v>
      </c>
      <c r="K367" s="5">
        <v>24.0</v>
      </c>
    </row>
    <row r="368">
      <c r="E368" s="16"/>
      <c r="H368" s="16"/>
      <c r="J368" s="40" t="s">
        <v>1956</v>
      </c>
      <c r="K368" s="5">
        <v>31.0</v>
      </c>
    </row>
    <row r="369">
      <c r="E369" s="16"/>
      <c r="H369" s="16"/>
      <c r="J369" s="40" t="s">
        <v>1957</v>
      </c>
      <c r="K369" s="5">
        <v>33.0</v>
      </c>
    </row>
    <row r="370">
      <c r="E370" s="16"/>
      <c r="H370" s="16"/>
      <c r="J370" s="40" t="s">
        <v>1958</v>
      </c>
      <c r="K370" s="5">
        <v>24.0</v>
      </c>
    </row>
    <row r="371">
      <c r="E371" s="16"/>
      <c r="H371" s="16"/>
      <c r="J371" s="40" t="s">
        <v>1526</v>
      </c>
      <c r="K371" s="5">
        <v>27.0</v>
      </c>
    </row>
    <row r="372">
      <c r="E372" s="16"/>
      <c r="H372" s="16"/>
      <c r="J372" s="40" t="s">
        <v>1959</v>
      </c>
      <c r="K372" s="5">
        <v>25.0</v>
      </c>
    </row>
    <row r="373">
      <c r="E373" s="16"/>
      <c r="H373" s="16"/>
      <c r="J373" s="40" t="s">
        <v>1960</v>
      </c>
      <c r="K373" s="5">
        <v>28.0</v>
      </c>
    </row>
    <row r="374">
      <c r="E374" s="16"/>
      <c r="H374" s="16"/>
      <c r="J374" s="40" t="s">
        <v>1961</v>
      </c>
      <c r="K374" s="5">
        <v>31.0</v>
      </c>
    </row>
    <row r="375">
      <c r="E375" s="16"/>
      <c r="H375" s="16"/>
      <c r="J375" s="40" t="s">
        <v>1962</v>
      </c>
      <c r="K375" s="5">
        <v>27.0</v>
      </c>
    </row>
    <row r="376">
      <c r="E376" s="16"/>
      <c r="H376" s="16"/>
      <c r="J376" s="40" t="s">
        <v>903</v>
      </c>
      <c r="K376" s="5">
        <v>22.0</v>
      </c>
    </row>
    <row r="377">
      <c r="E377" s="16"/>
      <c r="H377" s="16"/>
      <c r="J377" s="40" t="s">
        <v>1431</v>
      </c>
      <c r="K377" s="5">
        <v>26.0</v>
      </c>
    </row>
    <row r="378">
      <c r="E378" s="16"/>
      <c r="H378" s="16"/>
      <c r="J378" s="40" t="s">
        <v>1492</v>
      </c>
      <c r="K378" s="5">
        <v>25.0</v>
      </c>
    </row>
    <row r="379">
      <c r="E379" s="16"/>
      <c r="H379" s="16"/>
      <c r="J379" s="40" t="s">
        <v>1963</v>
      </c>
      <c r="K379" s="5">
        <v>24.0</v>
      </c>
    </row>
    <row r="380">
      <c r="E380" s="16"/>
      <c r="H380" s="16"/>
      <c r="J380" s="40" t="s">
        <v>1964</v>
      </c>
      <c r="K380" s="5">
        <v>24.0</v>
      </c>
    </row>
    <row r="381">
      <c r="E381" s="16"/>
      <c r="H381" s="16"/>
      <c r="J381" s="40" t="s">
        <v>775</v>
      </c>
      <c r="K381" s="5">
        <v>25.0</v>
      </c>
    </row>
    <row r="382">
      <c r="E382" s="16"/>
      <c r="H382" s="16"/>
      <c r="J382" s="40" t="s">
        <v>1516</v>
      </c>
      <c r="K382" s="5">
        <v>26.0</v>
      </c>
    </row>
    <row r="383">
      <c r="E383" s="16"/>
      <c r="H383" s="16"/>
      <c r="J383" s="40" t="s">
        <v>1451</v>
      </c>
      <c r="K383" s="5">
        <v>27.0</v>
      </c>
    </row>
    <row r="384">
      <c r="E384" s="16"/>
      <c r="H384" s="16"/>
      <c r="J384" s="40" t="s">
        <v>1965</v>
      </c>
      <c r="K384" s="5">
        <v>23.0</v>
      </c>
    </row>
    <row r="385">
      <c r="E385" s="16"/>
      <c r="H385" s="16"/>
      <c r="J385" s="40" t="s">
        <v>1397</v>
      </c>
      <c r="K385" s="5">
        <v>22.0</v>
      </c>
    </row>
    <row r="386">
      <c r="E386" s="16"/>
      <c r="H386" s="16"/>
      <c r="J386" s="40" t="s">
        <v>1966</v>
      </c>
      <c r="K386" s="5">
        <v>24.0</v>
      </c>
    </row>
    <row r="387">
      <c r="E387" s="16"/>
      <c r="H387" s="16"/>
      <c r="J387" s="40" t="s">
        <v>1967</v>
      </c>
      <c r="K387" s="5">
        <v>33.0</v>
      </c>
    </row>
    <row r="388">
      <c r="E388" s="16"/>
      <c r="H388" s="16"/>
      <c r="J388" s="40" t="s">
        <v>1968</v>
      </c>
      <c r="K388" s="5">
        <v>25.0</v>
      </c>
    </row>
    <row r="389">
      <c r="E389" s="16"/>
      <c r="H389" s="16"/>
      <c r="J389" s="40" t="s">
        <v>1366</v>
      </c>
      <c r="K389" s="5">
        <v>26.0</v>
      </c>
    </row>
    <row r="390">
      <c r="E390" s="16"/>
      <c r="H390" s="16"/>
      <c r="J390" s="40" t="s">
        <v>1969</v>
      </c>
      <c r="K390" s="5">
        <v>30.0</v>
      </c>
    </row>
    <row r="391">
      <c r="E391" s="16"/>
      <c r="H391" s="16"/>
      <c r="J391" s="40" t="s">
        <v>1970</v>
      </c>
      <c r="K391" s="5">
        <v>28.0</v>
      </c>
    </row>
    <row r="392">
      <c r="E392" s="16"/>
      <c r="H392" s="16"/>
      <c r="J392" s="40" t="s">
        <v>1971</v>
      </c>
      <c r="K392" s="5">
        <v>25.0</v>
      </c>
    </row>
    <row r="393">
      <c r="E393" s="16"/>
      <c r="H393" s="16"/>
      <c r="J393" s="40" t="s">
        <v>1972</v>
      </c>
      <c r="K393" s="5">
        <v>30.0</v>
      </c>
    </row>
    <row r="394">
      <c r="E394" s="16"/>
      <c r="H394" s="16"/>
      <c r="J394" s="40" t="s">
        <v>1973</v>
      </c>
      <c r="K394" s="5">
        <v>23.0</v>
      </c>
    </row>
    <row r="395">
      <c r="E395" s="16"/>
      <c r="H395" s="16"/>
      <c r="J395" s="40" t="s">
        <v>635</v>
      </c>
      <c r="K395" s="5">
        <v>27.0</v>
      </c>
    </row>
    <row r="396">
      <c r="E396" s="16"/>
      <c r="H396" s="16"/>
      <c r="J396" s="40" t="s">
        <v>1974</v>
      </c>
      <c r="K396" s="5">
        <v>24.0</v>
      </c>
    </row>
    <row r="397">
      <c r="E397" s="16"/>
      <c r="H397" s="16"/>
      <c r="J397" s="40" t="s">
        <v>1501</v>
      </c>
      <c r="K397" s="5">
        <v>30.0</v>
      </c>
    </row>
    <row r="398">
      <c r="E398" s="16"/>
      <c r="H398" s="16"/>
      <c r="J398" s="40" t="s">
        <v>1506</v>
      </c>
      <c r="K398" s="5">
        <v>24.0</v>
      </c>
    </row>
    <row r="399">
      <c r="E399" s="16"/>
      <c r="H399" s="16"/>
      <c r="J399" s="40" t="s">
        <v>1975</v>
      </c>
      <c r="K399" s="5">
        <v>25.0</v>
      </c>
    </row>
    <row r="400">
      <c r="E400" s="16"/>
      <c r="H400" s="16"/>
      <c r="J400" s="40" t="s">
        <v>1976</v>
      </c>
      <c r="K400" s="5">
        <v>24.0</v>
      </c>
    </row>
    <row r="401">
      <c r="E401" s="16"/>
      <c r="H401" s="16"/>
      <c r="J401" s="40" t="s">
        <v>1977</v>
      </c>
      <c r="K401" s="5">
        <v>25.0</v>
      </c>
    </row>
    <row r="402">
      <c r="E402" s="16"/>
      <c r="H402" s="16"/>
      <c r="J402" s="40" t="s">
        <v>1978</v>
      </c>
      <c r="K402" s="5">
        <v>26.0</v>
      </c>
    </row>
    <row r="403">
      <c r="E403" s="16"/>
      <c r="H403" s="16"/>
      <c r="J403" s="40" t="s">
        <v>1393</v>
      </c>
      <c r="K403" s="5">
        <v>29.0</v>
      </c>
    </row>
    <row r="404">
      <c r="E404" s="16"/>
      <c r="H404" s="16"/>
      <c r="J404" s="40" t="s">
        <v>1979</v>
      </c>
      <c r="K404" s="5">
        <v>29.0</v>
      </c>
    </row>
    <row r="405">
      <c r="E405" s="16"/>
      <c r="H405" s="16"/>
      <c r="J405" s="40" t="s">
        <v>1980</v>
      </c>
      <c r="K405" s="5">
        <v>23.0</v>
      </c>
    </row>
    <row r="406">
      <c r="E406" s="16"/>
      <c r="H406" s="16"/>
      <c r="J406" s="40" t="s">
        <v>1340</v>
      </c>
      <c r="K406" s="5">
        <v>26.0</v>
      </c>
    </row>
    <row r="407">
      <c r="E407" s="16"/>
      <c r="H407" s="16"/>
      <c r="J407" s="40" t="s">
        <v>908</v>
      </c>
      <c r="K407" s="5">
        <v>23.0</v>
      </c>
    </row>
    <row r="408">
      <c r="E408" s="16"/>
      <c r="H408" s="16"/>
      <c r="J408" s="40" t="s">
        <v>1981</v>
      </c>
      <c r="K408" s="5">
        <v>24.0</v>
      </c>
    </row>
    <row r="409">
      <c r="E409" s="16"/>
      <c r="H409" s="16"/>
      <c r="J409" s="40" t="s">
        <v>1982</v>
      </c>
      <c r="K409" s="5">
        <v>28.0</v>
      </c>
    </row>
    <row r="410">
      <c r="E410" s="16"/>
      <c r="H410" s="16"/>
      <c r="J410" s="40" t="s">
        <v>1311</v>
      </c>
      <c r="K410" s="5">
        <v>24.0</v>
      </c>
    </row>
    <row r="411">
      <c r="E411" s="16"/>
      <c r="H411" s="16"/>
      <c r="J411" s="40" t="s">
        <v>696</v>
      </c>
      <c r="K411" s="5">
        <v>25.0</v>
      </c>
    </row>
    <row r="412">
      <c r="E412" s="16"/>
      <c r="H412" s="16"/>
      <c r="J412" s="40" t="s">
        <v>1983</v>
      </c>
      <c r="K412" s="5">
        <v>24.0</v>
      </c>
    </row>
    <row r="413">
      <c r="E413" s="16"/>
      <c r="H413" s="16"/>
      <c r="J413" s="40" t="s">
        <v>1984</v>
      </c>
      <c r="K413" s="5">
        <v>23.0</v>
      </c>
    </row>
    <row r="414">
      <c r="E414" s="16"/>
      <c r="H414" s="16"/>
      <c r="J414" s="40" t="s">
        <v>1985</v>
      </c>
      <c r="K414" s="5">
        <v>23.0</v>
      </c>
    </row>
    <row r="415">
      <c r="E415" s="16"/>
      <c r="H415" s="16"/>
      <c r="J415" s="40" t="s">
        <v>1325</v>
      </c>
      <c r="K415" s="5">
        <v>25.0</v>
      </c>
    </row>
    <row r="416">
      <c r="E416" s="16"/>
      <c r="H416" s="16"/>
      <c r="J416" s="40" t="s">
        <v>1986</v>
      </c>
      <c r="K416" s="5">
        <v>23.0</v>
      </c>
    </row>
    <row r="417">
      <c r="E417" s="16"/>
      <c r="H417" s="16"/>
      <c r="J417" s="40" t="s">
        <v>522</v>
      </c>
      <c r="K417" s="5">
        <v>23.0</v>
      </c>
    </row>
    <row r="418">
      <c r="E418" s="16"/>
      <c r="H418" s="16"/>
      <c r="J418" s="40" t="s">
        <v>1507</v>
      </c>
      <c r="K418" s="5">
        <v>29.0</v>
      </c>
    </row>
    <row r="419">
      <c r="E419" s="16"/>
      <c r="H419" s="16"/>
      <c r="J419" s="40" t="s">
        <v>1987</v>
      </c>
      <c r="K419" s="5">
        <v>27.0</v>
      </c>
    </row>
    <row r="420">
      <c r="E420" s="16"/>
      <c r="H420" s="16"/>
      <c r="J420" s="40" t="s">
        <v>1475</v>
      </c>
      <c r="K420" s="5">
        <v>25.0</v>
      </c>
    </row>
    <row r="421">
      <c r="E421" s="16"/>
      <c r="H421" s="16"/>
      <c r="J421" s="40" t="s">
        <v>1988</v>
      </c>
      <c r="K421" s="5">
        <v>23.0</v>
      </c>
    </row>
    <row r="422">
      <c r="E422" s="16"/>
      <c r="H422" s="16"/>
      <c r="J422" s="40" t="s">
        <v>585</v>
      </c>
      <c r="K422" s="2">
        <v>22.0</v>
      </c>
    </row>
    <row r="423">
      <c r="E423" s="16"/>
      <c r="H423" s="16"/>
      <c r="J423" s="40" t="s">
        <v>1480</v>
      </c>
      <c r="K423" s="5">
        <v>25.0</v>
      </c>
    </row>
    <row r="424">
      <c r="E424" s="16"/>
      <c r="H424" s="16"/>
      <c r="J424" s="40" t="s">
        <v>771</v>
      </c>
      <c r="K424" s="5">
        <v>23.0</v>
      </c>
    </row>
    <row r="425">
      <c r="E425" s="16"/>
      <c r="H425" s="16"/>
      <c r="J425" s="40" t="s">
        <v>1989</v>
      </c>
      <c r="K425" s="5">
        <v>24.0</v>
      </c>
    </row>
    <row r="426">
      <c r="E426" s="16"/>
      <c r="H426" s="16"/>
      <c r="J426" s="40" t="s">
        <v>1990</v>
      </c>
      <c r="K426" s="5">
        <v>28.0</v>
      </c>
    </row>
    <row r="427">
      <c r="E427" s="16"/>
      <c r="H427" s="16"/>
      <c r="J427" s="40" t="s">
        <v>1273</v>
      </c>
      <c r="K427" s="5">
        <v>24.0</v>
      </c>
    </row>
    <row r="428">
      <c r="E428" s="16"/>
      <c r="H428" s="16"/>
      <c r="J428" s="40" t="s">
        <v>1991</v>
      </c>
      <c r="K428" s="5">
        <v>24.0</v>
      </c>
    </row>
    <row r="429">
      <c r="E429" s="16"/>
      <c r="H429" s="16"/>
      <c r="J429" s="40" t="s">
        <v>1992</v>
      </c>
      <c r="K429" s="2">
        <v>24.0</v>
      </c>
    </row>
    <row r="430">
      <c r="E430" s="16"/>
      <c r="H430" s="16"/>
      <c r="J430" s="40" t="s">
        <v>1993</v>
      </c>
      <c r="K430" s="5">
        <v>24.0</v>
      </c>
    </row>
    <row r="431">
      <c r="E431" s="16"/>
      <c r="H431" s="16"/>
      <c r="J431" s="40" t="s">
        <v>1994</v>
      </c>
      <c r="K431" s="5">
        <v>27.0</v>
      </c>
    </row>
    <row r="432">
      <c r="E432" s="16"/>
      <c r="H432" s="16"/>
      <c r="J432" s="40" t="s">
        <v>751</v>
      </c>
      <c r="K432" s="2">
        <v>22.0</v>
      </c>
    </row>
    <row r="433">
      <c r="E433" s="16"/>
      <c r="H433" s="16"/>
      <c r="J433" s="40" t="s">
        <v>1995</v>
      </c>
      <c r="K433" s="2">
        <v>23.0</v>
      </c>
    </row>
    <row r="434">
      <c r="E434" s="16"/>
      <c r="H434" s="16"/>
      <c r="J434" s="40" t="s">
        <v>1996</v>
      </c>
      <c r="K434" s="5">
        <v>22.0</v>
      </c>
    </row>
    <row r="435">
      <c r="E435" s="16"/>
      <c r="H435" s="16"/>
      <c r="J435" s="40" t="s">
        <v>1997</v>
      </c>
      <c r="K435" s="5">
        <v>23.0</v>
      </c>
    </row>
    <row r="436">
      <c r="E436" s="16"/>
      <c r="H436" s="16"/>
      <c r="J436" s="40" t="s">
        <v>1454</v>
      </c>
      <c r="K436" s="5">
        <v>24.0</v>
      </c>
    </row>
    <row r="437">
      <c r="E437" s="16"/>
      <c r="H437" s="16"/>
      <c r="J437" s="40" t="s">
        <v>1386</v>
      </c>
      <c r="K437" s="5">
        <v>27.0</v>
      </c>
    </row>
    <row r="438">
      <c r="E438" s="16"/>
      <c r="H438" s="16"/>
      <c r="J438" s="40" t="s">
        <v>1998</v>
      </c>
      <c r="K438" s="2">
        <v>23.0</v>
      </c>
    </row>
    <row r="439">
      <c r="E439" s="16"/>
      <c r="H439" s="16"/>
      <c r="J439" s="40" t="s">
        <v>1999</v>
      </c>
      <c r="K439" s="5">
        <v>27.0</v>
      </c>
    </row>
    <row r="440">
      <c r="E440" s="16"/>
      <c r="H440" s="16"/>
      <c r="J440" s="40" t="s">
        <v>2000</v>
      </c>
      <c r="K440" s="5">
        <v>23.0</v>
      </c>
    </row>
    <row r="441">
      <c r="E441" s="16"/>
      <c r="H441" s="16"/>
      <c r="J441" s="40" t="s">
        <v>2001</v>
      </c>
      <c r="K441" s="5">
        <v>28.0</v>
      </c>
    </row>
    <row r="442">
      <c r="E442" s="16"/>
      <c r="H442" s="16"/>
      <c r="J442" s="40" t="s">
        <v>2002</v>
      </c>
      <c r="K442" s="5">
        <v>26.0</v>
      </c>
    </row>
    <row r="443">
      <c r="E443" s="16"/>
      <c r="H443" s="16"/>
      <c r="J443" s="40" t="s">
        <v>2003</v>
      </c>
      <c r="K443" s="5">
        <v>22.0</v>
      </c>
    </row>
    <row r="444">
      <c r="E444" s="16"/>
      <c r="H444" s="16"/>
      <c r="J444" s="40" t="s">
        <v>665</v>
      </c>
      <c r="K444" s="5">
        <v>27.0</v>
      </c>
    </row>
    <row r="445">
      <c r="E445" s="16"/>
      <c r="H445" s="16"/>
      <c r="J445" s="40" t="s">
        <v>2004</v>
      </c>
      <c r="K445" s="5">
        <v>23.0</v>
      </c>
    </row>
    <row r="446">
      <c r="E446" s="16"/>
      <c r="H446" s="16"/>
      <c r="J446" s="40" t="s">
        <v>2005</v>
      </c>
      <c r="K446" s="5">
        <v>26.0</v>
      </c>
    </row>
    <row r="447">
      <c r="E447" s="16"/>
      <c r="H447" s="16"/>
      <c r="J447" s="40" t="s">
        <v>2006</v>
      </c>
      <c r="K447" s="5">
        <v>22.0</v>
      </c>
    </row>
    <row r="448">
      <c r="E448" s="16"/>
      <c r="H448" s="16"/>
      <c r="J448" s="40" t="s">
        <v>1517</v>
      </c>
      <c r="K448" s="5">
        <v>30.0</v>
      </c>
    </row>
    <row r="449">
      <c r="E449" s="16"/>
      <c r="H449" s="16"/>
      <c r="J449" s="40" t="s">
        <v>2007</v>
      </c>
      <c r="K449" s="5">
        <v>25.0</v>
      </c>
    </row>
    <row r="450">
      <c r="E450" s="16"/>
      <c r="H450" s="16"/>
      <c r="J450" s="40" t="s">
        <v>2008</v>
      </c>
      <c r="K450" s="5">
        <v>22.0</v>
      </c>
    </row>
    <row r="451">
      <c r="E451" s="16"/>
      <c r="H451" s="16"/>
      <c r="J451" s="40" t="s">
        <v>2009</v>
      </c>
      <c r="K451" s="5">
        <v>26.0</v>
      </c>
    </row>
    <row r="452">
      <c r="E452" s="16"/>
      <c r="H452" s="16"/>
      <c r="J452" s="40" t="s">
        <v>1415</v>
      </c>
      <c r="K452" s="5">
        <v>32.0</v>
      </c>
    </row>
    <row r="453">
      <c r="E453" s="16"/>
      <c r="H453" s="16"/>
      <c r="J453" s="40" t="s">
        <v>1455</v>
      </c>
      <c r="K453" s="5">
        <v>25.0</v>
      </c>
    </row>
    <row r="454">
      <c r="E454" s="16"/>
      <c r="H454" s="16"/>
      <c r="J454" s="40" t="s">
        <v>2010</v>
      </c>
      <c r="K454" s="2">
        <v>23.0</v>
      </c>
    </row>
    <row r="455">
      <c r="E455" s="16"/>
      <c r="H455" s="16"/>
      <c r="J455" s="40" t="s">
        <v>2011</v>
      </c>
      <c r="K455" s="5">
        <v>30.0</v>
      </c>
    </row>
    <row r="456">
      <c r="E456" s="16"/>
      <c r="H456" s="16"/>
      <c r="J456" s="40" t="s">
        <v>1428</v>
      </c>
      <c r="K456" s="5">
        <v>25.0</v>
      </c>
    </row>
    <row r="457">
      <c r="E457" s="16"/>
      <c r="H457" s="16"/>
      <c r="J457" s="40" t="s">
        <v>657</v>
      </c>
      <c r="K457" s="5">
        <v>27.0</v>
      </c>
    </row>
    <row r="458">
      <c r="E458" s="16"/>
      <c r="H458" s="16"/>
      <c r="J458" s="40" t="s">
        <v>2012</v>
      </c>
      <c r="K458" s="5">
        <v>24.0</v>
      </c>
    </row>
    <row r="459">
      <c r="E459" s="16"/>
      <c r="H459" s="16"/>
      <c r="J459" s="40" t="s">
        <v>2013</v>
      </c>
      <c r="K459" s="5">
        <v>23.0</v>
      </c>
    </row>
    <row r="460">
      <c r="E460" s="16"/>
      <c r="H460" s="16"/>
      <c r="J460" s="40" t="s">
        <v>2014</v>
      </c>
      <c r="K460" s="5">
        <v>25.0</v>
      </c>
    </row>
    <row r="461">
      <c r="E461" s="16"/>
      <c r="H461" s="16"/>
      <c r="J461" s="40" t="s">
        <v>2015</v>
      </c>
      <c r="K461" s="5">
        <v>24.0</v>
      </c>
    </row>
    <row r="462">
      <c r="E462" s="16"/>
      <c r="H462" s="16"/>
      <c r="J462" s="40" t="s">
        <v>2016</v>
      </c>
      <c r="K462" s="5">
        <v>28.0</v>
      </c>
    </row>
    <row r="463">
      <c r="E463" s="16"/>
      <c r="H463" s="16"/>
      <c r="J463" s="40" t="s">
        <v>2017</v>
      </c>
      <c r="K463" s="5">
        <v>29.0</v>
      </c>
    </row>
    <row r="464">
      <c r="E464" s="16"/>
      <c r="H464" s="16"/>
      <c r="J464" s="40" t="s">
        <v>2018</v>
      </c>
      <c r="K464" s="5">
        <v>29.0</v>
      </c>
    </row>
    <row r="465">
      <c r="E465" s="16"/>
      <c r="H465" s="16"/>
      <c r="J465" s="40" t="s">
        <v>2019</v>
      </c>
      <c r="K465" s="5">
        <v>24.0</v>
      </c>
    </row>
    <row r="466">
      <c r="E466" s="16"/>
      <c r="H466" s="16"/>
      <c r="J466" s="40" t="s">
        <v>2020</v>
      </c>
      <c r="K466" s="5">
        <v>28.0</v>
      </c>
    </row>
    <row r="467">
      <c r="E467" s="16"/>
      <c r="H467" s="16"/>
      <c r="J467" s="40" t="s">
        <v>2021</v>
      </c>
      <c r="K467" s="5">
        <v>25.0</v>
      </c>
    </row>
    <row r="468">
      <c r="E468" s="16"/>
      <c r="H468" s="16"/>
      <c r="J468" s="40" t="s">
        <v>2022</v>
      </c>
      <c r="K468" s="5">
        <v>24.0</v>
      </c>
    </row>
    <row r="469">
      <c r="E469" s="16"/>
      <c r="H469" s="16"/>
      <c r="J469" s="40" t="s">
        <v>2023</v>
      </c>
      <c r="K469" s="5">
        <v>33.0</v>
      </c>
    </row>
    <row r="470">
      <c r="E470" s="16"/>
      <c r="H470" s="16"/>
      <c r="J470" s="40" t="s">
        <v>2024</v>
      </c>
      <c r="K470" s="2">
        <v>22.0</v>
      </c>
    </row>
    <row r="471">
      <c r="E471" s="16"/>
      <c r="H471" s="16"/>
      <c r="J471" s="40" t="s">
        <v>2025</v>
      </c>
      <c r="K471" s="5">
        <v>26.0</v>
      </c>
    </row>
    <row r="472">
      <c r="E472" s="16"/>
      <c r="H472" s="16"/>
      <c r="J472" s="40" t="s">
        <v>1525</v>
      </c>
      <c r="K472" s="5">
        <v>22.0</v>
      </c>
    </row>
    <row r="473">
      <c r="E473" s="16"/>
      <c r="H473" s="16"/>
      <c r="J473" s="40" t="s">
        <v>2026</v>
      </c>
      <c r="K473" s="5">
        <v>29.0</v>
      </c>
    </row>
    <row r="474">
      <c r="E474" s="16"/>
      <c r="H474" s="16"/>
      <c r="J474" s="40" t="s">
        <v>2027</v>
      </c>
      <c r="K474" s="5">
        <v>28.0</v>
      </c>
    </row>
    <row r="475">
      <c r="E475" s="16"/>
      <c r="H475" s="16"/>
      <c r="J475" s="40" t="s">
        <v>2028</v>
      </c>
      <c r="K475" s="5">
        <v>22.0</v>
      </c>
    </row>
    <row r="476">
      <c r="E476" s="16"/>
      <c r="H476" s="16"/>
      <c r="J476" s="40" t="s">
        <v>2029</v>
      </c>
      <c r="K476" s="5">
        <v>27.0</v>
      </c>
    </row>
    <row r="477">
      <c r="E477" s="16"/>
      <c r="H477" s="16"/>
      <c r="J477" s="40" t="s">
        <v>2030</v>
      </c>
      <c r="K477" s="5">
        <v>27.0</v>
      </c>
    </row>
    <row r="478">
      <c r="E478" s="16"/>
      <c r="H478" s="16"/>
      <c r="J478" s="40" t="s">
        <v>2031</v>
      </c>
      <c r="K478" s="5">
        <v>24.0</v>
      </c>
    </row>
    <row r="479">
      <c r="E479" s="16"/>
      <c r="H479" s="16"/>
      <c r="J479" s="40" t="s">
        <v>2032</v>
      </c>
      <c r="K479" s="5">
        <v>24.0</v>
      </c>
    </row>
    <row r="480">
      <c r="E480" s="16"/>
      <c r="H480" s="16"/>
      <c r="J480" s="40" t="s">
        <v>2033</v>
      </c>
      <c r="K480" s="5">
        <v>24.0</v>
      </c>
    </row>
    <row r="481">
      <c r="E481" s="16"/>
      <c r="H481" s="16"/>
      <c r="J481" s="40" t="s">
        <v>2034</v>
      </c>
      <c r="K481" s="5">
        <v>24.0</v>
      </c>
    </row>
    <row r="482">
      <c r="E482" s="16"/>
      <c r="H482" s="16"/>
      <c r="J482" s="40" t="s">
        <v>2035</v>
      </c>
      <c r="K482" s="5">
        <v>24.0</v>
      </c>
    </row>
    <row r="483">
      <c r="E483" s="16"/>
      <c r="H483" s="16"/>
      <c r="J483" s="40" t="s">
        <v>2036</v>
      </c>
      <c r="K483" s="5">
        <v>24.0</v>
      </c>
    </row>
    <row r="484">
      <c r="E484" s="16"/>
      <c r="H484" s="16"/>
      <c r="J484" s="40" t="s">
        <v>2037</v>
      </c>
      <c r="K484" s="5">
        <v>24.0</v>
      </c>
    </row>
    <row r="485">
      <c r="E485" s="16"/>
      <c r="H485" s="16"/>
      <c r="J485" s="40" t="s">
        <v>2038</v>
      </c>
      <c r="K485" s="5">
        <v>25.0</v>
      </c>
    </row>
    <row r="486">
      <c r="E486" s="16"/>
      <c r="H486" s="16"/>
      <c r="J486" s="40" t="s">
        <v>2039</v>
      </c>
      <c r="K486" s="5">
        <v>25.0</v>
      </c>
    </row>
    <row r="487">
      <c r="E487" s="16"/>
      <c r="H487" s="16"/>
      <c r="J487" s="40" t="s">
        <v>2040</v>
      </c>
      <c r="K487" s="5">
        <v>24.0</v>
      </c>
    </row>
    <row r="488">
      <c r="E488" s="16"/>
      <c r="H488" s="16"/>
      <c r="J488" s="40" t="s">
        <v>2041</v>
      </c>
      <c r="K488" s="5">
        <v>27.0</v>
      </c>
    </row>
    <row r="489">
      <c r="E489" s="16"/>
      <c r="H489" s="16"/>
    </row>
    <row r="490">
      <c r="E490" s="16"/>
      <c r="H490" s="16"/>
    </row>
    <row r="491">
      <c r="E491" s="16"/>
      <c r="H491" s="16"/>
    </row>
    <row r="492">
      <c r="E492" s="16"/>
      <c r="H492" s="16"/>
    </row>
    <row r="493">
      <c r="E493" s="16"/>
      <c r="H493" s="16"/>
    </row>
    <row r="494">
      <c r="E494" s="16"/>
      <c r="H494" s="16"/>
    </row>
    <row r="495">
      <c r="E495" s="16"/>
      <c r="H495" s="16"/>
    </row>
    <row r="496">
      <c r="E496" s="16"/>
      <c r="H496" s="16"/>
    </row>
    <row r="497">
      <c r="E497" s="16"/>
      <c r="H497" s="16"/>
    </row>
    <row r="498">
      <c r="E498" s="16"/>
      <c r="H498" s="16"/>
    </row>
    <row r="499">
      <c r="E499" s="16"/>
      <c r="H499" s="16"/>
    </row>
    <row r="500">
      <c r="E500" s="16"/>
      <c r="H500" s="16"/>
    </row>
    <row r="501">
      <c r="E501" s="16"/>
      <c r="H501" s="16"/>
    </row>
    <row r="502">
      <c r="E502" s="16"/>
      <c r="H502" s="16"/>
    </row>
    <row r="503">
      <c r="E503" s="16"/>
      <c r="H503" s="16"/>
    </row>
    <row r="504">
      <c r="E504" s="16"/>
      <c r="H504" s="16"/>
    </row>
    <row r="505">
      <c r="E505" s="16"/>
      <c r="H505" s="16"/>
    </row>
    <row r="506">
      <c r="E506" s="16"/>
      <c r="H506" s="16"/>
    </row>
    <row r="507">
      <c r="E507" s="16"/>
      <c r="H507" s="16"/>
    </row>
    <row r="508">
      <c r="E508" s="16"/>
      <c r="H508" s="16"/>
    </row>
    <row r="509">
      <c r="E509" s="16"/>
      <c r="H509" s="16"/>
    </row>
    <row r="510">
      <c r="E510" s="16"/>
      <c r="H510" s="16"/>
    </row>
    <row r="511">
      <c r="E511" s="16"/>
      <c r="H511" s="16"/>
    </row>
    <row r="512">
      <c r="E512" s="16"/>
      <c r="H512" s="16"/>
    </row>
    <row r="513">
      <c r="E513" s="16"/>
      <c r="H513" s="16"/>
    </row>
    <row r="514">
      <c r="E514" s="16"/>
      <c r="H514" s="16"/>
    </row>
    <row r="515">
      <c r="E515" s="16"/>
      <c r="H515" s="16"/>
    </row>
    <row r="516">
      <c r="E516" s="16"/>
      <c r="H516" s="16"/>
    </row>
    <row r="517">
      <c r="E517" s="16"/>
      <c r="H517" s="16"/>
    </row>
    <row r="518">
      <c r="E518" s="16"/>
      <c r="H518" s="16"/>
    </row>
    <row r="519">
      <c r="E519" s="16"/>
      <c r="H519" s="16"/>
    </row>
    <row r="520">
      <c r="E520" s="16"/>
      <c r="H520" s="16"/>
    </row>
    <row r="521">
      <c r="E521" s="16"/>
      <c r="H521" s="16"/>
    </row>
    <row r="522">
      <c r="E522" s="16"/>
      <c r="H522" s="16"/>
    </row>
    <row r="523">
      <c r="E523" s="16"/>
      <c r="H523" s="16"/>
    </row>
    <row r="524">
      <c r="E524" s="16"/>
      <c r="H524" s="16"/>
    </row>
    <row r="525">
      <c r="E525" s="16"/>
      <c r="H525" s="16"/>
    </row>
    <row r="526">
      <c r="E526" s="16"/>
      <c r="H526" s="16"/>
    </row>
    <row r="527">
      <c r="E527" s="16"/>
      <c r="H527" s="16"/>
    </row>
    <row r="528">
      <c r="E528" s="16"/>
      <c r="H528" s="16"/>
    </row>
    <row r="529">
      <c r="E529" s="16"/>
      <c r="H529" s="16"/>
    </row>
    <row r="530">
      <c r="E530" s="16"/>
      <c r="H530" s="16"/>
    </row>
    <row r="531">
      <c r="E531" s="16"/>
      <c r="H531" s="16"/>
    </row>
    <row r="532">
      <c r="E532" s="16"/>
      <c r="H532" s="16"/>
    </row>
    <row r="533">
      <c r="E533" s="16"/>
      <c r="H533" s="16"/>
    </row>
    <row r="534">
      <c r="E534" s="16"/>
      <c r="H534" s="16"/>
    </row>
    <row r="535">
      <c r="E535" s="16"/>
      <c r="H535" s="16"/>
    </row>
    <row r="536">
      <c r="E536" s="16"/>
      <c r="H536" s="16"/>
    </row>
    <row r="537">
      <c r="E537" s="16"/>
      <c r="H537" s="16"/>
    </row>
    <row r="538">
      <c r="E538" s="16"/>
      <c r="H538" s="16"/>
    </row>
    <row r="539">
      <c r="E539" s="16"/>
      <c r="H539" s="16"/>
    </row>
    <row r="540">
      <c r="E540" s="16"/>
      <c r="H540" s="16"/>
    </row>
    <row r="541">
      <c r="E541" s="16"/>
      <c r="H541" s="16"/>
    </row>
    <row r="542">
      <c r="E542" s="16"/>
      <c r="H542" s="16"/>
    </row>
    <row r="543">
      <c r="E543" s="16"/>
      <c r="H543" s="16"/>
    </row>
    <row r="544">
      <c r="E544" s="16"/>
      <c r="H544" s="16"/>
    </row>
    <row r="545">
      <c r="E545" s="16"/>
      <c r="H545" s="16"/>
    </row>
    <row r="546">
      <c r="E546" s="16"/>
      <c r="H546" s="16"/>
    </row>
    <row r="547">
      <c r="E547" s="16"/>
      <c r="H547" s="16"/>
    </row>
    <row r="548">
      <c r="E548" s="16"/>
      <c r="H548" s="16"/>
    </row>
    <row r="549">
      <c r="E549" s="16"/>
      <c r="H549" s="16"/>
    </row>
    <row r="550">
      <c r="E550" s="16"/>
      <c r="H550" s="16"/>
    </row>
    <row r="551">
      <c r="E551" s="16"/>
      <c r="H551" s="16"/>
    </row>
    <row r="552">
      <c r="E552" s="16"/>
      <c r="H552" s="16"/>
    </row>
    <row r="553">
      <c r="E553" s="16"/>
      <c r="H553" s="16"/>
    </row>
    <row r="554">
      <c r="E554" s="16"/>
      <c r="H554" s="16"/>
    </row>
    <row r="555">
      <c r="E555" s="16"/>
      <c r="H555" s="16"/>
    </row>
    <row r="556">
      <c r="E556" s="16"/>
      <c r="H556" s="16"/>
    </row>
    <row r="557">
      <c r="E557" s="16"/>
      <c r="H557" s="16"/>
    </row>
    <row r="558">
      <c r="E558" s="16"/>
      <c r="H558" s="16"/>
    </row>
    <row r="559">
      <c r="E559" s="16"/>
      <c r="H559" s="16"/>
    </row>
    <row r="560">
      <c r="E560" s="16"/>
      <c r="H560" s="16"/>
    </row>
    <row r="561">
      <c r="E561" s="16"/>
      <c r="H561" s="16"/>
    </row>
    <row r="562">
      <c r="E562" s="16"/>
      <c r="H562" s="16"/>
    </row>
    <row r="563">
      <c r="E563" s="16"/>
      <c r="H563" s="16"/>
    </row>
    <row r="564">
      <c r="E564" s="16"/>
      <c r="H564" s="16"/>
    </row>
    <row r="565">
      <c r="E565" s="16"/>
      <c r="H565" s="16"/>
    </row>
    <row r="566">
      <c r="E566" s="16"/>
      <c r="H566" s="16"/>
    </row>
    <row r="567">
      <c r="E567" s="16"/>
      <c r="H567" s="16"/>
    </row>
    <row r="568">
      <c r="E568" s="16"/>
      <c r="H568" s="16"/>
    </row>
    <row r="569">
      <c r="E569" s="16"/>
      <c r="H569" s="16"/>
    </row>
    <row r="570">
      <c r="E570" s="16"/>
      <c r="H570" s="16"/>
    </row>
    <row r="571">
      <c r="E571" s="16"/>
      <c r="H571" s="16"/>
    </row>
    <row r="572">
      <c r="E572" s="16"/>
      <c r="H572" s="16"/>
    </row>
    <row r="573">
      <c r="E573" s="16"/>
      <c r="H573" s="16"/>
    </row>
    <row r="574">
      <c r="E574" s="16"/>
      <c r="H574" s="16"/>
    </row>
    <row r="575">
      <c r="E575" s="16"/>
      <c r="H575" s="16"/>
    </row>
    <row r="576">
      <c r="E576" s="16"/>
      <c r="H576" s="16"/>
    </row>
    <row r="577">
      <c r="E577" s="16"/>
      <c r="H577" s="16"/>
    </row>
    <row r="578">
      <c r="E578" s="16"/>
      <c r="H578" s="16"/>
    </row>
    <row r="579">
      <c r="E579" s="16"/>
      <c r="H579" s="16"/>
    </row>
    <row r="580">
      <c r="E580" s="16"/>
      <c r="H580" s="16"/>
    </row>
    <row r="581">
      <c r="E581" s="16"/>
      <c r="H581" s="16"/>
    </row>
    <row r="582">
      <c r="E582" s="16"/>
      <c r="H582" s="16"/>
    </row>
    <row r="583">
      <c r="E583" s="16"/>
      <c r="H583" s="16"/>
    </row>
    <row r="584">
      <c r="E584" s="16"/>
      <c r="H584" s="16"/>
    </row>
    <row r="585">
      <c r="E585" s="16"/>
      <c r="H585" s="16"/>
    </row>
    <row r="586">
      <c r="E586" s="16"/>
      <c r="H586" s="16"/>
    </row>
    <row r="587">
      <c r="E587" s="16"/>
      <c r="H587" s="16"/>
    </row>
    <row r="588">
      <c r="E588" s="16"/>
      <c r="H588" s="16"/>
    </row>
    <row r="589">
      <c r="E589" s="16"/>
      <c r="H589" s="16"/>
    </row>
    <row r="590">
      <c r="E590" s="16"/>
      <c r="H590" s="16"/>
    </row>
    <row r="591">
      <c r="E591" s="16"/>
      <c r="H591" s="16"/>
    </row>
    <row r="592">
      <c r="E592" s="16"/>
      <c r="H592" s="16"/>
    </row>
    <row r="593">
      <c r="E593" s="16"/>
      <c r="H593" s="16"/>
    </row>
    <row r="594">
      <c r="E594" s="16"/>
      <c r="H594" s="16"/>
    </row>
    <row r="595">
      <c r="E595" s="16"/>
      <c r="H595" s="16"/>
    </row>
    <row r="596">
      <c r="E596" s="16"/>
      <c r="H596" s="16"/>
    </row>
    <row r="597">
      <c r="E597" s="16"/>
      <c r="H597" s="16"/>
    </row>
    <row r="598">
      <c r="E598" s="16"/>
      <c r="H598" s="16"/>
    </row>
    <row r="599">
      <c r="E599" s="16"/>
      <c r="H599" s="16"/>
    </row>
    <row r="600">
      <c r="E600" s="16"/>
      <c r="H600" s="16"/>
    </row>
    <row r="601">
      <c r="E601" s="16"/>
      <c r="H601" s="16"/>
    </row>
    <row r="602">
      <c r="E602" s="16"/>
      <c r="H602" s="16"/>
    </row>
    <row r="603">
      <c r="E603" s="16"/>
      <c r="H603" s="16"/>
    </row>
    <row r="604">
      <c r="E604" s="16"/>
      <c r="H604" s="16"/>
    </row>
    <row r="605">
      <c r="E605" s="16"/>
      <c r="H605" s="16"/>
    </row>
    <row r="606">
      <c r="E606" s="16"/>
      <c r="H606" s="16"/>
    </row>
    <row r="607">
      <c r="E607" s="16"/>
      <c r="H607" s="16"/>
    </row>
    <row r="608">
      <c r="E608" s="16"/>
      <c r="H608" s="16"/>
    </row>
    <row r="609">
      <c r="E609" s="16"/>
      <c r="H609" s="16"/>
    </row>
    <row r="610">
      <c r="E610" s="16"/>
      <c r="H610" s="16"/>
    </row>
    <row r="611">
      <c r="E611" s="16"/>
      <c r="H611" s="16"/>
    </row>
    <row r="612">
      <c r="E612" s="16"/>
      <c r="H612" s="16"/>
    </row>
    <row r="613">
      <c r="E613" s="16"/>
      <c r="H613" s="16"/>
    </row>
    <row r="614">
      <c r="E614" s="16"/>
      <c r="H614" s="16"/>
    </row>
    <row r="615">
      <c r="E615" s="16"/>
      <c r="H615" s="16"/>
    </row>
    <row r="616">
      <c r="E616" s="16"/>
      <c r="H616" s="16"/>
    </row>
    <row r="617">
      <c r="E617" s="16"/>
      <c r="H617" s="16"/>
    </row>
    <row r="618">
      <c r="E618" s="16"/>
      <c r="H618" s="16"/>
    </row>
    <row r="619">
      <c r="E619" s="16"/>
      <c r="H619" s="16"/>
    </row>
    <row r="620">
      <c r="E620" s="16"/>
      <c r="H620" s="16"/>
    </row>
    <row r="621">
      <c r="E621" s="16"/>
      <c r="H621" s="16"/>
    </row>
    <row r="622">
      <c r="E622" s="16"/>
      <c r="H622" s="16"/>
    </row>
    <row r="623">
      <c r="E623" s="16"/>
      <c r="H623" s="16"/>
    </row>
    <row r="624">
      <c r="E624" s="16"/>
      <c r="H624" s="16"/>
    </row>
    <row r="625">
      <c r="E625" s="16"/>
      <c r="H625" s="16"/>
    </row>
    <row r="626">
      <c r="E626" s="16"/>
      <c r="H626" s="16"/>
    </row>
    <row r="627">
      <c r="E627" s="16"/>
      <c r="H627" s="16"/>
    </row>
    <row r="628">
      <c r="E628" s="16"/>
      <c r="H628" s="16"/>
    </row>
    <row r="629">
      <c r="E629" s="16"/>
      <c r="H629" s="16"/>
    </row>
    <row r="630">
      <c r="E630" s="16"/>
      <c r="H630" s="16"/>
    </row>
    <row r="631">
      <c r="E631" s="16"/>
      <c r="H631" s="16"/>
    </row>
    <row r="632">
      <c r="E632" s="16"/>
      <c r="H632" s="16"/>
    </row>
    <row r="633">
      <c r="E633" s="16"/>
      <c r="H633" s="16"/>
    </row>
    <row r="634">
      <c r="E634" s="16"/>
      <c r="H634" s="16"/>
    </row>
    <row r="635">
      <c r="E635" s="16"/>
      <c r="H635" s="16"/>
    </row>
    <row r="636">
      <c r="E636" s="16"/>
      <c r="H636" s="16"/>
    </row>
    <row r="637">
      <c r="E637" s="16"/>
      <c r="H637" s="16"/>
    </row>
    <row r="638">
      <c r="E638" s="16"/>
      <c r="H638" s="16"/>
    </row>
    <row r="639">
      <c r="E639" s="16"/>
      <c r="H639" s="16"/>
    </row>
    <row r="640">
      <c r="E640" s="16"/>
      <c r="H640" s="16"/>
    </row>
    <row r="641">
      <c r="E641" s="16"/>
      <c r="H641" s="16"/>
    </row>
    <row r="642">
      <c r="E642" s="16"/>
      <c r="H642" s="16"/>
    </row>
    <row r="643">
      <c r="E643" s="16"/>
      <c r="H643" s="16"/>
    </row>
    <row r="644">
      <c r="E644" s="16"/>
      <c r="H644" s="16"/>
    </row>
    <row r="645">
      <c r="E645" s="16"/>
      <c r="H645" s="16"/>
    </row>
    <row r="646">
      <c r="E646" s="16"/>
      <c r="H646" s="16"/>
    </row>
    <row r="647">
      <c r="E647" s="16"/>
      <c r="H647" s="16"/>
    </row>
    <row r="648">
      <c r="E648" s="16"/>
      <c r="H648" s="16"/>
    </row>
    <row r="649">
      <c r="E649" s="16"/>
      <c r="H649" s="16"/>
    </row>
    <row r="650">
      <c r="E650" s="16"/>
      <c r="H650" s="16"/>
    </row>
    <row r="651">
      <c r="E651" s="16"/>
      <c r="H651" s="16"/>
    </row>
    <row r="652">
      <c r="E652" s="16"/>
      <c r="H652" s="16"/>
    </row>
    <row r="653">
      <c r="E653" s="16"/>
      <c r="H653" s="16"/>
    </row>
    <row r="654">
      <c r="E654" s="16"/>
      <c r="H654" s="16"/>
    </row>
    <row r="655">
      <c r="E655" s="16"/>
      <c r="H655" s="16"/>
    </row>
    <row r="656">
      <c r="E656" s="16"/>
      <c r="H656" s="16"/>
    </row>
    <row r="657">
      <c r="E657" s="16"/>
      <c r="H657" s="16"/>
    </row>
    <row r="658">
      <c r="E658" s="16"/>
      <c r="H658" s="16"/>
    </row>
    <row r="659">
      <c r="E659" s="16"/>
      <c r="H659" s="16"/>
    </row>
    <row r="660">
      <c r="E660" s="16"/>
      <c r="H660" s="16"/>
    </row>
    <row r="661">
      <c r="E661" s="16"/>
      <c r="H661" s="16"/>
    </row>
    <row r="662">
      <c r="E662" s="16"/>
      <c r="H662" s="16"/>
    </row>
    <row r="663">
      <c r="E663" s="16"/>
      <c r="H663" s="16"/>
    </row>
    <row r="664">
      <c r="E664" s="16"/>
      <c r="H664" s="16"/>
    </row>
    <row r="665">
      <c r="E665" s="16"/>
      <c r="H665" s="16"/>
    </row>
    <row r="666">
      <c r="E666" s="16"/>
      <c r="H666" s="16"/>
    </row>
    <row r="667">
      <c r="E667" s="16"/>
      <c r="H667" s="16"/>
    </row>
    <row r="668">
      <c r="E668" s="16"/>
      <c r="H668" s="16"/>
    </row>
    <row r="669">
      <c r="E669" s="16"/>
      <c r="H669" s="16"/>
    </row>
    <row r="670">
      <c r="E670" s="16"/>
      <c r="H670" s="16"/>
    </row>
    <row r="671">
      <c r="E671" s="16"/>
      <c r="H671" s="16"/>
    </row>
    <row r="672">
      <c r="E672" s="16"/>
      <c r="H672" s="16"/>
    </row>
    <row r="673">
      <c r="E673" s="16"/>
      <c r="H673" s="16"/>
    </row>
    <row r="674">
      <c r="E674" s="16"/>
      <c r="H674" s="16"/>
    </row>
    <row r="675">
      <c r="E675" s="16"/>
      <c r="H675" s="16"/>
    </row>
    <row r="676">
      <c r="E676" s="16"/>
      <c r="H676" s="16"/>
    </row>
    <row r="677">
      <c r="E677" s="16"/>
      <c r="H677" s="16"/>
    </row>
    <row r="678">
      <c r="E678" s="16"/>
      <c r="H678" s="16"/>
    </row>
    <row r="679">
      <c r="E679" s="16"/>
      <c r="H679" s="16"/>
    </row>
    <row r="680">
      <c r="E680" s="16"/>
      <c r="H680" s="16"/>
    </row>
    <row r="681">
      <c r="E681" s="16"/>
      <c r="H681" s="16"/>
    </row>
    <row r="682">
      <c r="E682" s="16"/>
      <c r="H682" s="16"/>
    </row>
    <row r="683">
      <c r="E683" s="16"/>
      <c r="H683" s="16"/>
    </row>
    <row r="684">
      <c r="E684" s="16"/>
      <c r="H684" s="16"/>
    </row>
    <row r="685">
      <c r="E685" s="16"/>
      <c r="H685" s="16"/>
    </row>
    <row r="686">
      <c r="E686" s="16"/>
      <c r="H686" s="16"/>
    </row>
    <row r="687">
      <c r="E687" s="16"/>
      <c r="H687" s="16"/>
    </row>
    <row r="688">
      <c r="E688" s="16"/>
      <c r="H688" s="16"/>
    </row>
    <row r="689">
      <c r="E689" s="16"/>
      <c r="H689" s="16"/>
    </row>
    <row r="690">
      <c r="E690" s="16"/>
      <c r="H690" s="16"/>
    </row>
    <row r="691">
      <c r="E691" s="16"/>
      <c r="H691" s="16"/>
    </row>
    <row r="692">
      <c r="E692" s="16"/>
      <c r="H692" s="16"/>
    </row>
    <row r="693">
      <c r="E693" s="16"/>
      <c r="H693" s="16"/>
    </row>
    <row r="694">
      <c r="E694" s="16"/>
      <c r="H694" s="16"/>
    </row>
    <row r="695">
      <c r="E695" s="16"/>
      <c r="H695" s="16"/>
    </row>
    <row r="696">
      <c r="E696" s="16"/>
      <c r="H696" s="16"/>
    </row>
    <row r="697">
      <c r="E697" s="16"/>
      <c r="H697" s="16"/>
    </row>
    <row r="698">
      <c r="E698" s="16"/>
      <c r="H698" s="16"/>
    </row>
    <row r="699">
      <c r="E699" s="16"/>
      <c r="H699" s="16"/>
    </row>
    <row r="700">
      <c r="E700" s="16"/>
      <c r="H700" s="16"/>
    </row>
    <row r="701">
      <c r="E701" s="16"/>
      <c r="H701" s="16"/>
    </row>
    <row r="702">
      <c r="E702" s="16"/>
      <c r="H702" s="16"/>
    </row>
    <row r="703">
      <c r="E703" s="16"/>
      <c r="H703" s="16"/>
    </row>
    <row r="704">
      <c r="E704" s="16"/>
      <c r="H704" s="16"/>
    </row>
    <row r="705">
      <c r="E705" s="16"/>
      <c r="H705" s="16"/>
    </row>
    <row r="706">
      <c r="E706" s="16"/>
      <c r="H706" s="16"/>
    </row>
    <row r="707">
      <c r="E707" s="16"/>
      <c r="H707" s="16"/>
    </row>
    <row r="708">
      <c r="E708" s="16"/>
      <c r="H708" s="16"/>
    </row>
    <row r="709">
      <c r="E709" s="16"/>
      <c r="H709" s="16"/>
    </row>
    <row r="710">
      <c r="E710" s="16"/>
      <c r="H710" s="16"/>
    </row>
    <row r="711">
      <c r="E711" s="16"/>
      <c r="H711" s="16"/>
    </row>
    <row r="712">
      <c r="E712" s="16"/>
      <c r="H712" s="16"/>
    </row>
    <row r="713">
      <c r="E713" s="16"/>
      <c r="H713" s="16"/>
    </row>
    <row r="714">
      <c r="E714" s="16"/>
      <c r="H714" s="16"/>
    </row>
    <row r="715">
      <c r="E715" s="16"/>
      <c r="H715" s="16"/>
    </row>
    <row r="716">
      <c r="E716" s="16"/>
      <c r="H716" s="16"/>
    </row>
    <row r="717">
      <c r="E717" s="16"/>
      <c r="H717" s="16"/>
    </row>
    <row r="718">
      <c r="E718" s="16"/>
      <c r="H718" s="16"/>
    </row>
    <row r="719">
      <c r="E719" s="16"/>
      <c r="H719" s="16"/>
    </row>
    <row r="720">
      <c r="E720" s="16"/>
      <c r="H720" s="16"/>
    </row>
    <row r="721">
      <c r="E721" s="16"/>
      <c r="H721" s="16"/>
    </row>
    <row r="722">
      <c r="E722" s="16"/>
      <c r="H722" s="16"/>
    </row>
    <row r="723">
      <c r="E723" s="16"/>
      <c r="H723" s="16"/>
    </row>
    <row r="724">
      <c r="E724" s="16"/>
      <c r="H724" s="16"/>
    </row>
    <row r="725">
      <c r="E725" s="16"/>
      <c r="H725" s="16"/>
    </row>
    <row r="726">
      <c r="E726" s="16"/>
      <c r="H726" s="16"/>
    </row>
    <row r="727">
      <c r="E727" s="16"/>
      <c r="H727" s="16"/>
    </row>
    <row r="728">
      <c r="E728" s="16"/>
      <c r="H728" s="16"/>
    </row>
    <row r="729">
      <c r="E729" s="16"/>
      <c r="H729" s="16"/>
    </row>
    <row r="730">
      <c r="E730" s="16"/>
      <c r="H730" s="16"/>
    </row>
    <row r="731">
      <c r="E731" s="16"/>
      <c r="H731" s="16"/>
    </row>
    <row r="732">
      <c r="E732" s="16"/>
      <c r="H732" s="16"/>
    </row>
    <row r="733">
      <c r="E733" s="16"/>
      <c r="H733" s="16"/>
    </row>
    <row r="734">
      <c r="E734" s="16"/>
      <c r="H734" s="16"/>
    </row>
    <row r="735">
      <c r="E735" s="16"/>
      <c r="H735" s="16"/>
    </row>
    <row r="736">
      <c r="E736" s="16"/>
      <c r="H736" s="16"/>
    </row>
    <row r="737">
      <c r="E737" s="16"/>
      <c r="H737" s="16"/>
    </row>
    <row r="738">
      <c r="E738" s="16"/>
      <c r="H738" s="16"/>
    </row>
    <row r="739">
      <c r="E739" s="16"/>
      <c r="H739" s="16"/>
    </row>
    <row r="740">
      <c r="E740" s="16"/>
      <c r="H740" s="16"/>
    </row>
    <row r="741">
      <c r="E741" s="16"/>
      <c r="H741" s="16"/>
    </row>
    <row r="742">
      <c r="E742" s="16"/>
      <c r="H742" s="16"/>
    </row>
    <row r="743">
      <c r="E743" s="16"/>
      <c r="H743" s="16"/>
    </row>
    <row r="744">
      <c r="E744" s="16"/>
      <c r="H744" s="16"/>
    </row>
    <row r="745">
      <c r="E745" s="16"/>
      <c r="H745" s="16"/>
    </row>
    <row r="746">
      <c r="E746" s="16"/>
      <c r="H746" s="16"/>
    </row>
    <row r="747">
      <c r="E747" s="16"/>
      <c r="H747" s="16"/>
    </row>
    <row r="748">
      <c r="E748" s="16"/>
      <c r="H748" s="16"/>
    </row>
    <row r="749">
      <c r="E749" s="16"/>
      <c r="H749" s="16"/>
    </row>
    <row r="750">
      <c r="E750" s="16"/>
      <c r="H750" s="16"/>
    </row>
    <row r="751">
      <c r="E751" s="16"/>
      <c r="H751" s="16"/>
    </row>
    <row r="752">
      <c r="E752" s="16"/>
      <c r="H752" s="16"/>
    </row>
    <row r="753">
      <c r="E753" s="16"/>
      <c r="H753" s="16"/>
    </row>
    <row r="754">
      <c r="E754" s="16"/>
      <c r="H754" s="16"/>
    </row>
    <row r="755">
      <c r="E755" s="16"/>
      <c r="H755" s="16"/>
    </row>
    <row r="756">
      <c r="E756" s="16"/>
      <c r="H756" s="16"/>
    </row>
    <row r="757">
      <c r="E757" s="16"/>
      <c r="H757" s="16"/>
    </row>
    <row r="758">
      <c r="E758" s="16"/>
      <c r="H758" s="16"/>
    </row>
    <row r="759">
      <c r="E759" s="16"/>
      <c r="H759" s="16"/>
    </row>
    <row r="760">
      <c r="E760" s="16"/>
      <c r="H760" s="16"/>
    </row>
    <row r="761">
      <c r="E761" s="16"/>
      <c r="H761" s="16"/>
    </row>
    <row r="762">
      <c r="E762" s="16"/>
      <c r="H762" s="16"/>
    </row>
    <row r="763">
      <c r="E763" s="16"/>
      <c r="H763" s="16"/>
    </row>
    <row r="764">
      <c r="E764" s="16"/>
      <c r="H764" s="16"/>
    </row>
    <row r="765">
      <c r="E765" s="16"/>
      <c r="H765" s="16"/>
    </row>
    <row r="766">
      <c r="E766" s="16"/>
      <c r="H766" s="16"/>
    </row>
    <row r="767">
      <c r="E767" s="16"/>
      <c r="H767" s="16"/>
    </row>
    <row r="768">
      <c r="E768" s="16"/>
      <c r="H768" s="16"/>
    </row>
    <row r="769">
      <c r="E769" s="16"/>
      <c r="H769" s="16"/>
    </row>
    <row r="770">
      <c r="E770" s="16"/>
      <c r="H770" s="16"/>
    </row>
    <row r="771">
      <c r="E771" s="16"/>
      <c r="H771" s="16"/>
    </row>
    <row r="772">
      <c r="E772" s="16"/>
      <c r="H772" s="16"/>
    </row>
    <row r="773">
      <c r="E773" s="16"/>
      <c r="H773" s="16"/>
    </row>
    <row r="774">
      <c r="E774" s="16"/>
      <c r="H774" s="16"/>
    </row>
    <row r="775">
      <c r="E775" s="16"/>
      <c r="H775" s="16"/>
    </row>
    <row r="776">
      <c r="E776" s="16"/>
      <c r="H776" s="16"/>
    </row>
    <row r="777">
      <c r="E777" s="16"/>
      <c r="H777" s="16"/>
    </row>
    <row r="778">
      <c r="E778" s="16"/>
      <c r="H778" s="16"/>
    </row>
    <row r="779">
      <c r="E779" s="16"/>
      <c r="H779" s="16"/>
    </row>
    <row r="780">
      <c r="E780" s="16"/>
      <c r="H780" s="16"/>
    </row>
    <row r="781">
      <c r="E781" s="16"/>
      <c r="H781" s="16"/>
    </row>
    <row r="782">
      <c r="E782" s="16"/>
      <c r="H782" s="16"/>
    </row>
    <row r="783">
      <c r="E783" s="16"/>
      <c r="H783" s="16"/>
    </row>
    <row r="784">
      <c r="E784" s="16"/>
      <c r="H784" s="16"/>
    </row>
    <row r="785">
      <c r="E785" s="16"/>
      <c r="H785" s="16"/>
    </row>
    <row r="786">
      <c r="E786" s="16"/>
      <c r="H786" s="16"/>
    </row>
    <row r="787">
      <c r="E787" s="16"/>
      <c r="H787" s="16"/>
    </row>
    <row r="788">
      <c r="E788" s="16"/>
      <c r="H788" s="16"/>
    </row>
    <row r="789">
      <c r="E789" s="16"/>
      <c r="H789" s="16"/>
    </row>
    <row r="790">
      <c r="E790" s="16"/>
      <c r="H790" s="16"/>
    </row>
    <row r="791">
      <c r="E791" s="16"/>
      <c r="H791" s="16"/>
    </row>
    <row r="792">
      <c r="E792" s="16"/>
      <c r="H792" s="16"/>
    </row>
    <row r="793">
      <c r="E793" s="16"/>
      <c r="H793" s="16"/>
    </row>
    <row r="794">
      <c r="E794" s="16"/>
      <c r="H794" s="16"/>
    </row>
    <row r="795">
      <c r="E795" s="16"/>
      <c r="H795" s="16"/>
    </row>
    <row r="796">
      <c r="E796" s="16"/>
      <c r="H796" s="16"/>
    </row>
    <row r="797">
      <c r="E797" s="16"/>
      <c r="H797" s="16"/>
    </row>
    <row r="798">
      <c r="E798" s="16"/>
      <c r="H798" s="16"/>
    </row>
    <row r="799">
      <c r="E799" s="16"/>
      <c r="H799" s="16"/>
    </row>
    <row r="800">
      <c r="E800" s="16"/>
      <c r="H800" s="16"/>
    </row>
    <row r="801">
      <c r="E801" s="16"/>
      <c r="H801" s="16"/>
    </row>
    <row r="802">
      <c r="E802" s="16"/>
      <c r="H802" s="16"/>
    </row>
    <row r="803">
      <c r="E803" s="16"/>
      <c r="H803" s="16"/>
    </row>
    <row r="804">
      <c r="E804" s="16"/>
      <c r="H804" s="16"/>
    </row>
    <row r="805">
      <c r="E805" s="16"/>
      <c r="H805" s="16"/>
    </row>
    <row r="806">
      <c r="E806" s="16"/>
      <c r="H806" s="16"/>
    </row>
    <row r="807">
      <c r="E807" s="16"/>
      <c r="H807" s="16"/>
    </row>
    <row r="808">
      <c r="E808" s="16"/>
      <c r="H808" s="16"/>
    </row>
    <row r="809">
      <c r="E809" s="16"/>
      <c r="H809" s="16"/>
    </row>
    <row r="810">
      <c r="E810" s="16"/>
      <c r="H810" s="16"/>
    </row>
    <row r="811">
      <c r="E811" s="16"/>
      <c r="H811" s="16"/>
    </row>
    <row r="812">
      <c r="E812" s="16"/>
      <c r="H812" s="16"/>
    </row>
    <row r="813">
      <c r="E813" s="16"/>
      <c r="H813" s="16"/>
    </row>
    <row r="814">
      <c r="E814" s="16"/>
      <c r="H814" s="16"/>
    </row>
    <row r="815">
      <c r="E815" s="16"/>
      <c r="H815" s="16"/>
    </row>
    <row r="816">
      <c r="E816" s="16"/>
      <c r="H816" s="16"/>
    </row>
    <row r="817">
      <c r="E817" s="16"/>
      <c r="H817" s="16"/>
    </row>
    <row r="818">
      <c r="E818" s="16"/>
      <c r="H818" s="16"/>
    </row>
    <row r="819">
      <c r="E819" s="16"/>
      <c r="H819" s="16"/>
    </row>
    <row r="820">
      <c r="E820" s="16"/>
      <c r="H820" s="16"/>
    </row>
    <row r="821">
      <c r="E821" s="16"/>
      <c r="H821" s="16"/>
    </row>
    <row r="822">
      <c r="E822" s="16"/>
      <c r="H822" s="16"/>
    </row>
    <row r="823">
      <c r="E823" s="16"/>
      <c r="H823" s="16"/>
    </row>
    <row r="824">
      <c r="E824" s="16"/>
      <c r="H824" s="16"/>
    </row>
    <row r="825">
      <c r="E825" s="16"/>
      <c r="H825" s="16"/>
    </row>
    <row r="826">
      <c r="E826" s="16"/>
      <c r="H826" s="16"/>
    </row>
    <row r="827">
      <c r="E827" s="16"/>
      <c r="H827" s="16"/>
    </row>
    <row r="828">
      <c r="E828" s="16"/>
      <c r="H828" s="16"/>
    </row>
    <row r="829">
      <c r="E829" s="16"/>
      <c r="H829" s="16"/>
    </row>
    <row r="830">
      <c r="E830" s="16"/>
      <c r="H830" s="16"/>
    </row>
    <row r="831">
      <c r="E831" s="16"/>
      <c r="H831" s="16"/>
    </row>
    <row r="832">
      <c r="E832" s="16"/>
      <c r="H832" s="16"/>
    </row>
    <row r="833">
      <c r="E833" s="16"/>
      <c r="H833" s="16"/>
    </row>
    <row r="834">
      <c r="E834" s="16"/>
      <c r="H834" s="16"/>
    </row>
    <row r="835">
      <c r="E835" s="16"/>
      <c r="H835" s="16"/>
    </row>
    <row r="836">
      <c r="E836" s="16"/>
      <c r="H836" s="16"/>
    </row>
    <row r="837">
      <c r="E837" s="16"/>
      <c r="H837" s="16"/>
    </row>
    <row r="838">
      <c r="E838" s="16"/>
      <c r="H838" s="16"/>
    </row>
    <row r="839">
      <c r="E839" s="16"/>
      <c r="H839" s="16"/>
    </row>
    <row r="840">
      <c r="E840" s="16"/>
      <c r="H840" s="16"/>
    </row>
    <row r="841">
      <c r="E841" s="16"/>
      <c r="H841" s="16"/>
    </row>
    <row r="842">
      <c r="E842" s="16"/>
      <c r="H842" s="16"/>
    </row>
    <row r="843">
      <c r="E843" s="16"/>
      <c r="H843" s="16"/>
    </row>
    <row r="844">
      <c r="E844" s="16"/>
      <c r="H844" s="16"/>
    </row>
    <row r="845">
      <c r="E845" s="16"/>
      <c r="H845" s="16"/>
    </row>
    <row r="846">
      <c r="E846" s="16"/>
      <c r="H846" s="16"/>
    </row>
    <row r="847">
      <c r="E847" s="16"/>
      <c r="H847" s="16"/>
    </row>
    <row r="848">
      <c r="E848" s="16"/>
      <c r="H848" s="16"/>
    </row>
    <row r="849">
      <c r="E849" s="16"/>
      <c r="H849" s="16"/>
    </row>
    <row r="850">
      <c r="E850" s="16"/>
      <c r="H850" s="16"/>
    </row>
    <row r="851">
      <c r="E851" s="16"/>
      <c r="H851" s="16"/>
    </row>
    <row r="852">
      <c r="E852" s="16"/>
      <c r="H852" s="16"/>
    </row>
    <row r="853">
      <c r="E853" s="16"/>
      <c r="H853" s="16"/>
    </row>
    <row r="854">
      <c r="E854" s="16"/>
      <c r="H854" s="16"/>
    </row>
    <row r="855">
      <c r="E855" s="16"/>
      <c r="H855" s="16"/>
    </row>
    <row r="856">
      <c r="E856" s="16"/>
      <c r="H856" s="16"/>
    </row>
    <row r="857">
      <c r="E857" s="16"/>
      <c r="H857" s="16"/>
    </row>
    <row r="858">
      <c r="E858" s="16"/>
      <c r="H858" s="16"/>
    </row>
    <row r="859">
      <c r="E859" s="16"/>
      <c r="H859" s="16"/>
    </row>
    <row r="860">
      <c r="E860" s="16"/>
      <c r="H860" s="16"/>
    </row>
    <row r="861">
      <c r="E861" s="16"/>
      <c r="H861" s="16"/>
    </row>
    <row r="862">
      <c r="E862" s="16"/>
      <c r="H862" s="16"/>
    </row>
    <row r="863">
      <c r="E863" s="16"/>
      <c r="H863" s="16"/>
    </row>
    <row r="864">
      <c r="E864" s="16"/>
      <c r="H864" s="16"/>
    </row>
    <row r="865">
      <c r="E865" s="16"/>
      <c r="H865" s="16"/>
    </row>
    <row r="866">
      <c r="E866" s="16"/>
      <c r="H866" s="16"/>
    </row>
    <row r="867">
      <c r="E867" s="16"/>
      <c r="H867" s="16"/>
    </row>
    <row r="868">
      <c r="E868" s="16"/>
      <c r="H868" s="16"/>
    </row>
    <row r="869">
      <c r="E869" s="16"/>
      <c r="H869" s="16"/>
    </row>
    <row r="870">
      <c r="E870" s="16"/>
      <c r="H870" s="16"/>
    </row>
    <row r="871">
      <c r="E871" s="16"/>
      <c r="H871" s="16"/>
    </row>
    <row r="872">
      <c r="E872" s="16"/>
      <c r="H872" s="16"/>
    </row>
    <row r="873">
      <c r="E873" s="16"/>
      <c r="H873" s="16"/>
    </row>
    <row r="874">
      <c r="E874" s="16"/>
      <c r="H874" s="16"/>
    </row>
    <row r="875">
      <c r="E875" s="16"/>
      <c r="H875" s="16"/>
    </row>
    <row r="876">
      <c r="E876" s="16"/>
      <c r="H876" s="16"/>
    </row>
    <row r="877">
      <c r="E877" s="16"/>
      <c r="H877" s="16"/>
    </row>
    <row r="878">
      <c r="E878" s="16"/>
      <c r="H878" s="16"/>
    </row>
    <row r="879">
      <c r="E879" s="16"/>
      <c r="H879" s="16"/>
    </row>
    <row r="880">
      <c r="E880" s="16"/>
      <c r="H880" s="16"/>
    </row>
    <row r="881">
      <c r="E881" s="16"/>
      <c r="H881" s="16"/>
    </row>
    <row r="882">
      <c r="E882" s="16"/>
      <c r="H882" s="16"/>
    </row>
    <row r="883">
      <c r="E883" s="16"/>
      <c r="H883" s="16"/>
    </row>
    <row r="884">
      <c r="E884" s="16"/>
      <c r="H884" s="16"/>
    </row>
    <row r="885">
      <c r="E885" s="16"/>
      <c r="H885" s="16"/>
    </row>
    <row r="886">
      <c r="E886" s="16"/>
      <c r="H886" s="16"/>
    </row>
    <row r="887">
      <c r="E887" s="16"/>
      <c r="H887" s="16"/>
    </row>
    <row r="888">
      <c r="E888" s="16"/>
      <c r="H888" s="16"/>
    </row>
    <row r="889">
      <c r="E889" s="16"/>
      <c r="H889" s="16"/>
    </row>
    <row r="890">
      <c r="E890" s="16"/>
      <c r="H890" s="16"/>
    </row>
    <row r="891">
      <c r="E891" s="16"/>
      <c r="H891" s="16"/>
    </row>
    <row r="892">
      <c r="E892" s="16"/>
      <c r="H892" s="16"/>
    </row>
    <row r="893">
      <c r="E893" s="16"/>
      <c r="H893" s="16"/>
    </row>
    <row r="894">
      <c r="E894" s="16"/>
      <c r="H894" s="16"/>
    </row>
    <row r="895">
      <c r="E895" s="16"/>
      <c r="H895" s="16"/>
    </row>
    <row r="896">
      <c r="E896" s="16"/>
      <c r="H896" s="16"/>
    </row>
    <row r="897">
      <c r="E897" s="16"/>
      <c r="H897" s="16"/>
    </row>
    <row r="898">
      <c r="E898" s="16"/>
      <c r="H898" s="16"/>
    </row>
    <row r="899">
      <c r="E899" s="16"/>
      <c r="H899" s="16"/>
    </row>
    <row r="900">
      <c r="E900" s="16"/>
      <c r="H900" s="16"/>
    </row>
    <row r="901">
      <c r="E901" s="16"/>
      <c r="H901" s="16"/>
    </row>
    <row r="902">
      <c r="E902" s="16"/>
      <c r="H902" s="16"/>
    </row>
    <row r="903">
      <c r="E903" s="16"/>
      <c r="H903" s="16"/>
    </row>
    <row r="904">
      <c r="E904" s="16"/>
      <c r="H904" s="16"/>
    </row>
    <row r="905">
      <c r="E905" s="16"/>
      <c r="H905" s="16"/>
    </row>
    <row r="906">
      <c r="E906" s="16"/>
      <c r="H906" s="16"/>
    </row>
    <row r="907">
      <c r="E907" s="16"/>
      <c r="H907" s="16"/>
    </row>
    <row r="908">
      <c r="E908" s="16"/>
      <c r="H908" s="16"/>
    </row>
    <row r="909">
      <c r="E909" s="16"/>
      <c r="H909" s="16"/>
    </row>
    <row r="910">
      <c r="E910" s="16"/>
      <c r="H910" s="16"/>
    </row>
    <row r="911">
      <c r="E911" s="16"/>
      <c r="H911" s="16"/>
    </row>
    <row r="912">
      <c r="E912" s="16"/>
      <c r="H912" s="16"/>
    </row>
    <row r="913">
      <c r="E913" s="16"/>
      <c r="H913" s="16"/>
    </row>
    <row r="914">
      <c r="E914" s="16"/>
      <c r="H914" s="16"/>
    </row>
    <row r="915">
      <c r="E915" s="16"/>
      <c r="H915" s="16"/>
    </row>
    <row r="916">
      <c r="E916" s="16"/>
      <c r="H916" s="16"/>
    </row>
    <row r="917">
      <c r="E917" s="16"/>
      <c r="H917" s="16"/>
    </row>
    <row r="918">
      <c r="E918" s="16"/>
      <c r="H918" s="16"/>
    </row>
    <row r="919">
      <c r="E919" s="16"/>
      <c r="H919" s="16"/>
    </row>
    <row r="920">
      <c r="E920" s="16"/>
      <c r="H920" s="16"/>
    </row>
    <row r="921">
      <c r="E921" s="16"/>
      <c r="H921" s="16"/>
    </row>
    <row r="922">
      <c r="E922" s="16"/>
      <c r="H922" s="16"/>
    </row>
    <row r="923">
      <c r="E923" s="16"/>
      <c r="H923" s="16"/>
    </row>
    <row r="924">
      <c r="E924" s="16"/>
      <c r="H924" s="16"/>
    </row>
    <row r="925">
      <c r="E925" s="16"/>
      <c r="H925" s="16"/>
    </row>
    <row r="926">
      <c r="E926" s="16"/>
      <c r="H926" s="16"/>
    </row>
    <row r="927">
      <c r="E927" s="16"/>
      <c r="H927" s="16"/>
    </row>
    <row r="928">
      <c r="E928" s="16"/>
      <c r="H928" s="16"/>
    </row>
    <row r="929">
      <c r="E929" s="16"/>
      <c r="H929" s="16"/>
    </row>
    <row r="930">
      <c r="E930" s="16"/>
      <c r="H930" s="16"/>
    </row>
    <row r="931">
      <c r="E931" s="16"/>
      <c r="H931" s="16"/>
    </row>
    <row r="932">
      <c r="E932" s="16"/>
      <c r="H932" s="16"/>
    </row>
    <row r="933">
      <c r="E933" s="16"/>
      <c r="H933" s="16"/>
    </row>
    <row r="934">
      <c r="E934" s="16"/>
      <c r="H934" s="16"/>
    </row>
    <row r="935">
      <c r="E935" s="16"/>
      <c r="H935" s="16"/>
    </row>
    <row r="936">
      <c r="E936" s="16"/>
      <c r="H936" s="16"/>
    </row>
    <row r="937">
      <c r="E937" s="16"/>
      <c r="H937" s="16"/>
    </row>
    <row r="938">
      <c r="E938" s="16"/>
      <c r="H938" s="16"/>
    </row>
    <row r="939">
      <c r="E939" s="16"/>
      <c r="H939" s="16"/>
    </row>
    <row r="940">
      <c r="E940" s="16"/>
      <c r="H940" s="16"/>
    </row>
    <row r="941">
      <c r="E941" s="16"/>
      <c r="H941" s="16"/>
    </row>
    <row r="942">
      <c r="E942" s="16"/>
      <c r="H942" s="16"/>
    </row>
    <row r="943">
      <c r="E943" s="16"/>
      <c r="H943" s="16"/>
    </row>
    <row r="944">
      <c r="E944" s="16"/>
      <c r="H944" s="16"/>
    </row>
    <row r="945">
      <c r="E945" s="16"/>
      <c r="H945" s="16"/>
    </row>
    <row r="946">
      <c r="E946" s="16"/>
      <c r="H946" s="16"/>
    </row>
    <row r="947">
      <c r="E947" s="16"/>
      <c r="H947" s="16"/>
    </row>
    <row r="948">
      <c r="E948" s="16"/>
      <c r="H948" s="16"/>
    </row>
    <row r="949">
      <c r="E949" s="16"/>
      <c r="H949" s="16"/>
    </row>
    <row r="950">
      <c r="E950" s="16"/>
      <c r="H950" s="16"/>
    </row>
    <row r="951">
      <c r="E951" s="16"/>
      <c r="H951" s="16"/>
    </row>
    <row r="952">
      <c r="E952" s="16"/>
      <c r="H952" s="16"/>
    </row>
    <row r="953">
      <c r="E953" s="16"/>
      <c r="H953" s="16"/>
    </row>
    <row r="954">
      <c r="E954" s="16"/>
      <c r="H954" s="16"/>
    </row>
    <row r="955">
      <c r="E955" s="16"/>
      <c r="H955" s="16"/>
    </row>
    <row r="956">
      <c r="E956" s="16"/>
      <c r="H956" s="16"/>
    </row>
    <row r="957">
      <c r="E957" s="16"/>
      <c r="H957" s="16"/>
    </row>
    <row r="958">
      <c r="E958" s="16"/>
      <c r="H958" s="16"/>
    </row>
    <row r="959">
      <c r="E959" s="16"/>
      <c r="H959" s="16"/>
    </row>
    <row r="960">
      <c r="E960" s="16"/>
      <c r="H960" s="16"/>
    </row>
    <row r="961">
      <c r="E961" s="16"/>
      <c r="H961" s="16"/>
    </row>
    <row r="962">
      <c r="E962" s="16"/>
      <c r="H962" s="16"/>
    </row>
    <row r="963">
      <c r="E963" s="16"/>
      <c r="H963" s="16"/>
    </row>
    <row r="964">
      <c r="E964" s="16"/>
      <c r="H964" s="16"/>
    </row>
    <row r="965">
      <c r="E965" s="16"/>
      <c r="H965" s="16"/>
    </row>
    <row r="966">
      <c r="E966" s="16"/>
      <c r="H966" s="16"/>
    </row>
    <row r="967">
      <c r="E967" s="16"/>
      <c r="H967" s="16"/>
    </row>
    <row r="968">
      <c r="E968" s="16"/>
      <c r="H968" s="16"/>
    </row>
    <row r="969">
      <c r="E969" s="16"/>
      <c r="H969" s="16"/>
    </row>
    <row r="970">
      <c r="E970" s="16"/>
      <c r="H970" s="16"/>
    </row>
    <row r="971">
      <c r="E971" s="16"/>
      <c r="H971" s="16"/>
    </row>
    <row r="972">
      <c r="E972" s="16"/>
      <c r="H972" s="16"/>
    </row>
    <row r="973">
      <c r="E973" s="16"/>
      <c r="H973" s="16"/>
    </row>
    <row r="974">
      <c r="E974" s="16"/>
      <c r="H974" s="16"/>
    </row>
    <row r="975">
      <c r="E975" s="16"/>
      <c r="H975" s="16"/>
    </row>
    <row r="976">
      <c r="E976" s="16"/>
      <c r="H976" s="16"/>
    </row>
    <row r="977">
      <c r="E977" s="16"/>
      <c r="H977" s="16"/>
    </row>
    <row r="978">
      <c r="E978" s="16"/>
      <c r="H978" s="16"/>
    </row>
    <row r="979">
      <c r="E979" s="16"/>
      <c r="H979" s="16"/>
    </row>
    <row r="980">
      <c r="E980" s="16"/>
      <c r="H980" s="16"/>
    </row>
    <row r="981">
      <c r="E981" s="16"/>
      <c r="H981" s="16"/>
    </row>
    <row r="982">
      <c r="E982" s="16"/>
      <c r="H982" s="16"/>
    </row>
    <row r="983">
      <c r="E983" s="16"/>
      <c r="H983" s="16"/>
    </row>
    <row r="984">
      <c r="E984" s="16"/>
      <c r="H984" s="16"/>
    </row>
    <row r="985">
      <c r="E985" s="16"/>
      <c r="H985" s="16"/>
    </row>
    <row r="986">
      <c r="E986" s="16"/>
      <c r="H986" s="16"/>
    </row>
    <row r="987">
      <c r="E987" s="16"/>
      <c r="H987" s="16"/>
    </row>
    <row r="988">
      <c r="E988" s="16"/>
      <c r="H988" s="16"/>
    </row>
    <row r="989">
      <c r="E989" s="16"/>
      <c r="H989" s="16"/>
    </row>
    <row r="990">
      <c r="E990" s="16"/>
      <c r="H990" s="16"/>
    </row>
    <row r="991">
      <c r="E991" s="16"/>
      <c r="H991" s="16"/>
    </row>
    <row r="992">
      <c r="E992" s="16"/>
      <c r="H992" s="16"/>
    </row>
    <row r="993">
      <c r="E993" s="16"/>
      <c r="H993" s="16"/>
    </row>
    <row r="994">
      <c r="E994" s="16"/>
      <c r="H994" s="16"/>
    </row>
    <row r="995">
      <c r="E995" s="16"/>
      <c r="H995" s="16"/>
    </row>
    <row r="996">
      <c r="E996" s="16"/>
      <c r="H996" s="16"/>
    </row>
    <row r="997">
      <c r="E997" s="16"/>
      <c r="H997" s="16"/>
    </row>
    <row r="998">
      <c r="E998" s="16"/>
      <c r="H998" s="16"/>
    </row>
    <row r="999">
      <c r="E999" s="16"/>
      <c r="H999" s="16"/>
    </row>
    <row r="1000">
      <c r="E1000" s="16"/>
      <c r="H1000" s="16"/>
    </row>
    <row r="1001">
      <c r="E1001" s="16"/>
      <c r="H1001" s="16"/>
    </row>
  </sheetData>
  <conditionalFormatting sqref="E4:E350 G4:G350">
    <cfRule type="cellIs" dxfId="0" priority="1" operator="greaterThan">
      <formula>"20%"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9.75"/>
  </cols>
  <sheetData>
    <row r="1">
      <c r="A1" s="2" t="s">
        <v>4</v>
      </c>
      <c r="B1" s="2" t="s">
        <v>3</v>
      </c>
      <c r="C1" s="2" t="s">
        <v>921</v>
      </c>
      <c r="D1" s="2" t="s">
        <v>1250</v>
      </c>
      <c r="E1" s="2" t="s">
        <v>2042</v>
      </c>
      <c r="F1" s="2" t="s">
        <v>2043</v>
      </c>
      <c r="H1" s="17" t="s">
        <v>2044</v>
      </c>
    </row>
    <row r="2">
      <c r="A2" s="5" t="s">
        <v>93</v>
      </c>
      <c r="B2" s="5" t="s">
        <v>971</v>
      </c>
      <c r="C2" s="5" t="s">
        <v>931</v>
      </c>
      <c r="D2" s="1" t="s">
        <v>91</v>
      </c>
      <c r="E2" s="5" t="str">
        <f t="shared" ref="E2:E13" si="1">left(B2,2)</f>
        <v>WR</v>
      </c>
      <c r="F2" s="42">
        <f t="shared" ref="F2:F305" si="2">IF(AND(E2="DS"), 0, IF(AND(E2="K"), 0, IF(AND(E2="QB"), 1, IF(AND(E2="TE"), 2, IF(AND(E2="WR"), 3, IF(AND(E2="RB"), 4,))))))</f>
        <v>3</v>
      </c>
      <c r="H2" s="43">
        <f t="shared" ref="H2:H305" si="3">(F2/4)*0.25</f>
        <v>0.1875</v>
      </c>
    </row>
    <row r="3">
      <c r="A3" s="5" t="s">
        <v>59</v>
      </c>
      <c r="B3" s="5" t="s">
        <v>1032</v>
      </c>
      <c r="C3" s="5" t="s">
        <v>988</v>
      </c>
      <c r="D3" s="1" t="s">
        <v>57</v>
      </c>
      <c r="E3" s="5" t="str">
        <f t="shared" si="1"/>
        <v>RB</v>
      </c>
      <c r="F3" s="21">
        <f t="shared" si="2"/>
        <v>4</v>
      </c>
      <c r="H3" s="43">
        <f t="shared" si="3"/>
        <v>0.25</v>
      </c>
    </row>
    <row r="4">
      <c r="A4" s="5" t="s">
        <v>196</v>
      </c>
      <c r="B4" s="5" t="s">
        <v>966</v>
      </c>
      <c r="C4" s="5" t="s">
        <v>967</v>
      </c>
      <c r="D4" s="1" t="s">
        <v>195</v>
      </c>
      <c r="E4" s="5" t="str">
        <f t="shared" si="1"/>
        <v>QB</v>
      </c>
      <c r="F4" s="21">
        <f t="shared" si="2"/>
        <v>1</v>
      </c>
      <c r="H4" s="43">
        <f t="shared" si="3"/>
        <v>0.0625</v>
      </c>
    </row>
    <row r="5">
      <c r="A5" s="5" t="s">
        <v>465</v>
      </c>
      <c r="B5" s="5" t="s">
        <v>1100</v>
      </c>
      <c r="C5" s="5" t="s">
        <v>996</v>
      </c>
      <c r="D5" s="1" t="s">
        <v>463</v>
      </c>
      <c r="E5" s="5" t="str">
        <f t="shared" si="1"/>
        <v>WR</v>
      </c>
      <c r="F5" s="21">
        <f t="shared" si="2"/>
        <v>3</v>
      </c>
      <c r="H5" s="43">
        <f t="shared" si="3"/>
        <v>0.1875</v>
      </c>
    </row>
    <row r="6">
      <c r="A6" s="2" t="s">
        <v>309</v>
      </c>
      <c r="B6" s="5" t="s">
        <v>1071</v>
      </c>
      <c r="C6" s="5" t="s">
        <v>988</v>
      </c>
      <c r="D6" s="1" t="s">
        <v>308</v>
      </c>
      <c r="E6" s="5" t="str">
        <f t="shared" si="1"/>
        <v>RB</v>
      </c>
      <c r="F6" s="21">
        <f t="shared" si="2"/>
        <v>4</v>
      </c>
      <c r="H6" s="43">
        <f t="shared" si="3"/>
        <v>0.25</v>
      </c>
    </row>
    <row r="7">
      <c r="A7" s="5" t="s">
        <v>721</v>
      </c>
      <c r="B7" s="5" t="s">
        <v>1217</v>
      </c>
      <c r="C7" s="5" t="s">
        <v>961</v>
      </c>
      <c r="D7" s="1" t="s">
        <v>720</v>
      </c>
      <c r="E7" s="5" t="str">
        <f t="shared" si="1"/>
        <v>WR</v>
      </c>
      <c r="F7" s="21">
        <f t="shared" si="2"/>
        <v>3</v>
      </c>
      <c r="H7" s="43">
        <f t="shared" si="3"/>
        <v>0.1875</v>
      </c>
    </row>
    <row r="8">
      <c r="A8" s="5" t="s">
        <v>135</v>
      </c>
      <c r="B8" s="5" t="s">
        <v>1026</v>
      </c>
      <c r="C8" s="5" t="s">
        <v>950</v>
      </c>
      <c r="D8" s="1" t="s">
        <v>133</v>
      </c>
      <c r="E8" s="5" t="str">
        <f t="shared" si="1"/>
        <v>RB</v>
      </c>
      <c r="F8" s="21">
        <f t="shared" si="2"/>
        <v>4</v>
      </c>
      <c r="H8" s="43">
        <f t="shared" si="3"/>
        <v>0.25</v>
      </c>
    </row>
    <row r="9">
      <c r="A9" s="5" t="s">
        <v>361</v>
      </c>
      <c r="B9" s="5" t="s">
        <v>1060</v>
      </c>
      <c r="C9" s="5" t="s">
        <v>967</v>
      </c>
      <c r="D9" s="1" t="s">
        <v>360</v>
      </c>
      <c r="E9" s="5" t="str">
        <f t="shared" si="1"/>
        <v>WR</v>
      </c>
      <c r="F9" s="21">
        <f t="shared" si="2"/>
        <v>3</v>
      </c>
      <c r="H9" s="43">
        <f t="shared" si="3"/>
        <v>0.1875</v>
      </c>
    </row>
    <row r="10">
      <c r="A10" s="5" t="s">
        <v>856</v>
      </c>
      <c r="B10" s="5" t="s">
        <v>1239</v>
      </c>
      <c r="C10" s="5" t="s">
        <v>985</v>
      </c>
      <c r="D10" s="1" t="s">
        <v>854</v>
      </c>
      <c r="E10" s="5" t="str">
        <f t="shared" si="1"/>
        <v>WR</v>
      </c>
      <c r="F10" s="21">
        <f t="shared" si="2"/>
        <v>3</v>
      </c>
      <c r="H10" s="43">
        <f t="shared" si="3"/>
        <v>0.1875</v>
      </c>
    </row>
    <row r="11">
      <c r="A11" s="5" t="s">
        <v>205</v>
      </c>
      <c r="B11" s="5" t="s">
        <v>1069</v>
      </c>
      <c r="C11" s="5" t="s">
        <v>983</v>
      </c>
      <c r="D11" s="1" t="s">
        <v>204</v>
      </c>
      <c r="E11" s="5" t="str">
        <f t="shared" si="1"/>
        <v>RB</v>
      </c>
      <c r="F11" s="21">
        <f t="shared" si="2"/>
        <v>4</v>
      </c>
      <c r="H11" s="43">
        <f t="shared" si="3"/>
        <v>0.25</v>
      </c>
    </row>
    <row r="12">
      <c r="A12" s="5" t="s">
        <v>182</v>
      </c>
      <c r="B12" s="5" t="s">
        <v>1012</v>
      </c>
      <c r="C12" s="5" t="s">
        <v>944</v>
      </c>
      <c r="D12" s="1" t="s">
        <v>181</v>
      </c>
      <c r="E12" s="5" t="str">
        <f t="shared" si="1"/>
        <v>WR</v>
      </c>
      <c r="F12" s="21">
        <f t="shared" si="2"/>
        <v>3</v>
      </c>
      <c r="H12" s="43">
        <f t="shared" si="3"/>
        <v>0.1875</v>
      </c>
    </row>
    <row r="13">
      <c r="A13" s="5" t="s">
        <v>175</v>
      </c>
      <c r="B13" s="5" t="s">
        <v>978</v>
      </c>
      <c r="C13" s="5" t="s">
        <v>965</v>
      </c>
      <c r="D13" s="1" t="s">
        <v>174</v>
      </c>
      <c r="E13" s="5" t="str">
        <f t="shared" si="1"/>
        <v>WR</v>
      </c>
      <c r="F13" s="21">
        <f t="shared" si="2"/>
        <v>3</v>
      </c>
      <c r="H13" s="43">
        <f t="shared" si="3"/>
        <v>0.1875</v>
      </c>
    </row>
    <row r="14">
      <c r="A14" s="5" t="s">
        <v>686</v>
      </c>
      <c r="B14" s="5" t="s">
        <v>1170</v>
      </c>
      <c r="C14" s="5" t="s">
        <v>988</v>
      </c>
      <c r="D14" s="1" t="s">
        <v>684</v>
      </c>
      <c r="E14" s="2" t="s">
        <v>516</v>
      </c>
      <c r="F14" s="21">
        <f t="shared" si="2"/>
        <v>0</v>
      </c>
      <c r="H14" s="43">
        <f t="shared" si="3"/>
        <v>0</v>
      </c>
    </row>
    <row r="15">
      <c r="A15" s="2" t="s">
        <v>288</v>
      </c>
      <c r="B15" s="5" t="s">
        <v>960</v>
      </c>
      <c r="C15" s="5" t="s">
        <v>961</v>
      </c>
      <c r="D15" s="1" t="s">
        <v>286</v>
      </c>
      <c r="E15" s="5" t="str">
        <f t="shared" ref="E15:E24" si="4">left(B15,2)</f>
        <v>QB</v>
      </c>
      <c r="F15" s="21">
        <f t="shared" si="2"/>
        <v>1</v>
      </c>
      <c r="H15" s="43">
        <f t="shared" si="3"/>
        <v>0.0625</v>
      </c>
    </row>
    <row r="16">
      <c r="A16" s="5" t="s">
        <v>295</v>
      </c>
      <c r="B16" s="5" t="s">
        <v>1073</v>
      </c>
      <c r="C16" s="5" t="s">
        <v>1016</v>
      </c>
      <c r="D16" s="1" t="s">
        <v>294</v>
      </c>
      <c r="E16" s="5" t="str">
        <f t="shared" si="4"/>
        <v>RB</v>
      </c>
      <c r="F16" s="21">
        <f t="shared" si="2"/>
        <v>4</v>
      </c>
      <c r="H16" s="43">
        <f t="shared" si="3"/>
        <v>0.25</v>
      </c>
    </row>
    <row r="17">
      <c r="A17" s="2" t="s">
        <v>914</v>
      </c>
      <c r="B17" s="2" t="s">
        <v>1207</v>
      </c>
      <c r="C17" s="5" t="s">
        <v>1040</v>
      </c>
      <c r="D17" s="1" t="s">
        <v>913</v>
      </c>
      <c r="E17" s="5" t="str">
        <f t="shared" si="4"/>
        <v>D/</v>
      </c>
      <c r="F17" s="21" t="str">
        <f t="shared" si="2"/>
        <v/>
      </c>
      <c r="H17" s="43">
        <f t="shared" si="3"/>
        <v>0</v>
      </c>
    </row>
    <row r="18">
      <c r="A18" s="2" t="s">
        <v>901</v>
      </c>
      <c r="B18" s="2" t="s">
        <v>1194</v>
      </c>
      <c r="C18" s="5" t="s">
        <v>974</v>
      </c>
      <c r="D18" s="1" t="s">
        <v>900</v>
      </c>
      <c r="E18" s="5" t="str">
        <f t="shared" si="4"/>
        <v>D/</v>
      </c>
      <c r="F18" s="21" t="str">
        <f t="shared" si="2"/>
        <v/>
      </c>
      <c r="H18" s="43">
        <f t="shared" si="3"/>
        <v>0</v>
      </c>
    </row>
    <row r="19">
      <c r="A19" s="5" t="s">
        <v>18</v>
      </c>
      <c r="B19" s="5" t="s">
        <v>970</v>
      </c>
      <c r="C19" s="5" t="s">
        <v>938</v>
      </c>
      <c r="D19" s="1" t="s">
        <v>16</v>
      </c>
      <c r="E19" s="5" t="str">
        <f t="shared" si="4"/>
        <v>RB</v>
      </c>
      <c r="F19" s="21">
        <f t="shared" si="2"/>
        <v>4</v>
      </c>
      <c r="H19" s="43">
        <f t="shared" si="3"/>
        <v>0.25</v>
      </c>
    </row>
    <row r="20">
      <c r="A20" s="5" t="s">
        <v>564</v>
      </c>
      <c r="B20" s="5" t="s">
        <v>1174</v>
      </c>
      <c r="C20" s="5" t="s">
        <v>1024</v>
      </c>
      <c r="D20" s="1" t="s">
        <v>562</v>
      </c>
      <c r="E20" s="5" t="str">
        <f t="shared" si="4"/>
        <v>QB</v>
      </c>
      <c r="F20" s="21">
        <f t="shared" si="2"/>
        <v>1</v>
      </c>
      <c r="H20" s="43">
        <f t="shared" si="3"/>
        <v>0.0625</v>
      </c>
    </row>
    <row r="21">
      <c r="A21" s="2" t="s">
        <v>683</v>
      </c>
      <c r="B21" s="2" t="s">
        <v>1085</v>
      </c>
      <c r="C21" s="5" t="s">
        <v>1007</v>
      </c>
      <c r="D21" s="1" t="s">
        <v>681</v>
      </c>
      <c r="E21" s="5" t="str">
        <f t="shared" si="4"/>
        <v>D/</v>
      </c>
      <c r="F21" s="21" t="str">
        <f t="shared" si="2"/>
        <v/>
      </c>
      <c r="H21" s="43">
        <f t="shared" si="3"/>
        <v>0</v>
      </c>
    </row>
    <row r="22">
      <c r="A22" s="5" t="s">
        <v>47</v>
      </c>
      <c r="B22" s="5" t="s">
        <v>973</v>
      </c>
      <c r="C22" s="5" t="s">
        <v>974</v>
      </c>
      <c r="D22" s="1" t="s">
        <v>45</v>
      </c>
      <c r="E22" s="5" t="str">
        <f t="shared" si="4"/>
        <v>RB</v>
      </c>
      <c r="F22" s="21">
        <f t="shared" si="2"/>
        <v>4</v>
      </c>
      <c r="H22" s="43">
        <f t="shared" si="3"/>
        <v>0.25</v>
      </c>
    </row>
    <row r="23">
      <c r="A23" s="5" t="s">
        <v>376</v>
      </c>
      <c r="B23" s="5" t="s">
        <v>1062</v>
      </c>
      <c r="C23" s="5" t="s">
        <v>952</v>
      </c>
      <c r="D23" s="1" t="s">
        <v>374</v>
      </c>
      <c r="E23" s="5" t="str">
        <f t="shared" si="4"/>
        <v>WR</v>
      </c>
      <c r="F23" s="21">
        <f t="shared" si="2"/>
        <v>3</v>
      </c>
      <c r="H23" s="43">
        <f t="shared" si="3"/>
        <v>0.1875</v>
      </c>
    </row>
    <row r="24">
      <c r="A24" s="5" t="s">
        <v>279</v>
      </c>
      <c r="B24" s="5" t="s">
        <v>1025</v>
      </c>
      <c r="C24" s="5" t="s">
        <v>963</v>
      </c>
      <c r="D24" s="1" t="s">
        <v>278</v>
      </c>
      <c r="E24" s="5" t="str">
        <f t="shared" si="4"/>
        <v>WR</v>
      </c>
      <c r="F24" s="21">
        <f t="shared" si="2"/>
        <v>3</v>
      </c>
      <c r="H24" s="43">
        <f t="shared" si="3"/>
        <v>0.1875</v>
      </c>
    </row>
    <row r="25">
      <c r="A25" s="5" t="s">
        <v>577</v>
      </c>
      <c r="B25" s="5" t="s">
        <v>1156</v>
      </c>
      <c r="C25" s="5" t="s">
        <v>952</v>
      </c>
      <c r="D25" s="1" t="s">
        <v>575</v>
      </c>
      <c r="E25" s="2" t="s">
        <v>516</v>
      </c>
      <c r="F25" s="21">
        <f t="shared" si="2"/>
        <v>0</v>
      </c>
      <c r="H25" s="43">
        <f t="shared" si="3"/>
        <v>0</v>
      </c>
    </row>
    <row r="26">
      <c r="A26" s="5" t="s">
        <v>597</v>
      </c>
      <c r="B26" s="5" t="s">
        <v>1159</v>
      </c>
      <c r="C26" s="5" t="s">
        <v>942</v>
      </c>
      <c r="D26" s="1" t="s">
        <v>595</v>
      </c>
      <c r="E26" s="2" t="s">
        <v>516</v>
      </c>
      <c r="F26" s="21">
        <f t="shared" si="2"/>
        <v>0</v>
      </c>
      <c r="H26" s="43">
        <f t="shared" si="3"/>
        <v>0</v>
      </c>
    </row>
    <row r="27">
      <c r="A27" s="5" t="s">
        <v>79</v>
      </c>
      <c r="B27" s="5" t="s">
        <v>1020</v>
      </c>
      <c r="C27" s="5" t="s">
        <v>967</v>
      </c>
      <c r="D27" s="1" t="s">
        <v>77</v>
      </c>
      <c r="E27" s="5" t="str">
        <f>left(B27,2)</f>
        <v>RB</v>
      </c>
      <c r="F27" s="21">
        <f t="shared" si="2"/>
        <v>4</v>
      </c>
      <c r="H27" s="43">
        <f t="shared" si="3"/>
        <v>0.25</v>
      </c>
    </row>
    <row r="28">
      <c r="A28" s="5" t="s">
        <v>633</v>
      </c>
      <c r="B28" s="5" t="s">
        <v>1163</v>
      </c>
      <c r="C28" s="5" t="s">
        <v>976</v>
      </c>
      <c r="D28" s="1" t="s">
        <v>632</v>
      </c>
      <c r="E28" s="2" t="s">
        <v>516</v>
      </c>
      <c r="F28" s="21">
        <f t="shared" si="2"/>
        <v>0</v>
      </c>
      <c r="H28" s="43">
        <f t="shared" si="3"/>
        <v>0</v>
      </c>
    </row>
    <row r="29">
      <c r="A29" s="5" t="s">
        <v>298</v>
      </c>
      <c r="B29" s="5" t="s">
        <v>1067</v>
      </c>
      <c r="C29" s="5" t="s">
        <v>1016</v>
      </c>
      <c r="D29" s="1" t="s">
        <v>297</v>
      </c>
      <c r="E29" s="5" t="str">
        <f t="shared" ref="E29:E36" si="5">left(B29,2)</f>
        <v>RB</v>
      </c>
      <c r="F29" s="21">
        <f t="shared" si="2"/>
        <v>4</v>
      </c>
      <c r="H29" s="43">
        <f t="shared" si="3"/>
        <v>0.25</v>
      </c>
    </row>
    <row r="30">
      <c r="A30" s="5" t="s">
        <v>382</v>
      </c>
      <c r="B30" s="5" t="s">
        <v>1152</v>
      </c>
      <c r="C30" s="5" t="s">
        <v>963</v>
      </c>
      <c r="D30" s="1" t="s">
        <v>381</v>
      </c>
      <c r="E30" s="5" t="str">
        <f t="shared" si="5"/>
        <v>QB</v>
      </c>
      <c r="F30" s="21">
        <f t="shared" si="2"/>
        <v>1</v>
      </c>
      <c r="H30" s="43">
        <f t="shared" si="3"/>
        <v>0.0625</v>
      </c>
    </row>
    <row r="31">
      <c r="A31" s="5" t="s">
        <v>306</v>
      </c>
      <c r="B31" s="5" t="s">
        <v>995</v>
      </c>
      <c r="C31" s="5" t="s">
        <v>996</v>
      </c>
      <c r="D31" s="1" t="s">
        <v>304</v>
      </c>
      <c r="E31" s="5" t="str">
        <f t="shared" si="5"/>
        <v>QB</v>
      </c>
      <c r="F31" s="21">
        <f t="shared" si="2"/>
        <v>1</v>
      </c>
      <c r="H31" s="43">
        <f t="shared" si="3"/>
        <v>0.0625</v>
      </c>
    </row>
    <row r="32">
      <c r="A32" s="2" t="s">
        <v>739</v>
      </c>
      <c r="B32" s="2" t="s">
        <v>1092</v>
      </c>
      <c r="C32" s="5" t="s">
        <v>929</v>
      </c>
      <c r="D32" s="1" t="s">
        <v>737</v>
      </c>
      <c r="E32" s="5" t="str">
        <f t="shared" si="5"/>
        <v>D/</v>
      </c>
      <c r="F32" s="21" t="str">
        <f t="shared" si="2"/>
        <v/>
      </c>
      <c r="H32" s="43">
        <f t="shared" si="3"/>
        <v>0</v>
      </c>
    </row>
    <row r="33">
      <c r="A33" s="5" t="s">
        <v>346</v>
      </c>
      <c r="B33" s="5" t="s">
        <v>991</v>
      </c>
      <c r="C33" s="5" t="s">
        <v>992</v>
      </c>
      <c r="D33" s="1" t="s">
        <v>345</v>
      </c>
      <c r="E33" s="5" t="str">
        <f t="shared" si="5"/>
        <v>QB</v>
      </c>
      <c r="F33" s="21">
        <f t="shared" si="2"/>
        <v>1</v>
      </c>
      <c r="H33" s="43">
        <f t="shared" si="3"/>
        <v>0.0625</v>
      </c>
    </row>
    <row r="34">
      <c r="A34" s="5" t="s">
        <v>869</v>
      </c>
      <c r="B34" s="5" t="s">
        <v>1219</v>
      </c>
      <c r="C34" s="5" t="s">
        <v>1024</v>
      </c>
      <c r="D34" s="1" t="s">
        <v>868</v>
      </c>
      <c r="E34" s="5" t="str">
        <f t="shared" si="5"/>
        <v>TE</v>
      </c>
      <c r="F34" s="21">
        <f t="shared" si="2"/>
        <v>2</v>
      </c>
      <c r="H34" s="43">
        <f t="shared" si="3"/>
        <v>0.125</v>
      </c>
    </row>
    <row r="35">
      <c r="A35" s="5" t="s">
        <v>617</v>
      </c>
      <c r="B35" s="5" t="s">
        <v>1162</v>
      </c>
      <c r="C35" s="5" t="s">
        <v>944</v>
      </c>
      <c r="D35" s="1" t="s">
        <v>616</v>
      </c>
      <c r="E35" s="5" t="str">
        <f t="shared" si="5"/>
        <v>K1</v>
      </c>
      <c r="F35" s="21" t="str">
        <f t="shared" si="2"/>
        <v/>
      </c>
      <c r="H35" s="43">
        <f t="shared" si="3"/>
        <v>0</v>
      </c>
    </row>
    <row r="36">
      <c r="A36" s="5" t="s">
        <v>699</v>
      </c>
      <c r="B36" s="5" t="s">
        <v>1171</v>
      </c>
      <c r="C36" s="5" t="s">
        <v>940</v>
      </c>
      <c r="D36" s="1" t="s">
        <v>697</v>
      </c>
      <c r="E36" s="5" t="str">
        <f t="shared" si="5"/>
        <v>K3</v>
      </c>
      <c r="F36" s="21" t="str">
        <f t="shared" si="2"/>
        <v/>
      </c>
      <c r="H36" s="43">
        <f t="shared" si="3"/>
        <v>0</v>
      </c>
    </row>
    <row r="37">
      <c r="A37" s="5" t="s">
        <v>748</v>
      </c>
      <c r="B37" s="5" t="s">
        <v>1173</v>
      </c>
      <c r="C37" s="5" t="s">
        <v>990</v>
      </c>
      <c r="D37" s="1" t="s">
        <v>746</v>
      </c>
      <c r="E37" s="2" t="s">
        <v>516</v>
      </c>
      <c r="F37" s="21">
        <f t="shared" si="2"/>
        <v>0</v>
      </c>
      <c r="H37" s="43">
        <f t="shared" si="3"/>
        <v>0</v>
      </c>
    </row>
    <row r="38">
      <c r="A38" s="5" t="s">
        <v>152</v>
      </c>
      <c r="B38" s="5" t="s">
        <v>1005</v>
      </c>
      <c r="C38" s="5" t="s">
        <v>942</v>
      </c>
      <c r="D38" s="1" t="s">
        <v>151</v>
      </c>
      <c r="E38" s="5" t="str">
        <f t="shared" ref="E38:E39" si="6">left(B38,2)</f>
        <v>WR</v>
      </c>
      <c r="F38" s="21">
        <f t="shared" si="2"/>
        <v>3</v>
      </c>
      <c r="H38" s="43">
        <f t="shared" si="3"/>
        <v>0.1875</v>
      </c>
    </row>
    <row r="39">
      <c r="A39" s="5" t="s">
        <v>235</v>
      </c>
      <c r="B39" s="5" t="s">
        <v>1053</v>
      </c>
      <c r="C39" s="5" t="s">
        <v>958</v>
      </c>
      <c r="D39" s="1" t="s">
        <v>233</v>
      </c>
      <c r="E39" s="5" t="str">
        <f t="shared" si="6"/>
        <v>RB</v>
      </c>
      <c r="F39" s="21">
        <f t="shared" si="2"/>
        <v>4</v>
      </c>
      <c r="H39" s="43">
        <f t="shared" si="3"/>
        <v>0.25</v>
      </c>
    </row>
    <row r="40">
      <c r="A40" s="5" t="s">
        <v>522</v>
      </c>
      <c r="B40" s="5" t="s">
        <v>698</v>
      </c>
      <c r="C40" s="5" t="s">
        <v>938</v>
      </c>
      <c r="D40" s="1" t="s">
        <v>521</v>
      </c>
      <c r="E40" s="2" t="s">
        <v>516</v>
      </c>
      <c r="F40" s="21">
        <f t="shared" si="2"/>
        <v>0</v>
      </c>
      <c r="H40" s="43">
        <f t="shared" si="3"/>
        <v>0</v>
      </c>
    </row>
    <row r="41">
      <c r="A41" s="2" t="s">
        <v>766</v>
      </c>
      <c r="B41" s="2" t="s">
        <v>1176</v>
      </c>
      <c r="C41" s="5" t="s">
        <v>996</v>
      </c>
      <c r="D41" s="1" t="s">
        <v>765</v>
      </c>
      <c r="E41" s="5" t="str">
        <f t="shared" ref="E41:E46" si="7">left(B41,2)</f>
        <v>D/</v>
      </c>
      <c r="F41" s="21" t="str">
        <f t="shared" si="2"/>
        <v/>
      </c>
      <c r="H41" s="43">
        <f t="shared" si="3"/>
        <v>0</v>
      </c>
    </row>
    <row r="42">
      <c r="A42" s="5" t="s">
        <v>888</v>
      </c>
      <c r="B42" s="5" t="s">
        <v>1240</v>
      </c>
      <c r="C42" s="5" t="s">
        <v>944</v>
      </c>
      <c r="D42" s="1" t="s">
        <v>887</v>
      </c>
      <c r="E42" s="5" t="str">
        <f t="shared" si="7"/>
        <v>WR</v>
      </c>
      <c r="F42" s="21">
        <f t="shared" si="2"/>
        <v>3</v>
      </c>
      <c r="H42" s="43">
        <f t="shared" si="3"/>
        <v>0.1875</v>
      </c>
    </row>
    <row r="43">
      <c r="A43" s="5" t="s">
        <v>106</v>
      </c>
      <c r="B43" s="5" t="s">
        <v>977</v>
      </c>
      <c r="C43" s="5" t="s">
        <v>952</v>
      </c>
      <c r="D43" s="1" t="s">
        <v>104</v>
      </c>
      <c r="E43" s="5" t="str">
        <f t="shared" si="7"/>
        <v>WR</v>
      </c>
      <c r="F43" s="21">
        <f t="shared" si="2"/>
        <v>3</v>
      </c>
      <c r="H43" s="43">
        <f t="shared" si="3"/>
        <v>0.1875</v>
      </c>
    </row>
    <row r="44">
      <c r="A44" s="5" t="s">
        <v>840</v>
      </c>
      <c r="B44" s="5" t="s">
        <v>1236</v>
      </c>
      <c r="C44" s="5" t="s">
        <v>935</v>
      </c>
      <c r="D44" s="1" t="s">
        <v>839</v>
      </c>
      <c r="E44" s="5" t="str">
        <f t="shared" si="7"/>
        <v>WR</v>
      </c>
      <c r="F44" s="21">
        <f t="shared" si="2"/>
        <v>3</v>
      </c>
      <c r="H44" s="43">
        <f t="shared" si="3"/>
        <v>0.1875</v>
      </c>
    </row>
    <row r="45">
      <c r="A45" s="5" t="s">
        <v>771</v>
      </c>
      <c r="B45" s="5" t="s">
        <v>1248</v>
      </c>
      <c r="C45" s="5" t="s">
        <v>935</v>
      </c>
      <c r="D45" s="1" t="s">
        <v>770</v>
      </c>
      <c r="E45" s="5" t="str">
        <f t="shared" si="7"/>
        <v>RB</v>
      </c>
      <c r="F45" s="21">
        <f t="shared" si="2"/>
        <v>4</v>
      </c>
      <c r="H45" s="43">
        <f t="shared" si="3"/>
        <v>0.25</v>
      </c>
    </row>
    <row r="46">
      <c r="A46" s="5" t="s">
        <v>828</v>
      </c>
      <c r="B46" s="5" t="s">
        <v>1233</v>
      </c>
      <c r="C46" s="5" t="s">
        <v>940</v>
      </c>
      <c r="D46" s="1" t="s">
        <v>827</v>
      </c>
      <c r="E46" s="5" t="str">
        <f t="shared" si="7"/>
        <v>WR</v>
      </c>
      <c r="F46" s="21">
        <f t="shared" si="2"/>
        <v>3</v>
      </c>
      <c r="H46" s="43">
        <f t="shared" si="3"/>
        <v>0.1875</v>
      </c>
    </row>
    <row r="47">
      <c r="A47" s="5" t="s">
        <v>635</v>
      </c>
      <c r="B47" s="5" t="s">
        <v>1164</v>
      </c>
      <c r="C47" s="5" t="s">
        <v>1024</v>
      </c>
      <c r="D47" s="1" t="s">
        <v>634</v>
      </c>
      <c r="E47" s="2" t="s">
        <v>516</v>
      </c>
      <c r="F47" s="21">
        <f t="shared" si="2"/>
        <v>0</v>
      </c>
      <c r="H47" s="43">
        <f t="shared" si="3"/>
        <v>0</v>
      </c>
    </row>
    <row r="48">
      <c r="A48" s="2" t="s">
        <v>916</v>
      </c>
      <c r="B48" s="2" t="s">
        <v>1208</v>
      </c>
      <c r="C48" s="5" t="s">
        <v>940</v>
      </c>
      <c r="D48" s="1" t="s">
        <v>915</v>
      </c>
      <c r="E48" s="5" t="str">
        <f t="shared" ref="E48:E50" si="8">left(B48,2)</f>
        <v>D/</v>
      </c>
      <c r="F48" s="21" t="str">
        <f t="shared" si="2"/>
        <v/>
      </c>
      <c r="H48" s="43">
        <f t="shared" si="3"/>
        <v>0</v>
      </c>
    </row>
    <row r="49">
      <c r="A49" s="5" t="s">
        <v>646</v>
      </c>
      <c r="B49" s="5" t="s">
        <v>1081</v>
      </c>
      <c r="C49" s="5" t="s">
        <v>990</v>
      </c>
      <c r="D49" s="1" t="s">
        <v>644</v>
      </c>
      <c r="E49" s="5" t="str">
        <f t="shared" si="8"/>
        <v>TE</v>
      </c>
      <c r="F49" s="21">
        <f t="shared" si="2"/>
        <v>2</v>
      </c>
      <c r="H49" s="43">
        <f t="shared" si="3"/>
        <v>0.125</v>
      </c>
    </row>
    <row r="50">
      <c r="A50" s="5" t="s">
        <v>801</v>
      </c>
      <c r="B50" s="5" t="s">
        <v>1243</v>
      </c>
      <c r="C50" s="5" t="s">
        <v>954</v>
      </c>
      <c r="D50" s="1" t="s">
        <v>800</v>
      </c>
      <c r="E50" s="5" t="str">
        <f t="shared" si="8"/>
        <v>WR</v>
      </c>
      <c r="F50" s="21">
        <f t="shared" si="2"/>
        <v>3</v>
      </c>
      <c r="H50" s="43">
        <f t="shared" si="3"/>
        <v>0.1875</v>
      </c>
    </row>
    <row r="51">
      <c r="A51" s="5" t="s">
        <v>676</v>
      </c>
      <c r="B51" s="5" t="s">
        <v>1169</v>
      </c>
      <c r="C51" s="5" t="s">
        <v>985</v>
      </c>
      <c r="D51" s="1" t="s">
        <v>674</v>
      </c>
      <c r="E51" s="2" t="s">
        <v>516</v>
      </c>
      <c r="F51" s="21">
        <f t="shared" si="2"/>
        <v>0</v>
      </c>
      <c r="H51" s="43">
        <f t="shared" si="3"/>
        <v>0</v>
      </c>
    </row>
    <row r="52">
      <c r="A52" s="5" t="s">
        <v>754</v>
      </c>
      <c r="B52" s="5" t="s">
        <v>1245</v>
      </c>
      <c r="C52" s="5" t="s">
        <v>935</v>
      </c>
      <c r="D52" s="1" t="s">
        <v>753</v>
      </c>
      <c r="E52" s="5" t="str">
        <f t="shared" ref="E52:E104" si="9">left(B52,2)</f>
        <v>RB</v>
      </c>
      <c r="F52" s="21">
        <f t="shared" si="2"/>
        <v>4</v>
      </c>
      <c r="H52" s="43">
        <f t="shared" si="3"/>
        <v>0.25</v>
      </c>
    </row>
    <row r="53">
      <c r="A53" s="5" t="s">
        <v>166</v>
      </c>
      <c r="B53" s="5" t="s">
        <v>1023</v>
      </c>
      <c r="C53" s="5" t="s">
        <v>1024</v>
      </c>
      <c r="D53" s="1" t="s">
        <v>165</v>
      </c>
      <c r="E53" s="5" t="str">
        <f t="shared" si="9"/>
        <v>WR</v>
      </c>
      <c r="F53" s="21">
        <f t="shared" si="2"/>
        <v>3</v>
      </c>
      <c r="H53" s="43">
        <f t="shared" si="3"/>
        <v>0.1875</v>
      </c>
    </row>
    <row r="54">
      <c r="A54" s="5" t="s">
        <v>121</v>
      </c>
      <c r="B54" s="5" t="s">
        <v>994</v>
      </c>
      <c r="C54" s="5" t="s">
        <v>983</v>
      </c>
      <c r="D54" s="1" t="s">
        <v>119</v>
      </c>
      <c r="E54" s="5" t="str">
        <f t="shared" si="9"/>
        <v>WR</v>
      </c>
      <c r="F54" s="21">
        <f t="shared" si="2"/>
        <v>3</v>
      </c>
      <c r="H54" s="43">
        <f t="shared" si="3"/>
        <v>0.1875</v>
      </c>
    </row>
    <row r="55">
      <c r="A55" s="5" t="s">
        <v>243</v>
      </c>
      <c r="B55" s="5" t="s">
        <v>1031</v>
      </c>
      <c r="C55" s="5" t="s">
        <v>942</v>
      </c>
      <c r="D55" s="1" t="s">
        <v>241</v>
      </c>
      <c r="E55" s="5" t="str">
        <f t="shared" si="9"/>
        <v>WR</v>
      </c>
      <c r="F55" s="21">
        <f t="shared" si="2"/>
        <v>3</v>
      </c>
      <c r="H55" s="43">
        <f t="shared" si="3"/>
        <v>0.1875</v>
      </c>
    </row>
    <row r="56">
      <c r="A56" s="5" t="s">
        <v>14</v>
      </c>
      <c r="B56" s="5" t="s">
        <v>962</v>
      </c>
      <c r="C56" s="5" t="s">
        <v>963</v>
      </c>
      <c r="D56" s="1" t="s">
        <v>11</v>
      </c>
      <c r="E56" s="5" t="str">
        <f t="shared" si="9"/>
        <v>RB</v>
      </c>
      <c r="F56" s="21">
        <f t="shared" si="2"/>
        <v>4</v>
      </c>
      <c r="H56" s="43">
        <f t="shared" si="3"/>
        <v>0.25</v>
      </c>
    </row>
    <row r="57">
      <c r="A57" s="5" t="s">
        <v>169</v>
      </c>
      <c r="B57" s="5" t="s">
        <v>1010</v>
      </c>
      <c r="C57" s="5" t="s">
        <v>988</v>
      </c>
      <c r="D57" s="1" t="s">
        <v>168</v>
      </c>
      <c r="E57" s="5" t="str">
        <f t="shared" si="9"/>
        <v>WR</v>
      </c>
      <c r="F57" s="21">
        <f t="shared" si="2"/>
        <v>3</v>
      </c>
      <c r="H57" s="43">
        <f t="shared" si="3"/>
        <v>0.1875</v>
      </c>
    </row>
    <row r="58">
      <c r="A58" s="5" t="s">
        <v>620</v>
      </c>
      <c r="B58" s="5" t="s">
        <v>1139</v>
      </c>
      <c r="C58" s="5" t="s">
        <v>996</v>
      </c>
      <c r="D58" s="1" t="s">
        <v>619</v>
      </c>
      <c r="E58" s="5" t="str">
        <f t="shared" si="9"/>
        <v>RB</v>
      </c>
      <c r="F58" s="21">
        <f t="shared" si="2"/>
        <v>4</v>
      </c>
      <c r="H58" s="43">
        <f t="shared" si="3"/>
        <v>0.25</v>
      </c>
    </row>
    <row r="59">
      <c r="A59" s="2" t="s">
        <v>807</v>
      </c>
      <c r="B59" s="2" t="s">
        <v>1101</v>
      </c>
      <c r="C59" s="5" t="s">
        <v>935</v>
      </c>
      <c r="D59" s="1" t="s">
        <v>806</v>
      </c>
      <c r="E59" s="5" t="str">
        <f t="shared" si="9"/>
        <v>D/</v>
      </c>
      <c r="F59" s="21" t="str">
        <f t="shared" si="2"/>
        <v/>
      </c>
      <c r="H59" s="43">
        <f t="shared" si="3"/>
        <v>0</v>
      </c>
    </row>
    <row r="60">
      <c r="A60" s="2" t="s">
        <v>786</v>
      </c>
      <c r="B60" s="2" t="s">
        <v>1178</v>
      </c>
      <c r="C60" s="5" t="s">
        <v>944</v>
      </c>
      <c r="D60" s="1" t="s">
        <v>784</v>
      </c>
      <c r="E60" s="5" t="str">
        <f t="shared" si="9"/>
        <v>D/</v>
      </c>
      <c r="F60" s="21" t="str">
        <f t="shared" si="2"/>
        <v/>
      </c>
      <c r="H60" s="43">
        <f t="shared" si="3"/>
        <v>0</v>
      </c>
    </row>
    <row r="61">
      <c r="A61" s="2" t="s">
        <v>668</v>
      </c>
      <c r="B61" s="5" t="s">
        <v>1147</v>
      </c>
      <c r="C61" s="5" t="s">
        <v>933</v>
      </c>
      <c r="D61" s="1" t="s">
        <v>667</v>
      </c>
      <c r="E61" s="5" t="str">
        <f t="shared" si="9"/>
        <v>RB</v>
      </c>
      <c r="F61" s="21">
        <f t="shared" si="2"/>
        <v>4</v>
      </c>
      <c r="H61" s="43">
        <f t="shared" si="3"/>
        <v>0.25</v>
      </c>
    </row>
    <row r="62">
      <c r="A62" s="5" t="s">
        <v>821</v>
      </c>
      <c r="B62" s="5" t="s">
        <v>1102</v>
      </c>
      <c r="C62" s="5" t="s">
        <v>940</v>
      </c>
      <c r="D62" s="1" t="s">
        <v>820</v>
      </c>
      <c r="E62" s="5" t="str">
        <f t="shared" si="9"/>
        <v>TE</v>
      </c>
      <c r="F62" s="21">
        <f t="shared" si="2"/>
        <v>2</v>
      </c>
      <c r="H62" s="43">
        <f t="shared" si="3"/>
        <v>0.125</v>
      </c>
    </row>
    <row r="63">
      <c r="A63" s="5" t="s">
        <v>908</v>
      </c>
      <c r="B63" s="5" t="s">
        <v>1246</v>
      </c>
      <c r="C63" s="5" t="s">
        <v>1016</v>
      </c>
      <c r="D63" s="1" t="s">
        <v>907</v>
      </c>
      <c r="E63" s="5" t="str">
        <f t="shared" si="9"/>
        <v>TE</v>
      </c>
      <c r="F63" s="21">
        <f t="shared" si="2"/>
        <v>2</v>
      </c>
      <c r="H63" s="43">
        <f t="shared" si="3"/>
        <v>0.125</v>
      </c>
    </row>
    <row r="64">
      <c r="A64" s="5" t="s">
        <v>71</v>
      </c>
      <c r="B64" s="5" t="s">
        <v>957</v>
      </c>
      <c r="C64" s="5" t="s">
        <v>958</v>
      </c>
      <c r="D64" s="1" t="s">
        <v>69</v>
      </c>
      <c r="E64" s="5" t="str">
        <f t="shared" si="9"/>
        <v>WR</v>
      </c>
      <c r="F64" s="21">
        <f t="shared" si="2"/>
        <v>3</v>
      </c>
      <c r="H64" s="43">
        <f t="shared" si="3"/>
        <v>0.1875</v>
      </c>
    </row>
    <row r="65">
      <c r="A65" s="5" t="s">
        <v>567</v>
      </c>
      <c r="B65" s="5" t="s">
        <v>1149</v>
      </c>
      <c r="C65" s="5" t="s">
        <v>974</v>
      </c>
      <c r="D65" s="1" t="s">
        <v>566</v>
      </c>
      <c r="E65" s="5" t="str">
        <f t="shared" si="9"/>
        <v>RB</v>
      </c>
      <c r="F65" s="21">
        <f t="shared" si="2"/>
        <v>4</v>
      </c>
      <c r="H65" s="43">
        <f t="shared" si="3"/>
        <v>0.25</v>
      </c>
    </row>
    <row r="66">
      <c r="A66" s="5" t="s">
        <v>355</v>
      </c>
      <c r="B66" s="5" t="s">
        <v>1058</v>
      </c>
      <c r="C66" s="5" t="s">
        <v>976</v>
      </c>
      <c r="D66" s="1" t="s">
        <v>354</v>
      </c>
      <c r="E66" s="5" t="str">
        <f t="shared" si="9"/>
        <v>WR</v>
      </c>
      <c r="F66" s="21">
        <f t="shared" si="2"/>
        <v>3</v>
      </c>
      <c r="H66" s="43">
        <f t="shared" si="3"/>
        <v>0.1875</v>
      </c>
    </row>
    <row r="67">
      <c r="A67" s="5" t="s">
        <v>482</v>
      </c>
      <c r="B67" s="5" t="s">
        <v>1106</v>
      </c>
      <c r="C67" s="5" t="s">
        <v>1016</v>
      </c>
      <c r="D67" s="1" t="s">
        <v>480</v>
      </c>
      <c r="E67" s="5" t="str">
        <f t="shared" si="9"/>
        <v>WR</v>
      </c>
      <c r="F67" s="21">
        <f t="shared" si="2"/>
        <v>3</v>
      </c>
      <c r="H67" s="43">
        <f t="shared" si="3"/>
        <v>0.1875</v>
      </c>
    </row>
    <row r="68">
      <c r="A68" s="5" t="s">
        <v>272</v>
      </c>
      <c r="B68" s="5" t="s">
        <v>1070</v>
      </c>
      <c r="C68" s="5" t="s">
        <v>931</v>
      </c>
      <c r="D68" s="1" t="s">
        <v>271</v>
      </c>
      <c r="E68" s="5" t="str">
        <f t="shared" si="9"/>
        <v>RB</v>
      </c>
      <c r="F68" s="21">
        <f t="shared" si="2"/>
        <v>4</v>
      </c>
      <c r="H68" s="43">
        <f t="shared" si="3"/>
        <v>0.25</v>
      </c>
    </row>
    <row r="69">
      <c r="A69" s="5" t="s">
        <v>229</v>
      </c>
      <c r="B69" s="5" t="s">
        <v>951</v>
      </c>
      <c r="C69" s="5" t="s">
        <v>952</v>
      </c>
      <c r="D69" s="1" t="s">
        <v>228</v>
      </c>
      <c r="E69" s="5" t="str">
        <f t="shared" si="9"/>
        <v>QB</v>
      </c>
      <c r="F69" s="21">
        <f t="shared" si="2"/>
        <v>1</v>
      </c>
      <c r="H69" s="43">
        <f t="shared" si="3"/>
        <v>0.0625</v>
      </c>
    </row>
    <row r="70">
      <c r="A70" s="2" t="s">
        <v>623</v>
      </c>
      <c r="B70" s="2" t="s">
        <v>1075</v>
      </c>
      <c r="C70" s="5" t="s">
        <v>952</v>
      </c>
      <c r="D70" s="1" t="s">
        <v>621</v>
      </c>
      <c r="E70" s="5" t="str">
        <f t="shared" si="9"/>
        <v>D/</v>
      </c>
      <c r="F70" s="21" t="str">
        <f t="shared" si="2"/>
        <v/>
      </c>
      <c r="H70" s="43">
        <f t="shared" si="3"/>
        <v>0</v>
      </c>
    </row>
    <row r="71">
      <c r="A71" s="5" t="s">
        <v>411</v>
      </c>
      <c r="B71" s="5" t="s">
        <v>1063</v>
      </c>
      <c r="C71" s="5" t="s">
        <v>931</v>
      </c>
      <c r="D71" s="1" t="s">
        <v>409</v>
      </c>
      <c r="E71" s="5" t="str">
        <f t="shared" si="9"/>
        <v>TE</v>
      </c>
      <c r="F71" s="21">
        <f t="shared" si="2"/>
        <v>2</v>
      </c>
      <c r="H71" s="43">
        <f t="shared" si="3"/>
        <v>0.125</v>
      </c>
    </row>
    <row r="72">
      <c r="A72" s="5" t="s">
        <v>768</v>
      </c>
      <c r="B72" s="5" t="s">
        <v>1096</v>
      </c>
      <c r="C72" s="5" t="s">
        <v>929</v>
      </c>
      <c r="D72" s="1" t="s">
        <v>767</v>
      </c>
      <c r="E72" s="5" t="str">
        <f t="shared" si="9"/>
        <v>TE</v>
      </c>
      <c r="F72" s="21">
        <f t="shared" si="2"/>
        <v>2</v>
      </c>
      <c r="H72" s="43">
        <f t="shared" si="3"/>
        <v>0.125</v>
      </c>
    </row>
    <row r="73">
      <c r="A73" s="5" t="s">
        <v>603</v>
      </c>
      <c r="B73" s="5" t="s">
        <v>1094</v>
      </c>
      <c r="C73" s="5" t="s">
        <v>992</v>
      </c>
      <c r="D73" s="1" t="s">
        <v>602</v>
      </c>
      <c r="E73" s="5" t="str">
        <f t="shared" si="9"/>
        <v>TE</v>
      </c>
      <c r="F73" s="21">
        <f t="shared" si="2"/>
        <v>2</v>
      </c>
      <c r="H73" s="43">
        <f t="shared" si="3"/>
        <v>0.125</v>
      </c>
    </row>
    <row r="74">
      <c r="A74" s="5" t="s">
        <v>283</v>
      </c>
      <c r="B74" s="5" t="s">
        <v>1083</v>
      </c>
      <c r="C74" s="5" t="s">
        <v>967</v>
      </c>
      <c r="D74" s="1" t="s">
        <v>281</v>
      </c>
      <c r="E74" s="5" t="str">
        <f t="shared" si="9"/>
        <v>RB</v>
      </c>
      <c r="F74" s="21">
        <f t="shared" si="2"/>
        <v>4</v>
      </c>
      <c r="H74" s="43">
        <f t="shared" si="3"/>
        <v>0.25</v>
      </c>
    </row>
    <row r="75">
      <c r="A75" s="5" t="s">
        <v>163</v>
      </c>
      <c r="B75" s="5" t="s">
        <v>1037</v>
      </c>
      <c r="C75" s="5" t="s">
        <v>992</v>
      </c>
      <c r="D75" s="1" t="s">
        <v>161</v>
      </c>
      <c r="E75" s="5" t="str">
        <f t="shared" si="9"/>
        <v>RB</v>
      </c>
      <c r="F75" s="21">
        <f t="shared" si="2"/>
        <v>4</v>
      </c>
      <c r="H75" s="43">
        <f t="shared" si="3"/>
        <v>0.25</v>
      </c>
    </row>
    <row r="76">
      <c r="A76" s="5" t="s">
        <v>478</v>
      </c>
      <c r="B76" s="5" t="s">
        <v>1146</v>
      </c>
      <c r="C76" s="5" t="s">
        <v>929</v>
      </c>
      <c r="D76" s="1" t="s">
        <v>477</v>
      </c>
      <c r="E76" s="5" t="str">
        <f t="shared" si="9"/>
        <v>RB</v>
      </c>
      <c r="F76" s="21">
        <f t="shared" si="2"/>
        <v>4</v>
      </c>
      <c r="H76" s="43">
        <f t="shared" si="3"/>
        <v>0.25</v>
      </c>
    </row>
    <row r="77">
      <c r="A77" s="5" t="s">
        <v>600</v>
      </c>
      <c r="B77" s="5" t="s">
        <v>1125</v>
      </c>
      <c r="C77" s="5" t="s">
        <v>980</v>
      </c>
      <c r="D77" s="1" t="s">
        <v>598</v>
      </c>
      <c r="E77" s="5" t="str">
        <f t="shared" si="9"/>
        <v>K1</v>
      </c>
      <c r="F77" s="21" t="str">
        <f t="shared" si="2"/>
        <v/>
      </c>
      <c r="H77" s="43">
        <f t="shared" si="3"/>
        <v>0</v>
      </c>
    </row>
    <row r="78">
      <c r="A78" s="5" t="s">
        <v>173</v>
      </c>
      <c r="B78" s="5" t="s">
        <v>947</v>
      </c>
      <c r="C78" s="5" t="s">
        <v>948</v>
      </c>
      <c r="D78" s="1" t="s">
        <v>170</v>
      </c>
      <c r="E78" s="5" t="str">
        <f t="shared" si="9"/>
        <v>QB</v>
      </c>
      <c r="F78" s="21">
        <f t="shared" si="2"/>
        <v>1</v>
      </c>
      <c r="H78" s="43">
        <f t="shared" si="3"/>
        <v>0.0625</v>
      </c>
    </row>
    <row r="79">
      <c r="A79" s="5" t="s">
        <v>702</v>
      </c>
      <c r="B79" s="5" t="s">
        <v>1242</v>
      </c>
      <c r="C79" s="5" t="s">
        <v>948</v>
      </c>
      <c r="D79" s="1" t="s">
        <v>701</v>
      </c>
      <c r="E79" s="5" t="str">
        <f t="shared" si="9"/>
        <v>WR</v>
      </c>
      <c r="F79" s="21">
        <f t="shared" si="2"/>
        <v>3</v>
      </c>
      <c r="H79" s="43">
        <f t="shared" si="3"/>
        <v>0.1875</v>
      </c>
    </row>
    <row r="80">
      <c r="A80" s="5" t="s">
        <v>571</v>
      </c>
      <c r="B80" s="5" t="s">
        <v>1109</v>
      </c>
      <c r="C80" s="5" t="s">
        <v>940</v>
      </c>
      <c r="D80" s="1" t="s">
        <v>569</v>
      </c>
      <c r="E80" s="5" t="str">
        <f t="shared" si="9"/>
        <v>WR</v>
      </c>
      <c r="F80" s="21">
        <f t="shared" si="2"/>
        <v>3</v>
      </c>
      <c r="H80" s="43">
        <f t="shared" si="3"/>
        <v>0.1875</v>
      </c>
    </row>
    <row r="81">
      <c r="A81" s="5" t="s">
        <v>325</v>
      </c>
      <c r="B81" s="5" t="s">
        <v>1044</v>
      </c>
      <c r="C81" s="5" t="s">
        <v>948</v>
      </c>
      <c r="D81" s="1" t="s">
        <v>324</v>
      </c>
      <c r="E81" s="5" t="str">
        <f t="shared" si="9"/>
        <v>TE</v>
      </c>
      <c r="F81" s="21">
        <f t="shared" si="2"/>
        <v>2</v>
      </c>
      <c r="H81" s="43">
        <f t="shared" si="3"/>
        <v>0.125</v>
      </c>
    </row>
    <row r="82">
      <c r="A82" s="5" t="s">
        <v>86</v>
      </c>
      <c r="B82" s="5" t="s">
        <v>979</v>
      </c>
      <c r="C82" s="5" t="s">
        <v>980</v>
      </c>
      <c r="D82" s="1" t="s">
        <v>85</v>
      </c>
      <c r="E82" s="5" t="str">
        <f t="shared" si="9"/>
        <v>WR</v>
      </c>
      <c r="F82" s="21">
        <f t="shared" si="2"/>
        <v>3</v>
      </c>
      <c r="H82" s="43">
        <f t="shared" si="3"/>
        <v>0.1875</v>
      </c>
    </row>
    <row r="83">
      <c r="A83" s="5" t="s">
        <v>109</v>
      </c>
      <c r="B83" s="5" t="s">
        <v>1052</v>
      </c>
      <c r="C83" s="5" t="s">
        <v>965</v>
      </c>
      <c r="D83" s="1" t="s">
        <v>108</v>
      </c>
      <c r="E83" s="5" t="str">
        <f t="shared" si="9"/>
        <v>RB</v>
      </c>
      <c r="F83" s="21">
        <f t="shared" si="2"/>
        <v>4</v>
      </c>
      <c r="H83" s="43">
        <f t="shared" si="3"/>
        <v>0.25</v>
      </c>
    </row>
    <row r="84">
      <c r="A84" s="5" t="s">
        <v>580</v>
      </c>
      <c r="B84" s="5" t="s">
        <v>1091</v>
      </c>
      <c r="C84" s="5" t="s">
        <v>944</v>
      </c>
      <c r="D84" s="1" t="s">
        <v>579</v>
      </c>
      <c r="E84" s="5" t="str">
        <f t="shared" si="9"/>
        <v>TE</v>
      </c>
      <c r="F84" s="21">
        <f t="shared" si="2"/>
        <v>2</v>
      </c>
      <c r="H84" s="43">
        <f t="shared" si="3"/>
        <v>0.125</v>
      </c>
    </row>
    <row r="85">
      <c r="A85" s="5" t="s">
        <v>814</v>
      </c>
      <c r="B85" s="5" t="s">
        <v>1126</v>
      </c>
      <c r="C85" s="5" t="s">
        <v>929</v>
      </c>
      <c r="D85" s="1" t="s">
        <v>812</v>
      </c>
      <c r="E85" s="5" t="str">
        <f t="shared" si="9"/>
        <v>TE</v>
      </c>
      <c r="F85" s="21">
        <f t="shared" si="2"/>
        <v>2</v>
      </c>
      <c r="H85" s="43">
        <f t="shared" si="3"/>
        <v>0.125</v>
      </c>
    </row>
    <row r="86">
      <c r="A86" s="5" t="s">
        <v>102</v>
      </c>
      <c r="B86" s="5" t="s">
        <v>1023</v>
      </c>
      <c r="C86" s="5" t="s">
        <v>990</v>
      </c>
      <c r="D86" s="1" t="s">
        <v>100</v>
      </c>
      <c r="E86" s="5" t="str">
        <f t="shared" si="9"/>
        <v>WR</v>
      </c>
      <c r="F86" s="21">
        <f t="shared" si="2"/>
        <v>3</v>
      </c>
      <c r="H86" s="43">
        <f t="shared" si="3"/>
        <v>0.1875</v>
      </c>
    </row>
    <row r="87">
      <c r="A87" s="5" t="s">
        <v>117</v>
      </c>
      <c r="B87" s="5" t="s">
        <v>1011</v>
      </c>
      <c r="C87" s="5" t="s">
        <v>963</v>
      </c>
      <c r="D87" s="1" t="s">
        <v>115</v>
      </c>
      <c r="E87" s="5" t="str">
        <f t="shared" si="9"/>
        <v>WR</v>
      </c>
      <c r="F87" s="21">
        <f t="shared" si="2"/>
        <v>3</v>
      </c>
      <c r="H87" s="43">
        <f t="shared" si="3"/>
        <v>0.1875</v>
      </c>
    </row>
    <row r="88">
      <c r="A88" s="2" t="s">
        <v>880</v>
      </c>
      <c r="B88" s="2" t="s">
        <v>1124</v>
      </c>
      <c r="C88" s="5" t="s">
        <v>976</v>
      </c>
      <c r="D88" s="1" t="s">
        <v>879</v>
      </c>
      <c r="E88" s="5" t="str">
        <f t="shared" si="9"/>
        <v>D/</v>
      </c>
      <c r="F88" s="21" t="str">
        <f t="shared" si="2"/>
        <v/>
      </c>
      <c r="H88" s="43">
        <f t="shared" si="3"/>
        <v>0</v>
      </c>
    </row>
    <row r="89">
      <c r="A89" s="5" t="s">
        <v>269</v>
      </c>
      <c r="B89" s="5" t="s">
        <v>982</v>
      </c>
      <c r="C89" s="5" t="s">
        <v>983</v>
      </c>
      <c r="D89" s="1" t="s">
        <v>268</v>
      </c>
      <c r="E89" s="5" t="str">
        <f t="shared" si="9"/>
        <v>QB</v>
      </c>
      <c r="F89" s="21">
        <f t="shared" si="2"/>
        <v>1</v>
      </c>
      <c r="H89" s="43">
        <f t="shared" si="3"/>
        <v>0.0625</v>
      </c>
    </row>
    <row r="90">
      <c r="A90" s="5" t="s">
        <v>39</v>
      </c>
      <c r="B90" s="5" t="s">
        <v>989</v>
      </c>
      <c r="C90" s="5" t="s">
        <v>990</v>
      </c>
      <c r="D90" s="1" t="s">
        <v>37</v>
      </c>
      <c r="E90" s="5" t="str">
        <f t="shared" si="9"/>
        <v>RB</v>
      </c>
      <c r="F90" s="21">
        <f t="shared" si="2"/>
        <v>4</v>
      </c>
      <c r="H90" s="43">
        <f t="shared" si="3"/>
        <v>0.25</v>
      </c>
    </row>
    <row r="91">
      <c r="A91" s="5" t="s">
        <v>275</v>
      </c>
      <c r="B91" s="5" t="s">
        <v>943</v>
      </c>
      <c r="C91" s="5" t="s">
        <v>944</v>
      </c>
      <c r="D91" s="1" t="s">
        <v>273</v>
      </c>
      <c r="E91" s="5" t="str">
        <f t="shared" si="9"/>
        <v>QB</v>
      </c>
      <c r="F91" s="21">
        <f t="shared" si="2"/>
        <v>1</v>
      </c>
      <c r="H91" s="43">
        <f t="shared" si="3"/>
        <v>0.0625</v>
      </c>
    </row>
    <row r="92">
      <c r="A92" s="5" t="s">
        <v>364</v>
      </c>
      <c r="B92" s="5" t="s">
        <v>1151</v>
      </c>
      <c r="C92" s="5" t="s">
        <v>974</v>
      </c>
      <c r="D92" s="1" t="s">
        <v>362</v>
      </c>
      <c r="E92" s="5" t="str">
        <f t="shared" si="9"/>
        <v>QB</v>
      </c>
      <c r="F92" s="21">
        <f t="shared" si="2"/>
        <v>1</v>
      </c>
      <c r="H92" s="43">
        <f t="shared" si="3"/>
        <v>0.0625</v>
      </c>
    </row>
    <row r="93">
      <c r="A93" s="2" t="s">
        <v>862</v>
      </c>
      <c r="B93" s="2" t="s">
        <v>1185</v>
      </c>
      <c r="C93" s="5" t="s">
        <v>965</v>
      </c>
      <c r="D93" s="1" t="s">
        <v>861</v>
      </c>
      <c r="E93" s="5" t="str">
        <f t="shared" si="9"/>
        <v>D/</v>
      </c>
      <c r="F93" s="21" t="str">
        <f t="shared" si="2"/>
        <v/>
      </c>
      <c r="H93" s="43">
        <f t="shared" si="3"/>
        <v>0</v>
      </c>
    </row>
    <row r="94">
      <c r="A94" s="5" t="s">
        <v>494</v>
      </c>
      <c r="B94" s="5" t="s">
        <v>1198</v>
      </c>
      <c r="C94" s="5" t="s">
        <v>1009</v>
      </c>
      <c r="D94" s="1" t="s">
        <v>492</v>
      </c>
      <c r="E94" s="5" t="str">
        <f t="shared" si="9"/>
        <v>WR</v>
      </c>
      <c r="F94" s="21">
        <f t="shared" si="2"/>
        <v>3</v>
      </c>
      <c r="H94" s="43">
        <f t="shared" si="3"/>
        <v>0.1875</v>
      </c>
    </row>
    <row r="95">
      <c r="A95" s="5" t="s">
        <v>513</v>
      </c>
      <c r="B95" s="5" t="s">
        <v>1128</v>
      </c>
      <c r="C95" s="5" t="s">
        <v>992</v>
      </c>
      <c r="D95" s="1" t="s">
        <v>512</v>
      </c>
      <c r="E95" s="5" t="str">
        <f t="shared" si="9"/>
        <v>RB</v>
      </c>
      <c r="F95" s="21">
        <f t="shared" si="2"/>
        <v>4</v>
      </c>
      <c r="H95" s="43">
        <f t="shared" si="3"/>
        <v>0.25</v>
      </c>
    </row>
    <row r="96">
      <c r="A96" s="5" t="s">
        <v>500</v>
      </c>
      <c r="B96" s="5" t="s">
        <v>1199</v>
      </c>
      <c r="C96" s="5" t="s">
        <v>954</v>
      </c>
      <c r="D96" s="1" t="s">
        <v>499</v>
      </c>
      <c r="E96" s="5" t="str">
        <f t="shared" si="9"/>
        <v>RB</v>
      </c>
      <c r="F96" s="21">
        <f t="shared" si="2"/>
        <v>4</v>
      </c>
      <c r="H96" s="43">
        <f t="shared" si="3"/>
        <v>0.25</v>
      </c>
    </row>
    <row r="97">
      <c r="A97" s="5" t="s">
        <v>146</v>
      </c>
      <c r="B97" s="5" t="s">
        <v>1003</v>
      </c>
      <c r="C97" s="5" t="s">
        <v>931</v>
      </c>
      <c r="D97" s="1" t="s">
        <v>144</v>
      </c>
      <c r="E97" s="5" t="str">
        <f t="shared" si="9"/>
        <v>WR</v>
      </c>
      <c r="F97" s="21">
        <f t="shared" si="2"/>
        <v>3</v>
      </c>
      <c r="H97" s="43">
        <f t="shared" si="3"/>
        <v>0.1875</v>
      </c>
    </row>
    <row r="98">
      <c r="A98" s="5" t="s">
        <v>764</v>
      </c>
      <c r="B98" s="5" t="s">
        <v>1247</v>
      </c>
      <c r="C98" s="5" t="s">
        <v>950</v>
      </c>
      <c r="D98" s="1" t="s">
        <v>762</v>
      </c>
      <c r="E98" s="5" t="str">
        <f t="shared" si="9"/>
        <v>RB</v>
      </c>
      <c r="F98" s="21">
        <f t="shared" si="2"/>
        <v>4</v>
      </c>
      <c r="H98" s="43">
        <f t="shared" si="3"/>
        <v>0.25</v>
      </c>
    </row>
    <row r="99">
      <c r="A99" s="5" t="s">
        <v>257</v>
      </c>
      <c r="B99" s="5" t="s">
        <v>1038</v>
      </c>
      <c r="C99" s="5" t="s">
        <v>985</v>
      </c>
      <c r="D99" s="1" t="s">
        <v>256</v>
      </c>
      <c r="E99" s="5" t="str">
        <f t="shared" si="9"/>
        <v>WR</v>
      </c>
      <c r="F99" s="21">
        <f t="shared" si="2"/>
        <v>3</v>
      </c>
      <c r="H99" s="43">
        <f t="shared" si="3"/>
        <v>0.1875</v>
      </c>
    </row>
    <row r="100">
      <c r="A100" s="5" t="s">
        <v>504</v>
      </c>
      <c r="B100" s="5" t="s">
        <v>1090</v>
      </c>
      <c r="C100" s="5" t="s">
        <v>996</v>
      </c>
      <c r="D100" s="1" t="s">
        <v>502</v>
      </c>
      <c r="E100" s="5" t="str">
        <f t="shared" si="9"/>
        <v>WR</v>
      </c>
      <c r="F100" s="21">
        <f t="shared" si="2"/>
        <v>3</v>
      </c>
      <c r="H100" s="43">
        <f t="shared" si="3"/>
        <v>0.1875</v>
      </c>
    </row>
    <row r="101">
      <c r="A101" s="2" t="s">
        <v>188</v>
      </c>
      <c r="B101" s="5" t="s">
        <v>1013</v>
      </c>
      <c r="C101" s="5" t="s">
        <v>940</v>
      </c>
      <c r="D101" s="1" t="s">
        <v>187</v>
      </c>
      <c r="E101" s="5" t="str">
        <f t="shared" si="9"/>
        <v>WR</v>
      </c>
      <c r="F101" s="21">
        <f t="shared" si="2"/>
        <v>3</v>
      </c>
      <c r="H101" s="43">
        <f t="shared" si="3"/>
        <v>0.1875</v>
      </c>
    </row>
    <row r="102">
      <c r="A102" s="2" t="s">
        <v>209</v>
      </c>
      <c r="B102" s="5" t="s">
        <v>1001</v>
      </c>
      <c r="C102" s="5" t="s">
        <v>946</v>
      </c>
      <c r="D102" s="1" t="s">
        <v>208</v>
      </c>
      <c r="E102" s="5" t="str">
        <f t="shared" si="9"/>
        <v>WR</v>
      </c>
      <c r="F102" s="21">
        <f t="shared" si="2"/>
        <v>3</v>
      </c>
      <c r="H102" s="43">
        <f t="shared" si="3"/>
        <v>0.1875</v>
      </c>
    </row>
    <row r="103">
      <c r="A103" s="5" t="s">
        <v>649</v>
      </c>
      <c r="B103" s="5" t="s">
        <v>1203</v>
      </c>
      <c r="C103" s="5" t="s">
        <v>944</v>
      </c>
      <c r="D103" s="1" t="s">
        <v>648</v>
      </c>
      <c r="E103" s="5" t="str">
        <f t="shared" si="9"/>
        <v>WR</v>
      </c>
      <c r="F103" s="21">
        <f t="shared" si="2"/>
        <v>3</v>
      </c>
      <c r="H103" s="43">
        <f t="shared" si="3"/>
        <v>0.1875</v>
      </c>
    </row>
    <row r="104">
      <c r="A104" s="5" t="s">
        <v>262</v>
      </c>
      <c r="B104" s="5" t="s">
        <v>1017</v>
      </c>
      <c r="C104" s="5" t="s">
        <v>974</v>
      </c>
      <c r="D104" s="1" t="s">
        <v>261</v>
      </c>
      <c r="E104" s="5" t="str">
        <f t="shared" si="9"/>
        <v>WR</v>
      </c>
      <c r="F104" s="21">
        <f t="shared" si="2"/>
        <v>3</v>
      </c>
      <c r="H104" s="43">
        <f t="shared" si="3"/>
        <v>0.1875</v>
      </c>
    </row>
    <row r="105">
      <c r="A105" s="5" t="s">
        <v>657</v>
      </c>
      <c r="B105" s="5" t="s">
        <v>1166</v>
      </c>
      <c r="C105" s="5" t="s">
        <v>996</v>
      </c>
      <c r="D105" s="1" t="s">
        <v>656</v>
      </c>
      <c r="E105" s="2" t="s">
        <v>516</v>
      </c>
      <c r="F105" s="21">
        <f t="shared" si="2"/>
        <v>0</v>
      </c>
      <c r="H105" s="43">
        <f t="shared" si="3"/>
        <v>0</v>
      </c>
    </row>
    <row r="106">
      <c r="A106" s="5" t="s">
        <v>407</v>
      </c>
      <c r="B106" s="5" t="s">
        <v>1120</v>
      </c>
      <c r="C106" s="5" t="s">
        <v>963</v>
      </c>
      <c r="D106" s="1" t="s">
        <v>405</v>
      </c>
      <c r="E106" s="5" t="str">
        <f t="shared" ref="E106:E116" si="10">left(B106,2)</f>
        <v>RB</v>
      </c>
      <c r="F106" s="21">
        <f t="shared" si="2"/>
        <v>4</v>
      </c>
      <c r="H106" s="43">
        <f t="shared" si="3"/>
        <v>0.25</v>
      </c>
    </row>
    <row r="107">
      <c r="A107" s="5" t="s">
        <v>313</v>
      </c>
      <c r="B107" s="5" t="s">
        <v>1051</v>
      </c>
      <c r="C107" s="5" t="s">
        <v>944</v>
      </c>
      <c r="D107" s="1" t="s">
        <v>311</v>
      </c>
      <c r="E107" s="5" t="str">
        <f t="shared" si="10"/>
        <v>WR</v>
      </c>
      <c r="F107" s="21">
        <f t="shared" si="2"/>
        <v>3</v>
      </c>
      <c r="H107" s="43">
        <f t="shared" si="3"/>
        <v>0.1875</v>
      </c>
    </row>
    <row r="108">
      <c r="A108" s="5" t="s">
        <v>507</v>
      </c>
      <c r="B108" s="5" t="s">
        <v>1076</v>
      </c>
      <c r="C108" s="5" t="s">
        <v>942</v>
      </c>
      <c r="D108" s="1" t="s">
        <v>506</v>
      </c>
      <c r="E108" s="5" t="str">
        <f t="shared" si="10"/>
        <v>TE</v>
      </c>
      <c r="F108" s="21">
        <f t="shared" si="2"/>
        <v>2</v>
      </c>
      <c r="H108" s="43">
        <f t="shared" si="3"/>
        <v>0.125</v>
      </c>
    </row>
    <row r="109">
      <c r="A109" s="5" t="s">
        <v>554</v>
      </c>
      <c r="B109" s="5" t="s">
        <v>553</v>
      </c>
      <c r="C109" s="5" t="s">
        <v>935</v>
      </c>
      <c r="D109" s="1" t="s">
        <v>552</v>
      </c>
      <c r="E109" s="5" t="str">
        <f t="shared" si="10"/>
        <v>K7</v>
      </c>
      <c r="F109" s="21" t="str">
        <f t="shared" si="2"/>
        <v/>
      </c>
      <c r="H109" s="43">
        <f t="shared" si="3"/>
        <v>0</v>
      </c>
    </row>
    <row r="110">
      <c r="A110" s="5" t="s">
        <v>396</v>
      </c>
      <c r="B110" s="5" t="s">
        <v>1123</v>
      </c>
      <c r="C110" s="5" t="s">
        <v>1009</v>
      </c>
      <c r="D110" s="1" t="s">
        <v>395</v>
      </c>
      <c r="E110" s="5" t="str">
        <f t="shared" si="10"/>
        <v>RB</v>
      </c>
      <c r="F110" s="21">
        <f t="shared" si="2"/>
        <v>4</v>
      </c>
      <c r="H110" s="43">
        <f t="shared" si="3"/>
        <v>0.25</v>
      </c>
    </row>
    <row r="111">
      <c r="A111" s="5" t="s">
        <v>300</v>
      </c>
      <c r="B111" s="5" t="s">
        <v>1036</v>
      </c>
      <c r="C111" s="5" t="s">
        <v>929</v>
      </c>
      <c r="D111" s="1" t="s">
        <v>299</v>
      </c>
      <c r="E111" s="5" t="str">
        <f t="shared" si="10"/>
        <v>WR</v>
      </c>
      <c r="F111" s="21">
        <f t="shared" si="2"/>
        <v>3</v>
      </c>
      <c r="H111" s="43">
        <f t="shared" si="3"/>
        <v>0.1875</v>
      </c>
    </row>
    <row r="112">
      <c r="A112" s="5" t="s">
        <v>149</v>
      </c>
      <c r="B112" s="5" t="s">
        <v>972</v>
      </c>
      <c r="C112" s="5" t="s">
        <v>967</v>
      </c>
      <c r="D112" s="1" t="s">
        <v>148</v>
      </c>
      <c r="E112" s="5" t="str">
        <f t="shared" si="10"/>
        <v>WR</v>
      </c>
      <c r="F112" s="21">
        <f t="shared" si="2"/>
        <v>3</v>
      </c>
      <c r="H112" s="43">
        <f t="shared" si="3"/>
        <v>0.1875</v>
      </c>
    </row>
    <row r="113">
      <c r="A113" s="5" t="s">
        <v>227</v>
      </c>
      <c r="B113" s="5" t="s">
        <v>945</v>
      </c>
      <c r="C113" s="5" t="s">
        <v>946</v>
      </c>
      <c r="D113" s="1" t="s">
        <v>226</v>
      </c>
      <c r="E113" s="5" t="str">
        <f t="shared" si="10"/>
        <v>QB</v>
      </c>
      <c r="F113" s="21">
        <f t="shared" si="2"/>
        <v>1</v>
      </c>
      <c r="H113" s="43">
        <f t="shared" si="3"/>
        <v>0.0625</v>
      </c>
    </row>
    <row r="114">
      <c r="A114" s="5" t="s">
        <v>329</v>
      </c>
      <c r="B114" s="5" t="s">
        <v>1045</v>
      </c>
      <c r="C114" s="5" t="s">
        <v>963</v>
      </c>
      <c r="D114" s="1" t="s">
        <v>327</v>
      </c>
      <c r="E114" s="5" t="str">
        <f t="shared" si="10"/>
        <v>TE</v>
      </c>
      <c r="F114" s="21">
        <f t="shared" si="2"/>
        <v>2</v>
      </c>
      <c r="H114" s="43">
        <f t="shared" si="3"/>
        <v>0.125</v>
      </c>
    </row>
    <row r="115">
      <c r="A115" s="5" t="s">
        <v>292</v>
      </c>
      <c r="B115" s="5" t="s">
        <v>1033</v>
      </c>
      <c r="C115" s="5" t="s">
        <v>985</v>
      </c>
      <c r="D115" s="1" t="s">
        <v>291</v>
      </c>
      <c r="E115" s="5" t="str">
        <f t="shared" si="10"/>
        <v>WR</v>
      </c>
      <c r="F115" s="21">
        <f t="shared" si="2"/>
        <v>3</v>
      </c>
      <c r="H115" s="43">
        <f t="shared" si="3"/>
        <v>0.1875</v>
      </c>
    </row>
    <row r="116">
      <c r="A116" s="5" t="s">
        <v>805</v>
      </c>
      <c r="B116" s="5" t="s">
        <v>1115</v>
      </c>
      <c r="C116" s="5" t="s">
        <v>938</v>
      </c>
      <c r="D116" s="1" t="s">
        <v>804</v>
      </c>
      <c r="E116" s="5" t="str">
        <f t="shared" si="10"/>
        <v>TE</v>
      </c>
      <c r="F116" s="21">
        <f t="shared" si="2"/>
        <v>2</v>
      </c>
      <c r="H116" s="43">
        <f t="shared" si="3"/>
        <v>0.125</v>
      </c>
    </row>
    <row r="117">
      <c r="A117" s="5" t="s">
        <v>688</v>
      </c>
      <c r="B117" s="5" t="s">
        <v>1142</v>
      </c>
      <c r="C117" s="5" t="s">
        <v>948</v>
      </c>
      <c r="D117" s="1" t="s">
        <v>687</v>
      </c>
      <c r="E117" s="2" t="s">
        <v>516</v>
      </c>
      <c r="F117" s="21">
        <f t="shared" si="2"/>
        <v>0</v>
      </c>
      <c r="H117" s="43">
        <f t="shared" si="3"/>
        <v>0</v>
      </c>
    </row>
    <row r="118">
      <c r="A118" s="2" t="s">
        <v>876</v>
      </c>
      <c r="B118" s="2" t="s">
        <v>1189</v>
      </c>
      <c r="C118" s="5" t="s">
        <v>988</v>
      </c>
      <c r="D118" s="1" t="s">
        <v>875</v>
      </c>
      <c r="E118" s="5" t="str">
        <f t="shared" ref="E118:E119" si="11">left(B118,2)</f>
        <v>D/</v>
      </c>
      <c r="F118" s="21" t="str">
        <f t="shared" si="2"/>
        <v/>
      </c>
      <c r="H118" s="43">
        <f t="shared" si="3"/>
        <v>0</v>
      </c>
    </row>
    <row r="119">
      <c r="A119" s="5" t="s">
        <v>705</v>
      </c>
      <c r="B119" s="5" t="s">
        <v>1114</v>
      </c>
      <c r="C119" s="5" t="s">
        <v>976</v>
      </c>
      <c r="D119" s="1" t="s">
        <v>704</v>
      </c>
      <c r="E119" s="5" t="str">
        <f t="shared" si="11"/>
        <v>TE</v>
      </c>
      <c r="F119" s="21">
        <f t="shared" si="2"/>
        <v>2</v>
      </c>
      <c r="H119" s="43">
        <f t="shared" si="3"/>
        <v>0.125</v>
      </c>
    </row>
    <row r="120">
      <c r="A120" s="5" t="s">
        <v>561</v>
      </c>
      <c r="B120" s="5" t="s">
        <v>1155</v>
      </c>
      <c r="C120" s="5" t="s">
        <v>950</v>
      </c>
      <c r="D120" s="1" t="s">
        <v>559</v>
      </c>
      <c r="E120" s="2" t="s">
        <v>516</v>
      </c>
      <c r="F120" s="21">
        <f t="shared" si="2"/>
        <v>0</v>
      </c>
      <c r="H120" s="43">
        <f t="shared" si="3"/>
        <v>0</v>
      </c>
    </row>
    <row r="121">
      <c r="A121" s="5" t="s">
        <v>541</v>
      </c>
      <c r="B121" s="5" t="s">
        <v>1154</v>
      </c>
      <c r="C121" s="5" t="s">
        <v>967</v>
      </c>
      <c r="D121" s="1" t="s">
        <v>540</v>
      </c>
      <c r="E121" s="2" t="s">
        <v>516</v>
      </c>
      <c r="F121" s="21">
        <f t="shared" si="2"/>
        <v>0</v>
      </c>
      <c r="H121" s="43">
        <f t="shared" si="3"/>
        <v>0</v>
      </c>
    </row>
    <row r="122">
      <c r="A122" s="2" t="s">
        <v>673</v>
      </c>
      <c r="B122" s="5" t="s">
        <v>1148</v>
      </c>
      <c r="C122" s="5" t="s">
        <v>1007</v>
      </c>
      <c r="D122" s="1" t="s">
        <v>672</v>
      </c>
      <c r="E122" s="5" t="str">
        <f>left(B122,2)</f>
        <v>RB</v>
      </c>
      <c r="F122" s="21">
        <f t="shared" si="2"/>
        <v>4</v>
      </c>
      <c r="H122" s="43">
        <f t="shared" si="3"/>
        <v>0.25</v>
      </c>
    </row>
    <row r="123">
      <c r="A123" s="5" t="s">
        <v>533</v>
      </c>
      <c r="B123" s="5" t="s">
        <v>1113</v>
      </c>
      <c r="C123" s="5" t="s">
        <v>933</v>
      </c>
      <c r="D123" s="1" t="s">
        <v>531</v>
      </c>
      <c r="E123" s="2" t="s">
        <v>516</v>
      </c>
      <c r="F123" s="21">
        <f t="shared" si="2"/>
        <v>0</v>
      </c>
      <c r="H123" s="43">
        <f t="shared" si="3"/>
        <v>0</v>
      </c>
    </row>
    <row r="124">
      <c r="A124" s="5" t="s">
        <v>837</v>
      </c>
      <c r="B124" s="5" t="s">
        <v>1131</v>
      </c>
      <c r="C124" s="5" t="s">
        <v>996</v>
      </c>
      <c r="D124" s="1" t="s">
        <v>836</v>
      </c>
      <c r="E124" s="5" t="str">
        <f t="shared" ref="E124:E136" si="12">left(B124,2)</f>
        <v>TE</v>
      </c>
      <c r="F124" s="21">
        <f t="shared" si="2"/>
        <v>2</v>
      </c>
      <c r="H124" s="43">
        <f t="shared" si="3"/>
        <v>0.125</v>
      </c>
    </row>
    <row r="125">
      <c r="A125" s="2" t="s">
        <v>910</v>
      </c>
      <c r="B125" s="2" t="s">
        <v>1200</v>
      </c>
      <c r="C125" s="5" t="s">
        <v>992</v>
      </c>
      <c r="D125" s="1" t="s">
        <v>909</v>
      </c>
      <c r="E125" s="5" t="str">
        <f t="shared" si="12"/>
        <v>D/</v>
      </c>
      <c r="F125" s="21" t="str">
        <f t="shared" si="2"/>
        <v/>
      </c>
      <c r="H125" s="43">
        <f t="shared" si="3"/>
        <v>0</v>
      </c>
    </row>
    <row r="126">
      <c r="A126" s="5" t="s">
        <v>843</v>
      </c>
      <c r="B126" s="5" t="s">
        <v>1210</v>
      </c>
      <c r="C126" s="5" t="s">
        <v>1009</v>
      </c>
      <c r="D126" s="1" t="s">
        <v>841</v>
      </c>
      <c r="E126" s="5" t="str">
        <f t="shared" si="12"/>
        <v>TE</v>
      </c>
      <c r="F126" s="21">
        <f t="shared" si="2"/>
        <v>2</v>
      </c>
      <c r="H126" s="43">
        <f t="shared" si="3"/>
        <v>0.125</v>
      </c>
    </row>
    <row r="127">
      <c r="A127" s="5" t="s">
        <v>745</v>
      </c>
      <c r="B127" s="5" t="s">
        <v>1141</v>
      </c>
      <c r="C127" s="5" t="s">
        <v>980</v>
      </c>
      <c r="D127" s="1" t="s">
        <v>744</v>
      </c>
      <c r="E127" s="5" t="str">
        <f t="shared" si="12"/>
        <v>WR</v>
      </c>
      <c r="F127" s="21">
        <f t="shared" si="2"/>
        <v>3</v>
      </c>
      <c r="H127" s="43">
        <f t="shared" si="3"/>
        <v>0.1875</v>
      </c>
    </row>
    <row r="128">
      <c r="A128" s="2" t="s">
        <v>858</v>
      </c>
      <c r="B128" s="2" t="s">
        <v>1184</v>
      </c>
      <c r="C128" s="5" t="s">
        <v>961</v>
      </c>
      <c r="D128" s="1" t="s">
        <v>857</v>
      </c>
      <c r="E128" s="5" t="str">
        <f t="shared" si="12"/>
        <v>D/</v>
      </c>
      <c r="F128" s="21" t="str">
        <f t="shared" si="2"/>
        <v/>
      </c>
      <c r="H128" s="43">
        <f t="shared" si="3"/>
        <v>0</v>
      </c>
    </row>
    <row r="129">
      <c r="A129" s="5" t="s">
        <v>783</v>
      </c>
      <c r="B129" s="5" t="s">
        <v>1111</v>
      </c>
      <c r="C129" s="5" t="s">
        <v>935</v>
      </c>
      <c r="D129" s="1" t="s">
        <v>782</v>
      </c>
      <c r="E129" s="5" t="str">
        <f t="shared" si="12"/>
        <v>TE</v>
      </c>
      <c r="F129" s="21">
        <f t="shared" si="2"/>
        <v>2</v>
      </c>
      <c r="H129" s="43">
        <f t="shared" si="3"/>
        <v>0.125</v>
      </c>
    </row>
    <row r="130">
      <c r="A130" s="5" t="s">
        <v>860</v>
      </c>
      <c r="B130" s="5" t="s">
        <v>1228</v>
      </c>
      <c r="C130" s="5" t="s">
        <v>948</v>
      </c>
      <c r="D130" s="1" t="s">
        <v>859</v>
      </c>
      <c r="E130" s="5" t="str">
        <f t="shared" si="12"/>
        <v>WR</v>
      </c>
      <c r="F130" s="21">
        <f t="shared" si="2"/>
        <v>3</v>
      </c>
      <c r="H130" s="43">
        <f t="shared" si="3"/>
        <v>0.1875</v>
      </c>
    </row>
    <row r="131">
      <c r="A131" s="5" t="s">
        <v>142</v>
      </c>
      <c r="B131" s="5" t="s">
        <v>1047</v>
      </c>
      <c r="C131" s="5" t="s">
        <v>933</v>
      </c>
      <c r="D131" s="1" t="s">
        <v>141</v>
      </c>
      <c r="E131" s="5" t="str">
        <f t="shared" si="12"/>
        <v>RB</v>
      </c>
      <c r="F131" s="21">
        <f t="shared" si="2"/>
        <v>4</v>
      </c>
      <c r="H131" s="43">
        <f t="shared" si="3"/>
        <v>0.25</v>
      </c>
    </row>
    <row r="132">
      <c r="A132" s="5" t="s">
        <v>217</v>
      </c>
      <c r="B132" s="5" t="s">
        <v>1049</v>
      </c>
      <c r="C132" s="5" t="s">
        <v>1007</v>
      </c>
      <c r="D132" s="1" t="s">
        <v>216</v>
      </c>
      <c r="E132" s="5" t="str">
        <f t="shared" si="12"/>
        <v>RB</v>
      </c>
      <c r="F132" s="21">
        <f t="shared" si="2"/>
        <v>4</v>
      </c>
      <c r="H132" s="43">
        <f t="shared" si="3"/>
        <v>0.25</v>
      </c>
    </row>
    <row r="133">
      <c r="A133" s="5" t="s">
        <v>67</v>
      </c>
      <c r="B133" s="5" t="s">
        <v>956</v>
      </c>
      <c r="C133" s="5" t="s">
        <v>935</v>
      </c>
      <c r="D133" s="1" t="s">
        <v>65</v>
      </c>
      <c r="E133" s="5" t="str">
        <f t="shared" si="12"/>
        <v>WR</v>
      </c>
      <c r="F133" s="21">
        <f t="shared" si="2"/>
        <v>3</v>
      </c>
      <c r="H133" s="43">
        <f t="shared" si="3"/>
        <v>0.1875</v>
      </c>
    </row>
    <row r="134">
      <c r="A134" s="2" t="s">
        <v>798</v>
      </c>
      <c r="B134" s="2" t="s">
        <v>1180</v>
      </c>
      <c r="C134" s="5" t="s">
        <v>942</v>
      </c>
      <c r="D134" s="1" t="s">
        <v>796</v>
      </c>
      <c r="E134" s="5" t="str">
        <f t="shared" si="12"/>
        <v>D/</v>
      </c>
      <c r="F134" s="21" t="str">
        <f t="shared" si="2"/>
        <v/>
      </c>
      <c r="H134" s="43">
        <f t="shared" si="3"/>
        <v>0</v>
      </c>
    </row>
    <row r="135">
      <c r="A135" s="5" t="s">
        <v>389</v>
      </c>
      <c r="B135" s="5" t="s">
        <v>1055</v>
      </c>
      <c r="C135" s="5" t="s">
        <v>1016</v>
      </c>
      <c r="D135" s="1" t="s">
        <v>388</v>
      </c>
      <c r="E135" s="5" t="str">
        <f t="shared" si="12"/>
        <v>WR</v>
      </c>
      <c r="F135" s="21">
        <f t="shared" si="2"/>
        <v>3</v>
      </c>
      <c r="H135" s="43">
        <f t="shared" si="3"/>
        <v>0.1875</v>
      </c>
    </row>
    <row r="136">
      <c r="A136" s="5" t="s">
        <v>113</v>
      </c>
      <c r="B136" s="5" t="s">
        <v>1018</v>
      </c>
      <c r="C136" s="5" t="s">
        <v>965</v>
      </c>
      <c r="D136" s="1" t="s">
        <v>111</v>
      </c>
      <c r="E136" s="5" t="str">
        <f t="shared" si="12"/>
        <v>RB</v>
      </c>
      <c r="F136" s="21">
        <f t="shared" si="2"/>
        <v>4</v>
      </c>
      <c r="H136" s="43">
        <f t="shared" si="3"/>
        <v>0.25</v>
      </c>
    </row>
    <row r="137">
      <c r="A137" s="5" t="s">
        <v>609</v>
      </c>
      <c r="B137" s="5" t="s">
        <v>1129</v>
      </c>
      <c r="C137" s="5" t="s">
        <v>931</v>
      </c>
      <c r="D137" s="1" t="s">
        <v>607</v>
      </c>
      <c r="E137" s="2" t="s">
        <v>516</v>
      </c>
      <c r="F137" s="21">
        <f t="shared" si="2"/>
        <v>0</v>
      </c>
      <c r="H137" s="43">
        <f t="shared" si="3"/>
        <v>0</v>
      </c>
    </row>
    <row r="138">
      <c r="A138" s="5" t="s">
        <v>890</v>
      </c>
      <c r="B138" s="5" t="s">
        <v>1229</v>
      </c>
      <c r="C138" s="5" t="s">
        <v>952</v>
      </c>
      <c r="D138" s="1" t="s">
        <v>889</v>
      </c>
      <c r="E138" s="5" t="str">
        <f>left(B138,2)</f>
        <v>TE</v>
      </c>
      <c r="F138" s="21">
        <f t="shared" si="2"/>
        <v>2</v>
      </c>
      <c r="H138" s="43">
        <f t="shared" si="3"/>
        <v>0.125</v>
      </c>
    </row>
    <row r="139">
      <c r="A139" s="5" t="s">
        <v>587</v>
      </c>
      <c r="B139" s="5" t="s">
        <v>1158</v>
      </c>
      <c r="C139" s="5" t="s">
        <v>963</v>
      </c>
      <c r="D139" s="1" t="s">
        <v>586</v>
      </c>
      <c r="E139" s="2" t="s">
        <v>516</v>
      </c>
      <c r="F139" s="21">
        <f t="shared" si="2"/>
        <v>0</v>
      </c>
      <c r="H139" s="43">
        <f t="shared" si="3"/>
        <v>0</v>
      </c>
    </row>
    <row r="140">
      <c r="A140" s="5" t="s">
        <v>415</v>
      </c>
      <c r="B140" s="5" t="s">
        <v>1077</v>
      </c>
      <c r="C140" s="5" t="s">
        <v>980</v>
      </c>
      <c r="D140" s="1" t="s">
        <v>413</v>
      </c>
      <c r="E140" s="5" t="str">
        <f t="shared" ref="E140:E147" si="13">left(B140,2)</f>
        <v>WR</v>
      </c>
      <c r="F140" s="21">
        <f t="shared" si="2"/>
        <v>3</v>
      </c>
      <c r="H140" s="43">
        <f t="shared" si="3"/>
        <v>0.1875</v>
      </c>
    </row>
    <row r="141">
      <c r="A141" s="5" t="s">
        <v>264</v>
      </c>
      <c r="B141" s="5" t="s">
        <v>930</v>
      </c>
      <c r="C141" s="5" t="s">
        <v>931</v>
      </c>
      <c r="D141" s="1" t="s">
        <v>263</v>
      </c>
      <c r="E141" s="5" t="str">
        <f t="shared" si="13"/>
        <v>QB</v>
      </c>
      <c r="F141" s="21">
        <f t="shared" si="2"/>
        <v>1</v>
      </c>
      <c r="H141" s="43">
        <f t="shared" si="3"/>
        <v>0.0625</v>
      </c>
    </row>
    <row r="142">
      <c r="A142" s="5" t="s">
        <v>779</v>
      </c>
      <c r="B142" s="5" t="s">
        <v>1211</v>
      </c>
      <c r="C142" s="5" t="s">
        <v>948</v>
      </c>
      <c r="D142" s="1" t="s">
        <v>777</v>
      </c>
      <c r="E142" s="5" t="str">
        <f t="shared" si="13"/>
        <v>WR</v>
      </c>
      <c r="F142" s="21">
        <f t="shared" si="2"/>
        <v>3</v>
      </c>
      <c r="H142" s="43">
        <f t="shared" si="3"/>
        <v>0.1875</v>
      </c>
    </row>
    <row r="143">
      <c r="A143" s="5" t="s">
        <v>468</v>
      </c>
      <c r="B143" s="5" t="s">
        <v>1138</v>
      </c>
      <c r="C143" s="5" t="s">
        <v>983</v>
      </c>
      <c r="D143" s="1" t="s">
        <v>467</v>
      </c>
      <c r="E143" s="5" t="str">
        <f t="shared" si="13"/>
        <v>RB</v>
      </c>
      <c r="F143" s="21">
        <f t="shared" si="2"/>
        <v>4</v>
      </c>
      <c r="H143" s="43">
        <f t="shared" si="3"/>
        <v>0.25</v>
      </c>
    </row>
    <row r="144">
      <c r="A144" s="5" t="s">
        <v>98</v>
      </c>
      <c r="B144" s="5" t="s">
        <v>1050</v>
      </c>
      <c r="C144" s="5" t="s">
        <v>1040</v>
      </c>
      <c r="D144" s="1" t="s">
        <v>97</v>
      </c>
      <c r="E144" s="5" t="str">
        <f t="shared" si="13"/>
        <v>RB</v>
      </c>
      <c r="F144" s="21">
        <f t="shared" si="2"/>
        <v>4</v>
      </c>
      <c r="H144" s="43">
        <f t="shared" si="3"/>
        <v>0.25</v>
      </c>
    </row>
    <row r="145">
      <c r="A145" s="5" t="s">
        <v>249</v>
      </c>
      <c r="B145" s="5" t="s">
        <v>1057</v>
      </c>
      <c r="C145" s="5" t="s">
        <v>929</v>
      </c>
      <c r="D145" s="1" t="s">
        <v>248</v>
      </c>
      <c r="E145" s="5" t="str">
        <f t="shared" si="13"/>
        <v>RB</v>
      </c>
      <c r="F145" s="21">
        <f t="shared" si="2"/>
        <v>4</v>
      </c>
      <c r="H145" s="43">
        <f t="shared" si="3"/>
        <v>0.25</v>
      </c>
    </row>
    <row r="146">
      <c r="A146" s="5" t="s">
        <v>545</v>
      </c>
      <c r="B146" s="5" t="s">
        <v>1098</v>
      </c>
      <c r="C146" s="5" t="s">
        <v>965</v>
      </c>
      <c r="D146" s="1" t="s">
        <v>543</v>
      </c>
      <c r="E146" s="5" t="str">
        <f t="shared" si="13"/>
        <v>WR</v>
      </c>
      <c r="F146" s="21">
        <f t="shared" si="2"/>
        <v>3</v>
      </c>
      <c r="H146" s="43">
        <f t="shared" si="3"/>
        <v>0.1875</v>
      </c>
    </row>
    <row r="147">
      <c r="A147" s="5" t="s">
        <v>290</v>
      </c>
      <c r="B147" s="5" t="s">
        <v>964</v>
      </c>
      <c r="C147" s="5" t="s">
        <v>965</v>
      </c>
      <c r="D147" s="1" t="s">
        <v>289</v>
      </c>
      <c r="E147" s="5" t="str">
        <f t="shared" si="13"/>
        <v>QB</v>
      </c>
      <c r="F147" s="21">
        <f t="shared" si="2"/>
        <v>1</v>
      </c>
      <c r="H147" s="43">
        <f t="shared" si="3"/>
        <v>0.0625</v>
      </c>
    </row>
    <row r="148">
      <c r="A148" s="5" t="s">
        <v>520</v>
      </c>
      <c r="B148" s="5" t="s">
        <v>1110</v>
      </c>
      <c r="C148" s="5" t="s">
        <v>946</v>
      </c>
      <c r="D148" s="1" t="s">
        <v>518</v>
      </c>
      <c r="E148" s="2" t="s">
        <v>516</v>
      </c>
      <c r="F148" s="21">
        <f t="shared" si="2"/>
        <v>0</v>
      </c>
      <c r="H148" s="43">
        <f t="shared" si="3"/>
        <v>0</v>
      </c>
    </row>
    <row r="149">
      <c r="A149" s="5" t="s">
        <v>548</v>
      </c>
      <c r="B149" s="5" t="s">
        <v>1117</v>
      </c>
      <c r="C149" s="5" t="s">
        <v>954</v>
      </c>
      <c r="D149" s="1" t="s">
        <v>546</v>
      </c>
      <c r="E149" s="2" t="s">
        <v>516</v>
      </c>
      <c r="F149" s="21">
        <f t="shared" si="2"/>
        <v>0</v>
      </c>
      <c r="H149" s="43">
        <f t="shared" si="3"/>
        <v>0</v>
      </c>
    </row>
    <row r="150">
      <c r="A150" s="5" t="s">
        <v>260</v>
      </c>
      <c r="B150" s="5" t="s">
        <v>1059</v>
      </c>
      <c r="C150" s="5" t="s">
        <v>976</v>
      </c>
      <c r="D150" s="1" t="s">
        <v>259</v>
      </c>
      <c r="E150" s="5" t="str">
        <f t="shared" ref="E150:E161" si="14">left(B150,2)</f>
        <v>RB</v>
      </c>
      <c r="F150" s="21">
        <f t="shared" si="2"/>
        <v>4</v>
      </c>
      <c r="H150" s="43">
        <f t="shared" si="3"/>
        <v>0.25</v>
      </c>
    </row>
    <row r="151">
      <c r="A151" s="5" t="s">
        <v>403</v>
      </c>
      <c r="B151" s="5" t="s">
        <v>1060</v>
      </c>
      <c r="C151" s="5" t="s">
        <v>946</v>
      </c>
      <c r="D151" s="1" t="s">
        <v>402</v>
      </c>
      <c r="E151" s="5" t="str">
        <f t="shared" si="14"/>
        <v>WR</v>
      </c>
      <c r="F151" s="21">
        <f t="shared" si="2"/>
        <v>3</v>
      </c>
      <c r="H151" s="43">
        <f t="shared" si="3"/>
        <v>0.1875</v>
      </c>
    </row>
    <row r="152">
      <c r="A152" s="5" t="s">
        <v>680</v>
      </c>
      <c r="B152" s="5" t="s">
        <v>1222</v>
      </c>
      <c r="C152" s="5" t="s">
        <v>988</v>
      </c>
      <c r="D152" s="1" t="s">
        <v>678</v>
      </c>
      <c r="E152" s="5" t="str">
        <f t="shared" si="14"/>
        <v>WR</v>
      </c>
      <c r="F152" s="21">
        <f t="shared" si="2"/>
        <v>3</v>
      </c>
      <c r="H152" s="43">
        <f t="shared" si="3"/>
        <v>0.1875</v>
      </c>
    </row>
    <row r="153">
      <c r="A153" s="5" t="s">
        <v>202</v>
      </c>
      <c r="B153" s="5" t="s">
        <v>1000</v>
      </c>
      <c r="C153" s="5" t="s">
        <v>954</v>
      </c>
      <c r="D153" s="1" t="s">
        <v>200</v>
      </c>
      <c r="E153" s="5" t="str">
        <f t="shared" si="14"/>
        <v>WR</v>
      </c>
      <c r="F153" s="21">
        <f t="shared" si="2"/>
        <v>3</v>
      </c>
      <c r="H153" s="43">
        <f t="shared" si="3"/>
        <v>0.1875</v>
      </c>
    </row>
    <row r="154">
      <c r="A154" s="5" t="s">
        <v>422</v>
      </c>
      <c r="B154" s="5" t="s">
        <v>1112</v>
      </c>
      <c r="C154" s="5" t="s">
        <v>985</v>
      </c>
      <c r="D154" s="1" t="s">
        <v>421</v>
      </c>
      <c r="E154" s="5" t="str">
        <f t="shared" si="14"/>
        <v>RB</v>
      </c>
      <c r="F154" s="21">
        <f t="shared" si="2"/>
        <v>4</v>
      </c>
      <c r="H154" s="43">
        <f t="shared" si="3"/>
        <v>0.25</v>
      </c>
    </row>
    <row r="155">
      <c r="A155" s="5" t="s">
        <v>440</v>
      </c>
      <c r="B155" s="5" t="s">
        <v>1133</v>
      </c>
      <c r="C155" s="5" t="s">
        <v>954</v>
      </c>
      <c r="D155" s="1" t="s">
        <v>438</v>
      </c>
      <c r="E155" s="5" t="str">
        <f t="shared" si="14"/>
        <v>RB</v>
      </c>
      <c r="F155" s="21">
        <f t="shared" si="2"/>
        <v>4</v>
      </c>
      <c r="H155" s="43">
        <f t="shared" si="3"/>
        <v>0.25</v>
      </c>
    </row>
    <row r="156">
      <c r="A156" s="5" t="s">
        <v>426</v>
      </c>
      <c r="B156" s="5" t="s">
        <v>1122</v>
      </c>
      <c r="C156" s="5" t="s">
        <v>933</v>
      </c>
      <c r="D156" s="1" t="s">
        <v>424</v>
      </c>
      <c r="E156" s="5" t="str">
        <f t="shared" si="14"/>
        <v>RB</v>
      </c>
      <c r="F156" s="21">
        <f t="shared" si="2"/>
        <v>4</v>
      </c>
      <c r="H156" s="43">
        <f t="shared" si="3"/>
        <v>0.25</v>
      </c>
    </row>
    <row r="157">
      <c r="A157" s="5" t="s">
        <v>558</v>
      </c>
      <c r="B157" s="5" t="s">
        <v>1227</v>
      </c>
      <c r="C157" s="5" t="s">
        <v>944</v>
      </c>
      <c r="D157" s="1" t="s">
        <v>556</v>
      </c>
      <c r="E157" s="5" t="str">
        <f t="shared" si="14"/>
        <v>RB</v>
      </c>
      <c r="F157" s="21">
        <f t="shared" si="2"/>
        <v>4</v>
      </c>
      <c r="H157" s="43">
        <f t="shared" si="3"/>
        <v>0.25</v>
      </c>
    </row>
    <row r="158">
      <c r="A158" s="5" t="s">
        <v>246</v>
      </c>
      <c r="B158" s="5" t="s">
        <v>1034</v>
      </c>
      <c r="C158" s="5" t="s">
        <v>976</v>
      </c>
      <c r="D158" s="1" t="s">
        <v>245</v>
      </c>
      <c r="E158" s="5" t="str">
        <f t="shared" si="14"/>
        <v>WR</v>
      </c>
      <c r="F158" s="21">
        <f t="shared" si="2"/>
        <v>3</v>
      </c>
      <c r="H158" s="43">
        <f t="shared" si="3"/>
        <v>0.1875</v>
      </c>
    </row>
    <row r="159">
      <c r="A159" s="5" t="s">
        <v>194</v>
      </c>
      <c r="B159" s="5" t="s">
        <v>1002</v>
      </c>
      <c r="C159" s="5" t="s">
        <v>980</v>
      </c>
      <c r="D159" s="1" t="s">
        <v>193</v>
      </c>
      <c r="E159" s="5" t="str">
        <f t="shared" si="14"/>
        <v>QB</v>
      </c>
      <c r="F159" s="21">
        <f t="shared" si="2"/>
        <v>1</v>
      </c>
      <c r="H159" s="43">
        <f t="shared" si="3"/>
        <v>0.0625</v>
      </c>
    </row>
    <row r="160">
      <c r="A160" s="5" t="s">
        <v>207</v>
      </c>
      <c r="B160" s="5" t="s">
        <v>934</v>
      </c>
      <c r="C160" s="5" t="s">
        <v>935</v>
      </c>
      <c r="D160" s="1" t="s">
        <v>206</v>
      </c>
      <c r="E160" s="5" t="str">
        <f t="shared" si="14"/>
        <v>QB</v>
      </c>
      <c r="F160" s="21">
        <f t="shared" si="2"/>
        <v>1</v>
      </c>
      <c r="H160" s="43">
        <f t="shared" si="3"/>
        <v>0.0625</v>
      </c>
    </row>
    <row r="161">
      <c r="A161" s="5" t="s">
        <v>55</v>
      </c>
      <c r="B161" s="5" t="s">
        <v>1027</v>
      </c>
      <c r="C161" s="5" t="s">
        <v>935</v>
      </c>
      <c r="D161" s="1" t="s">
        <v>53</v>
      </c>
      <c r="E161" s="5" t="str">
        <f t="shared" si="14"/>
        <v>RB</v>
      </c>
      <c r="F161" s="21">
        <f t="shared" si="2"/>
        <v>4</v>
      </c>
      <c r="H161" s="43">
        <f t="shared" si="3"/>
        <v>0.25</v>
      </c>
    </row>
    <row r="162">
      <c r="A162" s="5" t="s">
        <v>665</v>
      </c>
      <c r="B162" s="5" t="s">
        <v>1167</v>
      </c>
      <c r="C162" s="5" t="s">
        <v>1016</v>
      </c>
      <c r="D162" s="1" t="s">
        <v>663</v>
      </c>
      <c r="E162" s="2" t="s">
        <v>516</v>
      </c>
      <c r="F162" s="21">
        <f t="shared" si="2"/>
        <v>0</v>
      </c>
      <c r="H162" s="43">
        <f t="shared" si="3"/>
        <v>0</v>
      </c>
    </row>
    <row r="163">
      <c r="A163" s="5" t="s">
        <v>708</v>
      </c>
      <c r="B163" s="5" t="s">
        <v>1215</v>
      </c>
      <c r="C163" s="5" t="s">
        <v>992</v>
      </c>
      <c r="D163" s="1" t="s">
        <v>707</v>
      </c>
      <c r="E163" s="5" t="str">
        <f t="shared" ref="E163:E175" si="15">left(B163,2)</f>
        <v>WR</v>
      </c>
      <c r="F163" s="21">
        <f t="shared" si="2"/>
        <v>3</v>
      </c>
      <c r="H163" s="43">
        <f t="shared" si="3"/>
        <v>0.1875</v>
      </c>
    </row>
    <row r="164">
      <c r="A164" s="5" t="s">
        <v>539</v>
      </c>
      <c r="B164" s="5" t="s">
        <v>1183</v>
      </c>
      <c r="C164" s="5" t="s">
        <v>996</v>
      </c>
      <c r="D164" s="1" t="s">
        <v>538</v>
      </c>
      <c r="E164" s="5" t="str">
        <f t="shared" si="15"/>
        <v>WR</v>
      </c>
      <c r="F164" s="21">
        <f t="shared" si="2"/>
        <v>3</v>
      </c>
      <c r="H164" s="43">
        <f t="shared" si="3"/>
        <v>0.1875</v>
      </c>
    </row>
    <row r="165">
      <c r="A165" s="5" t="s">
        <v>51</v>
      </c>
      <c r="B165" s="5" t="s">
        <v>1004</v>
      </c>
      <c r="C165" s="5" t="s">
        <v>961</v>
      </c>
      <c r="D165" s="1" t="s">
        <v>49</v>
      </c>
      <c r="E165" s="5" t="str">
        <f t="shared" si="15"/>
        <v>RB</v>
      </c>
      <c r="F165" s="21">
        <f t="shared" si="2"/>
        <v>4</v>
      </c>
      <c r="H165" s="43">
        <f t="shared" si="3"/>
        <v>0.25</v>
      </c>
    </row>
    <row r="166">
      <c r="A166" s="5" t="s">
        <v>317</v>
      </c>
      <c r="B166" s="5" t="s">
        <v>1043</v>
      </c>
      <c r="C166" s="5" t="s">
        <v>950</v>
      </c>
      <c r="D166" s="1" t="s">
        <v>315</v>
      </c>
      <c r="E166" s="5" t="str">
        <f t="shared" si="15"/>
        <v>WR</v>
      </c>
      <c r="F166" s="21">
        <f t="shared" si="2"/>
        <v>3</v>
      </c>
      <c r="H166" s="43">
        <f t="shared" si="3"/>
        <v>0.1875</v>
      </c>
    </row>
    <row r="167">
      <c r="A167" s="5" t="s">
        <v>344</v>
      </c>
      <c r="B167" s="5" t="s">
        <v>987</v>
      </c>
      <c r="C167" s="5" t="s">
        <v>988</v>
      </c>
      <c r="D167" s="1" t="s">
        <v>342</v>
      </c>
      <c r="E167" s="5" t="str">
        <f t="shared" si="15"/>
        <v>QB</v>
      </c>
      <c r="F167" s="21">
        <f t="shared" si="2"/>
        <v>1</v>
      </c>
      <c r="H167" s="43">
        <f t="shared" si="3"/>
        <v>0.0625</v>
      </c>
    </row>
    <row r="168">
      <c r="A168" s="5" t="s">
        <v>251</v>
      </c>
      <c r="B168" s="5" t="s">
        <v>928</v>
      </c>
      <c r="C168" s="5" t="s">
        <v>929</v>
      </c>
      <c r="D168" s="1" t="s">
        <v>250</v>
      </c>
      <c r="E168" s="5" t="str">
        <f t="shared" si="15"/>
        <v>QB</v>
      </c>
      <c r="F168" s="21">
        <f t="shared" si="2"/>
        <v>1</v>
      </c>
      <c r="H168" s="43">
        <f t="shared" si="3"/>
        <v>0.0625</v>
      </c>
    </row>
    <row r="169">
      <c r="A169" s="5" t="s">
        <v>43</v>
      </c>
      <c r="B169" s="5" t="s">
        <v>999</v>
      </c>
      <c r="C169" s="5" t="s">
        <v>980</v>
      </c>
      <c r="D169" s="1" t="s">
        <v>41</v>
      </c>
      <c r="E169" s="5" t="str">
        <f t="shared" si="15"/>
        <v>RB</v>
      </c>
      <c r="F169" s="21">
        <f t="shared" si="2"/>
        <v>4</v>
      </c>
      <c r="H169" s="43">
        <f t="shared" si="3"/>
        <v>0.25</v>
      </c>
    </row>
    <row r="170">
      <c r="A170" s="2" t="s">
        <v>817</v>
      </c>
      <c r="B170" s="5" t="s">
        <v>1231</v>
      </c>
      <c r="C170" s="5" t="s">
        <v>965</v>
      </c>
      <c r="D170" s="1" t="s">
        <v>816</v>
      </c>
      <c r="E170" s="5" t="str">
        <f t="shared" si="15"/>
        <v>WR</v>
      </c>
      <c r="F170" s="21">
        <f t="shared" si="2"/>
        <v>3</v>
      </c>
      <c r="H170" s="43">
        <f t="shared" si="3"/>
        <v>0.1875</v>
      </c>
    </row>
    <row r="171">
      <c r="A171" s="5" t="s">
        <v>846</v>
      </c>
      <c r="B171" s="5" t="s">
        <v>1237</v>
      </c>
      <c r="C171" s="5" t="s">
        <v>938</v>
      </c>
      <c r="D171" s="1" t="s">
        <v>845</v>
      </c>
      <c r="E171" s="5" t="str">
        <f t="shared" si="15"/>
        <v>WR</v>
      </c>
      <c r="F171" s="21">
        <f t="shared" si="2"/>
        <v>3</v>
      </c>
      <c r="H171" s="43">
        <f t="shared" si="3"/>
        <v>0.1875</v>
      </c>
    </row>
    <row r="172">
      <c r="A172" s="5" t="s">
        <v>358</v>
      </c>
      <c r="B172" s="5" t="s">
        <v>1072</v>
      </c>
      <c r="C172" s="5" t="s">
        <v>1009</v>
      </c>
      <c r="D172" s="1" t="s">
        <v>357</v>
      </c>
      <c r="E172" s="5" t="str">
        <f t="shared" si="15"/>
        <v>WR</v>
      </c>
      <c r="F172" s="21">
        <f t="shared" si="2"/>
        <v>3</v>
      </c>
      <c r="H172" s="43">
        <f t="shared" si="3"/>
        <v>0.1875</v>
      </c>
    </row>
    <row r="173">
      <c r="A173" s="2" t="s">
        <v>222</v>
      </c>
      <c r="B173" s="5" t="s">
        <v>939</v>
      </c>
      <c r="C173" s="5" t="s">
        <v>940</v>
      </c>
      <c r="D173" s="1" t="s">
        <v>220</v>
      </c>
      <c r="E173" s="5" t="str">
        <f t="shared" si="15"/>
        <v>QB</v>
      </c>
      <c r="F173" s="21">
        <f t="shared" si="2"/>
        <v>1</v>
      </c>
      <c r="H173" s="43">
        <f t="shared" si="3"/>
        <v>0.0625</v>
      </c>
    </row>
    <row r="174">
      <c r="A174" s="5" t="s">
        <v>219</v>
      </c>
      <c r="B174" s="5" t="s">
        <v>937</v>
      </c>
      <c r="C174" s="5" t="s">
        <v>938</v>
      </c>
      <c r="D174" s="1" t="s">
        <v>218</v>
      </c>
      <c r="E174" s="5" t="str">
        <f t="shared" si="15"/>
        <v>QB</v>
      </c>
      <c r="F174" s="21">
        <f t="shared" si="2"/>
        <v>1</v>
      </c>
      <c r="H174" s="43">
        <f t="shared" si="3"/>
        <v>0.0625</v>
      </c>
    </row>
    <row r="175">
      <c r="A175" s="5" t="s">
        <v>95</v>
      </c>
      <c r="B175" s="5" t="s">
        <v>949</v>
      </c>
      <c r="C175" s="5" t="s">
        <v>950</v>
      </c>
      <c r="D175" s="1" t="s">
        <v>94</v>
      </c>
      <c r="E175" s="5" t="str">
        <f t="shared" si="15"/>
        <v>WR</v>
      </c>
      <c r="F175" s="21">
        <f t="shared" si="2"/>
        <v>3</v>
      </c>
      <c r="H175" s="43">
        <f t="shared" si="3"/>
        <v>0.1875</v>
      </c>
    </row>
    <row r="176">
      <c r="A176" s="5" t="s">
        <v>517</v>
      </c>
      <c r="B176" s="5" t="s">
        <v>599</v>
      </c>
      <c r="C176" s="5" t="s">
        <v>1007</v>
      </c>
      <c r="D176" s="1" t="s">
        <v>514</v>
      </c>
      <c r="E176" s="2" t="s">
        <v>516</v>
      </c>
      <c r="F176" s="21">
        <f t="shared" si="2"/>
        <v>0</v>
      </c>
      <c r="H176" s="43">
        <f t="shared" si="3"/>
        <v>0</v>
      </c>
    </row>
    <row r="177">
      <c r="A177" s="5" t="s">
        <v>757</v>
      </c>
      <c r="B177" s="5" t="s">
        <v>1116</v>
      </c>
      <c r="C177" s="5" t="s">
        <v>983</v>
      </c>
      <c r="D177" s="1" t="s">
        <v>756</v>
      </c>
      <c r="E177" s="5" t="str">
        <f t="shared" ref="E177:E178" si="16">left(B177,2)</f>
        <v>TE</v>
      </c>
      <c r="F177" s="21">
        <f t="shared" si="2"/>
        <v>2</v>
      </c>
      <c r="H177" s="43">
        <f t="shared" si="3"/>
        <v>0.125</v>
      </c>
    </row>
    <row r="178">
      <c r="A178" s="5" t="s">
        <v>536</v>
      </c>
      <c r="B178" s="5" t="s">
        <v>1107</v>
      </c>
      <c r="C178" s="5" t="s">
        <v>950</v>
      </c>
      <c r="D178" s="1" t="s">
        <v>535</v>
      </c>
      <c r="E178" s="5" t="str">
        <f t="shared" si="16"/>
        <v>WR</v>
      </c>
      <c r="F178" s="21">
        <f t="shared" si="2"/>
        <v>3</v>
      </c>
      <c r="H178" s="43">
        <f t="shared" si="3"/>
        <v>0.1875</v>
      </c>
    </row>
    <row r="179">
      <c r="A179" s="5" t="s">
        <v>670</v>
      </c>
      <c r="B179" s="5" t="s">
        <v>1168</v>
      </c>
      <c r="C179" s="5" t="s">
        <v>992</v>
      </c>
      <c r="D179" s="1" t="s">
        <v>669</v>
      </c>
      <c r="E179" s="2" t="s">
        <v>516</v>
      </c>
      <c r="F179" s="21">
        <f t="shared" si="2"/>
        <v>0</v>
      </c>
      <c r="H179" s="43">
        <f t="shared" si="3"/>
        <v>0</v>
      </c>
    </row>
    <row r="180">
      <c r="A180" s="5" t="s">
        <v>386</v>
      </c>
      <c r="B180" s="5" t="s">
        <v>1064</v>
      </c>
      <c r="C180" s="5" t="s">
        <v>933</v>
      </c>
      <c r="D180" s="1" t="s">
        <v>384</v>
      </c>
      <c r="E180" s="5" t="str">
        <f t="shared" ref="E180:E208" si="17">left(B180,2)</f>
        <v>WR</v>
      </c>
      <c r="F180" s="21">
        <f t="shared" si="2"/>
        <v>3</v>
      </c>
      <c r="H180" s="43">
        <f t="shared" si="3"/>
        <v>0.1875</v>
      </c>
    </row>
    <row r="181">
      <c r="A181" s="2" t="s">
        <v>781</v>
      </c>
      <c r="B181" s="2" t="s">
        <v>1177</v>
      </c>
      <c r="C181" s="5" t="s">
        <v>933</v>
      </c>
      <c r="D181" s="1" t="s">
        <v>780</v>
      </c>
      <c r="E181" s="5" t="str">
        <f t="shared" si="17"/>
        <v>D/</v>
      </c>
      <c r="F181" s="21" t="str">
        <f t="shared" si="2"/>
        <v/>
      </c>
      <c r="H181" s="43">
        <f t="shared" si="3"/>
        <v>0</v>
      </c>
    </row>
    <row r="182">
      <c r="A182" s="5" t="s">
        <v>727</v>
      </c>
      <c r="B182" s="5" t="s">
        <v>1244</v>
      </c>
      <c r="C182" s="5" t="s">
        <v>1040</v>
      </c>
      <c r="D182" s="1" t="s">
        <v>726</v>
      </c>
      <c r="E182" s="5" t="str">
        <f t="shared" si="17"/>
        <v>RB</v>
      </c>
      <c r="F182" s="21">
        <f t="shared" si="2"/>
        <v>4</v>
      </c>
      <c r="H182" s="43">
        <f t="shared" si="3"/>
        <v>0.25</v>
      </c>
    </row>
    <row r="183">
      <c r="A183" s="5" t="s">
        <v>139</v>
      </c>
      <c r="B183" s="5" t="s">
        <v>1019</v>
      </c>
      <c r="C183" s="5" t="s">
        <v>938</v>
      </c>
      <c r="D183" s="1" t="s">
        <v>137</v>
      </c>
      <c r="E183" s="5" t="str">
        <f t="shared" si="17"/>
        <v>WR</v>
      </c>
      <c r="F183" s="21">
        <f t="shared" si="2"/>
        <v>3</v>
      </c>
      <c r="H183" s="43">
        <f t="shared" si="3"/>
        <v>0.1875</v>
      </c>
    </row>
    <row r="184">
      <c r="A184" s="5" t="s">
        <v>530</v>
      </c>
      <c r="B184" s="5" t="s">
        <v>1136</v>
      </c>
      <c r="C184" s="5" t="s">
        <v>983</v>
      </c>
      <c r="D184" s="1" t="s">
        <v>528</v>
      </c>
      <c r="E184" s="5" t="str">
        <f t="shared" si="17"/>
        <v>RB</v>
      </c>
      <c r="F184" s="21">
        <f t="shared" si="2"/>
        <v>4</v>
      </c>
      <c r="H184" s="43">
        <f t="shared" si="3"/>
        <v>0.25</v>
      </c>
    </row>
    <row r="185">
      <c r="A185" s="5" t="s">
        <v>810</v>
      </c>
      <c r="B185" s="5" t="s">
        <v>1230</v>
      </c>
      <c r="C185" s="5" t="s">
        <v>1009</v>
      </c>
      <c r="D185" s="1" t="s">
        <v>809</v>
      </c>
      <c r="E185" s="5" t="str">
        <f t="shared" si="17"/>
        <v>WR</v>
      </c>
      <c r="F185" s="21">
        <f t="shared" si="2"/>
        <v>3</v>
      </c>
      <c r="H185" s="43">
        <f t="shared" si="3"/>
        <v>0.1875</v>
      </c>
    </row>
    <row r="186">
      <c r="A186" s="5" t="s">
        <v>510</v>
      </c>
      <c r="B186" s="5" t="s">
        <v>1122</v>
      </c>
      <c r="C186" s="5" t="s">
        <v>931</v>
      </c>
      <c r="D186" s="1" t="s">
        <v>509</v>
      </c>
      <c r="E186" s="5" t="str">
        <f t="shared" si="17"/>
        <v>RB</v>
      </c>
      <c r="F186" s="21">
        <f t="shared" si="2"/>
        <v>4</v>
      </c>
      <c r="H186" s="43">
        <f t="shared" si="3"/>
        <v>0.25</v>
      </c>
    </row>
    <row r="187">
      <c r="A187" s="5" t="s">
        <v>128</v>
      </c>
      <c r="B187" s="5" t="s">
        <v>1022</v>
      </c>
      <c r="C187" s="5" t="s">
        <v>946</v>
      </c>
      <c r="D187" s="1" t="s">
        <v>126</v>
      </c>
      <c r="E187" s="5" t="str">
        <f t="shared" si="17"/>
        <v>RB</v>
      </c>
      <c r="F187" s="21">
        <f t="shared" si="2"/>
        <v>4</v>
      </c>
      <c r="H187" s="43">
        <f t="shared" si="3"/>
        <v>0.25</v>
      </c>
    </row>
    <row r="188">
      <c r="A188" s="5" t="s">
        <v>334</v>
      </c>
      <c r="B188" s="5" t="s">
        <v>984</v>
      </c>
      <c r="C188" s="5" t="s">
        <v>985</v>
      </c>
      <c r="D188" s="1" t="s">
        <v>332</v>
      </c>
      <c r="E188" s="5" t="str">
        <f t="shared" si="17"/>
        <v>QB</v>
      </c>
      <c r="F188" s="21">
        <f t="shared" si="2"/>
        <v>1</v>
      </c>
      <c r="H188" s="43">
        <f t="shared" si="3"/>
        <v>0.0625</v>
      </c>
    </row>
    <row r="189">
      <c r="A189" s="5" t="s">
        <v>225</v>
      </c>
      <c r="B189" s="5" t="s">
        <v>1061</v>
      </c>
      <c r="C189" s="5" t="s">
        <v>940</v>
      </c>
      <c r="D189" s="1" t="s">
        <v>224</v>
      </c>
      <c r="E189" s="5" t="str">
        <f t="shared" si="17"/>
        <v>RB</v>
      </c>
      <c r="F189" s="21">
        <f t="shared" si="2"/>
        <v>4</v>
      </c>
      <c r="H189" s="43">
        <f t="shared" si="3"/>
        <v>0.25</v>
      </c>
    </row>
    <row r="190">
      <c r="A190" s="5" t="s">
        <v>655</v>
      </c>
      <c r="B190" s="5" t="s">
        <v>1204</v>
      </c>
      <c r="C190" s="5" t="s">
        <v>929</v>
      </c>
      <c r="D190" s="1" t="s">
        <v>654</v>
      </c>
      <c r="E190" s="5" t="str">
        <f t="shared" si="17"/>
        <v>WR</v>
      </c>
      <c r="F190" s="21">
        <f t="shared" si="2"/>
        <v>3</v>
      </c>
      <c r="H190" s="43">
        <f t="shared" si="3"/>
        <v>0.1875</v>
      </c>
    </row>
    <row r="191">
      <c r="A191" s="5" t="s">
        <v>237</v>
      </c>
      <c r="B191" s="5" t="s">
        <v>959</v>
      </c>
      <c r="C191" s="5" t="s">
        <v>950</v>
      </c>
      <c r="D191" s="1" t="s">
        <v>236</v>
      </c>
      <c r="E191" s="5" t="str">
        <f t="shared" si="17"/>
        <v>QB</v>
      </c>
      <c r="F191" s="21">
        <f t="shared" si="2"/>
        <v>1</v>
      </c>
      <c r="H191" s="43">
        <f t="shared" si="3"/>
        <v>0.0625</v>
      </c>
    </row>
    <row r="192">
      <c r="A192" s="5" t="s">
        <v>433</v>
      </c>
      <c r="B192" s="5" t="s">
        <v>1056</v>
      </c>
      <c r="C192" s="5" t="s">
        <v>974</v>
      </c>
      <c r="D192" s="1" t="s">
        <v>432</v>
      </c>
      <c r="E192" s="5" t="str">
        <f t="shared" si="17"/>
        <v>TE</v>
      </c>
      <c r="F192" s="21">
        <f t="shared" si="2"/>
        <v>2</v>
      </c>
      <c r="H192" s="43">
        <f t="shared" si="3"/>
        <v>0.125</v>
      </c>
    </row>
    <row r="193">
      <c r="A193" s="5" t="s">
        <v>878</v>
      </c>
      <c r="B193" s="5" t="s">
        <v>1195</v>
      </c>
      <c r="C193" s="5" t="s">
        <v>1024</v>
      </c>
      <c r="D193" s="1" t="s">
        <v>877</v>
      </c>
      <c r="E193" s="5" t="str">
        <f t="shared" si="17"/>
        <v>QB</v>
      </c>
      <c r="F193" s="21">
        <f t="shared" si="2"/>
        <v>1</v>
      </c>
      <c r="H193" s="43">
        <f t="shared" si="3"/>
        <v>0.0625</v>
      </c>
    </row>
    <row r="194">
      <c r="A194" s="5" t="s">
        <v>352</v>
      </c>
      <c r="B194" s="5" t="s">
        <v>1046</v>
      </c>
      <c r="C194" s="5" t="s">
        <v>1040</v>
      </c>
      <c r="D194" s="1" t="s">
        <v>350</v>
      </c>
      <c r="E194" s="5" t="str">
        <f t="shared" si="17"/>
        <v>QB</v>
      </c>
      <c r="F194" s="21">
        <f t="shared" si="2"/>
        <v>1</v>
      </c>
      <c r="H194" s="43">
        <f t="shared" si="3"/>
        <v>0.0625</v>
      </c>
    </row>
    <row r="195">
      <c r="A195" s="5" t="s">
        <v>458</v>
      </c>
      <c r="B195" s="5" t="s">
        <v>1118</v>
      </c>
      <c r="C195" s="5" t="s">
        <v>958</v>
      </c>
      <c r="D195" s="1" t="s">
        <v>456</v>
      </c>
      <c r="E195" s="5" t="str">
        <f t="shared" si="17"/>
        <v>RB</v>
      </c>
      <c r="F195" s="21">
        <f t="shared" si="2"/>
        <v>4</v>
      </c>
      <c r="H195" s="43">
        <f t="shared" si="3"/>
        <v>0.25</v>
      </c>
    </row>
    <row r="196">
      <c r="A196" s="5" t="s">
        <v>211</v>
      </c>
      <c r="B196" s="5" t="s">
        <v>936</v>
      </c>
      <c r="C196" s="5" t="s">
        <v>1007</v>
      </c>
      <c r="D196" s="1" t="s">
        <v>210</v>
      </c>
      <c r="E196" s="5" t="str">
        <f t="shared" si="17"/>
        <v>QB</v>
      </c>
      <c r="F196" s="21">
        <f t="shared" si="2"/>
        <v>1</v>
      </c>
      <c r="H196" s="43">
        <f t="shared" si="3"/>
        <v>0.0625</v>
      </c>
    </row>
    <row r="197">
      <c r="A197" s="2" t="s">
        <v>918</v>
      </c>
      <c r="B197" s="2" t="s">
        <v>1213</v>
      </c>
      <c r="C197" s="5" t="s">
        <v>980</v>
      </c>
      <c r="D197" s="1" t="s">
        <v>917</v>
      </c>
      <c r="E197" s="5" t="str">
        <f t="shared" si="17"/>
        <v>D/</v>
      </c>
      <c r="F197" s="21" t="str">
        <f t="shared" si="2"/>
        <v/>
      </c>
      <c r="H197" s="43">
        <f t="shared" si="3"/>
        <v>0</v>
      </c>
    </row>
    <row r="198">
      <c r="A198" s="2" t="s">
        <v>865</v>
      </c>
      <c r="B198" s="2" t="s">
        <v>1186</v>
      </c>
      <c r="C198" s="5" t="s">
        <v>938</v>
      </c>
      <c r="D198" s="1" t="s">
        <v>863</v>
      </c>
      <c r="E198" s="5" t="str">
        <f t="shared" si="17"/>
        <v>D/</v>
      </c>
      <c r="F198" s="21" t="str">
        <f t="shared" si="2"/>
        <v/>
      </c>
      <c r="H198" s="43">
        <f t="shared" si="3"/>
        <v>0</v>
      </c>
    </row>
    <row r="199">
      <c r="A199" s="2" t="s">
        <v>912</v>
      </c>
      <c r="B199" s="2" t="s">
        <v>1201</v>
      </c>
      <c r="C199" s="5" t="s">
        <v>958</v>
      </c>
      <c r="D199" s="1" t="s">
        <v>911</v>
      </c>
      <c r="E199" s="5" t="str">
        <f t="shared" si="17"/>
        <v>D/</v>
      </c>
      <c r="F199" s="21" t="str">
        <f t="shared" si="2"/>
        <v/>
      </c>
      <c r="H199" s="43">
        <f t="shared" si="3"/>
        <v>0</v>
      </c>
    </row>
    <row r="200">
      <c r="A200" s="5" t="s">
        <v>903</v>
      </c>
      <c r="B200" s="5" t="s">
        <v>1224</v>
      </c>
      <c r="C200" s="5" t="s">
        <v>988</v>
      </c>
      <c r="D200" s="1" t="s">
        <v>902</v>
      </c>
      <c r="E200" s="5" t="str">
        <f t="shared" si="17"/>
        <v>TE</v>
      </c>
      <c r="F200" s="21">
        <f t="shared" si="2"/>
        <v>2</v>
      </c>
      <c r="H200" s="43">
        <f t="shared" si="3"/>
        <v>0.125</v>
      </c>
    </row>
    <row r="201">
      <c r="A201" s="5" t="s">
        <v>331</v>
      </c>
      <c r="B201" s="5" t="s">
        <v>1151</v>
      </c>
      <c r="C201" s="5" t="s">
        <v>1009</v>
      </c>
      <c r="D201" s="1" t="s">
        <v>330</v>
      </c>
      <c r="E201" s="5" t="str">
        <f t="shared" si="17"/>
        <v>QB</v>
      </c>
      <c r="F201" s="21">
        <f t="shared" si="2"/>
        <v>1</v>
      </c>
      <c r="H201" s="43">
        <f t="shared" si="3"/>
        <v>0.0625</v>
      </c>
    </row>
    <row r="202">
      <c r="A202" s="5" t="s">
        <v>832</v>
      </c>
      <c r="B202" s="5" t="s">
        <v>1235</v>
      </c>
      <c r="C202" s="5" t="s">
        <v>974</v>
      </c>
      <c r="D202" s="1" t="s">
        <v>830</v>
      </c>
      <c r="E202" s="5" t="str">
        <f t="shared" si="17"/>
        <v>WR</v>
      </c>
      <c r="F202" s="21">
        <f t="shared" si="2"/>
        <v>3</v>
      </c>
      <c r="H202" s="43">
        <f t="shared" si="3"/>
        <v>0.1875</v>
      </c>
    </row>
    <row r="203">
      <c r="A203" s="5" t="s">
        <v>277</v>
      </c>
      <c r="B203" s="5" t="s">
        <v>1006</v>
      </c>
      <c r="C203" s="5" t="s">
        <v>1007</v>
      </c>
      <c r="D203" s="1" t="s">
        <v>276</v>
      </c>
      <c r="E203" s="5" t="str">
        <f t="shared" si="17"/>
        <v>TE</v>
      </c>
      <c r="F203" s="21">
        <f t="shared" si="2"/>
        <v>2</v>
      </c>
      <c r="H203" s="43">
        <f t="shared" si="3"/>
        <v>0.125</v>
      </c>
    </row>
    <row r="204">
      <c r="A204" s="5" t="s">
        <v>718</v>
      </c>
      <c r="B204" s="5" t="s">
        <v>1137</v>
      </c>
      <c r="C204" s="5" t="s">
        <v>933</v>
      </c>
      <c r="D204" s="1" t="s">
        <v>716</v>
      </c>
      <c r="E204" s="5" t="str">
        <f t="shared" si="17"/>
        <v>WR</v>
      </c>
      <c r="F204" s="21">
        <f t="shared" si="2"/>
        <v>3</v>
      </c>
      <c r="H204" s="43">
        <f t="shared" si="3"/>
        <v>0.1875</v>
      </c>
    </row>
    <row r="205">
      <c r="A205" s="5" t="s">
        <v>214</v>
      </c>
      <c r="B205" s="5" t="s">
        <v>1039</v>
      </c>
      <c r="C205" s="5" t="s">
        <v>1040</v>
      </c>
      <c r="D205" s="1" t="s">
        <v>213</v>
      </c>
      <c r="E205" s="5" t="str">
        <f t="shared" si="17"/>
        <v>WR</v>
      </c>
      <c r="F205" s="21">
        <f t="shared" si="2"/>
        <v>3</v>
      </c>
      <c r="H205" s="43">
        <f t="shared" si="3"/>
        <v>0.1875</v>
      </c>
    </row>
    <row r="206">
      <c r="A206" s="5" t="s">
        <v>711</v>
      </c>
      <c r="B206" s="5" t="s">
        <v>1216</v>
      </c>
      <c r="C206" s="5" t="s">
        <v>965</v>
      </c>
      <c r="D206" s="1" t="s">
        <v>710</v>
      </c>
      <c r="E206" s="5" t="str">
        <f t="shared" si="17"/>
        <v>WR</v>
      </c>
      <c r="F206" s="21">
        <f t="shared" si="2"/>
        <v>3</v>
      </c>
      <c r="H206" s="43">
        <f t="shared" si="3"/>
        <v>0.1875</v>
      </c>
    </row>
    <row r="207">
      <c r="A207" s="5" t="s">
        <v>736</v>
      </c>
      <c r="B207" s="5" t="s">
        <v>1206</v>
      </c>
      <c r="C207" s="5" t="s">
        <v>976</v>
      </c>
      <c r="D207" s="1" t="s">
        <v>734</v>
      </c>
      <c r="E207" s="5" t="str">
        <f t="shared" si="17"/>
        <v>WR</v>
      </c>
      <c r="F207" s="21">
        <f t="shared" si="2"/>
        <v>3</v>
      </c>
      <c r="H207" s="43">
        <f t="shared" si="3"/>
        <v>0.1875</v>
      </c>
    </row>
    <row r="208">
      <c r="A208" s="5" t="s">
        <v>594</v>
      </c>
      <c r="B208" s="5" t="s">
        <v>1225</v>
      </c>
      <c r="C208" s="5" t="s">
        <v>948</v>
      </c>
      <c r="D208" s="1" t="s">
        <v>592</v>
      </c>
      <c r="E208" s="5" t="str">
        <f t="shared" si="17"/>
        <v>RB</v>
      </c>
      <c r="F208" s="21">
        <f t="shared" si="2"/>
        <v>4</v>
      </c>
      <c r="H208" s="43">
        <f t="shared" si="3"/>
        <v>0.25</v>
      </c>
    </row>
    <row r="209">
      <c r="A209" s="5" t="s">
        <v>690</v>
      </c>
      <c r="B209" s="5" t="s">
        <v>1142</v>
      </c>
      <c r="C209" s="5" t="s">
        <v>961</v>
      </c>
      <c r="D209" s="1" t="s">
        <v>689</v>
      </c>
      <c r="E209" s="2" t="s">
        <v>516</v>
      </c>
      <c r="F209" s="21">
        <f t="shared" si="2"/>
        <v>0</v>
      </c>
      <c r="H209" s="43">
        <f t="shared" si="3"/>
        <v>0</v>
      </c>
    </row>
    <row r="210">
      <c r="A210" s="5" t="s">
        <v>760</v>
      </c>
      <c r="B210" s="5" t="s">
        <v>1175</v>
      </c>
      <c r="C210" s="5" t="s">
        <v>1040</v>
      </c>
      <c r="D210" s="1" t="s">
        <v>758</v>
      </c>
      <c r="E210" s="2" t="s">
        <v>516</v>
      </c>
      <c r="F210" s="21">
        <f t="shared" si="2"/>
        <v>0</v>
      </c>
      <c r="H210" s="43">
        <f t="shared" si="3"/>
        <v>0</v>
      </c>
    </row>
    <row r="211">
      <c r="A211" s="5" t="s">
        <v>239</v>
      </c>
      <c r="B211" s="5" t="s">
        <v>998</v>
      </c>
      <c r="C211" s="5" t="s">
        <v>958</v>
      </c>
      <c r="D211" s="1" t="s">
        <v>238</v>
      </c>
      <c r="E211" s="5" t="str">
        <f t="shared" ref="E211:E229" si="18">left(B211,2)</f>
        <v>QB</v>
      </c>
      <c r="F211" s="21">
        <f t="shared" si="2"/>
        <v>1</v>
      </c>
      <c r="H211" s="43">
        <f t="shared" si="3"/>
        <v>0.0625</v>
      </c>
    </row>
    <row r="212">
      <c r="A212" s="5" t="s">
        <v>724</v>
      </c>
      <c r="B212" s="5" t="s">
        <v>1218</v>
      </c>
      <c r="C212" s="5" t="s">
        <v>967</v>
      </c>
      <c r="D212" s="1" t="s">
        <v>723</v>
      </c>
      <c r="E212" s="5" t="str">
        <f t="shared" si="18"/>
        <v>WR</v>
      </c>
      <c r="F212" s="21">
        <f t="shared" si="2"/>
        <v>3</v>
      </c>
      <c r="H212" s="43">
        <f t="shared" si="3"/>
        <v>0.1875</v>
      </c>
    </row>
    <row r="213">
      <c r="A213" s="2" t="s">
        <v>897</v>
      </c>
      <c r="B213" s="2" t="s">
        <v>1132</v>
      </c>
      <c r="C213" s="5" t="s">
        <v>954</v>
      </c>
      <c r="D213" s="1" t="s">
        <v>896</v>
      </c>
      <c r="E213" s="5" t="str">
        <f t="shared" si="18"/>
        <v>D/</v>
      </c>
      <c r="F213" s="21" t="str">
        <f t="shared" si="2"/>
        <v/>
      </c>
      <c r="H213" s="43">
        <f t="shared" si="3"/>
        <v>0</v>
      </c>
    </row>
    <row r="214">
      <c r="A214" s="5" t="s">
        <v>472</v>
      </c>
      <c r="B214" s="5" t="s">
        <v>1089</v>
      </c>
      <c r="C214" s="5" t="s">
        <v>952</v>
      </c>
      <c r="D214" s="1" t="s">
        <v>470</v>
      </c>
      <c r="E214" s="5" t="str">
        <f t="shared" si="18"/>
        <v>WR</v>
      </c>
      <c r="F214" s="21">
        <f t="shared" si="2"/>
        <v>3</v>
      </c>
      <c r="H214" s="43">
        <f t="shared" si="3"/>
        <v>0.1875</v>
      </c>
    </row>
    <row r="215">
      <c r="A215" s="5" t="s">
        <v>834</v>
      </c>
      <c r="B215" s="5" t="s">
        <v>1209</v>
      </c>
      <c r="C215" s="5" t="s">
        <v>980</v>
      </c>
      <c r="D215" s="1" t="s">
        <v>833</v>
      </c>
      <c r="E215" s="5" t="str">
        <f t="shared" si="18"/>
        <v>TE</v>
      </c>
      <c r="F215" s="21">
        <f t="shared" si="2"/>
        <v>2</v>
      </c>
      <c r="H215" s="43">
        <f t="shared" si="3"/>
        <v>0.125</v>
      </c>
    </row>
    <row r="216">
      <c r="A216" s="5" t="s">
        <v>285</v>
      </c>
      <c r="B216" s="5" t="s">
        <v>1029</v>
      </c>
      <c r="C216" s="5" t="s">
        <v>961</v>
      </c>
      <c r="D216" s="1" t="s">
        <v>284</v>
      </c>
      <c r="E216" s="5" t="str">
        <f t="shared" si="18"/>
        <v>WR</v>
      </c>
      <c r="F216" s="21">
        <f t="shared" si="2"/>
        <v>3</v>
      </c>
      <c r="H216" s="43">
        <f t="shared" si="3"/>
        <v>0.1875</v>
      </c>
    </row>
    <row r="217">
      <c r="A217" s="5" t="s">
        <v>372</v>
      </c>
      <c r="B217" s="5" t="s">
        <v>1074</v>
      </c>
      <c r="C217" s="5" t="s">
        <v>983</v>
      </c>
      <c r="D217" s="1" t="s">
        <v>370</v>
      </c>
      <c r="E217" s="5" t="str">
        <f t="shared" si="18"/>
        <v>WR</v>
      </c>
      <c r="F217" s="21">
        <f t="shared" si="2"/>
        <v>3</v>
      </c>
      <c r="H217" s="43">
        <f t="shared" si="3"/>
        <v>0.1875</v>
      </c>
    </row>
    <row r="218">
      <c r="A218" s="5" t="s">
        <v>871</v>
      </c>
      <c r="B218" s="5" t="s">
        <v>1232</v>
      </c>
      <c r="C218" s="5" t="s">
        <v>1040</v>
      </c>
      <c r="D218" s="1" t="s">
        <v>870</v>
      </c>
      <c r="E218" s="5" t="str">
        <f t="shared" si="18"/>
        <v>WR</v>
      </c>
      <c r="F218" s="21">
        <f t="shared" si="2"/>
        <v>3</v>
      </c>
      <c r="H218" s="43">
        <f t="shared" si="3"/>
        <v>0.1875</v>
      </c>
    </row>
    <row r="219">
      <c r="A219" s="5" t="s">
        <v>185</v>
      </c>
      <c r="B219" s="5" t="s">
        <v>1030</v>
      </c>
      <c r="C219" s="5" t="s">
        <v>1024</v>
      </c>
      <c r="D219" s="1" t="s">
        <v>184</v>
      </c>
      <c r="E219" s="5" t="str">
        <f t="shared" si="18"/>
        <v>WR</v>
      </c>
      <c r="F219" s="21">
        <f t="shared" si="2"/>
        <v>3</v>
      </c>
      <c r="H219" s="43">
        <f t="shared" si="3"/>
        <v>0.1875</v>
      </c>
    </row>
    <row r="220">
      <c r="A220" s="5" t="s">
        <v>899</v>
      </c>
      <c r="B220" s="5" t="s">
        <v>1140</v>
      </c>
      <c r="C220" s="5" t="s">
        <v>1009</v>
      </c>
      <c r="D220" s="1" t="s">
        <v>898</v>
      </c>
      <c r="E220" s="5" t="str">
        <f t="shared" si="18"/>
        <v>TE</v>
      </c>
      <c r="F220" s="21">
        <f t="shared" si="2"/>
        <v>2</v>
      </c>
      <c r="H220" s="43">
        <f t="shared" si="3"/>
        <v>0.125</v>
      </c>
    </row>
    <row r="221">
      <c r="A221" s="5" t="s">
        <v>155</v>
      </c>
      <c r="B221" s="5" t="s">
        <v>1021</v>
      </c>
      <c r="C221" s="5" t="s">
        <v>938</v>
      </c>
      <c r="D221" s="1" t="s">
        <v>154</v>
      </c>
      <c r="E221" s="5" t="str">
        <f t="shared" si="18"/>
        <v>WR</v>
      </c>
      <c r="F221" s="21">
        <f t="shared" si="2"/>
        <v>3</v>
      </c>
      <c r="H221" s="43">
        <f t="shared" si="3"/>
        <v>0.1875</v>
      </c>
    </row>
    <row r="222">
      <c r="A222" s="5" t="s">
        <v>83</v>
      </c>
      <c r="B222" s="5" t="s">
        <v>1042</v>
      </c>
      <c r="C222" s="5" t="s">
        <v>996</v>
      </c>
      <c r="D222" s="1" t="s">
        <v>81</v>
      </c>
      <c r="E222" s="5" t="str">
        <f t="shared" si="18"/>
        <v>RB</v>
      </c>
      <c r="F222" s="21">
        <f t="shared" si="2"/>
        <v>4</v>
      </c>
      <c r="H222" s="43">
        <f t="shared" si="3"/>
        <v>0.25</v>
      </c>
    </row>
    <row r="223">
      <c r="A223" s="2" t="s">
        <v>874</v>
      </c>
      <c r="B223" s="2" t="s">
        <v>1188</v>
      </c>
      <c r="C223" s="5" t="s">
        <v>950</v>
      </c>
      <c r="D223" s="1" t="s">
        <v>872</v>
      </c>
      <c r="E223" s="5" t="str">
        <f t="shared" si="18"/>
        <v>D/</v>
      </c>
      <c r="F223" s="21" t="str">
        <f t="shared" si="2"/>
        <v/>
      </c>
      <c r="H223" s="43">
        <f t="shared" si="3"/>
        <v>0</v>
      </c>
    </row>
    <row r="224">
      <c r="A224" s="5" t="s">
        <v>75</v>
      </c>
      <c r="B224" s="5" t="s">
        <v>1014</v>
      </c>
      <c r="C224" s="5" t="s">
        <v>985</v>
      </c>
      <c r="D224" s="1" t="s">
        <v>73</v>
      </c>
      <c r="E224" s="5" t="str">
        <f t="shared" si="18"/>
        <v>RB</v>
      </c>
      <c r="F224" s="21">
        <f t="shared" si="2"/>
        <v>4</v>
      </c>
      <c r="H224" s="43">
        <f t="shared" si="3"/>
        <v>0.25</v>
      </c>
    </row>
    <row r="225">
      <c r="A225" s="2" t="s">
        <v>714</v>
      </c>
      <c r="B225" s="2" t="s">
        <v>1172</v>
      </c>
      <c r="C225" s="5" t="s">
        <v>1009</v>
      </c>
      <c r="D225" s="1" t="s">
        <v>712</v>
      </c>
      <c r="E225" s="5" t="str">
        <f t="shared" si="18"/>
        <v>D/</v>
      </c>
      <c r="F225" s="21" t="str">
        <f t="shared" si="2"/>
        <v/>
      </c>
      <c r="H225" s="43">
        <f t="shared" si="3"/>
        <v>0</v>
      </c>
    </row>
    <row r="226">
      <c r="A226" s="2" t="s">
        <v>823</v>
      </c>
      <c r="B226" s="2" t="s">
        <v>1104</v>
      </c>
      <c r="C226" s="5" t="s">
        <v>983</v>
      </c>
      <c r="D226" s="1" t="s">
        <v>822</v>
      </c>
      <c r="E226" s="5" t="str">
        <f t="shared" si="18"/>
        <v>D/</v>
      </c>
      <c r="F226" s="21" t="str">
        <f t="shared" si="2"/>
        <v/>
      </c>
      <c r="H226" s="43">
        <f t="shared" si="3"/>
        <v>0</v>
      </c>
    </row>
    <row r="227">
      <c r="A227" s="2" t="s">
        <v>795</v>
      </c>
      <c r="B227" s="2" t="s">
        <v>1180</v>
      </c>
      <c r="C227" s="5" t="s">
        <v>948</v>
      </c>
      <c r="D227" s="1" t="s">
        <v>794</v>
      </c>
      <c r="E227" s="5" t="str">
        <f t="shared" si="18"/>
        <v>D/</v>
      </c>
      <c r="F227" s="21" t="str">
        <f t="shared" si="2"/>
        <v/>
      </c>
      <c r="H227" s="43">
        <f t="shared" si="3"/>
        <v>0</v>
      </c>
    </row>
    <row r="228">
      <c r="A228" s="2" t="s">
        <v>819</v>
      </c>
      <c r="B228" s="2" t="s">
        <v>1103</v>
      </c>
      <c r="C228" s="5" t="s">
        <v>967</v>
      </c>
      <c r="D228" s="1" t="s">
        <v>818</v>
      </c>
      <c r="E228" s="5" t="str">
        <f t="shared" si="18"/>
        <v>D/</v>
      </c>
      <c r="F228" s="21" t="str">
        <f t="shared" si="2"/>
        <v/>
      </c>
      <c r="H228" s="43">
        <f t="shared" si="3"/>
        <v>0</v>
      </c>
    </row>
    <row r="229">
      <c r="A229" s="5" t="s">
        <v>22</v>
      </c>
      <c r="B229" s="5" t="s">
        <v>981</v>
      </c>
      <c r="C229" s="5" t="s">
        <v>944</v>
      </c>
      <c r="D229" s="1" t="s">
        <v>20</v>
      </c>
      <c r="E229" s="5" t="str">
        <f t="shared" si="18"/>
        <v>RB</v>
      </c>
      <c r="F229" s="21">
        <f t="shared" si="2"/>
        <v>4</v>
      </c>
      <c r="H229" s="43">
        <f t="shared" si="3"/>
        <v>0.25</v>
      </c>
    </row>
    <row r="230">
      <c r="A230" s="5" t="s">
        <v>606</v>
      </c>
      <c r="B230" s="5" t="s">
        <v>1160</v>
      </c>
      <c r="C230" s="5" t="s">
        <v>1009</v>
      </c>
      <c r="D230" s="1" t="s">
        <v>604</v>
      </c>
      <c r="E230" s="2" t="s">
        <v>516</v>
      </c>
      <c r="F230" s="21">
        <f t="shared" si="2"/>
        <v>0</v>
      </c>
      <c r="H230" s="43">
        <f t="shared" si="3"/>
        <v>0</v>
      </c>
    </row>
    <row r="231">
      <c r="A231" s="5" t="s">
        <v>436</v>
      </c>
      <c r="B231" s="5" t="s">
        <v>1080</v>
      </c>
      <c r="C231" s="5" t="s">
        <v>992</v>
      </c>
      <c r="D231" s="1" t="s">
        <v>435</v>
      </c>
      <c r="E231" s="5" t="str">
        <f t="shared" ref="E231:E248" si="19">left(B231,2)</f>
        <v>WR</v>
      </c>
      <c r="F231" s="21">
        <f t="shared" si="2"/>
        <v>3</v>
      </c>
      <c r="H231" s="43">
        <f t="shared" si="3"/>
        <v>0.1875</v>
      </c>
    </row>
    <row r="232">
      <c r="A232" s="5" t="s">
        <v>885</v>
      </c>
      <c r="B232" s="5" t="s">
        <v>1135</v>
      </c>
      <c r="C232" s="5" t="s">
        <v>946</v>
      </c>
      <c r="D232" s="1" t="s">
        <v>884</v>
      </c>
      <c r="E232" s="5" t="str">
        <f t="shared" si="19"/>
        <v>TE</v>
      </c>
      <c r="F232" s="21">
        <f t="shared" si="2"/>
        <v>2</v>
      </c>
      <c r="H232" s="43">
        <f t="shared" si="3"/>
        <v>0.125</v>
      </c>
    </row>
    <row r="233">
      <c r="A233" s="5" t="s">
        <v>430</v>
      </c>
      <c r="B233" s="5" t="s">
        <v>1093</v>
      </c>
      <c r="C233" s="5" t="s">
        <v>1007</v>
      </c>
      <c r="D233" s="1" t="s">
        <v>428</v>
      </c>
      <c r="E233" s="5" t="str">
        <f t="shared" si="19"/>
        <v>WR</v>
      </c>
      <c r="F233" s="21">
        <f t="shared" si="2"/>
        <v>3</v>
      </c>
      <c r="H233" s="43">
        <f t="shared" si="3"/>
        <v>0.1875</v>
      </c>
    </row>
    <row r="234">
      <c r="A234" s="5" t="s">
        <v>643</v>
      </c>
      <c r="B234" s="5" t="s">
        <v>1214</v>
      </c>
      <c r="C234" s="5" t="s">
        <v>948</v>
      </c>
      <c r="D234" s="1" t="s">
        <v>642</v>
      </c>
      <c r="E234" s="5" t="str">
        <f t="shared" si="19"/>
        <v>WR</v>
      </c>
      <c r="F234" s="21">
        <f t="shared" si="2"/>
        <v>3</v>
      </c>
      <c r="H234" s="43">
        <f t="shared" si="3"/>
        <v>0.1875</v>
      </c>
    </row>
    <row r="235">
      <c r="A235" s="5" t="s">
        <v>475</v>
      </c>
      <c r="B235" s="5" t="s">
        <v>1065</v>
      </c>
      <c r="C235" s="5" t="s">
        <v>985</v>
      </c>
      <c r="D235" s="1" t="s">
        <v>474</v>
      </c>
      <c r="E235" s="5" t="str">
        <f t="shared" si="19"/>
        <v>TE</v>
      </c>
      <c r="F235" s="21">
        <f t="shared" si="2"/>
        <v>2</v>
      </c>
      <c r="H235" s="43">
        <f t="shared" si="3"/>
        <v>0.125</v>
      </c>
    </row>
    <row r="236">
      <c r="A236" s="5" t="s">
        <v>267</v>
      </c>
      <c r="B236" s="5" t="s">
        <v>932</v>
      </c>
      <c r="C236" s="5" t="s">
        <v>933</v>
      </c>
      <c r="D236" s="1" t="s">
        <v>265</v>
      </c>
      <c r="E236" s="5" t="str">
        <f t="shared" si="19"/>
        <v>QB</v>
      </c>
      <c r="F236" s="21">
        <f t="shared" si="2"/>
        <v>1</v>
      </c>
      <c r="H236" s="43">
        <f t="shared" si="3"/>
        <v>0.0625</v>
      </c>
    </row>
    <row r="237">
      <c r="A237" s="2" t="s">
        <v>662</v>
      </c>
      <c r="B237" s="2" t="s">
        <v>1079</v>
      </c>
      <c r="C237" s="5" t="s">
        <v>931</v>
      </c>
      <c r="D237" s="1" t="s">
        <v>661</v>
      </c>
      <c r="E237" s="5" t="str">
        <f t="shared" si="19"/>
        <v>D/</v>
      </c>
      <c r="F237" s="21" t="str">
        <f t="shared" si="2"/>
        <v/>
      </c>
      <c r="H237" s="43">
        <f t="shared" si="3"/>
        <v>0</v>
      </c>
    </row>
    <row r="238">
      <c r="A238" s="2" t="s">
        <v>825</v>
      </c>
      <c r="B238" s="2" t="s">
        <v>1181</v>
      </c>
      <c r="C238" s="5" t="s">
        <v>985</v>
      </c>
      <c r="D238" s="1" t="s">
        <v>824</v>
      </c>
      <c r="E238" s="5" t="str">
        <f t="shared" si="19"/>
        <v>D/</v>
      </c>
      <c r="F238" s="21" t="str">
        <f t="shared" si="2"/>
        <v/>
      </c>
      <c r="H238" s="43">
        <f t="shared" si="3"/>
        <v>0</v>
      </c>
    </row>
    <row r="239">
      <c r="A239" s="5" t="s">
        <v>751</v>
      </c>
      <c r="B239" s="5" t="s">
        <v>1221</v>
      </c>
      <c r="C239" s="5" t="s">
        <v>958</v>
      </c>
      <c r="D239" s="1" t="s">
        <v>750</v>
      </c>
      <c r="E239" s="5" t="str">
        <f t="shared" si="19"/>
        <v>WR</v>
      </c>
      <c r="F239" s="21">
        <f t="shared" si="2"/>
        <v>3</v>
      </c>
      <c r="H239" s="43">
        <f t="shared" si="3"/>
        <v>0.1875</v>
      </c>
    </row>
    <row r="240">
      <c r="A240" s="5" t="s">
        <v>380</v>
      </c>
      <c r="B240" s="5" t="s">
        <v>1054</v>
      </c>
      <c r="C240" s="5" t="s">
        <v>938</v>
      </c>
      <c r="D240" s="1" t="s">
        <v>378</v>
      </c>
      <c r="E240" s="5" t="str">
        <f t="shared" si="19"/>
        <v>WR</v>
      </c>
      <c r="F240" s="21">
        <f t="shared" si="2"/>
        <v>3</v>
      </c>
      <c r="H240" s="43">
        <f t="shared" si="3"/>
        <v>0.1875</v>
      </c>
    </row>
    <row r="241">
      <c r="A241" s="5" t="s">
        <v>254</v>
      </c>
      <c r="B241" s="5" t="s">
        <v>1068</v>
      </c>
      <c r="C241" s="5" t="s">
        <v>1024</v>
      </c>
      <c r="D241" s="1" t="s">
        <v>253</v>
      </c>
      <c r="E241" s="5" t="str">
        <f t="shared" si="19"/>
        <v>RB</v>
      </c>
      <c r="F241" s="21">
        <f t="shared" si="2"/>
        <v>4</v>
      </c>
      <c r="H241" s="43">
        <f t="shared" si="3"/>
        <v>0.25</v>
      </c>
    </row>
    <row r="242">
      <c r="A242" s="5" t="s">
        <v>393</v>
      </c>
      <c r="B242" s="5" t="s">
        <v>1127</v>
      </c>
      <c r="C242" s="5" t="s">
        <v>954</v>
      </c>
      <c r="D242" s="1" t="s">
        <v>391</v>
      </c>
      <c r="E242" s="5" t="str">
        <f t="shared" si="19"/>
        <v>RB</v>
      </c>
      <c r="F242" s="21">
        <f t="shared" si="2"/>
        <v>4</v>
      </c>
      <c r="H242" s="43">
        <f t="shared" si="3"/>
        <v>0.25</v>
      </c>
    </row>
    <row r="243">
      <c r="A243" s="5" t="s">
        <v>400</v>
      </c>
      <c r="B243" s="5" t="s">
        <v>1123</v>
      </c>
      <c r="C243" s="5" t="s">
        <v>931</v>
      </c>
      <c r="D243" s="1" t="s">
        <v>398</v>
      </c>
      <c r="E243" s="5" t="str">
        <f t="shared" si="19"/>
        <v>RB</v>
      </c>
      <c r="F243" s="21">
        <f t="shared" si="2"/>
        <v>4</v>
      </c>
      <c r="H243" s="43">
        <f t="shared" si="3"/>
        <v>0.25</v>
      </c>
    </row>
    <row r="244">
      <c r="A244" s="5" t="s">
        <v>660</v>
      </c>
      <c r="B244" s="5" t="s">
        <v>1197</v>
      </c>
      <c r="C244" s="5" t="s">
        <v>933</v>
      </c>
      <c r="D244" s="1" t="s">
        <v>659</v>
      </c>
      <c r="E244" s="5" t="str">
        <f t="shared" si="19"/>
        <v>WR</v>
      </c>
      <c r="F244" s="21">
        <f t="shared" si="2"/>
        <v>3</v>
      </c>
      <c r="H244" s="43">
        <f t="shared" si="3"/>
        <v>0.1875</v>
      </c>
    </row>
    <row r="245">
      <c r="A245" s="5" t="s">
        <v>652</v>
      </c>
      <c r="B245" s="5" t="s">
        <v>1196</v>
      </c>
      <c r="C245" s="5" t="s">
        <v>983</v>
      </c>
      <c r="D245" s="1" t="s">
        <v>651</v>
      </c>
      <c r="E245" s="5" t="str">
        <f t="shared" si="19"/>
        <v>WR</v>
      </c>
      <c r="F245" s="21">
        <f t="shared" si="2"/>
        <v>3</v>
      </c>
      <c r="H245" s="43">
        <f t="shared" si="3"/>
        <v>0.1875</v>
      </c>
    </row>
    <row r="246">
      <c r="A246" s="5" t="s">
        <v>419</v>
      </c>
      <c r="B246" s="5" t="s">
        <v>1066</v>
      </c>
      <c r="C246" s="5" t="s">
        <v>1007</v>
      </c>
      <c r="D246" s="1" t="s">
        <v>417</v>
      </c>
      <c r="E246" s="5" t="str">
        <f t="shared" si="19"/>
        <v>WR</v>
      </c>
      <c r="F246" s="21">
        <f t="shared" si="2"/>
        <v>3</v>
      </c>
      <c r="H246" s="43">
        <f t="shared" si="3"/>
        <v>0.1875</v>
      </c>
    </row>
    <row r="247">
      <c r="A247" s="5" t="s">
        <v>63</v>
      </c>
      <c r="B247" s="5" t="s">
        <v>1008</v>
      </c>
      <c r="C247" s="5" t="s">
        <v>1009</v>
      </c>
      <c r="D247" s="1" t="s">
        <v>61</v>
      </c>
      <c r="E247" s="5" t="str">
        <f t="shared" si="19"/>
        <v>RB</v>
      </c>
      <c r="F247" s="21">
        <f t="shared" si="2"/>
        <v>4</v>
      </c>
      <c r="H247" s="43">
        <f t="shared" si="3"/>
        <v>0.25</v>
      </c>
    </row>
    <row r="248">
      <c r="A248" s="5" t="s">
        <v>775</v>
      </c>
      <c r="B248" s="5" t="s">
        <v>1249</v>
      </c>
      <c r="C248" s="5" t="s">
        <v>952</v>
      </c>
      <c r="D248" s="1" t="s">
        <v>773</v>
      </c>
      <c r="E248" s="5" t="str">
        <f t="shared" si="19"/>
        <v>RB</v>
      </c>
      <c r="F248" s="21">
        <f t="shared" si="2"/>
        <v>4</v>
      </c>
      <c r="H248" s="43">
        <f t="shared" si="3"/>
        <v>0.25</v>
      </c>
    </row>
    <row r="249">
      <c r="A249" s="5" t="s">
        <v>582</v>
      </c>
      <c r="B249" s="5" t="s">
        <v>1157</v>
      </c>
      <c r="C249" s="5" t="s">
        <v>965</v>
      </c>
      <c r="D249" s="1" t="s">
        <v>581</v>
      </c>
      <c r="E249" s="2" t="s">
        <v>516</v>
      </c>
      <c r="F249" s="21">
        <f t="shared" si="2"/>
        <v>0</v>
      </c>
      <c r="H249" s="43">
        <f t="shared" si="3"/>
        <v>0</v>
      </c>
    </row>
    <row r="250">
      <c r="A250" s="2" t="s">
        <v>627</v>
      </c>
      <c r="B250" s="5" t="s">
        <v>1134</v>
      </c>
      <c r="C250" s="5" t="s">
        <v>992</v>
      </c>
      <c r="D250" s="1" t="s">
        <v>625</v>
      </c>
      <c r="E250" s="5" t="str">
        <f t="shared" ref="E250:E268" si="20">left(B250,2)</f>
        <v>WR</v>
      </c>
      <c r="F250" s="21">
        <f t="shared" si="2"/>
        <v>3</v>
      </c>
      <c r="H250" s="43">
        <f t="shared" si="3"/>
        <v>0.1875</v>
      </c>
    </row>
    <row r="251">
      <c r="A251" s="5" t="s">
        <v>497</v>
      </c>
      <c r="B251" s="5" t="s">
        <v>1179</v>
      </c>
      <c r="C251" s="5" t="s">
        <v>988</v>
      </c>
      <c r="D251" s="1" t="s">
        <v>496</v>
      </c>
      <c r="E251" s="5" t="str">
        <f t="shared" si="20"/>
        <v>WR</v>
      </c>
      <c r="F251" s="21">
        <f t="shared" si="2"/>
        <v>3</v>
      </c>
      <c r="H251" s="43">
        <f t="shared" si="3"/>
        <v>0.1875</v>
      </c>
    </row>
    <row r="252">
      <c r="A252" s="5" t="s">
        <v>551</v>
      </c>
      <c r="B252" s="5" t="s">
        <v>1108</v>
      </c>
      <c r="C252" s="5" t="s">
        <v>1040</v>
      </c>
      <c r="D252" s="1" t="s">
        <v>550</v>
      </c>
      <c r="E252" s="5" t="str">
        <f t="shared" si="20"/>
        <v>WR</v>
      </c>
      <c r="F252" s="21">
        <f t="shared" si="2"/>
        <v>3</v>
      </c>
      <c r="H252" s="43">
        <f t="shared" si="3"/>
        <v>0.1875</v>
      </c>
    </row>
    <row r="253">
      <c r="A253" s="5" t="s">
        <v>447</v>
      </c>
      <c r="B253" s="5" t="s">
        <v>1190</v>
      </c>
      <c r="C253" s="5" t="s">
        <v>940</v>
      </c>
      <c r="D253" s="1" t="s">
        <v>445</v>
      </c>
      <c r="E253" s="5" t="str">
        <f t="shared" si="20"/>
        <v>RB</v>
      </c>
      <c r="F253" s="21">
        <f t="shared" si="2"/>
        <v>4</v>
      </c>
      <c r="H253" s="43">
        <f t="shared" si="3"/>
        <v>0.25</v>
      </c>
    </row>
    <row r="254">
      <c r="A254" s="5" t="s">
        <v>199</v>
      </c>
      <c r="B254" s="5" t="s">
        <v>975</v>
      </c>
      <c r="C254" s="5" t="s">
        <v>976</v>
      </c>
      <c r="D254" s="1" t="s">
        <v>197</v>
      </c>
      <c r="E254" s="5" t="str">
        <f t="shared" si="20"/>
        <v>QB</v>
      </c>
      <c r="F254" s="21">
        <f t="shared" si="2"/>
        <v>1</v>
      </c>
      <c r="H254" s="43">
        <f t="shared" si="3"/>
        <v>0.0625</v>
      </c>
    </row>
    <row r="255">
      <c r="A255" s="5" t="s">
        <v>319</v>
      </c>
      <c r="B255" s="5" t="s">
        <v>1153</v>
      </c>
      <c r="C255" s="5" t="s">
        <v>990</v>
      </c>
      <c r="D255" s="1" t="s">
        <v>318</v>
      </c>
      <c r="E255" s="5" t="str">
        <f t="shared" si="20"/>
        <v>QB</v>
      </c>
      <c r="F255" s="21">
        <f t="shared" si="2"/>
        <v>1</v>
      </c>
      <c r="H255" s="43">
        <f t="shared" si="3"/>
        <v>0.0625</v>
      </c>
    </row>
    <row r="256">
      <c r="A256" s="5" t="s">
        <v>322</v>
      </c>
      <c r="B256" s="5" t="s">
        <v>1150</v>
      </c>
      <c r="C256" s="5" t="s">
        <v>1016</v>
      </c>
      <c r="D256" s="1" t="s">
        <v>320</v>
      </c>
      <c r="E256" s="5" t="str">
        <f t="shared" si="20"/>
        <v>QB</v>
      </c>
      <c r="F256" s="21">
        <f t="shared" si="2"/>
        <v>1</v>
      </c>
      <c r="H256" s="43">
        <f t="shared" si="3"/>
        <v>0.0625</v>
      </c>
    </row>
    <row r="257">
      <c r="A257" s="5" t="s">
        <v>732</v>
      </c>
      <c r="B257" s="5" t="s">
        <v>1105</v>
      </c>
      <c r="C257" s="5" t="s">
        <v>965</v>
      </c>
      <c r="D257" s="1" t="s">
        <v>731</v>
      </c>
      <c r="E257" s="5" t="str">
        <f t="shared" si="20"/>
        <v>TE</v>
      </c>
      <c r="F257" s="21">
        <f t="shared" si="2"/>
        <v>2</v>
      </c>
      <c r="H257" s="43">
        <f t="shared" si="3"/>
        <v>0.125</v>
      </c>
    </row>
    <row r="258">
      <c r="A258" s="5" t="s">
        <v>341</v>
      </c>
      <c r="B258" s="5" t="s">
        <v>1088</v>
      </c>
      <c r="C258" s="5" t="s">
        <v>976</v>
      </c>
      <c r="D258" s="1" t="s">
        <v>339</v>
      </c>
      <c r="E258" s="5" t="str">
        <f t="shared" si="20"/>
        <v>RB</v>
      </c>
      <c r="F258" s="21">
        <f t="shared" si="2"/>
        <v>4</v>
      </c>
      <c r="H258" s="43">
        <f t="shared" si="3"/>
        <v>0.25</v>
      </c>
    </row>
    <row r="259">
      <c r="A259" s="2" t="s">
        <v>640</v>
      </c>
      <c r="B259" s="2" t="s">
        <v>1078</v>
      </c>
      <c r="C259" s="5" t="s">
        <v>963</v>
      </c>
      <c r="D259" s="1" t="s">
        <v>638</v>
      </c>
      <c r="E259" s="5" t="str">
        <f t="shared" si="20"/>
        <v>D/</v>
      </c>
      <c r="F259" s="21" t="str">
        <f t="shared" si="2"/>
        <v/>
      </c>
      <c r="H259" s="43">
        <f t="shared" si="3"/>
        <v>0</v>
      </c>
    </row>
    <row r="260">
      <c r="A260" s="5" t="s">
        <v>26</v>
      </c>
      <c r="B260" s="5" t="s">
        <v>993</v>
      </c>
      <c r="C260" s="5" t="s">
        <v>948</v>
      </c>
      <c r="D260" s="1" t="s">
        <v>24</v>
      </c>
      <c r="E260" s="5" t="str">
        <f t="shared" si="20"/>
        <v>RB</v>
      </c>
      <c r="F260" s="21">
        <f t="shared" si="2"/>
        <v>4</v>
      </c>
      <c r="H260" s="43">
        <f t="shared" si="3"/>
        <v>0.25</v>
      </c>
    </row>
    <row r="261">
      <c r="A261" s="5" t="s">
        <v>631</v>
      </c>
      <c r="B261" s="5" t="s">
        <v>1144</v>
      </c>
      <c r="C261" s="5" t="s">
        <v>1024</v>
      </c>
      <c r="D261" s="1" t="s">
        <v>629</v>
      </c>
      <c r="E261" s="5" t="str">
        <f t="shared" si="20"/>
        <v>RB</v>
      </c>
      <c r="F261" s="21">
        <f t="shared" si="2"/>
        <v>4</v>
      </c>
      <c r="H261" s="43">
        <f t="shared" si="3"/>
        <v>0.25</v>
      </c>
    </row>
    <row r="262">
      <c r="A262" s="2" t="s">
        <v>849</v>
      </c>
      <c r="B262" s="2" t="s">
        <v>1182</v>
      </c>
      <c r="C262" s="5" t="s">
        <v>946</v>
      </c>
      <c r="D262" s="1" t="s">
        <v>847</v>
      </c>
      <c r="E262" s="5" t="str">
        <f t="shared" si="20"/>
        <v>D/</v>
      </c>
      <c r="F262" s="21" t="str">
        <f t="shared" si="2"/>
        <v/>
      </c>
      <c r="H262" s="43">
        <f t="shared" si="3"/>
        <v>0</v>
      </c>
    </row>
    <row r="263">
      <c r="A263" s="5" t="s">
        <v>443</v>
      </c>
      <c r="B263" s="5" t="s">
        <v>1082</v>
      </c>
      <c r="C263" s="5" t="s">
        <v>933</v>
      </c>
      <c r="D263" s="1" t="s">
        <v>442</v>
      </c>
      <c r="E263" s="5" t="str">
        <f t="shared" si="20"/>
        <v>WR</v>
      </c>
      <c r="F263" s="21">
        <f t="shared" si="2"/>
        <v>3</v>
      </c>
      <c r="H263" s="43">
        <f t="shared" si="3"/>
        <v>0.1875</v>
      </c>
    </row>
    <row r="264">
      <c r="A264" s="5" t="s">
        <v>89</v>
      </c>
      <c r="B264" s="5" t="s">
        <v>969</v>
      </c>
      <c r="C264" s="5" t="s">
        <v>929</v>
      </c>
      <c r="D264" s="1" t="s">
        <v>88</v>
      </c>
      <c r="E264" s="5" t="str">
        <f t="shared" si="20"/>
        <v>WR</v>
      </c>
      <c r="F264" s="21">
        <f t="shared" si="2"/>
        <v>3</v>
      </c>
      <c r="H264" s="43">
        <f t="shared" si="3"/>
        <v>0.1875</v>
      </c>
    </row>
    <row r="265">
      <c r="A265" s="5" t="s">
        <v>349</v>
      </c>
      <c r="B265" s="5" t="s">
        <v>1041</v>
      </c>
      <c r="C265" s="5" t="s">
        <v>950</v>
      </c>
      <c r="D265" s="1" t="s">
        <v>347</v>
      </c>
      <c r="E265" s="5" t="str">
        <f t="shared" si="20"/>
        <v>TE</v>
      </c>
      <c r="F265" s="21">
        <f t="shared" si="2"/>
        <v>2</v>
      </c>
      <c r="H265" s="43">
        <f t="shared" si="3"/>
        <v>0.125</v>
      </c>
    </row>
    <row r="266">
      <c r="A266" s="2" t="s">
        <v>867</v>
      </c>
      <c r="B266" s="2" t="s">
        <v>1187</v>
      </c>
      <c r="C266" s="5" t="s">
        <v>1024</v>
      </c>
      <c r="D266" s="1" t="s">
        <v>866</v>
      </c>
      <c r="E266" s="5" t="str">
        <f t="shared" si="20"/>
        <v>D/</v>
      </c>
      <c r="F266" s="21" t="str">
        <f t="shared" si="2"/>
        <v/>
      </c>
      <c r="H266" s="43">
        <f t="shared" si="3"/>
        <v>0</v>
      </c>
    </row>
    <row r="267">
      <c r="A267" s="5" t="s">
        <v>451</v>
      </c>
      <c r="B267" s="5" t="s">
        <v>1097</v>
      </c>
      <c r="C267" s="5" t="s">
        <v>942</v>
      </c>
      <c r="D267" s="1" t="s">
        <v>449</v>
      </c>
      <c r="E267" s="5" t="str">
        <f t="shared" si="20"/>
        <v>RB</v>
      </c>
      <c r="F267" s="21">
        <f t="shared" si="2"/>
        <v>4</v>
      </c>
      <c r="H267" s="43">
        <f t="shared" si="3"/>
        <v>0.25</v>
      </c>
    </row>
    <row r="268">
      <c r="A268" s="5" t="s">
        <v>730</v>
      </c>
      <c r="B268" s="5" t="s">
        <v>1220</v>
      </c>
      <c r="C268" s="5" t="s">
        <v>992</v>
      </c>
      <c r="D268" s="1" t="s">
        <v>729</v>
      </c>
      <c r="E268" s="5" t="str">
        <f t="shared" si="20"/>
        <v>WR</v>
      </c>
      <c r="F268" s="21">
        <f t="shared" si="2"/>
        <v>3</v>
      </c>
      <c r="H268" s="43">
        <f t="shared" si="3"/>
        <v>0.1875</v>
      </c>
    </row>
    <row r="269">
      <c r="A269" s="5" t="s">
        <v>637</v>
      </c>
      <c r="B269" s="5" t="s">
        <v>1165</v>
      </c>
      <c r="C269" s="5" t="s">
        <v>958</v>
      </c>
      <c r="D269" s="1" t="s">
        <v>636</v>
      </c>
      <c r="E269" s="2" t="s">
        <v>516</v>
      </c>
      <c r="F269" s="21">
        <f t="shared" si="2"/>
        <v>0</v>
      </c>
      <c r="H269" s="43">
        <f t="shared" si="3"/>
        <v>0</v>
      </c>
    </row>
    <row r="270">
      <c r="A270" s="5" t="s">
        <v>742</v>
      </c>
      <c r="B270" s="5" t="s">
        <v>1234</v>
      </c>
      <c r="C270" s="5" t="s">
        <v>983</v>
      </c>
      <c r="D270" s="1" t="s">
        <v>741</v>
      </c>
      <c r="E270" s="5" t="str">
        <f t="shared" ref="E270:E285" si="21">left(B270,2)</f>
        <v>TE</v>
      </c>
      <c r="F270" s="21">
        <f t="shared" si="2"/>
        <v>2</v>
      </c>
      <c r="H270" s="43">
        <f t="shared" si="3"/>
        <v>0.125</v>
      </c>
    </row>
    <row r="271">
      <c r="A271" s="5" t="s">
        <v>131</v>
      </c>
      <c r="B271" s="5" t="s">
        <v>997</v>
      </c>
      <c r="C271" s="5" t="s">
        <v>935</v>
      </c>
      <c r="D271" s="1" t="s">
        <v>130</v>
      </c>
      <c r="E271" s="5" t="str">
        <f t="shared" si="21"/>
        <v>WR</v>
      </c>
      <c r="F271" s="21">
        <f t="shared" si="2"/>
        <v>3</v>
      </c>
      <c r="H271" s="43">
        <f t="shared" si="3"/>
        <v>0.1875</v>
      </c>
    </row>
    <row r="272">
      <c r="A272" s="2" t="s">
        <v>895</v>
      </c>
      <c r="B272" s="2" t="s">
        <v>1193</v>
      </c>
      <c r="C272" s="5" t="s">
        <v>990</v>
      </c>
      <c r="D272" s="1" t="s">
        <v>894</v>
      </c>
      <c r="E272" s="5" t="str">
        <f t="shared" si="21"/>
        <v>D/</v>
      </c>
      <c r="F272" s="21" t="str">
        <f t="shared" si="2"/>
        <v/>
      </c>
      <c r="H272" s="43">
        <f t="shared" si="3"/>
        <v>0</v>
      </c>
    </row>
    <row r="273">
      <c r="A273" s="5" t="s">
        <v>693</v>
      </c>
      <c r="B273" s="5" t="s">
        <v>1212</v>
      </c>
      <c r="C273" s="5" t="s">
        <v>996</v>
      </c>
      <c r="D273" s="1" t="s">
        <v>692</v>
      </c>
      <c r="E273" s="5" t="str">
        <f t="shared" si="21"/>
        <v>WR</v>
      </c>
      <c r="F273" s="21">
        <f t="shared" si="2"/>
        <v>3</v>
      </c>
      <c r="H273" s="43">
        <f t="shared" si="3"/>
        <v>0.1875</v>
      </c>
    </row>
    <row r="274">
      <c r="A274" s="5" t="s">
        <v>124</v>
      </c>
      <c r="B274" s="5" t="s">
        <v>1015</v>
      </c>
      <c r="C274" s="5" t="s">
        <v>1016</v>
      </c>
      <c r="D274" s="1" t="s">
        <v>123</v>
      </c>
      <c r="E274" s="5" t="str">
        <f t="shared" si="21"/>
        <v>WR</v>
      </c>
      <c r="F274" s="21">
        <f t="shared" si="2"/>
        <v>3</v>
      </c>
      <c r="H274" s="43">
        <f t="shared" si="3"/>
        <v>0.1875</v>
      </c>
    </row>
    <row r="275">
      <c r="A275" s="5" t="s">
        <v>35</v>
      </c>
      <c r="B275" s="5" t="s">
        <v>986</v>
      </c>
      <c r="C275" s="5" t="s">
        <v>952</v>
      </c>
      <c r="D275" s="1" t="s">
        <v>33</v>
      </c>
      <c r="E275" s="5" t="str">
        <f t="shared" si="21"/>
        <v>RB</v>
      </c>
      <c r="F275" s="21">
        <f t="shared" si="2"/>
        <v>4</v>
      </c>
      <c r="H275" s="43">
        <f t="shared" si="3"/>
        <v>0.25</v>
      </c>
    </row>
    <row r="276">
      <c r="A276" s="5" t="s">
        <v>159</v>
      </c>
      <c r="B276" s="5" t="s">
        <v>1035</v>
      </c>
      <c r="C276" s="5" t="s">
        <v>942</v>
      </c>
      <c r="D276" s="1" t="s">
        <v>157</v>
      </c>
      <c r="E276" s="5" t="str">
        <f t="shared" si="21"/>
        <v>RB</v>
      </c>
      <c r="F276" s="21">
        <f t="shared" si="2"/>
        <v>4</v>
      </c>
      <c r="H276" s="43">
        <f t="shared" si="3"/>
        <v>0.25</v>
      </c>
    </row>
    <row r="277">
      <c r="A277" s="5" t="s">
        <v>192</v>
      </c>
      <c r="B277" s="5" t="s">
        <v>968</v>
      </c>
      <c r="C277" s="5" t="s">
        <v>933</v>
      </c>
      <c r="D277" s="1" t="s">
        <v>189</v>
      </c>
      <c r="E277" s="5" t="str">
        <f t="shared" si="21"/>
        <v>TE</v>
      </c>
      <c r="F277" s="21">
        <f t="shared" si="2"/>
        <v>2</v>
      </c>
      <c r="H277" s="43">
        <f t="shared" si="3"/>
        <v>0.125</v>
      </c>
    </row>
    <row r="278">
      <c r="A278" s="5" t="s">
        <v>303</v>
      </c>
      <c r="B278" s="5" t="s">
        <v>941</v>
      </c>
      <c r="C278" s="5" t="s">
        <v>942</v>
      </c>
      <c r="D278" s="1" t="s">
        <v>301</v>
      </c>
      <c r="E278" s="5" t="str">
        <f t="shared" si="21"/>
        <v>QB</v>
      </c>
      <c r="F278" s="21">
        <f t="shared" si="2"/>
        <v>1</v>
      </c>
      <c r="H278" s="43">
        <f t="shared" si="3"/>
        <v>0.0625</v>
      </c>
    </row>
    <row r="279">
      <c r="A279" s="5" t="s">
        <v>905</v>
      </c>
      <c r="B279" s="5" t="s">
        <v>1143</v>
      </c>
      <c r="C279" s="5" t="s">
        <v>1040</v>
      </c>
      <c r="D279" s="1" t="s">
        <v>904</v>
      </c>
      <c r="E279" s="5" t="str">
        <f t="shared" si="21"/>
        <v>TE</v>
      </c>
      <c r="F279" s="21">
        <f t="shared" si="2"/>
        <v>2</v>
      </c>
      <c r="H279" s="43">
        <f t="shared" si="3"/>
        <v>0.125</v>
      </c>
    </row>
    <row r="280">
      <c r="A280" s="5" t="s">
        <v>337</v>
      </c>
      <c r="B280" s="5" t="s">
        <v>1048</v>
      </c>
      <c r="C280" s="5" t="s">
        <v>990</v>
      </c>
      <c r="D280" s="1" t="s">
        <v>336</v>
      </c>
      <c r="E280" s="5" t="str">
        <f t="shared" si="21"/>
        <v>WR</v>
      </c>
      <c r="F280" s="21">
        <f t="shared" si="2"/>
        <v>3</v>
      </c>
      <c r="H280" s="43">
        <f t="shared" si="3"/>
        <v>0.1875</v>
      </c>
    </row>
    <row r="281">
      <c r="A281" s="5" t="s">
        <v>231</v>
      </c>
      <c r="B281" s="5" t="s">
        <v>955</v>
      </c>
      <c r="C281" s="5" t="s">
        <v>954</v>
      </c>
      <c r="D281" s="1" t="s">
        <v>230</v>
      </c>
      <c r="E281" s="5" t="str">
        <f t="shared" si="21"/>
        <v>QB</v>
      </c>
      <c r="F281" s="21">
        <f t="shared" si="2"/>
        <v>1</v>
      </c>
      <c r="H281" s="43">
        <f t="shared" si="3"/>
        <v>0.0625</v>
      </c>
    </row>
    <row r="282">
      <c r="A282" s="5" t="s">
        <v>852</v>
      </c>
      <c r="B282" s="5" t="s">
        <v>1226</v>
      </c>
      <c r="C282" s="5" t="s">
        <v>958</v>
      </c>
      <c r="D282" s="1" t="s">
        <v>850</v>
      </c>
      <c r="E282" s="5" t="str">
        <f t="shared" si="21"/>
        <v>WR</v>
      </c>
      <c r="F282" s="21">
        <f t="shared" si="2"/>
        <v>3</v>
      </c>
      <c r="H282" s="43">
        <f t="shared" si="3"/>
        <v>0.1875</v>
      </c>
    </row>
    <row r="283">
      <c r="A283" s="5" t="s">
        <v>696</v>
      </c>
      <c r="B283" s="5" t="s">
        <v>1223</v>
      </c>
      <c r="C283" s="5" t="s">
        <v>950</v>
      </c>
      <c r="D283" s="1" t="s">
        <v>695</v>
      </c>
      <c r="E283" s="5" t="str">
        <f t="shared" si="21"/>
        <v>RB</v>
      </c>
      <c r="F283" s="21">
        <f t="shared" si="2"/>
        <v>4</v>
      </c>
      <c r="H283" s="43">
        <f t="shared" si="3"/>
        <v>0.25</v>
      </c>
    </row>
    <row r="284">
      <c r="A284" s="5" t="s">
        <v>585</v>
      </c>
      <c r="B284" s="5" t="s">
        <v>1202</v>
      </c>
      <c r="C284" s="5" t="s">
        <v>990</v>
      </c>
      <c r="D284" s="1" t="s">
        <v>584</v>
      </c>
      <c r="E284" s="5" t="str">
        <f t="shared" si="21"/>
        <v>RB</v>
      </c>
      <c r="F284" s="21">
        <f t="shared" si="2"/>
        <v>4</v>
      </c>
      <c r="H284" s="43">
        <f t="shared" si="3"/>
        <v>0.25</v>
      </c>
    </row>
    <row r="285">
      <c r="A285" s="5" t="s">
        <v>461</v>
      </c>
      <c r="B285" s="5" t="s">
        <v>1119</v>
      </c>
      <c r="C285" s="5" t="s">
        <v>974</v>
      </c>
      <c r="D285" s="1" t="s">
        <v>460</v>
      </c>
      <c r="E285" s="5" t="str">
        <f t="shared" si="21"/>
        <v>RB</v>
      </c>
      <c r="F285" s="21">
        <f t="shared" si="2"/>
        <v>4</v>
      </c>
      <c r="H285" s="43">
        <f t="shared" si="3"/>
        <v>0.25</v>
      </c>
    </row>
    <row r="286">
      <c r="A286" s="5" t="s">
        <v>574</v>
      </c>
      <c r="B286" s="5" t="s">
        <v>1121</v>
      </c>
      <c r="C286" s="5" t="s">
        <v>929</v>
      </c>
      <c r="D286" s="1" t="s">
        <v>572</v>
      </c>
      <c r="E286" s="2" t="s">
        <v>516</v>
      </c>
      <c r="F286" s="21">
        <f t="shared" si="2"/>
        <v>0</v>
      </c>
      <c r="H286" s="43">
        <f t="shared" si="3"/>
        <v>0</v>
      </c>
    </row>
    <row r="287">
      <c r="A287" s="5" t="s">
        <v>486</v>
      </c>
      <c r="B287" s="5" t="s">
        <v>1095</v>
      </c>
      <c r="C287" s="5" t="s">
        <v>935</v>
      </c>
      <c r="D287" s="1" t="s">
        <v>484</v>
      </c>
      <c r="E287" s="5" t="str">
        <f t="shared" ref="E287:E294" si="22">left(B287,2)</f>
        <v>WR</v>
      </c>
      <c r="F287" s="21">
        <f t="shared" si="2"/>
        <v>3</v>
      </c>
      <c r="H287" s="43">
        <f t="shared" si="3"/>
        <v>0.1875</v>
      </c>
    </row>
    <row r="288">
      <c r="A288" s="5" t="s">
        <v>803</v>
      </c>
      <c r="B288" s="5" t="s">
        <v>1205</v>
      </c>
      <c r="C288" s="5" t="s">
        <v>967</v>
      </c>
      <c r="D288" s="1" t="s">
        <v>802</v>
      </c>
      <c r="E288" s="5" t="str">
        <f t="shared" si="22"/>
        <v>TE</v>
      </c>
      <c r="F288" s="21">
        <f t="shared" si="2"/>
        <v>2</v>
      </c>
      <c r="H288" s="43">
        <f t="shared" si="3"/>
        <v>0.125</v>
      </c>
    </row>
    <row r="289">
      <c r="A289" s="5" t="s">
        <v>590</v>
      </c>
      <c r="B289" s="5" t="s">
        <v>1099</v>
      </c>
      <c r="C289" s="5" t="s">
        <v>958</v>
      </c>
      <c r="D289" s="1" t="s">
        <v>589</v>
      </c>
      <c r="E289" s="5" t="str">
        <f t="shared" si="22"/>
        <v>TE</v>
      </c>
      <c r="F289" s="21">
        <f t="shared" si="2"/>
        <v>2</v>
      </c>
      <c r="H289" s="43">
        <f t="shared" si="3"/>
        <v>0.125</v>
      </c>
    </row>
    <row r="290">
      <c r="A290" s="5" t="s">
        <v>179</v>
      </c>
      <c r="B290" s="5" t="s">
        <v>1028</v>
      </c>
      <c r="C290" s="5" t="s">
        <v>946</v>
      </c>
      <c r="D290" s="1" t="s">
        <v>177</v>
      </c>
      <c r="E290" s="5" t="str">
        <f t="shared" si="22"/>
        <v>WR</v>
      </c>
      <c r="F290" s="21">
        <f t="shared" si="2"/>
        <v>3</v>
      </c>
      <c r="H290" s="43">
        <f t="shared" si="3"/>
        <v>0.1875</v>
      </c>
    </row>
    <row r="291">
      <c r="A291" s="5" t="s">
        <v>893</v>
      </c>
      <c r="B291" s="5" t="s">
        <v>1241</v>
      </c>
      <c r="C291" s="5" t="s">
        <v>1009</v>
      </c>
      <c r="D291" s="1" t="s">
        <v>892</v>
      </c>
      <c r="E291" s="5" t="str">
        <f t="shared" si="22"/>
        <v>WR</v>
      </c>
      <c r="F291" s="21">
        <f t="shared" si="2"/>
        <v>3</v>
      </c>
      <c r="H291" s="43">
        <f t="shared" si="3"/>
        <v>0.1875</v>
      </c>
    </row>
    <row r="292">
      <c r="A292" s="5" t="s">
        <v>31</v>
      </c>
      <c r="B292" s="5" t="s">
        <v>953</v>
      </c>
      <c r="C292" s="5" t="s">
        <v>954</v>
      </c>
      <c r="D292" s="1" t="s">
        <v>28</v>
      </c>
      <c r="E292" s="5" t="str">
        <f t="shared" si="22"/>
        <v>WR</v>
      </c>
      <c r="F292" s="21">
        <f t="shared" si="2"/>
        <v>3</v>
      </c>
      <c r="H292" s="43">
        <f t="shared" si="3"/>
        <v>0.1875</v>
      </c>
    </row>
    <row r="293">
      <c r="A293" s="5" t="s">
        <v>490</v>
      </c>
      <c r="B293" s="5" t="s">
        <v>1192</v>
      </c>
      <c r="C293" s="5" t="s">
        <v>958</v>
      </c>
      <c r="D293" s="1" t="s">
        <v>488</v>
      </c>
      <c r="E293" s="5" t="str">
        <f t="shared" si="22"/>
        <v>WR</v>
      </c>
      <c r="F293" s="21">
        <f t="shared" si="2"/>
        <v>3</v>
      </c>
      <c r="H293" s="43">
        <f t="shared" si="3"/>
        <v>0.1875</v>
      </c>
    </row>
    <row r="294">
      <c r="A294" s="2" t="s">
        <v>883</v>
      </c>
      <c r="B294" s="2" t="s">
        <v>1191</v>
      </c>
      <c r="C294" s="5" t="s">
        <v>1016</v>
      </c>
      <c r="D294" s="1" t="s">
        <v>881</v>
      </c>
      <c r="E294" s="5" t="str">
        <f t="shared" si="22"/>
        <v>D/</v>
      </c>
      <c r="F294" s="21" t="str">
        <f t="shared" si="2"/>
        <v/>
      </c>
      <c r="H294" s="43">
        <f t="shared" si="3"/>
        <v>0</v>
      </c>
    </row>
    <row r="295">
      <c r="A295" s="5" t="s">
        <v>615</v>
      </c>
      <c r="B295" s="5" t="s">
        <v>1161</v>
      </c>
      <c r="C295" s="5" t="s">
        <v>983</v>
      </c>
      <c r="D295" s="1" t="s">
        <v>613</v>
      </c>
      <c r="E295" s="2" t="s">
        <v>516</v>
      </c>
      <c r="F295" s="21">
        <f t="shared" si="2"/>
        <v>0</v>
      </c>
      <c r="H295" s="43">
        <f t="shared" si="3"/>
        <v>0</v>
      </c>
    </row>
    <row r="296">
      <c r="A296" s="5" t="s">
        <v>612</v>
      </c>
      <c r="B296" s="5" t="s">
        <v>1130</v>
      </c>
      <c r="C296" s="5" t="s">
        <v>974</v>
      </c>
      <c r="D296" s="1" t="s">
        <v>610</v>
      </c>
      <c r="E296" s="2" t="s">
        <v>516</v>
      </c>
      <c r="F296" s="21">
        <f t="shared" si="2"/>
        <v>0</v>
      </c>
      <c r="H296" s="43">
        <f t="shared" si="3"/>
        <v>0</v>
      </c>
    </row>
    <row r="297">
      <c r="A297" s="5" t="s">
        <v>368</v>
      </c>
      <c r="B297" s="5" t="s">
        <v>1087</v>
      </c>
      <c r="C297" s="5" t="s">
        <v>946</v>
      </c>
      <c r="D297" s="1" t="s">
        <v>366</v>
      </c>
      <c r="E297" s="5" t="str">
        <f t="shared" ref="E297:E305" si="23">left(B297,2)</f>
        <v>RB</v>
      </c>
      <c r="F297" s="21">
        <f t="shared" si="2"/>
        <v>4</v>
      </c>
      <c r="H297" s="43">
        <f t="shared" si="3"/>
        <v>0.25</v>
      </c>
    </row>
    <row r="298">
      <c r="A298" s="5" t="s">
        <v>793</v>
      </c>
      <c r="B298" s="5" t="s">
        <v>1145</v>
      </c>
      <c r="C298" s="5" t="s">
        <v>1040</v>
      </c>
      <c r="D298" s="1" t="s">
        <v>792</v>
      </c>
      <c r="E298" s="5" t="str">
        <f t="shared" si="23"/>
        <v>TE</v>
      </c>
      <c r="F298" s="21">
        <f t="shared" si="2"/>
        <v>2</v>
      </c>
      <c r="H298" s="43">
        <f t="shared" si="3"/>
        <v>0.125</v>
      </c>
    </row>
    <row r="299">
      <c r="A299" s="5" t="s">
        <v>790</v>
      </c>
      <c r="B299" s="5" t="s">
        <v>1238</v>
      </c>
      <c r="C299" s="5" t="s">
        <v>980</v>
      </c>
      <c r="D299" s="1" t="s">
        <v>788</v>
      </c>
      <c r="E299" s="5" t="str">
        <f t="shared" si="23"/>
        <v>RB</v>
      </c>
      <c r="F299" s="21">
        <f t="shared" si="2"/>
        <v>4</v>
      </c>
      <c r="H299" s="43">
        <f t="shared" si="3"/>
        <v>0.25</v>
      </c>
    </row>
    <row r="300">
      <c r="A300" s="5" t="s">
        <v>526</v>
      </c>
      <c r="B300" s="5" t="s">
        <v>1084</v>
      </c>
      <c r="C300" s="5" t="s">
        <v>1007</v>
      </c>
      <c r="D300" s="1" t="s">
        <v>524</v>
      </c>
      <c r="E300" s="5" t="str">
        <f t="shared" si="23"/>
        <v>WR</v>
      </c>
      <c r="F300" s="21">
        <f t="shared" si="2"/>
        <v>3</v>
      </c>
      <c r="H300" s="43">
        <f t="shared" si="3"/>
        <v>0.1875</v>
      </c>
    </row>
    <row r="301">
      <c r="A301" s="5" t="s">
        <v>454</v>
      </c>
      <c r="B301" s="5" t="s">
        <v>1086</v>
      </c>
      <c r="C301" s="5" t="s">
        <v>942</v>
      </c>
      <c r="D301" s="1" t="s">
        <v>453</v>
      </c>
      <c r="E301" s="5" t="str">
        <f t="shared" si="23"/>
        <v>WR</v>
      </c>
      <c r="F301" s="21">
        <f t="shared" si="2"/>
        <v>3</v>
      </c>
      <c r="H301" s="43">
        <f t="shared" si="3"/>
        <v>0.1875</v>
      </c>
    </row>
    <row r="302">
      <c r="A302" s="23" t="s">
        <v>1527</v>
      </c>
      <c r="B302" s="2" t="s">
        <v>13</v>
      </c>
      <c r="C302" s="2" t="s">
        <v>940</v>
      </c>
      <c r="D302" s="1" t="s">
        <v>1528</v>
      </c>
      <c r="E302" s="5" t="str">
        <f t="shared" si="23"/>
        <v>RB</v>
      </c>
      <c r="F302" s="21">
        <f t="shared" si="2"/>
        <v>4</v>
      </c>
      <c r="H302" s="43">
        <f t="shared" si="3"/>
        <v>0.25</v>
      </c>
    </row>
    <row r="303">
      <c r="A303" s="2" t="s">
        <v>1413</v>
      </c>
      <c r="B303" s="2" t="s">
        <v>13</v>
      </c>
      <c r="C303" s="2" t="s">
        <v>954</v>
      </c>
      <c r="D303" s="1" t="s">
        <v>1529</v>
      </c>
      <c r="E303" s="5" t="str">
        <f t="shared" si="23"/>
        <v>RB</v>
      </c>
      <c r="F303" s="21">
        <f t="shared" si="2"/>
        <v>4</v>
      </c>
      <c r="H303" s="43">
        <f t="shared" si="3"/>
        <v>0.25</v>
      </c>
    </row>
    <row r="304">
      <c r="A304" s="2" t="s">
        <v>1471</v>
      </c>
      <c r="B304" s="2" t="s">
        <v>13</v>
      </c>
      <c r="C304" s="2" t="s">
        <v>967</v>
      </c>
      <c r="D304" s="1" t="s">
        <v>1530</v>
      </c>
      <c r="E304" s="5" t="str">
        <f t="shared" si="23"/>
        <v>RB</v>
      </c>
      <c r="F304" s="21">
        <f t="shared" si="2"/>
        <v>4</v>
      </c>
      <c r="H304" s="43">
        <f t="shared" si="3"/>
        <v>0.25</v>
      </c>
    </row>
    <row r="305">
      <c r="A305" s="2" t="s">
        <v>1473</v>
      </c>
      <c r="B305" s="2" t="s">
        <v>13</v>
      </c>
      <c r="C305" s="2" t="s">
        <v>938</v>
      </c>
      <c r="D305" s="1" t="s">
        <v>1531</v>
      </c>
      <c r="E305" s="5" t="str">
        <f t="shared" si="23"/>
        <v>RB</v>
      </c>
      <c r="F305" s="21">
        <f t="shared" si="2"/>
        <v>4</v>
      </c>
      <c r="H305" s="43">
        <f t="shared" si="3"/>
        <v>0.25</v>
      </c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40" t="s">
        <v>2045</v>
      </c>
      <c r="B1" s="40" t="s">
        <v>2046</v>
      </c>
      <c r="C1" s="40" t="s">
        <v>2047</v>
      </c>
      <c r="D1" s="40" t="s">
        <v>2048</v>
      </c>
      <c r="E1" s="2" t="s">
        <v>1540</v>
      </c>
    </row>
    <row r="2">
      <c r="A2" s="40" t="s">
        <v>14</v>
      </c>
      <c r="B2" s="40" t="s">
        <v>13</v>
      </c>
      <c r="C2" s="40" t="s">
        <v>963</v>
      </c>
      <c r="D2" s="44">
        <v>35223.0</v>
      </c>
      <c r="E2" s="5">
        <v>27.0</v>
      </c>
      <c r="F2" s="45">
        <f t="shared" ref="F2:F309" si="1">datedif(D2,today(),"Y")</f>
        <v>27</v>
      </c>
    </row>
    <row r="3">
      <c r="A3" s="40" t="s">
        <v>18</v>
      </c>
      <c r="B3" s="40" t="s">
        <v>13</v>
      </c>
      <c r="C3" s="40" t="s">
        <v>938</v>
      </c>
      <c r="D3" s="44">
        <v>34836.0</v>
      </c>
      <c r="E3" s="5">
        <v>28.0</v>
      </c>
      <c r="F3" s="45">
        <f t="shared" si="1"/>
        <v>28</v>
      </c>
    </row>
    <row r="4">
      <c r="A4" s="40" t="s">
        <v>51</v>
      </c>
      <c r="B4" s="40" t="s">
        <v>13</v>
      </c>
      <c r="C4" s="40" t="s">
        <v>961</v>
      </c>
      <c r="D4" s="44">
        <v>36179.0</v>
      </c>
      <c r="E4" s="5">
        <v>24.0</v>
      </c>
      <c r="F4" s="45">
        <f t="shared" si="1"/>
        <v>24</v>
      </c>
    </row>
    <row r="5">
      <c r="A5" s="40" t="s">
        <v>26</v>
      </c>
      <c r="B5" s="40" t="s">
        <v>13</v>
      </c>
      <c r="C5" s="40" t="s">
        <v>948</v>
      </c>
      <c r="D5" s="44">
        <v>35470.0</v>
      </c>
      <c r="E5" s="5">
        <v>26.0</v>
      </c>
      <c r="F5" s="45">
        <f t="shared" si="1"/>
        <v>26</v>
      </c>
    </row>
    <row r="6">
      <c r="A6" s="40" t="s">
        <v>95</v>
      </c>
      <c r="B6" s="40" t="s">
        <v>30</v>
      </c>
      <c r="C6" s="40" t="s">
        <v>950</v>
      </c>
      <c r="D6" s="44">
        <v>36327.0</v>
      </c>
      <c r="E6" s="5">
        <v>24.0</v>
      </c>
      <c r="F6" s="45">
        <f t="shared" si="1"/>
        <v>24</v>
      </c>
    </row>
    <row r="7">
      <c r="A7" s="40" t="s">
        <v>192</v>
      </c>
      <c r="B7" s="40" t="s">
        <v>191</v>
      </c>
      <c r="C7" s="40" t="s">
        <v>933</v>
      </c>
      <c r="D7" s="44">
        <v>32786.0</v>
      </c>
      <c r="E7" s="5">
        <v>33.0</v>
      </c>
      <c r="F7" s="45">
        <f t="shared" si="1"/>
        <v>34</v>
      </c>
    </row>
    <row r="8">
      <c r="A8" s="40" t="s">
        <v>128</v>
      </c>
      <c r="B8" s="40" t="s">
        <v>13</v>
      </c>
      <c r="C8" s="40" t="s">
        <v>946</v>
      </c>
      <c r="D8" s="44">
        <v>36819.0</v>
      </c>
      <c r="E8" s="5">
        <v>22.0</v>
      </c>
      <c r="F8" s="45">
        <f t="shared" si="1"/>
        <v>23</v>
      </c>
    </row>
    <row r="9">
      <c r="A9" s="40" t="s">
        <v>67</v>
      </c>
      <c r="B9" s="40" t="s">
        <v>30</v>
      </c>
      <c r="C9" s="40" t="s">
        <v>935</v>
      </c>
      <c r="D9" s="44">
        <v>36586.0</v>
      </c>
      <c r="E9" s="5">
        <v>23.0</v>
      </c>
      <c r="F9" s="45">
        <f t="shared" si="1"/>
        <v>23</v>
      </c>
    </row>
    <row r="10">
      <c r="A10" s="40" t="s">
        <v>71</v>
      </c>
      <c r="B10" s="40" t="s">
        <v>30</v>
      </c>
      <c r="C10" s="40" t="s">
        <v>958</v>
      </c>
      <c r="D10" s="44">
        <v>34135.0</v>
      </c>
      <c r="E10" s="5">
        <v>30.0</v>
      </c>
      <c r="F10" s="45">
        <f t="shared" si="1"/>
        <v>30</v>
      </c>
    </row>
    <row r="11">
      <c r="A11" s="40" t="s">
        <v>39</v>
      </c>
      <c r="B11" s="40" t="s">
        <v>13</v>
      </c>
      <c r="C11" s="40" t="s">
        <v>990</v>
      </c>
      <c r="D11" s="44">
        <v>34338.0</v>
      </c>
      <c r="E11" s="5">
        <v>29.0</v>
      </c>
      <c r="F11" s="45">
        <f t="shared" si="1"/>
        <v>30</v>
      </c>
    </row>
    <row r="12">
      <c r="A12" s="40" t="s">
        <v>89</v>
      </c>
      <c r="B12" s="40" t="s">
        <v>30</v>
      </c>
      <c r="C12" s="40" t="s">
        <v>929</v>
      </c>
      <c r="D12" s="44">
        <v>34302.0</v>
      </c>
      <c r="E12" s="5">
        <v>29.0</v>
      </c>
      <c r="F12" s="45">
        <f t="shared" si="1"/>
        <v>30</v>
      </c>
    </row>
    <row r="13">
      <c r="A13" s="40" t="s">
        <v>43</v>
      </c>
      <c r="B13" s="40" t="s">
        <v>13</v>
      </c>
      <c r="C13" s="40" t="s">
        <v>980</v>
      </c>
      <c r="D13" s="44">
        <v>35837.0</v>
      </c>
      <c r="E13" s="5">
        <v>25.0</v>
      </c>
      <c r="F13" s="45">
        <f t="shared" si="1"/>
        <v>25</v>
      </c>
    </row>
    <row r="14">
      <c r="A14" s="40" t="s">
        <v>86</v>
      </c>
      <c r="B14" s="40" t="s">
        <v>30</v>
      </c>
      <c r="C14" s="40" t="s">
        <v>980</v>
      </c>
      <c r="D14" s="44">
        <v>33962.0</v>
      </c>
      <c r="E14" s="5">
        <v>30.0</v>
      </c>
      <c r="F14" s="45">
        <f t="shared" si="1"/>
        <v>31</v>
      </c>
    </row>
    <row r="15">
      <c r="A15" s="40" t="s">
        <v>22</v>
      </c>
      <c r="B15" s="40" t="s">
        <v>13</v>
      </c>
      <c r="C15" s="40" t="s">
        <v>944</v>
      </c>
      <c r="D15" s="44">
        <v>35060.0</v>
      </c>
      <c r="E15" s="5">
        <v>27.0</v>
      </c>
      <c r="F15" s="45">
        <f t="shared" si="1"/>
        <v>28</v>
      </c>
    </row>
    <row r="16">
      <c r="A16" s="40" t="s">
        <v>31</v>
      </c>
      <c r="B16" s="40" t="s">
        <v>30</v>
      </c>
      <c r="C16" s="40" t="s">
        <v>954</v>
      </c>
      <c r="D16" s="44">
        <v>34394.0</v>
      </c>
      <c r="E16" s="5">
        <v>29.0</v>
      </c>
      <c r="F16" s="45">
        <f t="shared" si="1"/>
        <v>29</v>
      </c>
    </row>
    <row r="17">
      <c r="A17" s="40" t="s">
        <v>159</v>
      </c>
      <c r="B17" s="40" t="s">
        <v>13</v>
      </c>
      <c r="C17" s="40" t="s">
        <v>942</v>
      </c>
      <c r="D17" s="44">
        <v>36186.0</v>
      </c>
      <c r="E17" s="5">
        <v>24.0</v>
      </c>
      <c r="F17" s="45">
        <f t="shared" si="1"/>
        <v>24</v>
      </c>
    </row>
    <row r="18">
      <c r="A18" s="40" t="s">
        <v>106</v>
      </c>
      <c r="B18" s="40" t="s">
        <v>30</v>
      </c>
      <c r="C18" s="40" t="s">
        <v>952</v>
      </c>
      <c r="D18" s="44">
        <v>36258.0</v>
      </c>
      <c r="E18" s="5">
        <v>24.0</v>
      </c>
      <c r="F18" s="45">
        <f t="shared" si="1"/>
        <v>24</v>
      </c>
    </row>
    <row r="19">
      <c r="A19" s="40" t="s">
        <v>93</v>
      </c>
      <c r="B19" s="40" t="s">
        <v>30</v>
      </c>
      <c r="C19" s="40" t="s">
        <v>931</v>
      </c>
      <c r="D19" s="44">
        <v>35611.0</v>
      </c>
      <c r="E19" s="5">
        <v>26.0</v>
      </c>
      <c r="F19" s="45">
        <f t="shared" si="1"/>
        <v>26</v>
      </c>
    </row>
    <row r="20">
      <c r="A20" s="40" t="s">
        <v>75</v>
      </c>
      <c r="B20" s="40" t="s">
        <v>13</v>
      </c>
      <c r="C20" s="40" t="s">
        <v>985</v>
      </c>
      <c r="D20" s="44">
        <v>35863.0</v>
      </c>
      <c r="E20" s="5">
        <v>25.0</v>
      </c>
      <c r="F20" s="45">
        <f t="shared" si="1"/>
        <v>25</v>
      </c>
    </row>
    <row r="21">
      <c r="A21" s="40" t="s">
        <v>55</v>
      </c>
      <c r="B21" s="40" t="s">
        <v>13</v>
      </c>
      <c r="C21" s="40" t="s">
        <v>935</v>
      </c>
      <c r="D21" s="44">
        <v>35270.0</v>
      </c>
      <c r="E21" s="5">
        <v>27.0</v>
      </c>
      <c r="F21" s="45">
        <f t="shared" si="1"/>
        <v>27</v>
      </c>
    </row>
    <row r="22">
      <c r="A22" s="40" t="s">
        <v>277</v>
      </c>
      <c r="B22" s="40" t="s">
        <v>191</v>
      </c>
      <c r="C22" s="40" t="s">
        <v>1007</v>
      </c>
      <c r="D22" s="44">
        <v>34948.0</v>
      </c>
      <c r="E22" s="5">
        <v>27.0</v>
      </c>
      <c r="F22" s="45">
        <f t="shared" si="1"/>
        <v>28</v>
      </c>
    </row>
    <row r="23">
      <c r="A23" s="40" t="s">
        <v>175</v>
      </c>
      <c r="B23" s="40" t="s">
        <v>30</v>
      </c>
      <c r="C23" s="40" t="s">
        <v>965</v>
      </c>
      <c r="D23" s="44">
        <v>36457.0</v>
      </c>
      <c r="E23" s="5">
        <v>23.0</v>
      </c>
      <c r="F23" s="45">
        <f t="shared" si="1"/>
        <v>24</v>
      </c>
    </row>
    <row r="24">
      <c r="A24" s="40" t="s">
        <v>63</v>
      </c>
      <c r="B24" s="40" t="s">
        <v>13</v>
      </c>
      <c r="C24" s="40" t="s">
        <v>1009</v>
      </c>
      <c r="D24" s="44">
        <v>35849.0</v>
      </c>
      <c r="E24" s="5">
        <v>25.0</v>
      </c>
      <c r="F24" s="45">
        <f t="shared" si="1"/>
        <v>25</v>
      </c>
    </row>
    <row r="25">
      <c r="A25" s="40" t="s">
        <v>79</v>
      </c>
      <c r="B25" s="40" t="s">
        <v>13</v>
      </c>
      <c r="C25" s="40" t="s">
        <v>967</v>
      </c>
      <c r="D25" s="44">
        <v>37042.0</v>
      </c>
      <c r="E25" s="5">
        <v>22.0</v>
      </c>
      <c r="F25" s="45">
        <f t="shared" si="1"/>
        <v>22</v>
      </c>
    </row>
    <row r="26">
      <c r="A26" s="40" t="s">
        <v>131</v>
      </c>
      <c r="B26" s="40" t="s">
        <v>30</v>
      </c>
      <c r="C26" s="40" t="s">
        <v>935</v>
      </c>
      <c r="D26" s="44">
        <v>36178.0</v>
      </c>
      <c r="E26" s="5">
        <v>24.0</v>
      </c>
      <c r="F26" s="45">
        <f t="shared" si="1"/>
        <v>24</v>
      </c>
    </row>
    <row r="27">
      <c r="A27" s="40" t="s">
        <v>1573</v>
      </c>
      <c r="B27" s="40" t="s">
        <v>30</v>
      </c>
      <c r="C27" s="40" t="s">
        <v>954</v>
      </c>
      <c r="D27" s="44">
        <v>36124.0</v>
      </c>
      <c r="E27" s="5">
        <v>24.0</v>
      </c>
      <c r="F27" s="45">
        <f t="shared" si="1"/>
        <v>25</v>
      </c>
    </row>
    <row r="28">
      <c r="A28" s="40" t="s">
        <v>260</v>
      </c>
      <c r="B28" s="40" t="s">
        <v>13</v>
      </c>
      <c r="C28" s="40" t="s">
        <v>976</v>
      </c>
      <c r="D28" s="44">
        <v>36641.0</v>
      </c>
      <c r="E28" s="5">
        <v>23.0</v>
      </c>
      <c r="F28" s="45">
        <f t="shared" si="1"/>
        <v>23</v>
      </c>
    </row>
    <row r="29">
      <c r="A29" s="40" t="s">
        <v>272</v>
      </c>
      <c r="B29" s="40" t="s">
        <v>13</v>
      </c>
      <c r="C29" s="40" t="s">
        <v>965</v>
      </c>
      <c r="D29" s="44">
        <v>36174.0</v>
      </c>
      <c r="E29" s="5">
        <v>24.0</v>
      </c>
      <c r="F29" s="45">
        <f t="shared" si="1"/>
        <v>24</v>
      </c>
    </row>
    <row r="30">
      <c r="A30" s="40" t="s">
        <v>349</v>
      </c>
      <c r="B30" s="40" t="s">
        <v>191</v>
      </c>
      <c r="C30" s="40" t="s">
        <v>950</v>
      </c>
      <c r="D30" s="44">
        <v>35614.0</v>
      </c>
      <c r="E30" s="5">
        <v>26.0</v>
      </c>
      <c r="F30" s="45">
        <f t="shared" si="1"/>
        <v>26</v>
      </c>
    </row>
    <row r="31">
      <c r="A31" s="40" t="s">
        <v>35</v>
      </c>
      <c r="B31" s="40" t="s">
        <v>13</v>
      </c>
      <c r="C31" s="40" t="s">
        <v>952</v>
      </c>
      <c r="D31" s="44">
        <v>35550.0</v>
      </c>
      <c r="E31" s="5">
        <v>26.0</v>
      </c>
      <c r="F31" s="45">
        <f t="shared" si="1"/>
        <v>26</v>
      </c>
    </row>
    <row r="32">
      <c r="A32" s="40" t="s">
        <v>283</v>
      </c>
      <c r="B32" s="40" t="s">
        <v>13</v>
      </c>
      <c r="C32" s="40" t="s">
        <v>950</v>
      </c>
      <c r="D32" s="44">
        <v>34921.0</v>
      </c>
      <c r="E32" s="5">
        <v>28.0</v>
      </c>
      <c r="F32" s="45">
        <f t="shared" si="1"/>
        <v>28</v>
      </c>
    </row>
    <row r="33">
      <c r="A33" s="40" t="s">
        <v>149</v>
      </c>
      <c r="B33" s="40" t="s">
        <v>30</v>
      </c>
      <c r="C33" s="40" t="s">
        <v>967</v>
      </c>
      <c r="D33" s="44">
        <v>36729.0</v>
      </c>
      <c r="E33" s="5">
        <v>23.0</v>
      </c>
      <c r="F33" s="45">
        <f t="shared" si="1"/>
        <v>23</v>
      </c>
    </row>
    <row r="34">
      <c r="A34" s="40" t="s">
        <v>166</v>
      </c>
      <c r="B34" s="40" t="s">
        <v>30</v>
      </c>
      <c r="C34" s="40" t="s">
        <v>1024</v>
      </c>
      <c r="D34" s="44">
        <v>35122.0</v>
      </c>
      <c r="E34" s="5">
        <v>27.0</v>
      </c>
      <c r="F34" s="45">
        <f t="shared" si="1"/>
        <v>27</v>
      </c>
    </row>
    <row r="35">
      <c r="A35" s="40" t="s">
        <v>1426</v>
      </c>
      <c r="B35" s="40" t="s">
        <v>30</v>
      </c>
      <c r="C35" s="40" t="s">
        <v>946</v>
      </c>
      <c r="D35" s="44">
        <v>35778.0</v>
      </c>
      <c r="E35" s="5">
        <v>25.0</v>
      </c>
      <c r="F35" s="45">
        <f t="shared" si="1"/>
        <v>26</v>
      </c>
    </row>
    <row r="36">
      <c r="A36" s="40" t="s">
        <v>59</v>
      </c>
      <c r="B36" s="40" t="s">
        <v>13</v>
      </c>
      <c r="C36" s="40" t="s">
        <v>988</v>
      </c>
      <c r="D36" s="44">
        <v>34670.0</v>
      </c>
      <c r="E36" s="5">
        <v>28.0</v>
      </c>
      <c r="F36" s="45">
        <f t="shared" si="1"/>
        <v>29</v>
      </c>
    </row>
    <row r="37">
      <c r="A37" s="40" t="s">
        <v>117</v>
      </c>
      <c r="B37" s="40" t="s">
        <v>30</v>
      </c>
      <c r="C37" s="40" t="s">
        <v>963</v>
      </c>
      <c r="D37" s="44">
        <v>35079.0</v>
      </c>
      <c r="E37" s="5">
        <v>27.0</v>
      </c>
      <c r="F37" s="45">
        <f t="shared" si="1"/>
        <v>27</v>
      </c>
    </row>
    <row r="38">
      <c r="A38" s="40" t="s">
        <v>251</v>
      </c>
      <c r="B38" s="40" t="s">
        <v>172</v>
      </c>
      <c r="C38" s="40" t="s">
        <v>929</v>
      </c>
      <c r="D38" s="44">
        <v>35206.0</v>
      </c>
      <c r="E38" s="5">
        <v>27.0</v>
      </c>
      <c r="F38" s="45">
        <f t="shared" si="1"/>
        <v>27</v>
      </c>
    </row>
    <row r="39">
      <c r="A39" s="40" t="s">
        <v>146</v>
      </c>
      <c r="B39" s="40" t="s">
        <v>30</v>
      </c>
      <c r="C39" s="40" t="s">
        <v>931</v>
      </c>
      <c r="D39" s="44">
        <v>36113.0</v>
      </c>
      <c r="E39" s="5">
        <v>24.0</v>
      </c>
      <c r="F39" s="45">
        <f t="shared" si="1"/>
        <v>25</v>
      </c>
    </row>
    <row r="40">
      <c r="A40" s="40" t="s">
        <v>139</v>
      </c>
      <c r="B40" s="40" t="s">
        <v>30</v>
      </c>
      <c r="C40" s="40" t="s">
        <v>938</v>
      </c>
      <c r="D40" s="44">
        <v>33721.0</v>
      </c>
      <c r="E40" s="5">
        <v>31.0</v>
      </c>
      <c r="F40" s="45">
        <f t="shared" si="1"/>
        <v>31</v>
      </c>
    </row>
    <row r="41">
      <c r="A41" s="40" t="s">
        <v>1588</v>
      </c>
      <c r="B41" s="40" t="s">
        <v>172</v>
      </c>
      <c r="C41" s="40" t="s">
        <v>933</v>
      </c>
      <c r="D41" s="44">
        <v>34959.0</v>
      </c>
      <c r="E41" s="5">
        <v>27.0</v>
      </c>
      <c r="F41" s="45">
        <f t="shared" si="1"/>
        <v>28</v>
      </c>
    </row>
    <row r="42">
      <c r="A42" s="40" t="s">
        <v>264</v>
      </c>
      <c r="B42" s="40" t="s">
        <v>172</v>
      </c>
      <c r="C42" s="40" t="s">
        <v>931</v>
      </c>
      <c r="D42" s="44">
        <v>36014.0</v>
      </c>
      <c r="E42" s="5">
        <v>25.0</v>
      </c>
      <c r="F42" s="45">
        <f t="shared" si="1"/>
        <v>25</v>
      </c>
    </row>
    <row r="43">
      <c r="A43" s="40" t="s">
        <v>205</v>
      </c>
      <c r="B43" s="40" t="s">
        <v>13</v>
      </c>
      <c r="C43" s="40" t="s">
        <v>983</v>
      </c>
      <c r="D43" s="44">
        <v>34905.0</v>
      </c>
      <c r="E43" s="5">
        <v>28.0</v>
      </c>
      <c r="F43" s="45">
        <f t="shared" si="1"/>
        <v>28</v>
      </c>
    </row>
    <row r="44">
      <c r="A44" s="40" t="s">
        <v>163</v>
      </c>
      <c r="B44" s="40" t="s">
        <v>13</v>
      </c>
      <c r="C44" s="40" t="s">
        <v>992</v>
      </c>
      <c r="D44" s="44">
        <v>36575.0</v>
      </c>
      <c r="E44" s="5">
        <v>23.0</v>
      </c>
      <c r="F44" s="45">
        <f t="shared" si="1"/>
        <v>23</v>
      </c>
    </row>
    <row r="45">
      <c r="A45" s="40" t="s">
        <v>285</v>
      </c>
      <c r="B45" s="40" t="s">
        <v>30</v>
      </c>
      <c r="C45" s="40" t="s">
        <v>961</v>
      </c>
      <c r="D45" s="44">
        <v>35708.0</v>
      </c>
      <c r="E45" s="5">
        <v>25.0</v>
      </c>
      <c r="F45" s="45">
        <f t="shared" si="1"/>
        <v>26</v>
      </c>
    </row>
    <row r="46">
      <c r="A46" s="40" t="s">
        <v>1425</v>
      </c>
      <c r="B46" s="40" t="s">
        <v>30</v>
      </c>
      <c r="C46" s="40" t="s">
        <v>996</v>
      </c>
      <c r="D46" s="44">
        <v>35534.0</v>
      </c>
      <c r="E46" s="5">
        <v>26.0</v>
      </c>
      <c r="F46" s="45">
        <f t="shared" si="1"/>
        <v>26</v>
      </c>
    </row>
    <row r="47">
      <c r="A47" s="40" t="s">
        <v>121</v>
      </c>
      <c r="B47" s="40" t="s">
        <v>30</v>
      </c>
      <c r="C47" s="40" t="s">
        <v>983</v>
      </c>
      <c r="D47" s="44">
        <v>36704.0</v>
      </c>
      <c r="E47" s="5">
        <v>23.0</v>
      </c>
      <c r="F47" s="45">
        <f t="shared" si="1"/>
        <v>23</v>
      </c>
    </row>
    <row r="48">
      <c r="A48" s="40" t="s">
        <v>182</v>
      </c>
      <c r="B48" s="40" t="s">
        <v>30</v>
      </c>
      <c r="C48" s="40" t="s">
        <v>944</v>
      </c>
      <c r="D48" s="44">
        <v>34502.0</v>
      </c>
      <c r="E48" s="5">
        <v>29.0</v>
      </c>
      <c r="F48" s="45">
        <f t="shared" si="1"/>
        <v>29</v>
      </c>
    </row>
    <row r="49">
      <c r="A49" s="40" t="s">
        <v>102</v>
      </c>
      <c r="B49" s="40" t="s">
        <v>30</v>
      </c>
      <c r="C49" s="40" t="s">
        <v>1040</v>
      </c>
      <c r="D49" s="44">
        <v>33761.0</v>
      </c>
      <c r="E49" s="5">
        <v>31.0</v>
      </c>
      <c r="F49" s="45">
        <f t="shared" si="1"/>
        <v>31</v>
      </c>
    </row>
    <row r="50">
      <c r="A50" s="40" t="s">
        <v>433</v>
      </c>
      <c r="B50" s="40" t="s">
        <v>191</v>
      </c>
      <c r="C50" s="40" t="s">
        <v>974</v>
      </c>
      <c r="D50" s="44">
        <v>36805.0</v>
      </c>
      <c r="E50" s="5">
        <v>22.0</v>
      </c>
      <c r="F50" s="45">
        <f t="shared" si="1"/>
        <v>23</v>
      </c>
    </row>
    <row r="51">
      <c r="A51" s="40" t="s">
        <v>98</v>
      </c>
      <c r="B51" s="40" t="s">
        <v>13</v>
      </c>
      <c r="C51" s="40" t="s">
        <v>1040</v>
      </c>
      <c r="D51" s="44">
        <v>34824.0</v>
      </c>
      <c r="E51" s="5">
        <v>28.0</v>
      </c>
      <c r="F51" s="45">
        <f t="shared" si="1"/>
        <v>28</v>
      </c>
    </row>
    <row r="52">
      <c r="A52" s="40" t="s">
        <v>207</v>
      </c>
      <c r="B52" s="40" t="s">
        <v>172</v>
      </c>
      <c r="C52" s="40" t="s">
        <v>935</v>
      </c>
      <c r="D52" s="44">
        <v>35409.0</v>
      </c>
      <c r="E52" s="5">
        <v>26.0</v>
      </c>
      <c r="F52" s="45">
        <f t="shared" si="1"/>
        <v>27</v>
      </c>
    </row>
    <row r="53">
      <c r="A53" s="40" t="s">
        <v>235</v>
      </c>
      <c r="B53" s="40" t="s">
        <v>13</v>
      </c>
      <c r="C53" s="40" t="s">
        <v>958</v>
      </c>
      <c r="D53" s="44">
        <v>36333.0</v>
      </c>
      <c r="E53" s="5">
        <v>24.0</v>
      </c>
      <c r="F53" s="45">
        <f t="shared" si="1"/>
        <v>24</v>
      </c>
    </row>
    <row r="54">
      <c r="A54" s="40" t="s">
        <v>155</v>
      </c>
      <c r="B54" s="40" t="s">
        <v>30</v>
      </c>
      <c r="C54" s="40" t="s">
        <v>938</v>
      </c>
      <c r="D54" s="44">
        <v>34611.0</v>
      </c>
      <c r="E54" s="5">
        <v>28.0</v>
      </c>
      <c r="F54" s="45">
        <f t="shared" si="1"/>
        <v>29</v>
      </c>
    </row>
    <row r="55">
      <c r="A55" s="40" t="s">
        <v>185</v>
      </c>
      <c r="B55" s="40" t="s">
        <v>30</v>
      </c>
      <c r="C55" s="40" t="s">
        <v>1024</v>
      </c>
      <c r="D55" s="44">
        <v>34202.0</v>
      </c>
      <c r="E55" s="5">
        <v>30.0</v>
      </c>
      <c r="F55" s="45">
        <f t="shared" si="1"/>
        <v>30</v>
      </c>
    </row>
    <row r="56">
      <c r="A56" s="40" t="s">
        <v>329</v>
      </c>
      <c r="B56" s="40" t="s">
        <v>191</v>
      </c>
      <c r="C56" s="40" t="s">
        <v>963</v>
      </c>
      <c r="D56" s="44">
        <v>34251.0</v>
      </c>
      <c r="E56" s="5">
        <v>29.0</v>
      </c>
      <c r="F56" s="45">
        <f t="shared" si="1"/>
        <v>30</v>
      </c>
    </row>
    <row r="57">
      <c r="A57" s="40" t="s">
        <v>217</v>
      </c>
      <c r="B57" s="40" t="s">
        <v>13</v>
      </c>
      <c r="C57" s="40" t="s">
        <v>1007</v>
      </c>
      <c r="D57" s="44">
        <v>36146.0</v>
      </c>
      <c r="E57" s="5">
        <v>24.0</v>
      </c>
      <c r="F57" s="45">
        <f t="shared" si="1"/>
        <v>25</v>
      </c>
    </row>
    <row r="58">
      <c r="A58" s="40" t="s">
        <v>124</v>
      </c>
      <c r="B58" s="40" t="s">
        <v>30</v>
      </c>
      <c r="C58" s="40" t="s">
        <v>1016</v>
      </c>
      <c r="D58" s="44">
        <v>34957.0</v>
      </c>
      <c r="E58" s="5">
        <v>27.0</v>
      </c>
      <c r="F58" s="45">
        <f t="shared" si="1"/>
        <v>28</v>
      </c>
    </row>
    <row r="59">
      <c r="A59" s="40" t="s">
        <v>109</v>
      </c>
      <c r="B59" s="40" t="s">
        <v>13</v>
      </c>
      <c r="C59" s="40" t="s">
        <v>940</v>
      </c>
      <c r="D59" s="44">
        <v>35588.0</v>
      </c>
      <c r="E59" s="5">
        <v>26.0</v>
      </c>
      <c r="F59" s="45">
        <f t="shared" si="1"/>
        <v>26</v>
      </c>
    </row>
    <row r="60">
      <c r="A60" s="40" t="s">
        <v>262</v>
      </c>
      <c r="B60" s="40" t="s">
        <v>30</v>
      </c>
      <c r="C60" s="40" t="s">
        <v>974</v>
      </c>
      <c r="D60" s="44">
        <v>37096.0</v>
      </c>
      <c r="E60" s="5">
        <v>22.0</v>
      </c>
      <c r="F60" s="45">
        <f t="shared" si="1"/>
        <v>22</v>
      </c>
    </row>
    <row r="61">
      <c r="A61" s="40" t="s">
        <v>83</v>
      </c>
      <c r="B61" s="40" t="s">
        <v>13</v>
      </c>
      <c r="C61" s="40" t="s">
        <v>931</v>
      </c>
      <c r="D61" s="44">
        <v>35551.0</v>
      </c>
      <c r="E61" s="5">
        <v>26.0</v>
      </c>
      <c r="F61" s="45">
        <f t="shared" si="1"/>
        <v>26</v>
      </c>
    </row>
    <row r="62">
      <c r="A62" s="40" t="s">
        <v>179</v>
      </c>
      <c r="B62" s="40" t="s">
        <v>30</v>
      </c>
      <c r="C62" s="40" t="s">
        <v>946</v>
      </c>
      <c r="D62" s="44">
        <v>33875.0</v>
      </c>
      <c r="E62" s="5">
        <v>30.0</v>
      </c>
      <c r="F62" s="45">
        <f t="shared" si="1"/>
        <v>31</v>
      </c>
    </row>
    <row r="63">
      <c r="A63" s="40" t="s">
        <v>411</v>
      </c>
      <c r="B63" s="40" t="s">
        <v>191</v>
      </c>
      <c r="C63" s="40" t="s">
        <v>931</v>
      </c>
      <c r="D63" s="44">
        <v>34702.0</v>
      </c>
      <c r="E63" s="5">
        <v>28.0</v>
      </c>
      <c r="F63" s="45">
        <f t="shared" si="1"/>
        <v>29</v>
      </c>
    </row>
    <row r="64">
      <c r="A64" s="40" t="s">
        <v>246</v>
      </c>
      <c r="B64" s="40" t="s">
        <v>30</v>
      </c>
      <c r="C64" s="40" t="s">
        <v>976</v>
      </c>
      <c r="D64" s="44">
        <v>36274.0</v>
      </c>
      <c r="E64" s="5">
        <v>24.0</v>
      </c>
      <c r="F64" s="45">
        <f t="shared" si="1"/>
        <v>24</v>
      </c>
    </row>
    <row r="65">
      <c r="A65" s="40" t="s">
        <v>257</v>
      </c>
      <c r="B65" s="40" t="s">
        <v>30</v>
      </c>
      <c r="C65" s="40" t="s">
        <v>985</v>
      </c>
      <c r="D65" s="44">
        <v>35251.0</v>
      </c>
      <c r="E65" s="5">
        <v>27.0</v>
      </c>
      <c r="F65" s="45">
        <f t="shared" si="1"/>
        <v>27</v>
      </c>
    </row>
    <row r="66">
      <c r="A66" s="40" t="s">
        <v>279</v>
      </c>
      <c r="B66" s="40" t="s">
        <v>30</v>
      </c>
      <c r="C66" s="40" t="s">
        <v>963</v>
      </c>
      <c r="D66" s="44">
        <v>35871.0</v>
      </c>
      <c r="E66" s="5">
        <v>25.0</v>
      </c>
      <c r="F66" s="45">
        <f t="shared" si="1"/>
        <v>25</v>
      </c>
    </row>
    <row r="67">
      <c r="A67" s="40" t="s">
        <v>243</v>
      </c>
      <c r="B67" s="40" t="s">
        <v>30</v>
      </c>
      <c r="C67" s="40" t="s">
        <v>942</v>
      </c>
      <c r="D67" s="44">
        <v>35387.0</v>
      </c>
      <c r="E67" s="5">
        <v>26.0</v>
      </c>
      <c r="F67" s="45">
        <f t="shared" si="1"/>
        <v>27</v>
      </c>
    </row>
    <row r="68">
      <c r="A68" s="40" t="s">
        <v>211</v>
      </c>
      <c r="B68" s="40" t="s">
        <v>172</v>
      </c>
      <c r="C68" s="40" t="s">
        <v>1007</v>
      </c>
      <c r="D68" s="44">
        <v>35437.0</v>
      </c>
      <c r="E68" s="5">
        <v>26.0</v>
      </c>
      <c r="F68" s="45">
        <f t="shared" si="1"/>
        <v>26</v>
      </c>
    </row>
    <row r="69">
      <c r="A69" s="40" t="s">
        <v>214</v>
      </c>
      <c r="B69" s="40" t="s">
        <v>30</v>
      </c>
      <c r="C69" s="40" t="s">
        <v>1040</v>
      </c>
      <c r="D69" s="44">
        <v>35585.0</v>
      </c>
      <c r="E69" s="5">
        <v>26.0</v>
      </c>
      <c r="F69" s="45">
        <f t="shared" si="1"/>
        <v>26</v>
      </c>
    </row>
    <row r="70">
      <c r="A70" s="40" t="s">
        <v>1486</v>
      </c>
      <c r="B70" s="40" t="s">
        <v>13</v>
      </c>
      <c r="C70" s="40" t="s">
        <v>1024</v>
      </c>
      <c r="D70" s="44">
        <v>34717.0</v>
      </c>
      <c r="E70" s="5">
        <v>28.0</v>
      </c>
      <c r="F70" s="45">
        <f t="shared" si="1"/>
        <v>28</v>
      </c>
    </row>
    <row r="71">
      <c r="A71" s="40" t="s">
        <v>461</v>
      </c>
      <c r="B71" s="40" t="s">
        <v>13</v>
      </c>
      <c r="C71" s="40" t="s">
        <v>974</v>
      </c>
      <c r="D71" s="44">
        <v>36631.0</v>
      </c>
      <c r="E71" s="5">
        <v>23.0</v>
      </c>
      <c r="F71" s="45">
        <f t="shared" si="1"/>
        <v>23</v>
      </c>
    </row>
    <row r="72">
      <c r="A72" s="40" t="s">
        <v>254</v>
      </c>
      <c r="B72" s="40" t="s">
        <v>13</v>
      </c>
      <c r="C72" s="40" t="s">
        <v>1024</v>
      </c>
      <c r="D72" s="44">
        <v>36172.0</v>
      </c>
      <c r="E72" s="5">
        <v>24.0</v>
      </c>
      <c r="F72" s="45">
        <f t="shared" si="1"/>
        <v>24</v>
      </c>
    </row>
    <row r="73">
      <c r="A73" s="40" t="s">
        <v>1261</v>
      </c>
      <c r="B73" s="40" t="s">
        <v>13</v>
      </c>
      <c r="C73" s="40" t="s">
        <v>988</v>
      </c>
      <c r="D73" s="44">
        <v>35917.0</v>
      </c>
      <c r="E73" s="5">
        <v>25.0</v>
      </c>
      <c r="F73" s="45">
        <f t="shared" si="1"/>
        <v>25</v>
      </c>
    </row>
    <row r="74">
      <c r="A74" s="40" t="s">
        <v>222</v>
      </c>
      <c r="B74" s="40" t="s">
        <v>172</v>
      </c>
      <c r="C74" s="40" t="s">
        <v>940</v>
      </c>
      <c r="D74" s="44">
        <v>36224.0</v>
      </c>
      <c r="E74" s="5">
        <v>24.0</v>
      </c>
      <c r="F74" s="45">
        <f t="shared" si="1"/>
        <v>24</v>
      </c>
    </row>
    <row r="75">
      <c r="A75" s="40" t="s">
        <v>169</v>
      </c>
      <c r="B75" s="40" t="s">
        <v>30</v>
      </c>
      <c r="C75" s="40" t="s">
        <v>988</v>
      </c>
      <c r="D75" s="44">
        <v>36292.0</v>
      </c>
      <c r="E75" s="5">
        <v>24.0</v>
      </c>
      <c r="F75" s="45">
        <f t="shared" si="1"/>
        <v>24</v>
      </c>
    </row>
    <row r="76">
      <c r="A76" s="40" t="s">
        <v>219</v>
      </c>
      <c r="B76" s="40" t="s">
        <v>172</v>
      </c>
      <c r="C76" s="40" t="s">
        <v>938</v>
      </c>
      <c r="D76" s="44">
        <v>35864.0</v>
      </c>
      <c r="E76" s="5">
        <v>25.0</v>
      </c>
      <c r="F76" s="45">
        <f t="shared" si="1"/>
        <v>25</v>
      </c>
    </row>
    <row r="77">
      <c r="A77" s="40" t="s">
        <v>303</v>
      </c>
      <c r="B77" s="40" t="s">
        <v>172</v>
      </c>
      <c r="C77" s="40" t="s">
        <v>942</v>
      </c>
      <c r="D77" s="44">
        <v>36439.0</v>
      </c>
      <c r="E77" s="5">
        <v>23.0</v>
      </c>
      <c r="F77" s="45">
        <f t="shared" si="1"/>
        <v>24</v>
      </c>
    </row>
    <row r="78">
      <c r="A78" s="40" t="s">
        <v>249</v>
      </c>
      <c r="B78" s="40" t="s">
        <v>13</v>
      </c>
      <c r="C78" s="40" t="s">
        <v>929</v>
      </c>
      <c r="D78" s="44">
        <v>36428.0</v>
      </c>
      <c r="E78" s="5">
        <v>23.0</v>
      </c>
      <c r="F78" s="45">
        <f t="shared" si="1"/>
        <v>24</v>
      </c>
    </row>
    <row r="79">
      <c r="A79" s="40" t="s">
        <v>295</v>
      </c>
      <c r="B79" s="40" t="s">
        <v>13</v>
      </c>
      <c r="C79" s="40" t="s">
        <v>1016</v>
      </c>
      <c r="D79" s="44">
        <v>35969.0</v>
      </c>
      <c r="E79" s="5">
        <v>25.0</v>
      </c>
      <c r="F79" s="45">
        <f t="shared" si="1"/>
        <v>25</v>
      </c>
    </row>
    <row r="80">
      <c r="A80" s="40" t="s">
        <v>355</v>
      </c>
      <c r="B80" s="40" t="s">
        <v>30</v>
      </c>
      <c r="C80" s="40" t="s">
        <v>976</v>
      </c>
      <c r="D80" s="44">
        <v>34982.0</v>
      </c>
      <c r="E80" s="5">
        <v>27.0</v>
      </c>
      <c r="F80" s="45">
        <f t="shared" si="1"/>
        <v>28</v>
      </c>
    </row>
    <row r="81">
      <c r="A81" s="40" t="s">
        <v>229</v>
      </c>
      <c r="B81" s="40" t="s">
        <v>172</v>
      </c>
      <c r="C81" s="40" t="s">
        <v>952</v>
      </c>
      <c r="D81" s="44">
        <v>34179.0</v>
      </c>
      <c r="E81" s="5">
        <v>30.0</v>
      </c>
      <c r="F81" s="45">
        <f t="shared" si="1"/>
        <v>30</v>
      </c>
    </row>
    <row r="82">
      <c r="A82" s="40" t="s">
        <v>1630</v>
      </c>
      <c r="B82" s="40" t="s">
        <v>13</v>
      </c>
      <c r="C82" s="40" t="s">
        <v>1016</v>
      </c>
      <c r="D82" s="44">
        <v>36241.0</v>
      </c>
      <c r="E82" s="5">
        <v>24.0</v>
      </c>
      <c r="F82" s="45">
        <f t="shared" si="1"/>
        <v>24</v>
      </c>
    </row>
    <row r="83">
      <c r="A83" s="40" t="s">
        <v>396</v>
      </c>
      <c r="B83" s="40" t="s">
        <v>13</v>
      </c>
      <c r="C83" s="40" t="s">
        <v>952</v>
      </c>
      <c r="D83" s="44">
        <v>34902.0</v>
      </c>
      <c r="E83" s="5">
        <v>28.0</v>
      </c>
      <c r="F83" s="45">
        <f t="shared" si="1"/>
        <v>28</v>
      </c>
    </row>
    <row r="84">
      <c r="A84" s="40" t="s">
        <v>292</v>
      </c>
      <c r="B84" s="40" t="s">
        <v>30</v>
      </c>
      <c r="C84" s="40" t="s">
        <v>985</v>
      </c>
      <c r="D84" s="44">
        <v>36954.0</v>
      </c>
      <c r="E84" s="5">
        <v>22.0</v>
      </c>
      <c r="F84" s="45">
        <f t="shared" si="1"/>
        <v>22</v>
      </c>
    </row>
    <row r="85">
      <c r="A85" s="40" t="s">
        <v>325</v>
      </c>
      <c r="B85" s="40" t="s">
        <v>191</v>
      </c>
      <c r="C85" s="40" t="s">
        <v>980</v>
      </c>
      <c r="D85" s="44">
        <v>33860.0</v>
      </c>
      <c r="E85" s="5">
        <v>30.0</v>
      </c>
      <c r="F85" s="45">
        <f t="shared" si="1"/>
        <v>31</v>
      </c>
    </row>
    <row r="86">
      <c r="A86" s="40" t="s">
        <v>603</v>
      </c>
      <c r="B86" s="40" t="s">
        <v>191</v>
      </c>
      <c r="C86" s="40" t="s">
        <v>952</v>
      </c>
      <c r="D86" s="44">
        <v>35257.0</v>
      </c>
      <c r="E86" s="5">
        <v>27.0</v>
      </c>
      <c r="F86" s="45">
        <f t="shared" si="1"/>
        <v>27</v>
      </c>
    </row>
    <row r="87">
      <c r="A87" s="40" t="s">
        <v>507</v>
      </c>
      <c r="B87" s="40" t="s">
        <v>191</v>
      </c>
      <c r="C87" s="40" t="s">
        <v>942</v>
      </c>
      <c r="D87" s="44">
        <v>34579.0</v>
      </c>
      <c r="E87" s="5">
        <v>28.0</v>
      </c>
      <c r="F87" s="45">
        <f t="shared" si="1"/>
        <v>29</v>
      </c>
    </row>
    <row r="88">
      <c r="A88" s="40" t="s">
        <v>142</v>
      </c>
      <c r="B88" s="40" t="s">
        <v>13</v>
      </c>
      <c r="C88" s="40" t="s">
        <v>933</v>
      </c>
      <c r="D88" s="44">
        <v>36587.0</v>
      </c>
      <c r="E88" s="5">
        <v>23.0</v>
      </c>
      <c r="F88" s="45">
        <f t="shared" si="1"/>
        <v>23</v>
      </c>
    </row>
    <row r="89">
      <c r="A89" s="40" t="s">
        <v>1476</v>
      </c>
      <c r="B89" s="40" t="s">
        <v>13</v>
      </c>
      <c r="C89" s="40" t="s">
        <v>944</v>
      </c>
      <c r="D89" s="44">
        <v>34917.0</v>
      </c>
      <c r="E89" s="5">
        <v>28.0</v>
      </c>
      <c r="F89" s="45">
        <f t="shared" si="1"/>
        <v>28</v>
      </c>
    </row>
    <row r="90">
      <c r="A90" s="40" t="s">
        <v>475</v>
      </c>
      <c r="B90" s="40" t="s">
        <v>191</v>
      </c>
      <c r="C90" s="40" t="s">
        <v>985</v>
      </c>
      <c r="D90" s="44">
        <v>36093.0</v>
      </c>
      <c r="E90" s="5">
        <v>24.0</v>
      </c>
      <c r="F90" s="45">
        <f t="shared" si="1"/>
        <v>25</v>
      </c>
    </row>
    <row r="91">
      <c r="A91" s="40" t="s">
        <v>337</v>
      </c>
      <c r="B91" s="40" t="s">
        <v>30</v>
      </c>
      <c r="C91" s="40" t="s">
        <v>990</v>
      </c>
      <c r="D91" s="44">
        <v>36608.0</v>
      </c>
      <c r="E91" s="5">
        <v>23.0</v>
      </c>
      <c r="F91" s="45">
        <f t="shared" si="1"/>
        <v>23</v>
      </c>
    </row>
    <row r="92">
      <c r="A92" s="40" t="s">
        <v>419</v>
      </c>
      <c r="B92" s="40" t="s">
        <v>30</v>
      </c>
      <c r="C92" s="40" t="s">
        <v>1007</v>
      </c>
      <c r="D92" s="44">
        <v>36493.0</v>
      </c>
      <c r="E92" s="5">
        <v>23.0</v>
      </c>
      <c r="F92" s="45">
        <f t="shared" si="1"/>
        <v>24</v>
      </c>
    </row>
    <row r="93">
      <c r="A93" s="40" t="s">
        <v>571</v>
      </c>
      <c r="B93" s="40" t="s">
        <v>30</v>
      </c>
      <c r="C93" s="40" t="s">
        <v>940</v>
      </c>
      <c r="D93" s="44">
        <v>35732.0</v>
      </c>
      <c r="E93" s="5">
        <v>25.0</v>
      </c>
      <c r="F93" s="45">
        <f t="shared" si="1"/>
        <v>26</v>
      </c>
    </row>
    <row r="94">
      <c r="A94" s="40" t="s">
        <v>580</v>
      </c>
      <c r="B94" s="40" t="s">
        <v>191</v>
      </c>
      <c r="C94" s="40" t="s">
        <v>944</v>
      </c>
      <c r="D94" s="44">
        <v>35256.0</v>
      </c>
      <c r="E94" s="5">
        <v>27.0</v>
      </c>
      <c r="F94" s="45">
        <f t="shared" si="1"/>
        <v>27</v>
      </c>
    </row>
    <row r="95">
      <c r="A95" s="40" t="s">
        <v>225</v>
      </c>
      <c r="B95" s="40" t="s">
        <v>13</v>
      </c>
      <c r="C95" s="40" t="s">
        <v>940</v>
      </c>
      <c r="D95" s="44">
        <v>35906.0</v>
      </c>
      <c r="E95" s="5">
        <v>25.0</v>
      </c>
      <c r="F95" s="45">
        <f t="shared" si="1"/>
        <v>25</v>
      </c>
    </row>
    <row r="96">
      <c r="A96" s="40" t="s">
        <v>275</v>
      </c>
      <c r="B96" s="40" t="s">
        <v>172</v>
      </c>
      <c r="C96" s="40" t="s">
        <v>944</v>
      </c>
      <c r="D96" s="44">
        <v>34956.0</v>
      </c>
      <c r="E96" s="5">
        <v>27.0</v>
      </c>
      <c r="F96" s="45">
        <f t="shared" si="1"/>
        <v>28</v>
      </c>
    </row>
    <row r="97">
      <c r="A97" s="40" t="s">
        <v>478</v>
      </c>
      <c r="B97" s="40" t="s">
        <v>13</v>
      </c>
      <c r="C97" s="40" t="s">
        <v>1009</v>
      </c>
      <c r="D97" s="44">
        <v>35472.0</v>
      </c>
      <c r="E97" s="5">
        <v>26.0</v>
      </c>
      <c r="F97" s="45">
        <f t="shared" si="1"/>
        <v>26</v>
      </c>
    </row>
    <row r="98">
      <c r="A98" s="40" t="s">
        <v>358</v>
      </c>
      <c r="B98" s="40" t="s">
        <v>30</v>
      </c>
      <c r="C98" s="40" t="s">
        <v>933</v>
      </c>
      <c r="D98" s="44">
        <v>35391.0</v>
      </c>
      <c r="E98" s="5">
        <v>26.0</v>
      </c>
      <c r="F98" s="45">
        <f t="shared" si="1"/>
        <v>27</v>
      </c>
    </row>
    <row r="99">
      <c r="A99" s="40" t="s">
        <v>376</v>
      </c>
      <c r="B99" s="40" t="s">
        <v>30</v>
      </c>
      <c r="C99" s="40" t="s">
        <v>992</v>
      </c>
      <c r="D99" s="44">
        <v>34237.0</v>
      </c>
      <c r="E99" s="5">
        <v>29.0</v>
      </c>
      <c r="F99" s="45">
        <f t="shared" si="1"/>
        <v>30</v>
      </c>
    </row>
    <row r="100">
      <c r="A100" s="40" t="s">
        <v>821</v>
      </c>
      <c r="B100" s="40" t="s">
        <v>191</v>
      </c>
      <c r="C100" s="40" t="s">
        <v>940</v>
      </c>
      <c r="D100" s="44">
        <v>36229.0</v>
      </c>
      <c r="E100" s="5">
        <v>24.0</v>
      </c>
      <c r="F100" s="45">
        <f t="shared" si="1"/>
        <v>24</v>
      </c>
    </row>
    <row r="101">
      <c r="A101" s="40" t="s">
        <v>468</v>
      </c>
      <c r="B101" s="40" t="s">
        <v>13</v>
      </c>
      <c r="C101" s="40" t="s">
        <v>965</v>
      </c>
      <c r="D101" s="44">
        <v>34792.0</v>
      </c>
      <c r="E101" s="5">
        <v>28.0</v>
      </c>
      <c r="F101" s="45">
        <f t="shared" si="1"/>
        <v>28</v>
      </c>
    </row>
    <row r="102">
      <c r="A102" s="40" t="s">
        <v>300</v>
      </c>
      <c r="B102" s="40" t="s">
        <v>30</v>
      </c>
      <c r="C102" s="40" t="s">
        <v>929</v>
      </c>
      <c r="D102" s="44">
        <v>36251.0</v>
      </c>
      <c r="E102" s="5">
        <v>24.0</v>
      </c>
      <c r="F102" s="45">
        <f t="shared" si="1"/>
        <v>24</v>
      </c>
    </row>
    <row r="103">
      <c r="A103" s="40" t="s">
        <v>237</v>
      </c>
      <c r="B103" s="40" t="s">
        <v>172</v>
      </c>
      <c r="C103" s="40" t="s">
        <v>950</v>
      </c>
      <c r="D103" s="44">
        <v>32374.0</v>
      </c>
      <c r="E103" s="5">
        <v>35.0</v>
      </c>
      <c r="F103" s="45">
        <f t="shared" si="1"/>
        <v>35</v>
      </c>
    </row>
    <row r="104">
      <c r="A104" s="40" t="s">
        <v>415</v>
      </c>
      <c r="B104" s="40" t="s">
        <v>30</v>
      </c>
      <c r="C104" s="40" t="s">
        <v>1009</v>
      </c>
      <c r="D104" s="44">
        <v>35378.0</v>
      </c>
      <c r="E104" s="5">
        <v>26.0</v>
      </c>
      <c r="F104" s="45">
        <f t="shared" si="1"/>
        <v>27</v>
      </c>
    </row>
    <row r="105">
      <c r="A105" s="40" t="s">
        <v>389</v>
      </c>
      <c r="B105" s="40" t="s">
        <v>30</v>
      </c>
      <c r="C105" s="40" t="s">
        <v>1016</v>
      </c>
      <c r="D105" s="44">
        <v>36607.0</v>
      </c>
      <c r="E105" s="5">
        <v>23.0</v>
      </c>
      <c r="F105" s="45">
        <f t="shared" si="1"/>
        <v>23</v>
      </c>
    </row>
    <row r="106">
      <c r="A106" s="40" t="s">
        <v>231</v>
      </c>
      <c r="B106" s="40" t="s">
        <v>172</v>
      </c>
      <c r="C106" s="40" t="s">
        <v>954</v>
      </c>
      <c r="D106" s="44">
        <v>35856.0</v>
      </c>
      <c r="E106" s="5">
        <v>25.0</v>
      </c>
      <c r="F106" s="45">
        <f t="shared" si="1"/>
        <v>25</v>
      </c>
    </row>
    <row r="107">
      <c r="A107" s="40" t="s">
        <v>513</v>
      </c>
      <c r="B107" s="40" t="s">
        <v>13</v>
      </c>
      <c r="C107" s="40" t="s">
        <v>929</v>
      </c>
      <c r="D107" s="44">
        <v>35676.0</v>
      </c>
      <c r="E107" s="5">
        <v>25.0</v>
      </c>
      <c r="F107" s="45">
        <f t="shared" si="1"/>
        <v>26</v>
      </c>
    </row>
    <row r="108">
      <c r="A108" s="40" t="s">
        <v>313</v>
      </c>
      <c r="B108" s="40" t="s">
        <v>30</v>
      </c>
      <c r="C108" s="40" t="s">
        <v>967</v>
      </c>
      <c r="D108" s="44">
        <v>36612.0</v>
      </c>
      <c r="E108" s="5">
        <v>23.0</v>
      </c>
      <c r="F108" s="45">
        <f t="shared" si="1"/>
        <v>23</v>
      </c>
    </row>
    <row r="109">
      <c r="A109" s="40" t="s">
        <v>551</v>
      </c>
      <c r="B109" s="40" t="s">
        <v>30</v>
      </c>
      <c r="C109" s="40" t="s">
        <v>1040</v>
      </c>
      <c r="D109" s="44">
        <v>36686.0</v>
      </c>
      <c r="E109" s="5">
        <v>23.0</v>
      </c>
      <c r="F109" s="45">
        <f t="shared" si="1"/>
        <v>23</v>
      </c>
    </row>
    <row r="110">
      <c r="A110" s="40" t="s">
        <v>426</v>
      </c>
      <c r="B110" s="40" t="s">
        <v>13</v>
      </c>
      <c r="C110" s="40" t="s">
        <v>933</v>
      </c>
      <c r="D110" s="44">
        <v>33727.0</v>
      </c>
      <c r="E110" s="5">
        <v>31.0</v>
      </c>
      <c r="F110" s="45">
        <f t="shared" si="1"/>
        <v>31</v>
      </c>
    </row>
    <row r="111">
      <c r="A111" s="40" t="s">
        <v>407</v>
      </c>
      <c r="B111" s="40" t="s">
        <v>13</v>
      </c>
      <c r="C111" s="40" t="s">
        <v>963</v>
      </c>
      <c r="D111" s="44">
        <v>35917.0</v>
      </c>
      <c r="E111" s="5">
        <v>25.0</v>
      </c>
      <c r="F111" s="45">
        <f t="shared" si="1"/>
        <v>25</v>
      </c>
    </row>
    <row r="112">
      <c r="A112" s="40" t="s">
        <v>545</v>
      </c>
      <c r="B112" s="40" t="s">
        <v>30</v>
      </c>
      <c r="C112" s="40" t="s">
        <v>965</v>
      </c>
      <c r="D112" s="44">
        <v>36976.0</v>
      </c>
      <c r="E112" s="5">
        <v>22.0</v>
      </c>
      <c r="F112" s="45">
        <f t="shared" si="1"/>
        <v>22</v>
      </c>
    </row>
    <row r="113">
      <c r="A113" s="40" t="s">
        <v>173</v>
      </c>
      <c r="B113" s="40" t="s">
        <v>172</v>
      </c>
      <c r="C113" s="40" t="s">
        <v>948</v>
      </c>
      <c r="D113" s="44">
        <v>35577.0</v>
      </c>
      <c r="E113" s="5">
        <v>26.0</v>
      </c>
      <c r="F113" s="45">
        <f t="shared" si="1"/>
        <v>26</v>
      </c>
    </row>
    <row r="114">
      <c r="A114" s="40" t="s">
        <v>745</v>
      </c>
      <c r="B114" s="40" t="s">
        <v>30</v>
      </c>
      <c r="C114" s="40" t="s">
        <v>980</v>
      </c>
      <c r="D114" s="44">
        <v>35054.0</v>
      </c>
      <c r="E114" s="5">
        <v>27.0</v>
      </c>
      <c r="F114" s="45">
        <f t="shared" si="1"/>
        <v>28</v>
      </c>
    </row>
    <row r="115">
      <c r="A115" s="40" t="s">
        <v>386</v>
      </c>
      <c r="B115" s="40" t="s">
        <v>30</v>
      </c>
      <c r="C115" s="40" t="s">
        <v>933</v>
      </c>
      <c r="D115" s="44">
        <v>36187.0</v>
      </c>
      <c r="E115" s="5">
        <v>24.0</v>
      </c>
      <c r="F115" s="45">
        <f t="shared" si="1"/>
        <v>24</v>
      </c>
    </row>
    <row r="116">
      <c r="A116" s="40" t="s">
        <v>47</v>
      </c>
      <c r="B116" s="40" t="s">
        <v>13</v>
      </c>
      <c r="C116" s="40" t="s">
        <v>2049</v>
      </c>
      <c r="D116" s="44">
        <v>37286.0</v>
      </c>
      <c r="E116" s="5">
        <v>21.0</v>
      </c>
      <c r="F116" s="45">
        <f t="shared" si="1"/>
        <v>21</v>
      </c>
    </row>
    <row r="117">
      <c r="A117" s="40" t="s">
        <v>454</v>
      </c>
      <c r="B117" s="40" t="s">
        <v>30</v>
      </c>
      <c r="C117" s="40" t="s">
        <v>942</v>
      </c>
      <c r="D117" s="44">
        <v>34788.0</v>
      </c>
      <c r="E117" s="5">
        <v>28.0</v>
      </c>
      <c r="F117" s="45">
        <f t="shared" si="1"/>
        <v>28</v>
      </c>
    </row>
    <row r="118">
      <c r="A118" s="40" t="s">
        <v>135</v>
      </c>
      <c r="B118" s="40" t="s">
        <v>13</v>
      </c>
      <c r="C118" s="40" t="s">
        <v>950</v>
      </c>
      <c r="D118" s="44">
        <v>35965.0</v>
      </c>
      <c r="E118" s="5">
        <v>25.0</v>
      </c>
      <c r="F118" s="45">
        <f t="shared" si="1"/>
        <v>25</v>
      </c>
    </row>
    <row r="119">
      <c r="A119" s="40" t="s">
        <v>152</v>
      </c>
      <c r="B119" s="40" t="s">
        <v>30</v>
      </c>
      <c r="C119" s="40" t="s">
        <v>942</v>
      </c>
      <c r="D119" s="44">
        <v>34688.0</v>
      </c>
      <c r="E119" s="5">
        <v>28.0</v>
      </c>
      <c r="F119" s="45">
        <f t="shared" si="1"/>
        <v>29</v>
      </c>
    </row>
    <row r="120">
      <c r="A120" s="40" t="s">
        <v>372</v>
      </c>
      <c r="B120" s="40" t="s">
        <v>30</v>
      </c>
      <c r="C120" s="40" t="s">
        <v>983</v>
      </c>
      <c r="D120" s="44">
        <v>34031.0</v>
      </c>
      <c r="E120" s="5">
        <v>30.0</v>
      </c>
      <c r="F120" s="45">
        <f t="shared" si="1"/>
        <v>30</v>
      </c>
    </row>
    <row r="121">
      <c r="A121" s="40" t="s">
        <v>1519</v>
      </c>
      <c r="B121" s="40" t="s">
        <v>172</v>
      </c>
      <c r="C121" s="40" t="s">
        <v>963</v>
      </c>
      <c r="D121" s="44">
        <v>36655.0</v>
      </c>
      <c r="E121" s="5">
        <v>23.0</v>
      </c>
      <c r="F121" s="45">
        <f t="shared" si="1"/>
        <v>23</v>
      </c>
    </row>
    <row r="122">
      <c r="A122" s="40" t="s">
        <v>361</v>
      </c>
      <c r="B122" s="40" t="s">
        <v>30</v>
      </c>
      <c r="C122" s="40" t="s">
        <v>988</v>
      </c>
      <c r="D122" s="44">
        <v>35044.0</v>
      </c>
      <c r="E122" s="5">
        <v>27.0</v>
      </c>
      <c r="F122" s="45">
        <f t="shared" si="1"/>
        <v>28</v>
      </c>
    </row>
    <row r="123">
      <c r="A123" s="40" t="s">
        <v>814</v>
      </c>
      <c r="B123" s="40" t="s">
        <v>191</v>
      </c>
      <c r="C123" s="40" t="s">
        <v>929</v>
      </c>
      <c r="D123" s="44">
        <v>35383.0</v>
      </c>
      <c r="E123" s="5">
        <v>26.0</v>
      </c>
      <c r="F123" s="45">
        <f t="shared" si="1"/>
        <v>27</v>
      </c>
    </row>
    <row r="124">
      <c r="A124" s="40" t="s">
        <v>227</v>
      </c>
      <c r="B124" s="40" t="s">
        <v>172</v>
      </c>
      <c r="C124" s="40" t="s">
        <v>946</v>
      </c>
      <c r="D124" s="44">
        <v>33156.0</v>
      </c>
      <c r="E124" s="5">
        <v>32.0</v>
      </c>
      <c r="F124" s="45">
        <f t="shared" si="1"/>
        <v>33</v>
      </c>
    </row>
    <row r="125">
      <c r="A125" s="40" t="s">
        <v>510</v>
      </c>
      <c r="B125" s="40" t="s">
        <v>13</v>
      </c>
      <c r="C125" s="40" t="s">
        <v>931</v>
      </c>
      <c r="D125" s="44">
        <v>36233.0</v>
      </c>
      <c r="E125" s="5">
        <v>24.0</v>
      </c>
      <c r="F125" s="45">
        <f t="shared" si="1"/>
        <v>24</v>
      </c>
    </row>
    <row r="126">
      <c r="A126" s="40" t="s">
        <v>1460</v>
      </c>
      <c r="B126" s="40" t="s">
        <v>30</v>
      </c>
      <c r="C126" s="40" t="s">
        <v>948</v>
      </c>
      <c r="D126" s="44">
        <v>36896.0</v>
      </c>
      <c r="E126" s="5">
        <v>22.0</v>
      </c>
      <c r="F126" s="45">
        <f t="shared" si="1"/>
        <v>23</v>
      </c>
    </row>
    <row r="127">
      <c r="A127" s="40" t="s">
        <v>393</v>
      </c>
      <c r="B127" s="40" t="s">
        <v>13</v>
      </c>
      <c r="C127" s="40" t="s">
        <v>954</v>
      </c>
      <c r="D127" s="44">
        <v>33703.0</v>
      </c>
      <c r="E127" s="5">
        <v>31.0</v>
      </c>
      <c r="F127" s="45">
        <f t="shared" si="1"/>
        <v>31</v>
      </c>
    </row>
    <row r="128">
      <c r="A128" s="40" t="s">
        <v>352</v>
      </c>
      <c r="B128" s="40" t="s">
        <v>172</v>
      </c>
      <c r="C128" s="40" t="s">
        <v>1040</v>
      </c>
      <c r="D128" s="44">
        <v>35649.0</v>
      </c>
      <c r="E128" s="5">
        <v>26.0</v>
      </c>
      <c r="F128" s="45">
        <f t="shared" si="1"/>
        <v>26</v>
      </c>
    </row>
    <row r="129">
      <c r="A129" s="40" t="s">
        <v>486</v>
      </c>
      <c r="B129" s="40" t="s">
        <v>30</v>
      </c>
      <c r="C129" s="40" t="s">
        <v>935</v>
      </c>
      <c r="D129" s="44">
        <v>34653.0</v>
      </c>
      <c r="E129" s="5">
        <v>28.0</v>
      </c>
      <c r="F129" s="45">
        <f t="shared" si="1"/>
        <v>29</v>
      </c>
    </row>
    <row r="130">
      <c r="A130" s="40" t="s">
        <v>472</v>
      </c>
      <c r="B130" s="40" t="s">
        <v>30</v>
      </c>
      <c r="C130" s="40" t="s">
        <v>952</v>
      </c>
      <c r="D130" s="44">
        <v>35128.0</v>
      </c>
      <c r="E130" s="5">
        <v>27.0</v>
      </c>
      <c r="F130" s="45">
        <f t="shared" si="1"/>
        <v>27</v>
      </c>
    </row>
    <row r="131">
      <c r="A131" s="40" t="s">
        <v>199</v>
      </c>
      <c r="B131" s="40" t="s">
        <v>172</v>
      </c>
      <c r="C131" s="40" t="s">
        <v>976</v>
      </c>
      <c r="D131" s="44">
        <v>32476.0</v>
      </c>
      <c r="E131" s="5">
        <v>34.0</v>
      </c>
      <c r="F131" s="45">
        <f t="shared" si="1"/>
        <v>35</v>
      </c>
    </row>
    <row r="132">
      <c r="A132" s="40" t="s">
        <v>567</v>
      </c>
      <c r="B132" s="40" t="s">
        <v>13</v>
      </c>
      <c r="C132" s="40" t="s">
        <v>974</v>
      </c>
      <c r="D132" s="44">
        <v>33314.0</v>
      </c>
      <c r="E132" s="5">
        <v>32.0</v>
      </c>
      <c r="F132" s="45">
        <f t="shared" si="1"/>
        <v>32</v>
      </c>
    </row>
    <row r="133">
      <c r="A133" s="40" t="s">
        <v>436</v>
      </c>
      <c r="B133" s="40" t="s">
        <v>30</v>
      </c>
      <c r="C133" s="40" t="s">
        <v>992</v>
      </c>
      <c r="D133" s="44">
        <v>36238.0</v>
      </c>
      <c r="E133" s="5">
        <v>24.0</v>
      </c>
      <c r="F133" s="45">
        <f t="shared" si="1"/>
        <v>24</v>
      </c>
    </row>
    <row r="134">
      <c r="A134" s="40" t="s">
        <v>590</v>
      </c>
      <c r="B134" s="40" t="s">
        <v>191</v>
      </c>
      <c r="C134" s="40" t="s">
        <v>958</v>
      </c>
      <c r="D134" s="44">
        <v>33970.0</v>
      </c>
      <c r="E134" s="5">
        <v>30.0</v>
      </c>
      <c r="F134" s="45">
        <f t="shared" si="1"/>
        <v>31</v>
      </c>
    </row>
    <row r="135">
      <c r="A135" s="40" t="s">
        <v>290</v>
      </c>
      <c r="B135" s="40" t="s">
        <v>172</v>
      </c>
      <c r="C135" s="40" t="s">
        <v>965</v>
      </c>
      <c r="D135" s="44">
        <v>34621.0</v>
      </c>
      <c r="E135" s="5">
        <v>28.0</v>
      </c>
      <c r="F135" s="45">
        <f t="shared" si="1"/>
        <v>29</v>
      </c>
    </row>
    <row r="136">
      <c r="A136" s="40" t="s">
        <v>649</v>
      </c>
      <c r="B136" s="40" t="s">
        <v>30</v>
      </c>
      <c r="C136" s="40" t="s">
        <v>944</v>
      </c>
      <c r="D136" s="44">
        <v>36210.0</v>
      </c>
      <c r="E136" s="5">
        <v>24.0</v>
      </c>
      <c r="F136" s="45">
        <f t="shared" si="1"/>
        <v>24</v>
      </c>
    </row>
    <row r="137">
      <c r="A137" s="40" t="s">
        <v>443</v>
      </c>
      <c r="B137" s="40" t="s">
        <v>30</v>
      </c>
      <c r="C137" s="40" t="s">
        <v>933</v>
      </c>
      <c r="D137" s="44">
        <v>36779.0</v>
      </c>
      <c r="E137" s="5">
        <v>22.0</v>
      </c>
      <c r="F137" s="45">
        <f t="shared" si="1"/>
        <v>23</v>
      </c>
    </row>
    <row r="138">
      <c r="A138" s="40" t="s">
        <v>805</v>
      </c>
      <c r="B138" s="40" t="s">
        <v>191</v>
      </c>
      <c r="C138" s="40" t="s">
        <v>938</v>
      </c>
      <c r="D138" s="44">
        <v>34510.0</v>
      </c>
      <c r="E138" s="5">
        <v>29.0</v>
      </c>
      <c r="F138" s="45">
        <f t="shared" si="1"/>
        <v>29</v>
      </c>
    </row>
    <row r="139">
      <c r="A139" s="40" t="s">
        <v>400</v>
      </c>
      <c r="B139" s="40" t="s">
        <v>13</v>
      </c>
      <c r="C139" s="40" t="s">
        <v>946</v>
      </c>
      <c r="D139" s="44">
        <v>35097.0</v>
      </c>
      <c r="E139" s="5">
        <v>27.0</v>
      </c>
      <c r="F139" s="45">
        <f t="shared" si="1"/>
        <v>27</v>
      </c>
    </row>
    <row r="140">
      <c r="A140" s="40" t="s">
        <v>828</v>
      </c>
      <c r="B140" s="40" t="s">
        <v>30</v>
      </c>
      <c r="C140" s="40" t="s">
        <v>940</v>
      </c>
      <c r="D140" s="44">
        <v>35983.0</v>
      </c>
      <c r="E140" s="5">
        <v>25.0</v>
      </c>
      <c r="F140" s="45">
        <f t="shared" si="1"/>
        <v>25</v>
      </c>
    </row>
    <row r="141">
      <c r="A141" s="40" t="s">
        <v>793</v>
      </c>
      <c r="B141" s="40" t="s">
        <v>191</v>
      </c>
      <c r="C141" s="40" t="s">
        <v>1040</v>
      </c>
      <c r="D141" s="44">
        <v>33187.0</v>
      </c>
      <c r="E141" s="5">
        <v>32.0</v>
      </c>
      <c r="F141" s="45">
        <f t="shared" si="1"/>
        <v>33</v>
      </c>
    </row>
    <row r="142">
      <c r="A142" s="40" t="s">
        <v>465</v>
      </c>
      <c r="B142" s="40" t="s">
        <v>30</v>
      </c>
      <c r="C142" s="40" t="s">
        <v>950</v>
      </c>
      <c r="D142" s="44">
        <v>33107.0</v>
      </c>
      <c r="E142" s="5">
        <v>33.0</v>
      </c>
      <c r="F142" s="45">
        <f t="shared" si="1"/>
        <v>33</v>
      </c>
    </row>
    <row r="143">
      <c r="A143" s="40" t="s">
        <v>1471</v>
      </c>
      <c r="B143" s="40" t="s">
        <v>13</v>
      </c>
      <c r="C143" s="40" t="s">
        <v>967</v>
      </c>
      <c r="D143" s="44">
        <v>36287.0</v>
      </c>
      <c r="E143" s="5">
        <v>24.0</v>
      </c>
      <c r="F143" s="45">
        <f t="shared" si="1"/>
        <v>24</v>
      </c>
    </row>
    <row r="144">
      <c r="A144" s="40" t="s">
        <v>440</v>
      </c>
      <c r="B144" s="40" t="s">
        <v>13</v>
      </c>
      <c r="C144" s="40" t="s">
        <v>954</v>
      </c>
      <c r="D144" s="44">
        <v>35019.0</v>
      </c>
      <c r="E144" s="5">
        <v>27.0</v>
      </c>
      <c r="F144" s="45">
        <f t="shared" si="1"/>
        <v>28</v>
      </c>
    </row>
    <row r="145">
      <c r="A145" s="40" t="s">
        <v>846</v>
      </c>
      <c r="B145" s="40" t="s">
        <v>30</v>
      </c>
      <c r="C145" s="40" t="s">
        <v>938</v>
      </c>
      <c r="D145" s="44">
        <v>36425.0</v>
      </c>
      <c r="E145" s="5">
        <v>23.0</v>
      </c>
      <c r="F145" s="45">
        <f t="shared" si="1"/>
        <v>24</v>
      </c>
    </row>
    <row r="146">
      <c r="A146" s="40" t="s">
        <v>905</v>
      </c>
      <c r="B146" s="40" t="s">
        <v>191</v>
      </c>
      <c r="C146" s="40" t="s">
        <v>1040</v>
      </c>
      <c r="D146" s="44">
        <v>36486.0</v>
      </c>
      <c r="E146" s="5">
        <v>23.0</v>
      </c>
      <c r="F146" s="45">
        <f t="shared" si="1"/>
        <v>24</v>
      </c>
    </row>
    <row r="147">
      <c r="A147" s="40" t="s">
        <v>668</v>
      </c>
      <c r="B147" s="40" t="s">
        <v>13</v>
      </c>
      <c r="C147" s="40" t="s">
        <v>933</v>
      </c>
      <c r="D147" s="44">
        <v>36261.0</v>
      </c>
      <c r="E147" s="5">
        <v>24.0</v>
      </c>
      <c r="F147" s="45">
        <f t="shared" si="1"/>
        <v>24</v>
      </c>
    </row>
    <row r="148">
      <c r="A148" s="40" t="s">
        <v>705</v>
      </c>
      <c r="B148" s="40" t="s">
        <v>191</v>
      </c>
      <c r="C148" s="40" t="s">
        <v>976</v>
      </c>
      <c r="D148" s="44">
        <v>36611.0</v>
      </c>
      <c r="E148" s="5">
        <v>23.0</v>
      </c>
      <c r="F148" s="45">
        <f t="shared" si="1"/>
        <v>23</v>
      </c>
    </row>
    <row r="149">
      <c r="A149" s="40" t="s">
        <v>497</v>
      </c>
      <c r="B149" s="40" t="s">
        <v>30</v>
      </c>
      <c r="C149" s="40" t="s">
        <v>988</v>
      </c>
      <c r="D149" s="44">
        <v>36629.0</v>
      </c>
      <c r="E149" s="5">
        <v>23.0</v>
      </c>
      <c r="F149" s="45">
        <f t="shared" si="1"/>
        <v>23</v>
      </c>
    </row>
    <row r="150">
      <c r="A150" s="40" t="s">
        <v>422</v>
      </c>
      <c r="B150" s="40" t="s">
        <v>13</v>
      </c>
      <c r="C150" s="40" t="s">
        <v>985</v>
      </c>
      <c r="D150" s="44">
        <v>36100.0</v>
      </c>
      <c r="E150" s="5">
        <v>24.0</v>
      </c>
      <c r="F150" s="45">
        <f t="shared" si="1"/>
        <v>25</v>
      </c>
    </row>
    <row r="151">
      <c r="A151" s="40" t="s">
        <v>843</v>
      </c>
      <c r="B151" s="40" t="s">
        <v>191</v>
      </c>
      <c r="C151" s="40" t="s">
        <v>1009</v>
      </c>
      <c r="D151" s="44">
        <v>34675.0</v>
      </c>
      <c r="E151" s="5">
        <v>28.0</v>
      </c>
      <c r="F151" s="45">
        <f t="shared" si="1"/>
        <v>29</v>
      </c>
    </row>
    <row r="152">
      <c r="A152" s="40" t="s">
        <v>504</v>
      </c>
      <c r="B152" s="40" t="s">
        <v>30</v>
      </c>
      <c r="C152" s="40" t="s">
        <v>965</v>
      </c>
      <c r="D152" s="44">
        <v>35331.0</v>
      </c>
      <c r="E152" s="5">
        <v>26.0</v>
      </c>
      <c r="F152" s="45">
        <f t="shared" si="1"/>
        <v>27</v>
      </c>
    </row>
    <row r="153">
      <c r="A153" s="40" t="s">
        <v>239</v>
      </c>
      <c r="B153" s="40" t="s">
        <v>172</v>
      </c>
      <c r="C153" s="40" t="s">
        <v>958</v>
      </c>
      <c r="D153" s="44">
        <v>32180.0</v>
      </c>
      <c r="E153" s="5">
        <v>35.0</v>
      </c>
      <c r="F153" s="45">
        <f t="shared" si="1"/>
        <v>35</v>
      </c>
    </row>
    <row r="154">
      <c r="A154" s="40" t="s">
        <v>1527</v>
      </c>
      <c r="B154" s="40" t="s">
        <v>13</v>
      </c>
      <c r="C154" s="40" t="s">
        <v>996</v>
      </c>
      <c r="D154" s="44">
        <v>35179.0</v>
      </c>
      <c r="E154" s="5">
        <v>27.0</v>
      </c>
      <c r="F154" s="45">
        <f t="shared" si="1"/>
        <v>27</v>
      </c>
    </row>
    <row r="155">
      <c r="A155" s="40" t="s">
        <v>1334</v>
      </c>
      <c r="B155" s="40" t="s">
        <v>13</v>
      </c>
      <c r="C155" s="40" t="s">
        <v>976</v>
      </c>
      <c r="D155" s="44">
        <v>35168.0</v>
      </c>
      <c r="E155" s="5">
        <v>27.0</v>
      </c>
      <c r="F155" s="45">
        <f t="shared" si="1"/>
        <v>27</v>
      </c>
    </row>
    <row r="156">
      <c r="A156" s="40" t="s">
        <v>113</v>
      </c>
      <c r="B156" s="40" t="s">
        <v>13</v>
      </c>
      <c r="C156" s="40" t="s">
        <v>2049</v>
      </c>
      <c r="D156" s="44">
        <v>37335.0</v>
      </c>
      <c r="E156" s="5">
        <v>21.0</v>
      </c>
      <c r="F156" s="45">
        <f t="shared" si="1"/>
        <v>21</v>
      </c>
    </row>
    <row r="157">
      <c r="A157" s="40" t="s">
        <v>620</v>
      </c>
      <c r="B157" s="40" t="s">
        <v>13</v>
      </c>
      <c r="C157" s="40" t="s">
        <v>996</v>
      </c>
      <c r="D157" s="44">
        <v>36322.0</v>
      </c>
      <c r="E157" s="5">
        <v>24.0</v>
      </c>
      <c r="F157" s="45">
        <f t="shared" si="1"/>
        <v>24</v>
      </c>
    </row>
    <row r="158">
      <c r="A158" s="40" t="s">
        <v>196</v>
      </c>
      <c r="B158" s="40" t="s">
        <v>172</v>
      </c>
      <c r="C158" s="40" t="s">
        <v>988</v>
      </c>
      <c r="D158" s="44">
        <v>30652.0</v>
      </c>
      <c r="E158" s="5">
        <v>39.0</v>
      </c>
      <c r="F158" s="45">
        <f t="shared" si="1"/>
        <v>40</v>
      </c>
    </row>
    <row r="159">
      <c r="A159" s="40" t="s">
        <v>1271</v>
      </c>
      <c r="B159" s="40" t="s">
        <v>30</v>
      </c>
      <c r="C159" s="40" t="s">
        <v>958</v>
      </c>
      <c r="D159" s="44">
        <v>34205.0</v>
      </c>
      <c r="E159" s="5">
        <v>30.0</v>
      </c>
      <c r="F159" s="45">
        <f t="shared" si="1"/>
        <v>30</v>
      </c>
    </row>
    <row r="160">
      <c r="A160" s="40" t="s">
        <v>899</v>
      </c>
      <c r="B160" s="40" t="s">
        <v>191</v>
      </c>
      <c r="C160" s="40" t="s">
        <v>954</v>
      </c>
      <c r="D160" s="44">
        <v>34975.0</v>
      </c>
      <c r="E160" s="5">
        <v>27.0</v>
      </c>
      <c r="F160" s="45">
        <f t="shared" si="1"/>
        <v>28</v>
      </c>
    </row>
    <row r="161">
      <c r="A161" s="40" t="s">
        <v>269</v>
      </c>
      <c r="B161" s="40" t="s">
        <v>172</v>
      </c>
      <c r="C161" s="40" t="s">
        <v>980</v>
      </c>
      <c r="D161" s="44">
        <v>33325.0</v>
      </c>
      <c r="E161" s="5">
        <v>32.0</v>
      </c>
      <c r="F161" s="45">
        <f t="shared" si="1"/>
        <v>32</v>
      </c>
    </row>
    <row r="162">
      <c r="A162" s="40" t="s">
        <v>885</v>
      </c>
      <c r="B162" s="40" t="s">
        <v>191</v>
      </c>
      <c r="C162" s="40" t="s">
        <v>946</v>
      </c>
      <c r="D162" s="44">
        <v>35754.0</v>
      </c>
      <c r="E162" s="5">
        <v>25.0</v>
      </c>
      <c r="F162" s="45">
        <f t="shared" si="1"/>
        <v>26</v>
      </c>
    </row>
    <row r="163">
      <c r="A163" s="40" t="s">
        <v>837</v>
      </c>
      <c r="B163" s="40" t="s">
        <v>191</v>
      </c>
      <c r="C163" s="40" t="s">
        <v>935</v>
      </c>
      <c r="D163" s="44">
        <v>34205.0</v>
      </c>
      <c r="E163" s="5">
        <v>30.0</v>
      </c>
      <c r="F163" s="45">
        <f t="shared" si="1"/>
        <v>30</v>
      </c>
    </row>
    <row r="164">
      <c r="A164" s="40" t="s">
        <v>790</v>
      </c>
      <c r="B164" s="40" t="s">
        <v>13</v>
      </c>
      <c r="C164" s="40" t="s">
        <v>980</v>
      </c>
      <c r="D164" s="44">
        <v>36421.0</v>
      </c>
      <c r="E164" s="5">
        <v>23.0</v>
      </c>
      <c r="F164" s="45">
        <f t="shared" si="1"/>
        <v>24</v>
      </c>
    </row>
    <row r="165">
      <c r="A165" s="40" t="s">
        <v>517</v>
      </c>
      <c r="B165" s="40" t="s">
        <v>516</v>
      </c>
      <c r="C165" s="40" t="s">
        <v>1007</v>
      </c>
      <c r="D165" s="44">
        <v>32833.0</v>
      </c>
      <c r="E165" s="5">
        <v>33.0</v>
      </c>
      <c r="F165" s="45">
        <f t="shared" si="1"/>
        <v>34</v>
      </c>
    </row>
    <row r="166">
      <c r="A166" s="40" t="s">
        <v>341</v>
      </c>
      <c r="B166" s="40" t="s">
        <v>13</v>
      </c>
      <c r="C166" s="40" t="s">
        <v>935</v>
      </c>
      <c r="D166" s="44">
        <v>34958.0</v>
      </c>
      <c r="E166" s="5">
        <v>27.0</v>
      </c>
      <c r="F166" s="45">
        <f t="shared" si="1"/>
        <v>28</v>
      </c>
    </row>
    <row r="167">
      <c r="A167" s="40" t="s">
        <v>721</v>
      </c>
      <c r="B167" s="40" t="s">
        <v>30</v>
      </c>
      <c r="C167" s="40" t="s">
        <v>961</v>
      </c>
      <c r="D167" s="44">
        <v>36648.0</v>
      </c>
      <c r="E167" s="5">
        <v>23.0</v>
      </c>
      <c r="F167" s="45">
        <f t="shared" si="1"/>
        <v>23</v>
      </c>
    </row>
    <row r="168">
      <c r="A168" s="40" t="s">
        <v>574</v>
      </c>
      <c r="B168" s="40" t="s">
        <v>516</v>
      </c>
      <c r="C168" s="40" t="s">
        <v>929</v>
      </c>
      <c r="D168" s="44">
        <v>35475.0</v>
      </c>
      <c r="E168" s="5">
        <v>26.0</v>
      </c>
      <c r="F168" s="45">
        <f t="shared" si="1"/>
        <v>26</v>
      </c>
    </row>
    <row r="169">
      <c r="A169" s="40" t="s">
        <v>536</v>
      </c>
      <c r="B169" s="40" t="s">
        <v>30</v>
      </c>
      <c r="C169" s="40" t="s">
        <v>950</v>
      </c>
      <c r="D169" s="44">
        <v>35591.0</v>
      </c>
      <c r="E169" s="5">
        <v>26.0</v>
      </c>
      <c r="F169" s="45">
        <f t="shared" si="1"/>
        <v>26</v>
      </c>
    </row>
    <row r="170">
      <c r="A170" s="40" t="s">
        <v>646</v>
      </c>
      <c r="B170" s="40" t="s">
        <v>191</v>
      </c>
      <c r="C170" s="40" t="s">
        <v>990</v>
      </c>
      <c r="D170" s="44">
        <v>36411.0</v>
      </c>
      <c r="E170" s="5">
        <v>23.0</v>
      </c>
      <c r="F170" s="45">
        <f t="shared" si="1"/>
        <v>24</v>
      </c>
    </row>
    <row r="171">
      <c r="A171" s="40" t="s">
        <v>1720</v>
      </c>
      <c r="B171" s="40" t="s">
        <v>13</v>
      </c>
      <c r="C171" s="40" t="s">
        <v>944</v>
      </c>
      <c r="D171" s="44">
        <v>35122.0</v>
      </c>
      <c r="E171" s="5">
        <v>27.0</v>
      </c>
      <c r="F171" s="45">
        <f t="shared" si="1"/>
        <v>27</v>
      </c>
    </row>
    <row r="172">
      <c r="A172" s="40" t="s">
        <v>334</v>
      </c>
      <c r="B172" s="40" t="s">
        <v>172</v>
      </c>
      <c r="C172" s="40" t="s">
        <v>985</v>
      </c>
      <c r="D172" s="44">
        <v>35952.0</v>
      </c>
      <c r="E172" s="5">
        <v>25.0</v>
      </c>
      <c r="F172" s="45">
        <f t="shared" si="1"/>
        <v>25</v>
      </c>
    </row>
    <row r="173">
      <c r="A173" s="40" t="s">
        <v>482</v>
      </c>
      <c r="B173" s="40" t="s">
        <v>30</v>
      </c>
      <c r="C173" s="40" t="s">
        <v>1016</v>
      </c>
      <c r="D173" s="44">
        <v>35288.0</v>
      </c>
      <c r="E173" s="5">
        <v>27.0</v>
      </c>
      <c r="F173" s="45">
        <f t="shared" si="1"/>
        <v>27</v>
      </c>
    </row>
    <row r="174">
      <c r="A174" s="40" t="s">
        <v>627</v>
      </c>
      <c r="B174" s="40" t="s">
        <v>30</v>
      </c>
      <c r="C174" s="40" t="s">
        <v>990</v>
      </c>
      <c r="D174" s="44">
        <v>33704.0</v>
      </c>
      <c r="E174" s="5">
        <v>31.0</v>
      </c>
      <c r="F174" s="45">
        <f t="shared" si="1"/>
        <v>31</v>
      </c>
    </row>
    <row r="175">
      <c r="A175" s="40" t="s">
        <v>600</v>
      </c>
      <c r="B175" s="40" t="s">
        <v>516</v>
      </c>
      <c r="C175" s="40" t="s">
        <v>980</v>
      </c>
      <c r="D175" s="44">
        <v>34722.0</v>
      </c>
      <c r="E175" s="5">
        <v>28.0</v>
      </c>
      <c r="F175" s="45">
        <f t="shared" si="1"/>
        <v>28</v>
      </c>
    </row>
    <row r="176">
      <c r="A176" s="40" t="s">
        <v>1441</v>
      </c>
      <c r="B176" s="40" t="s">
        <v>30</v>
      </c>
      <c r="C176" s="40" t="s">
        <v>1024</v>
      </c>
      <c r="D176" s="44">
        <v>35086.0</v>
      </c>
      <c r="E176" s="5">
        <v>27.0</v>
      </c>
      <c r="F176" s="45">
        <f t="shared" si="1"/>
        <v>27</v>
      </c>
    </row>
    <row r="177">
      <c r="A177" s="40" t="s">
        <v>1463</v>
      </c>
      <c r="B177" s="40" t="s">
        <v>13</v>
      </c>
      <c r="C177" s="40" t="s">
        <v>967</v>
      </c>
      <c r="D177" s="44">
        <v>36016.0</v>
      </c>
      <c r="E177" s="5">
        <v>25.0</v>
      </c>
      <c r="F177" s="45">
        <f t="shared" si="1"/>
        <v>25</v>
      </c>
    </row>
    <row r="178">
      <c r="A178" s="40" t="s">
        <v>554</v>
      </c>
      <c r="B178" s="40" t="s">
        <v>516</v>
      </c>
      <c r="C178" s="40" t="s">
        <v>935</v>
      </c>
      <c r="D178" s="44">
        <v>36362.0</v>
      </c>
      <c r="E178" s="5">
        <v>24.0</v>
      </c>
      <c r="F178" s="45">
        <f t="shared" si="1"/>
        <v>24</v>
      </c>
    </row>
    <row r="179">
      <c r="A179" s="40" t="s">
        <v>1459</v>
      </c>
      <c r="B179" s="40" t="s">
        <v>13</v>
      </c>
      <c r="C179" s="40" t="s">
        <v>938</v>
      </c>
      <c r="D179" s="44">
        <v>37112.0</v>
      </c>
      <c r="E179" s="5">
        <v>22.0</v>
      </c>
      <c r="F179" s="45">
        <f t="shared" si="1"/>
        <v>22</v>
      </c>
    </row>
    <row r="180">
      <c r="A180" s="40" t="s">
        <v>1489</v>
      </c>
      <c r="B180" s="40" t="s">
        <v>13</v>
      </c>
      <c r="C180" s="40" t="s">
        <v>929</v>
      </c>
      <c r="D180" s="44">
        <v>35381.0</v>
      </c>
      <c r="E180" s="5">
        <v>26.0</v>
      </c>
      <c r="F180" s="45">
        <f t="shared" si="1"/>
        <v>27</v>
      </c>
    </row>
    <row r="181">
      <c r="A181" s="40" t="s">
        <v>1420</v>
      </c>
      <c r="B181" s="40" t="s">
        <v>30</v>
      </c>
      <c r="C181" s="40" t="s">
        <v>933</v>
      </c>
      <c r="D181" s="44">
        <v>35866.0</v>
      </c>
      <c r="E181" s="5">
        <v>25.0</v>
      </c>
      <c r="F181" s="45">
        <f t="shared" si="1"/>
        <v>25</v>
      </c>
    </row>
    <row r="182">
      <c r="A182" s="40" t="s">
        <v>643</v>
      </c>
      <c r="B182" s="40" t="s">
        <v>30</v>
      </c>
      <c r="C182" s="40" t="s">
        <v>961</v>
      </c>
      <c r="D182" s="44">
        <v>35627.0</v>
      </c>
      <c r="E182" s="5">
        <v>26.0</v>
      </c>
      <c r="F182" s="45">
        <f t="shared" si="1"/>
        <v>26</v>
      </c>
    </row>
    <row r="183">
      <c r="A183" s="40" t="s">
        <v>757</v>
      </c>
      <c r="B183" s="40" t="s">
        <v>191</v>
      </c>
      <c r="C183" s="40" t="s">
        <v>983</v>
      </c>
      <c r="D183" s="44">
        <v>35321.0</v>
      </c>
      <c r="E183" s="5">
        <v>26.0</v>
      </c>
      <c r="F183" s="45">
        <f t="shared" si="1"/>
        <v>27</v>
      </c>
    </row>
    <row r="184">
      <c r="A184" s="40" t="s">
        <v>533</v>
      </c>
      <c r="B184" s="40" t="s">
        <v>516</v>
      </c>
      <c r="C184" s="40" t="s">
        <v>933</v>
      </c>
      <c r="D184" s="44">
        <v>34894.0</v>
      </c>
      <c r="E184" s="5">
        <v>28.0</v>
      </c>
      <c r="F184" s="45">
        <f t="shared" si="1"/>
        <v>28</v>
      </c>
    </row>
    <row r="185">
      <c r="A185" s="40" t="s">
        <v>718</v>
      </c>
      <c r="B185" s="40" t="s">
        <v>30</v>
      </c>
      <c r="C185" s="40" t="s">
        <v>933</v>
      </c>
      <c r="D185" s="44">
        <v>34617.0</v>
      </c>
      <c r="E185" s="5">
        <v>28.0</v>
      </c>
      <c r="F185" s="45">
        <f t="shared" si="1"/>
        <v>29</v>
      </c>
    </row>
    <row r="186">
      <c r="A186" s="40" t="s">
        <v>331</v>
      </c>
      <c r="B186" s="40" t="s">
        <v>172</v>
      </c>
      <c r="C186" s="40" t="s">
        <v>1009</v>
      </c>
      <c r="D186" s="44">
        <v>36043.0</v>
      </c>
      <c r="E186" s="5">
        <v>24.0</v>
      </c>
      <c r="F186" s="45">
        <f t="shared" si="1"/>
        <v>25</v>
      </c>
    </row>
    <row r="187">
      <c r="A187" s="40" t="s">
        <v>1473</v>
      </c>
      <c r="B187" s="40" t="s">
        <v>13</v>
      </c>
      <c r="C187" s="40" t="s">
        <v>938</v>
      </c>
      <c r="D187" s="44">
        <v>35754.0</v>
      </c>
      <c r="E187" s="5">
        <v>25.0</v>
      </c>
      <c r="F187" s="45">
        <f t="shared" si="1"/>
        <v>26</v>
      </c>
    </row>
    <row r="188">
      <c r="A188" s="40" t="s">
        <v>702</v>
      </c>
      <c r="B188" s="40" t="s">
        <v>30</v>
      </c>
      <c r="C188" s="40" t="s">
        <v>948</v>
      </c>
      <c r="D188" s="44">
        <v>35442.0</v>
      </c>
      <c r="E188" s="5">
        <v>26.0</v>
      </c>
      <c r="F188" s="45">
        <f t="shared" si="1"/>
        <v>26</v>
      </c>
    </row>
    <row r="189">
      <c r="A189" s="40" t="s">
        <v>494</v>
      </c>
      <c r="B189" s="40" t="s">
        <v>30</v>
      </c>
      <c r="C189" s="40" t="s">
        <v>1009</v>
      </c>
      <c r="D189" s="44">
        <v>35140.0</v>
      </c>
      <c r="E189" s="5">
        <v>27.0</v>
      </c>
      <c r="F189" s="45">
        <f t="shared" si="1"/>
        <v>27</v>
      </c>
    </row>
    <row r="190">
      <c r="A190" s="40" t="s">
        <v>783</v>
      </c>
      <c r="B190" s="40" t="s">
        <v>191</v>
      </c>
      <c r="C190" s="40" t="s">
        <v>950</v>
      </c>
      <c r="D190" s="44">
        <v>36016.0</v>
      </c>
      <c r="E190" s="5">
        <v>25.0</v>
      </c>
      <c r="F190" s="45">
        <f t="shared" si="1"/>
        <v>25</v>
      </c>
    </row>
    <row r="191">
      <c r="A191" s="40" t="s">
        <v>1350</v>
      </c>
      <c r="B191" s="40" t="s">
        <v>30</v>
      </c>
      <c r="C191" s="40" t="s">
        <v>929</v>
      </c>
      <c r="D191" s="44">
        <v>34798.0</v>
      </c>
      <c r="E191" s="5">
        <v>28.0</v>
      </c>
      <c r="F191" s="45">
        <f t="shared" si="1"/>
        <v>28</v>
      </c>
    </row>
    <row r="192">
      <c r="A192" s="40" t="s">
        <v>1742</v>
      </c>
      <c r="B192" s="40" t="s">
        <v>30</v>
      </c>
      <c r="C192" s="40" t="s">
        <v>944</v>
      </c>
      <c r="D192" s="44">
        <v>36874.0</v>
      </c>
      <c r="E192" s="5">
        <v>22.0</v>
      </c>
      <c r="F192" s="45">
        <f t="shared" si="1"/>
        <v>23</v>
      </c>
    </row>
    <row r="193">
      <c r="A193" s="40" t="s">
        <v>1387</v>
      </c>
      <c r="B193" s="40" t="s">
        <v>191</v>
      </c>
      <c r="C193" s="40" t="s">
        <v>948</v>
      </c>
      <c r="D193" s="44">
        <v>36791.0</v>
      </c>
      <c r="E193" s="5">
        <v>22.0</v>
      </c>
      <c r="F193" s="45">
        <f t="shared" si="1"/>
        <v>23</v>
      </c>
    </row>
    <row r="194">
      <c r="A194" s="40" t="s">
        <v>1745</v>
      </c>
      <c r="B194" s="40" t="s">
        <v>30</v>
      </c>
      <c r="C194" s="40" t="s">
        <v>967</v>
      </c>
      <c r="D194" s="44">
        <v>34710.0</v>
      </c>
      <c r="E194" s="5">
        <v>28.0</v>
      </c>
      <c r="F194" s="45">
        <f t="shared" si="1"/>
        <v>28</v>
      </c>
    </row>
    <row r="195">
      <c r="A195" s="40" t="s">
        <v>490</v>
      </c>
      <c r="B195" s="40" t="s">
        <v>30</v>
      </c>
      <c r="C195" s="40" t="s">
        <v>958</v>
      </c>
      <c r="D195" s="44">
        <v>35272.0</v>
      </c>
      <c r="E195" s="5">
        <v>27.0</v>
      </c>
      <c r="F195" s="45">
        <f t="shared" si="1"/>
        <v>27</v>
      </c>
    </row>
    <row r="196">
      <c r="A196" s="40" t="s">
        <v>606</v>
      </c>
      <c r="B196" s="40" t="s">
        <v>516</v>
      </c>
      <c r="C196" s="40" t="s">
        <v>1009</v>
      </c>
      <c r="D196" s="44">
        <v>30991.0</v>
      </c>
      <c r="E196" s="5">
        <v>38.0</v>
      </c>
      <c r="F196" s="45">
        <f t="shared" si="1"/>
        <v>39</v>
      </c>
    </row>
    <row r="197">
      <c r="A197" s="40" t="s">
        <v>403</v>
      </c>
      <c r="B197" s="40" t="s">
        <v>30</v>
      </c>
      <c r="C197" s="40" t="s">
        <v>2049</v>
      </c>
      <c r="D197" s="44">
        <v>37301.0</v>
      </c>
      <c r="E197" s="5">
        <v>21.0</v>
      </c>
      <c r="F197" s="45">
        <f t="shared" si="1"/>
        <v>21</v>
      </c>
    </row>
    <row r="198">
      <c r="A198" s="40" t="s">
        <v>673</v>
      </c>
      <c r="B198" s="40" t="s">
        <v>13</v>
      </c>
      <c r="C198" s="40" t="s">
        <v>1007</v>
      </c>
      <c r="D198" s="44">
        <v>34802.0</v>
      </c>
      <c r="E198" s="5">
        <v>28.0</v>
      </c>
      <c r="F198" s="45">
        <f t="shared" si="1"/>
        <v>28</v>
      </c>
    </row>
    <row r="199">
      <c r="A199" s="40" t="s">
        <v>319</v>
      </c>
      <c r="B199" s="40" t="s">
        <v>172</v>
      </c>
      <c r="C199" s="40" t="s">
        <v>990</v>
      </c>
      <c r="D199" s="44">
        <v>32351.0</v>
      </c>
      <c r="E199" s="5">
        <v>35.0</v>
      </c>
      <c r="F199" s="45">
        <f t="shared" si="1"/>
        <v>35</v>
      </c>
    </row>
    <row r="200">
      <c r="A200" s="40" t="s">
        <v>317</v>
      </c>
      <c r="B200" s="40" t="s">
        <v>30</v>
      </c>
      <c r="C200" s="40" t="s">
        <v>2049</v>
      </c>
      <c r="D200" s="44">
        <v>37283.0</v>
      </c>
      <c r="E200" s="5">
        <v>21.0</v>
      </c>
      <c r="F200" s="45">
        <f t="shared" si="1"/>
        <v>21</v>
      </c>
    </row>
    <row r="201">
      <c r="A201" s="40" t="s">
        <v>380</v>
      </c>
      <c r="B201" s="40" t="s">
        <v>30</v>
      </c>
      <c r="C201" s="40" t="s">
        <v>2049</v>
      </c>
      <c r="D201" s="44">
        <v>37140.0</v>
      </c>
      <c r="E201" s="5">
        <v>21.0</v>
      </c>
      <c r="F201" s="45">
        <f t="shared" si="1"/>
        <v>22</v>
      </c>
    </row>
    <row r="202">
      <c r="A202" s="40" t="s">
        <v>690</v>
      </c>
      <c r="B202" s="40" t="s">
        <v>516</v>
      </c>
      <c r="C202" s="40" t="s">
        <v>958</v>
      </c>
      <c r="D202" s="44">
        <v>34408.0</v>
      </c>
      <c r="E202" s="5">
        <v>29.0</v>
      </c>
      <c r="F202" s="45">
        <f t="shared" si="1"/>
        <v>29</v>
      </c>
    </row>
    <row r="203">
      <c r="A203" s="40" t="s">
        <v>1755</v>
      </c>
      <c r="B203" s="40" t="s">
        <v>516</v>
      </c>
      <c r="C203" s="40" t="s">
        <v>1024</v>
      </c>
      <c r="D203" s="44">
        <v>31674.0</v>
      </c>
      <c r="E203" s="5">
        <v>36.0</v>
      </c>
      <c r="F203" s="45">
        <f t="shared" si="1"/>
        <v>37</v>
      </c>
    </row>
    <row r="204">
      <c r="A204" s="40" t="s">
        <v>693</v>
      </c>
      <c r="B204" s="40" t="s">
        <v>30</v>
      </c>
      <c r="C204" s="40" t="s">
        <v>996</v>
      </c>
      <c r="D204" s="44">
        <v>36686.0</v>
      </c>
      <c r="E204" s="5">
        <v>23.0</v>
      </c>
      <c r="F204" s="45">
        <f t="shared" si="1"/>
        <v>23</v>
      </c>
    </row>
    <row r="205">
      <c r="A205" s="40" t="s">
        <v>1758</v>
      </c>
      <c r="B205" s="40" t="s">
        <v>13</v>
      </c>
      <c r="C205" s="40" t="s">
        <v>1016</v>
      </c>
      <c r="D205" s="44">
        <v>34196.0</v>
      </c>
      <c r="E205" s="5">
        <v>30.0</v>
      </c>
      <c r="F205" s="45">
        <f t="shared" si="1"/>
        <v>30</v>
      </c>
    </row>
    <row r="206">
      <c r="A206" s="40" t="s">
        <v>652</v>
      </c>
      <c r="B206" s="40" t="s">
        <v>30</v>
      </c>
      <c r="C206" s="40" t="s">
        <v>983</v>
      </c>
      <c r="D206" s="44">
        <v>36038.0</v>
      </c>
      <c r="E206" s="5">
        <v>24.0</v>
      </c>
      <c r="F206" s="45">
        <f t="shared" si="1"/>
        <v>25</v>
      </c>
    </row>
    <row r="207">
      <c r="A207" s="40" t="s">
        <v>1490</v>
      </c>
      <c r="B207" s="40" t="s">
        <v>13</v>
      </c>
      <c r="C207" s="40" t="s">
        <v>1009</v>
      </c>
      <c r="D207" s="44">
        <v>36139.0</v>
      </c>
      <c r="E207" s="5">
        <v>24.0</v>
      </c>
      <c r="F207" s="45">
        <f t="shared" si="1"/>
        <v>25</v>
      </c>
    </row>
    <row r="208">
      <c r="A208" s="40" t="s">
        <v>1457</v>
      </c>
      <c r="B208" s="40" t="s">
        <v>191</v>
      </c>
      <c r="C208" s="40" t="s">
        <v>1007</v>
      </c>
      <c r="D208" s="44">
        <v>36634.0</v>
      </c>
      <c r="E208" s="5">
        <v>23.0</v>
      </c>
      <c r="F208" s="45">
        <f t="shared" si="1"/>
        <v>23</v>
      </c>
    </row>
    <row r="209">
      <c r="A209" s="40" t="s">
        <v>612</v>
      </c>
      <c r="B209" s="40" t="s">
        <v>516</v>
      </c>
      <c r="C209" s="40" t="s">
        <v>974</v>
      </c>
      <c r="D209" s="44">
        <v>34549.0</v>
      </c>
      <c r="E209" s="5">
        <v>29.0</v>
      </c>
      <c r="F209" s="45">
        <f t="shared" si="1"/>
        <v>29</v>
      </c>
    </row>
    <row r="210">
      <c r="A210" s="40" t="s">
        <v>1764</v>
      </c>
      <c r="B210" s="40" t="s">
        <v>516</v>
      </c>
      <c r="C210" s="40" t="s">
        <v>963</v>
      </c>
      <c r="D210" s="44">
        <v>30291.0</v>
      </c>
      <c r="E210" s="5">
        <v>40.0</v>
      </c>
      <c r="F210" s="45">
        <f t="shared" si="1"/>
        <v>41</v>
      </c>
    </row>
    <row r="211">
      <c r="A211" s="40" t="s">
        <v>1508</v>
      </c>
      <c r="B211" s="40" t="s">
        <v>13</v>
      </c>
      <c r="C211" s="40" t="s">
        <v>967</v>
      </c>
      <c r="D211" s="44">
        <v>36992.0</v>
      </c>
      <c r="E211" s="5">
        <v>22.0</v>
      </c>
      <c r="F211" s="45">
        <f t="shared" si="1"/>
        <v>22</v>
      </c>
    </row>
    <row r="212">
      <c r="A212" s="40" t="s">
        <v>597</v>
      </c>
      <c r="B212" s="40" t="s">
        <v>516</v>
      </c>
      <c r="C212" s="40" t="s">
        <v>976</v>
      </c>
      <c r="D212" s="44">
        <v>33444.0</v>
      </c>
      <c r="E212" s="5">
        <v>32.0</v>
      </c>
      <c r="F212" s="45">
        <f t="shared" si="1"/>
        <v>32</v>
      </c>
    </row>
    <row r="213">
      <c r="A213" s="40" t="s">
        <v>1768</v>
      </c>
      <c r="B213" s="40" t="s">
        <v>13</v>
      </c>
      <c r="C213" s="40" t="s">
        <v>933</v>
      </c>
      <c r="D213" s="44">
        <v>34072.0</v>
      </c>
      <c r="E213" s="5">
        <v>30.0</v>
      </c>
      <c r="F213" s="45">
        <f t="shared" si="1"/>
        <v>30</v>
      </c>
    </row>
    <row r="214">
      <c r="A214" s="40" t="s">
        <v>1444</v>
      </c>
      <c r="B214" s="40" t="s">
        <v>30</v>
      </c>
      <c r="C214" s="40" t="s">
        <v>948</v>
      </c>
      <c r="D214" s="44">
        <v>34010.0</v>
      </c>
      <c r="E214" s="5">
        <v>30.0</v>
      </c>
      <c r="F214" s="45">
        <f t="shared" si="1"/>
        <v>30</v>
      </c>
    </row>
    <row r="215">
      <c r="A215" s="40" t="s">
        <v>548</v>
      </c>
      <c r="B215" s="40" t="s">
        <v>516</v>
      </c>
      <c r="C215" s="40" t="s">
        <v>954</v>
      </c>
      <c r="D215" s="44">
        <v>35019.0</v>
      </c>
      <c r="E215" s="5">
        <v>27.0</v>
      </c>
      <c r="F215" s="45">
        <f t="shared" si="1"/>
        <v>28</v>
      </c>
    </row>
    <row r="216">
      <c r="A216" s="40" t="s">
        <v>368</v>
      </c>
      <c r="B216" s="40" t="s">
        <v>13</v>
      </c>
      <c r="C216" s="40" t="s">
        <v>2049</v>
      </c>
      <c r="D216" s="44">
        <v>36899.0</v>
      </c>
      <c r="E216" s="5">
        <v>22.0</v>
      </c>
      <c r="F216" s="45">
        <f t="shared" si="1"/>
        <v>22</v>
      </c>
    </row>
    <row r="217">
      <c r="A217" s="40" t="s">
        <v>1773</v>
      </c>
      <c r="B217" s="40" t="s">
        <v>30</v>
      </c>
      <c r="C217" s="40" t="s">
        <v>1024</v>
      </c>
      <c r="D217" s="44">
        <v>32547.0</v>
      </c>
      <c r="E217" s="5">
        <v>34.0</v>
      </c>
      <c r="F217" s="45">
        <f t="shared" si="1"/>
        <v>34</v>
      </c>
    </row>
    <row r="218">
      <c r="A218" s="40" t="s">
        <v>760</v>
      </c>
      <c r="B218" s="40" t="s">
        <v>516</v>
      </c>
      <c r="C218" s="40" t="s">
        <v>1040</v>
      </c>
      <c r="D218" s="44">
        <v>30904.0</v>
      </c>
      <c r="E218" s="5">
        <v>39.0</v>
      </c>
      <c r="F218" s="45">
        <f t="shared" si="1"/>
        <v>39</v>
      </c>
    </row>
    <row r="219">
      <c r="A219" s="40" t="s">
        <v>1505</v>
      </c>
      <c r="B219" s="40" t="s">
        <v>13</v>
      </c>
      <c r="C219" s="40" t="s">
        <v>961</v>
      </c>
      <c r="D219" s="44">
        <v>35779.0</v>
      </c>
      <c r="E219" s="5">
        <v>25.0</v>
      </c>
      <c r="F219" s="45">
        <f t="shared" si="1"/>
        <v>26</v>
      </c>
    </row>
    <row r="220">
      <c r="A220" s="40" t="s">
        <v>1264</v>
      </c>
      <c r="B220" s="40" t="s">
        <v>191</v>
      </c>
      <c r="C220" s="40" t="s">
        <v>976</v>
      </c>
      <c r="D220" s="44">
        <v>35910.0</v>
      </c>
      <c r="E220" s="5">
        <v>25.0</v>
      </c>
      <c r="F220" s="45">
        <f t="shared" si="1"/>
        <v>25</v>
      </c>
    </row>
    <row r="221">
      <c r="A221" s="40" t="s">
        <v>1520</v>
      </c>
      <c r="B221" s="40" t="s">
        <v>191</v>
      </c>
      <c r="C221" s="40" t="s">
        <v>988</v>
      </c>
      <c r="D221" s="44">
        <v>34454.0</v>
      </c>
      <c r="E221" s="5">
        <v>29.0</v>
      </c>
      <c r="F221" s="45">
        <f t="shared" si="1"/>
        <v>29</v>
      </c>
    </row>
    <row r="222">
      <c r="A222" s="40" t="s">
        <v>860</v>
      </c>
      <c r="B222" s="40" t="s">
        <v>30</v>
      </c>
      <c r="C222" s="40" t="s">
        <v>948</v>
      </c>
      <c r="D222" s="44">
        <v>36089.0</v>
      </c>
      <c r="E222" s="5">
        <v>24.0</v>
      </c>
      <c r="F222" s="45">
        <f t="shared" si="1"/>
        <v>25</v>
      </c>
    </row>
    <row r="223">
      <c r="A223" s="40" t="s">
        <v>742</v>
      </c>
      <c r="B223" s="40" t="s">
        <v>191</v>
      </c>
      <c r="C223" s="40" t="s">
        <v>983</v>
      </c>
      <c r="D223" s="44">
        <v>33108.0</v>
      </c>
      <c r="E223" s="5">
        <v>33.0</v>
      </c>
      <c r="F223" s="45">
        <f t="shared" si="1"/>
        <v>33</v>
      </c>
    </row>
    <row r="224">
      <c r="A224" s="40" t="s">
        <v>708</v>
      </c>
      <c r="B224" s="40" t="s">
        <v>30</v>
      </c>
      <c r="C224" s="40" t="s">
        <v>992</v>
      </c>
      <c r="D224" s="44">
        <v>36725.0</v>
      </c>
      <c r="E224" s="5">
        <v>23.0</v>
      </c>
      <c r="F224" s="45">
        <f t="shared" si="1"/>
        <v>23</v>
      </c>
    </row>
    <row r="225">
      <c r="A225" s="40" t="s">
        <v>893</v>
      </c>
      <c r="B225" s="40" t="s">
        <v>30</v>
      </c>
      <c r="C225" s="40" t="s">
        <v>1009</v>
      </c>
      <c r="D225" s="44">
        <v>36745.0</v>
      </c>
      <c r="E225" s="5">
        <v>23.0</v>
      </c>
      <c r="F225" s="45">
        <f t="shared" si="1"/>
        <v>23</v>
      </c>
    </row>
    <row r="226">
      <c r="A226" s="40" t="s">
        <v>711</v>
      </c>
      <c r="B226" s="40" t="s">
        <v>30</v>
      </c>
      <c r="C226" s="40" t="s">
        <v>942</v>
      </c>
      <c r="D226" s="44">
        <v>32944.0</v>
      </c>
      <c r="E226" s="5">
        <v>33.0</v>
      </c>
      <c r="F226" s="45">
        <f t="shared" si="1"/>
        <v>33</v>
      </c>
    </row>
    <row r="227">
      <c r="A227" s="40" t="s">
        <v>526</v>
      </c>
      <c r="B227" s="40" t="s">
        <v>30</v>
      </c>
      <c r="C227" s="40" t="s">
        <v>2049</v>
      </c>
      <c r="D227" s="44">
        <v>36780.0</v>
      </c>
      <c r="E227" s="5">
        <v>22.0</v>
      </c>
      <c r="F227" s="45">
        <f t="shared" si="1"/>
        <v>23</v>
      </c>
    </row>
    <row r="228">
      <c r="A228" s="40" t="s">
        <v>1502</v>
      </c>
      <c r="B228" s="40" t="s">
        <v>191</v>
      </c>
      <c r="C228" s="40" t="s">
        <v>1016</v>
      </c>
      <c r="D228" s="44">
        <v>33420.0</v>
      </c>
      <c r="E228" s="5">
        <v>32.0</v>
      </c>
      <c r="F228" s="45">
        <f t="shared" si="1"/>
        <v>32</v>
      </c>
    </row>
    <row r="229">
      <c r="A229" s="40" t="s">
        <v>609</v>
      </c>
      <c r="B229" s="40" t="s">
        <v>516</v>
      </c>
      <c r="C229" s="40" t="s">
        <v>931</v>
      </c>
      <c r="D229" s="44">
        <v>34720.0</v>
      </c>
      <c r="E229" s="5">
        <v>28.0</v>
      </c>
      <c r="F229" s="45">
        <f t="shared" si="1"/>
        <v>28</v>
      </c>
    </row>
    <row r="230">
      <c r="A230" s="40" t="s">
        <v>1787</v>
      </c>
      <c r="B230" s="40" t="s">
        <v>172</v>
      </c>
      <c r="C230" s="40" t="s">
        <v>2049</v>
      </c>
      <c r="D230" s="44">
        <v>28340.0</v>
      </c>
      <c r="E230" s="5">
        <v>46.0</v>
      </c>
      <c r="F230" s="45">
        <f t="shared" si="1"/>
        <v>46</v>
      </c>
    </row>
    <row r="231">
      <c r="A231" s="40" t="s">
        <v>1470</v>
      </c>
      <c r="B231" s="40" t="s">
        <v>13</v>
      </c>
      <c r="C231" s="40" t="s">
        <v>963</v>
      </c>
      <c r="D231" s="44">
        <v>36304.0</v>
      </c>
      <c r="E231" s="5">
        <v>24.0</v>
      </c>
      <c r="F231" s="45">
        <f t="shared" si="1"/>
        <v>24</v>
      </c>
    </row>
    <row r="232">
      <c r="A232" s="40" t="s">
        <v>520</v>
      </c>
      <c r="B232" s="40" t="s">
        <v>516</v>
      </c>
      <c r="C232" s="40" t="s">
        <v>946</v>
      </c>
      <c r="D232" s="44">
        <v>33370.0</v>
      </c>
      <c r="E232" s="5">
        <v>32.0</v>
      </c>
      <c r="F232" s="45">
        <f t="shared" si="1"/>
        <v>32</v>
      </c>
    </row>
    <row r="233">
      <c r="A233" s="40" t="s">
        <v>1791</v>
      </c>
      <c r="B233" s="40" t="s">
        <v>13</v>
      </c>
      <c r="C233" s="40" t="s">
        <v>942</v>
      </c>
      <c r="D233" s="44">
        <v>35320.0</v>
      </c>
      <c r="E233" s="5">
        <v>26.0</v>
      </c>
      <c r="F233" s="45">
        <f t="shared" si="1"/>
        <v>27</v>
      </c>
    </row>
    <row r="234">
      <c r="A234" s="40" t="s">
        <v>1793</v>
      </c>
      <c r="B234" s="40" t="s">
        <v>30</v>
      </c>
      <c r="C234" s="40" t="s">
        <v>976</v>
      </c>
      <c r="D234" s="44">
        <v>36349.0</v>
      </c>
      <c r="E234" s="5">
        <v>24.0</v>
      </c>
      <c r="F234" s="45">
        <f t="shared" si="1"/>
        <v>24</v>
      </c>
    </row>
    <row r="235">
      <c r="A235" s="40" t="s">
        <v>1364</v>
      </c>
      <c r="B235" s="40" t="s">
        <v>30</v>
      </c>
      <c r="C235" s="40" t="s">
        <v>983</v>
      </c>
      <c r="D235" s="44">
        <v>33936.0</v>
      </c>
      <c r="E235" s="5">
        <v>30.0</v>
      </c>
      <c r="F235" s="45">
        <f t="shared" si="1"/>
        <v>31</v>
      </c>
    </row>
    <row r="236">
      <c r="A236" s="40" t="s">
        <v>1450</v>
      </c>
      <c r="B236" s="40" t="s">
        <v>13</v>
      </c>
      <c r="C236" s="40" t="s">
        <v>990</v>
      </c>
      <c r="D236" s="44">
        <v>36490.0</v>
      </c>
      <c r="E236" s="5">
        <v>23.0</v>
      </c>
      <c r="F236" s="45">
        <f t="shared" si="1"/>
        <v>24</v>
      </c>
    </row>
    <row r="237">
      <c r="A237" s="40" t="s">
        <v>688</v>
      </c>
      <c r="B237" s="40" t="s">
        <v>516</v>
      </c>
      <c r="C237" s="40" t="s">
        <v>948</v>
      </c>
      <c r="D237" s="44">
        <v>31876.0</v>
      </c>
      <c r="E237" s="5">
        <v>36.0</v>
      </c>
      <c r="F237" s="45">
        <f t="shared" si="1"/>
        <v>36</v>
      </c>
    </row>
    <row r="238">
      <c r="A238" s="40" t="s">
        <v>779</v>
      </c>
      <c r="B238" s="40" t="s">
        <v>30</v>
      </c>
      <c r="C238" s="40" t="s">
        <v>2049</v>
      </c>
      <c r="D238" s="44">
        <v>37159.0</v>
      </c>
      <c r="E238" s="5">
        <v>21.0</v>
      </c>
      <c r="F238" s="45">
        <f t="shared" si="1"/>
        <v>22</v>
      </c>
    </row>
    <row r="239">
      <c r="A239" s="40" t="s">
        <v>810</v>
      </c>
      <c r="B239" s="40" t="s">
        <v>30</v>
      </c>
      <c r="C239" s="40" t="s">
        <v>1009</v>
      </c>
      <c r="D239" s="44">
        <v>34915.0</v>
      </c>
      <c r="E239" s="5">
        <v>28.0</v>
      </c>
      <c r="F239" s="45">
        <f t="shared" si="1"/>
        <v>28</v>
      </c>
    </row>
    <row r="240">
      <c r="A240" s="40" t="s">
        <v>1467</v>
      </c>
      <c r="B240" s="40" t="s">
        <v>191</v>
      </c>
      <c r="C240" s="40" t="s">
        <v>1009</v>
      </c>
      <c r="D240" s="44">
        <v>34933.0</v>
      </c>
      <c r="E240" s="5">
        <v>28.0</v>
      </c>
      <c r="F240" s="45">
        <f t="shared" si="1"/>
        <v>28</v>
      </c>
    </row>
    <row r="241">
      <c r="A241" s="40" t="s">
        <v>458</v>
      </c>
      <c r="B241" s="40" t="s">
        <v>13</v>
      </c>
      <c r="C241" s="40" t="s">
        <v>958</v>
      </c>
      <c r="D241" s="44">
        <v>36764.0</v>
      </c>
      <c r="E241" s="5">
        <v>23.0</v>
      </c>
      <c r="F241" s="45">
        <f t="shared" si="1"/>
        <v>23</v>
      </c>
    </row>
    <row r="242">
      <c r="A242" s="40" t="s">
        <v>817</v>
      </c>
      <c r="B242" s="40" t="s">
        <v>30</v>
      </c>
      <c r="C242" s="40" t="s">
        <v>965</v>
      </c>
      <c r="D242" s="44">
        <v>34746.0</v>
      </c>
      <c r="E242" s="5">
        <v>28.0</v>
      </c>
      <c r="F242" s="45">
        <f t="shared" si="1"/>
        <v>28</v>
      </c>
    </row>
    <row r="243">
      <c r="A243" s="40" t="s">
        <v>451</v>
      </c>
      <c r="B243" s="40" t="s">
        <v>13</v>
      </c>
      <c r="C243" s="40" t="s">
        <v>2049</v>
      </c>
      <c r="D243" s="44">
        <v>37133.0</v>
      </c>
      <c r="E243" s="5">
        <v>21.0</v>
      </c>
      <c r="F243" s="45">
        <f t="shared" si="1"/>
        <v>22</v>
      </c>
    </row>
    <row r="244">
      <c r="A244" s="40" t="s">
        <v>561</v>
      </c>
      <c r="B244" s="40" t="s">
        <v>516</v>
      </c>
      <c r="C244" s="40" t="s">
        <v>950</v>
      </c>
      <c r="D244" s="44">
        <v>34550.0</v>
      </c>
      <c r="E244" s="5">
        <v>29.0</v>
      </c>
      <c r="F244" s="45">
        <f t="shared" si="1"/>
        <v>29</v>
      </c>
    </row>
    <row r="245">
      <c r="A245" s="40" t="s">
        <v>869</v>
      </c>
      <c r="B245" s="40" t="s">
        <v>191</v>
      </c>
      <c r="C245" s="40" t="s">
        <v>1024</v>
      </c>
      <c r="D245" s="44">
        <v>36265.0</v>
      </c>
      <c r="E245" s="5">
        <v>24.0</v>
      </c>
      <c r="F245" s="45">
        <f t="shared" si="1"/>
        <v>24</v>
      </c>
    </row>
    <row r="246">
      <c r="A246" s="40" t="s">
        <v>1806</v>
      </c>
      <c r="B246" s="40" t="s">
        <v>30</v>
      </c>
      <c r="C246" s="40" t="s">
        <v>1040</v>
      </c>
      <c r="D246" s="44">
        <v>34098.0</v>
      </c>
      <c r="E246" s="5">
        <v>30.0</v>
      </c>
      <c r="F246" s="45">
        <f t="shared" si="1"/>
        <v>30</v>
      </c>
    </row>
    <row r="247">
      <c r="A247" s="40" t="s">
        <v>1483</v>
      </c>
      <c r="B247" s="40" t="s">
        <v>13</v>
      </c>
      <c r="C247" s="40" t="s">
        <v>1007</v>
      </c>
      <c r="D247" s="44">
        <v>34360.0</v>
      </c>
      <c r="E247" s="5">
        <v>29.0</v>
      </c>
      <c r="F247" s="45">
        <f t="shared" si="1"/>
        <v>29</v>
      </c>
    </row>
    <row r="248">
      <c r="A248" s="40" t="s">
        <v>1289</v>
      </c>
      <c r="B248" s="40" t="s">
        <v>191</v>
      </c>
      <c r="C248" s="40" t="s">
        <v>990</v>
      </c>
      <c r="D248" s="44">
        <v>34636.0</v>
      </c>
      <c r="E248" s="5">
        <v>28.0</v>
      </c>
      <c r="F248" s="45">
        <f t="shared" si="1"/>
        <v>29</v>
      </c>
    </row>
    <row r="249">
      <c r="A249" s="40" t="s">
        <v>615</v>
      </c>
      <c r="B249" s="40" t="s">
        <v>516</v>
      </c>
      <c r="C249" s="40" t="s">
        <v>983</v>
      </c>
      <c r="D249" s="44">
        <v>34522.0</v>
      </c>
      <c r="E249" s="5">
        <v>29.0</v>
      </c>
      <c r="F249" s="45">
        <f t="shared" si="1"/>
        <v>29</v>
      </c>
    </row>
    <row r="250">
      <c r="A250" s="40" t="s">
        <v>1435</v>
      </c>
      <c r="B250" s="40" t="s">
        <v>30</v>
      </c>
      <c r="C250" s="40" t="s">
        <v>931</v>
      </c>
      <c r="D250" s="44">
        <v>35955.0</v>
      </c>
      <c r="E250" s="5">
        <v>25.0</v>
      </c>
      <c r="F250" s="45">
        <f t="shared" si="1"/>
        <v>25</v>
      </c>
    </row>
    <row r="251">
      <c r="A251" s="40" t="s">
        <v>1812</v>
      </c>
      <c r="B251" s="40" t="s">
        <v>13</v>
      </c>
      <c r="C251" s="40" t="s">
        <v>983</v>
      </c>
      <c r="D251" s="44">
        <v>36263.0</v>
      </c>
      <c r="E251" s="5">
        <v>24.0</v>
      </c>
      <c r="F251" s="45">
        <f t="shared" si="1"/>
        <v>24</v>
      </c>
    </row>
    <row r="252">
      <c r="A252" s="40" t="s">
        <v>1464</v>
      </c>
      <c r="B252" s="40" t="s">
        <v>191</v>
      </c>
      <c r="C252" s="40" t="s">
        <v>961</v>
      </c>
      <c r="D252" s="44">
        <v>36077.0</v>
      </c>
      <c r="E252" s="5">
        <v>24.0</v>
      </c>
      <c r="F252" s="45">
        <f t="shared" si="1"/>
        <v>25</v>
      </c>
    </row>
    <row r="253">
      <c r="A253" s="40" t="s">
        <v>1329</v>
      </c>
      <c r="B253" s="40" t="s">
        <v>30</v>
      </c>
      <c r="C253" s="40" t="s">
        <v>1007</v>
      </c>
      <c r="D253" s="44">
        <v>35685.0</v>
      </c>
      <c r="E253" s="5">
        <v>25.0</v>
      </c>
      <c r="F253" s="45">
        <f t="shared" si="1"/>
        <v>26</v>
      </c>
    </row>
    <row r="254">
      <c r="A254" s="40" t="s">
        <v>633</v>
      </c>
      <c r="B254" s="40" t="s">
        <v>516</v>
      </c>
      <c r="C254" s="40" t="s">
        <v>952</v>
      </c>
      <c r="D254" s="44">
        <v>32833.0</v>
      </c>
      <c r="E254" s="5">
        <v>33.0</v>
      </c>
      <c r="F254" s="45">
        <f t="shared" si="1"/>
        <v>34</v>
      </c>
    </row>
    <row r="255">
      <c r="A255" s="40" t="s">
        <v>541</v>
      </c>
      <c r="B255" s="40" t="s">
        <v>516</v>
      </c>
      <c r="C255" s="40" t="s">
        <v>967</v>
      </c>
      <c r="D255" s="44">
        <v>32138.0</v>
      </c>
      <c r="E255" s="5">
        <v>35.0</v>
      </c>
      <c r="F255" s="45">
        <f t="shared" si="1"/>
        <v>36</v>
      </c>
    </row>
    <row r="256">
      <c r="A256" s="40" t="s">
        <v>1818</v>
      </c>
      <c r="B256" s="40" t="s">
        <v>30</v>
      </c>
      <c r="C256" s="40" t="s">
        <v>948</v>
      </c>
      <c r="D256" s="44">
        <v>34947.0</v>
      </c>
      <c r="E256" s="5">
        <v>27.0</v>
      </c>
      <c r="F256" s="45">
        <f t="shared" si="1"/>
        <v>28</v>
      </c>
    </row>
    <row r="257">
      <c r="A257" s="40" t="s">
        <v>1820</v>
      </c>
      <c r="B257" s="40" t="s">
        <v>30</v>
      </c>
      <c r="C257" s="40" t="s">
        <v>996</v>
      </c>
      <c r="D257" s="44">
        <v>36073.0</v>
      </c>
      <c r="E257" s="5">
        <v>24.0</v>
      </c>
      <c r="F257" s="45">
        <f t="shared" si="1"/>
        <v>25</v>
      </c>
    </row>
    <row r="258">
      <c r="A258" s="40" t="s">
        <v>306</v>
      </c>
      <c r="B258" s="40" t="s">
        <v>172</v>
      </c>
      <c r="C258" s="40" t="s">
        <v>2049</v>
      </c>
      <c r="D258" s="44">
        <v>37097.0</v>
      </c>
      <c r="E258" s="5">
        <v>22.0</v>
      </c>
      <c r="F258" s="45">
        <f t="shared" si="1"/>
        <v>22</v>
      </c>
    </row>
    <row r="259">
      <c r="A259" s="40" t="s">
        <v>1823</v>
      </c>
      <c r="B259" s="40" t="s">
        <v>516</v>
      </c>
      <c r="C259" s="40" t="s">
        <v>938</v>
      </c>
      <c r="D259" s="44">
        <v>33147.0</v>
      </c>
      <c r="E259" s="5">
        <v>32.0</v>
      </c>
      <c r="F259" s="45">
        <f t="shared" si="1"/>
        <v>33</v>
      </c>
    </row>
    <row r="260">
      <c r="A260" s="40" t="s">
        <v>1378</v>
      </c>
      <c r="B260" s="40" t="s">
        <v>30</v>
      </c>
      <c r="C260" s="40" t="s">
        <v>2049</v>
      </c>
      <c r="D260" s="44">
        <v>37115.0</v>
      </c>
      <c r="E260" s="5">
        <v>22.0</v>
      </c>
      <c r="F260" s="45">
        <f t="shared" si="1"/>
        <v>22</v>
      </c>
    </row>
    <row r="261">
      <c r="A261" s="40" t="s">
        <v>1826</v>
      </c>
      <c r="B261" s="40" t="s">
        <v>13</v>
      </c>
      <c r="C261" s="40" t="s">
        <v>2049</v>
      </c>
      <c r="D261" s="44">
        <v>35661.0</v>
      </c>
      <c r="E261" s="5">
        <v>26.0</v>
      </c>
      <c r="F261" s="45">
        <f t="shared" si="1"/>
        <v>26</v>
      </c>
    </row>
    <row r="262">
      <c r="A262" s="40" t="s">
        <v>322</v>
      </c>
      <c r="B262" s="40" t="s">
        <v>172</v>
      </c>
      <c r="C262" s="40" t="s">
        <v>1016</v>
      </c>
      <c r="D262" s="44">
        <v>36785.0</v>
      </c>
      <c r="E262" s="5">
        <v>22.0</v>
      </c>
      <c r="F262" s="45">
        <f t="shared" si="1"/>
        <v>23</v>
      </c>
    </row>
    <row r="263">
      <c r="A263" s="40" t="s">
        <v>1504</v>
      </c>
      <c r="B263" s="40" t="s">
        <v>13</v>
      </c>
      <c r="C263" s="40" t="s">
        <v>963</v>
      </c>
      <c r="D263" s="44">
        <v>36822.0</v>
      </c>
      <c r="E263" s="5">
        <v>22.0</v>
      </c>
      <c r="F263" s="45">
        <f t="shared" si="1"/>
        <v>23</v>
      </c>
    </row>
    <row r="264">
      <c r="A264" s="40" t="s">
        <v>530</v>
      </c>
      <c r="B264" s="40" t="s">
        <v>13</v>
      </c>
      <c r="C264" s="40" t="s">
        <v>2049</v>
      </c>
      <c r="D264" s="44">
        <v>37418.0</v>
      </c>
      <c r="E264" s="5">
        <v>21.0</v>
      </c>
      <c r="F264" s="45">
        <f t="shared" si="1"/>
        <v>21</v>
      </c>
    </row>
    <row r="265">
      <c r="A265" s="40" t="s">
        <v>500</v>
      </c>
      <c r="B265" s="40" t="s">
        <v>13</v>
      </c>
      <c r="C265" s="40" t="s">
        <v>2049</v>
      </c>
      <c r="D265" s="44">
        <v>37177.0</v>
      </c>
      <c r="E265" s="5">
        <v>21.0</v>
      </c>
      <c r="F265" s="45">
        <f t="shared" si="1"/>
        <v>22</v>
      </c>
    </row>
    <row r="266">
      <c r="A266" s="40" t="s">
        <v>1832</v>
      </c>
      <c r="B266" s="40" t="s">
        <v>13</v>
      </c>
      <c r="C266" s="40" t="s">
        <v>931</v>
      </c>
      <c r="D266" s="44">
        <v>34816.0</v>
      </c>
      <c r="E266" s="5">
        <v>28.0</v>
      </c>
      <c r="F266" s="45">
        <f t="shared" si="1"/>
        <v>28</v>
      </c>
    </row>
    <row r="267">
      <c r="A267" s="40" t="s">
        <v>430</v>
      </c>
      <c r="B267" s="40" t="s">
        <v>30</v>
      </c>
      <c r="C267" s="40" t="s">
        <v>2049</v>
      </c>
      <c r="D267" s="44">
        <v>33913.0</v>
      </c>
      <c r="E267" s="5">
        <v>30.0</v>
      </c>
      <c r="F267" s="45">
        <f t="shared" si="1"/>
        <v>31</v>
      </c>
    </row>
    <row r="268">
      <c r="A268" s="40" t="s">
        <v>676</v>
      </c>
      <c r="B268" s="40" t="s">
        <v>516</v>
      </c>
      <c r="C268" s="40" t="s">
        <v>985</v>
      </c>
      <c r="D268" s="44">
        <v>33313.0</v>
      </c>
      <c r="E268" s="5">
        <v>32.0</v>
      </c>
      <c r="F268" s="45">
        <f t="shared" si="1"/>
        <v>32</v>
      </c>
    </row>
    <row r="269">
      <c r="A269" s="40" t="s">
        <v>631</v>
      </c>
      <c r="B269" s="40" t="s">
        <v>13</v>
      </c>
      <c r="C269" s="40" t="s">
        <v>2049</v>
      </c>
      <c r="D269" s="44">
        <v>37189.0</v>
      </c>
      <c r="E269" s="5">
        <v>21.0</v>
      </c>
      <c r="F269" s="45">
        <f t="shared" si="1"/>
        <v>22</v>
      </c>
    </row>
    <row r="270">
      <c r="A270" s="40" t="s">
        <v>1837</v>
      </c>
      <c r="B270" s="40" t="s">
        <v>516</v>
      </c>
      <c r="C270" s="40" t="s">
        <v>2049</v>
      </c>
      <c r="D270" s="44">
        <v>35459.0</v>
      </c>
      <c r="E270" s="5">
        <v>26.0</v>
      </c>
      <c r="F270" s="45">
        <f t="shared" si="1"/>
        <v>26</v>
      </c>
    </row>
    <row r="271">
      <c r="A271" s="40" t="s">
        <v>346</v>
      </c>
      <c r="B271" s="40" t="s">
        <v>172</v>
      </c>
      <c r="C271" s="40" t="s">
        <v>2049</v>
      </c>
      <c r="D271" s="44">
        <v>37167.0</v>
      </c>
      <c r="E271" s="5">
        <v>21.0</v>
      </c>
      <c r="F271" s="45">
        <f t="shared" si="1"/>
        <v>22</v>
      </c>
    </row>
    <row r="272">
      <c r="A272" s="40" t="s">
        <v>1840</v>
      </c>
      <c r="B272" s="40" t="s">
        <v>13</v>
      </c>
      <c r="C272" s="40" t="s">
        <v>2049</v>
      </c>
      <c r="D272" s="44">
        <v>37041.0</v>
      </c>
      <c r="E272" s="5">
        <v>22.0</v>
      </c>
      <c r="F272" s="45">
        <f t="shared" si="1"/>
        <v>22</v>
      </c>
    </row>
    <row r="273">
      <c r="A273" s="40" t="s">
        <v>832</v>
      </c>
      <c r="B273" s="40" t="s">
        <v>30</v>
      </c>
      <c r="C273" s="40" t="s">
        <v>980</v>
      </c>
      <c r="D273" s="44">
        <v>34228.0</v>
      </c>
      <c r="E273" s="5">
        <v>29.0</v>
      </c>
      <c r="F273" s="45">
        <f t="shared" si="1"/>
        <v>30</v>
      </c>
    </row>
    <row r="274">
      <c r="A274" s="40" t="s">
        <v>194</v>
      </c>
      <c r="B274" s="40" t="s">
        <v>172</v>
      </c>
      <c r="C274" s="40" t="s">
        <v>963</v>
      </c>
      <c r="D274" s="44">
        <v>33544.0</v>
      </c>
      <c r="E274" s="5">
        <v>31.0</v>
      </c>
      <c r="F274" s="45">
        <f t="shared" si="1"/>
        <v>32</v>
      </c>
    </row>
    <row r="275">
      <c r="A275" s="40" t="s">
        <v>1485</v>
      </c>
      <c r="B275" s="40" t="s">
        <v>13</v>
      </c>
      <c r="C275" s="40" t="s">
        <v>976</v>
      </c>
      <c r="D275" s="44">
        <v>32891.0</v>
      </c>
      <c r="E275" s="5">
        <v>33.0</v>
      </c>
      <c r="F275" s="45">
        <f t="shared" si="1"/>
        <v>33</v>
      </c>
    </row>
    <row r="276">
      <c r="A276" s="40" t="s">
        <v>1845</v>
      </c>
      <c r="B276" s="40" t="s">
        <v>516</v>
      </c>
      <c r="C276" s="40" t="s">
        <v>988</v>
      </c>
      <c r="D276" s="44">
        <v>30928.0</v>
      </c>
      <c r="E276" s="5">
        <v>38.0</v>
      </c>
      <c r="F276" s="45">
        <f t="shared" si="1"/>
        <v>39</v>
      </c>
    </row>
    <row r="277">
      <c r="A277" s="40" t="s">
        <v>1847</v>
      </c>
      <c r="B277" s="40" t="s">
        <v>13</v>
      </c>
      <c r="C277" s="40" t="s">
        <v>992</v>
      </c>
      <c r="D277" s="44">
        <v>33056.0</v>
      </c>
      <c r="E277" s="5">
        <v>33.0</v>
      </c>
      <c r="F277" s="45">
        <f t="shared" si="1"/>
        <v>33</v>
      </c>
    </row>
    <row r="278">
      <c r="A278" s="40" t="s">
        <v>1449</v>
      </c>
      <c r="B278" s="40" t="s">
        <v>30</v>
      </c>
      <c r="C278" s="40" t="s">
        <v>976</v>
      </c>
      <c r="D278" s="44">
        <v>34296.0</v>
      </c>
      <c r="E278" s="5">
        <v>29.0</v>
      </c>
      <c r="F278" s="45">
        <f t="shared" si="1"/>
        <v>30</v>
      </c>
    </row>
    <row r="279">
      <c r="A279" s="40" t="s">
        <v>1401</v>
      </c>
      <c r="B279" s="40" t="s">
        <v>30</v>
      </c>
      <c r="C279" s="40" t="s">
        <v>948</v>
      </c>
      <c r="D279" s="44">
        <v>34276.0</v>
      </c>
      <c r="E279" s="5">
        <v>29.0</v>
      </c>
      <c r="F279" s="45">
        <f t="shared" si="1"/>
        <v>30</v>
      </c>
    </row>
    <row r="280">
      <c r="A280" s="40" t="s">
        <v>754</v>
      </c>
      <c r="B280" s="40" t="s">
        <v>13</v>
      </c>
      <c r="C280" s="40" t="s">
        <v>935</v>
      </c>
      <c r="D280" s="44">
        <v>35708.0</v>
      </c>
      <c r="E280" s="5">
        <v>25.0</v>
      </c>
      <c r="F280" s="45">
        <f t="shared" si="1"/>
        <v>26</v>
      </c>
    </row>
    <row r="281">
      <c r="A281" s="40" t="s">
        <v>1852</v>
      </c>
      <c r="B281" s="40" t="s">
        <v>13</v>
      </c>
      <c r="C281" s="40" t="s">
        <v>1040</v>
      </c>
      <c r="D281" s="44">
        <v>34804.0</v>
      </c>
      <c r="E281" s="5">
        <v>28.0</v>
      </c>
      <c r="F281" s="45">
        <f t="shared" si="1"/>
        <v>28</v>
      </c>
    </row>
    <row r="282">
      <c r="A282" s="40" t="s">
        <v>1854</v>
      </c>
      <c r="B282" s="40" t="s">
        <v>13</v>
      </c>
      <c r="C282" s="40" t="s">
        <v>2049</v>
      </c>
      <c r="D282" s="44">
        <v>37534.0</v>
      </c>
      <c r="E282" s="5">
        <v>20.0</v>
      </c>
      <c r="F282" s="45">
        <f t="shared" si="1"/>
        <v>21</v>
      </c>
    </row>
    <row r="283">
      <c r="A283" s="40" t="s">
        <v>1268</v>
      </c>
      <c r="B283" s="40" t="s">
        <v>30</v>
      </c>
      <c r="C283" s="40" t="s">
        <v>967</v>
      </c>
      <c r="D283" s="44">
        <v>34978.0</v>
      </c>
      <c r="E283" s="5">
        <v>27.0</v>
      </c>
      <c r="F283" s="45">
        <f t="shared" si="1"/>
        <v>28</v>
      </c>
    </row>
    <row r="284">
      <c r="A284" s="40" t="s">
        <v>670</v>
      </c>
      <c r="B284" s="40" t="s">
        <v>516</v>
      </c>
      <c r="C284" s="40" t="s">
        <v>992</v>
      </c>
      <c r="D284" s="44">
        <v>34363.0</v>
      </c>
      <c r="E284" s="5">
        <v>29.0</v>
      </c>
      <c r="F284" s="45">
        <f t="shared" si="1"/>
        <v>29</v>
      </c>
    </row>
    <row r="285">
      <c r="A285" s="40" t="s">
        <v>1858</v>
      </c>
      <c r="B285" s="40" t="s">
        <v>13</v>
      </c>
      <c r="C285" s="40" t="s">
        <v>965</v>
      </c>
      <c r="D285" s="44">
        <v>35177.0</v>
      </c>
      <c r="E285" s="5">
        <v>27.0</v>
      </c>
      <c r="F285" s="45">
        <f t="shared" si="1"/>
        <v>27</v>
      </c>
    </row>
    <row r="286">
      <c r="A286" s="40" t="s">
        <v>594</v>
      </c>
      <c r="B286" s="40" t="s">
        <v>13</v>
      </c>
      <c r="C286" s="40" t="s">
        <v>948</v>
      </c>
      <c r="D286" s="44">
        <v>34758.0</v>
      </c>
      <c r="E286" s="5">
        <v>28.0</v>
      </c>
      <c r="F286" s="45">
        <f t="shared" si="1"/>
        <v>28</v>
      </c>
    </row>
    <row r="287">
      <c r="A287" s="40" t="s">
        <v>1861</v>
      </c>
      <c r="B287" s="40" t="s">
        <v>30</v>
      </c>
      <c r="C287" s="40" t="s">
        <v>990</v>
      </c>
      <c r="D287" s="44">
        <v>35510.0</v>
      </c>
      <c r="E287" s="5">
        <v>26.0</v>
      </c>
      <c r="F287" s="45">
        <f t="shared" si="1"/>
        <v>26</v>
      </c>
    </row>
    <row r="288">
      <c r="A288" s="40" t="s">
        <v>834</v>
      </c>
      <c r="B288" s="40" t="s">
        <v>191</v>
      </c>
      <c r="C288" s="40" t="s">
        <v>2049</v>
      </c>
      <c r="D288" s="44">
        <v>37078.0</v>
      </c>
      <c r="E288" s="5">
        <v>22.0</v>
      </c>
      <c r="F288" s="45">
        <f t="shared" si="1"/>
        <v>22</v>
      </c>
    </row>
    <row r="289">
      <c r="A289" s="40" t="s">
        <v>558</v>
      </c>
      <c r="B289" s="40" t="s">
        <v>13</v>
      </c>
      <c r="C289" s="40" t="s">
        <v>944</v>
      </c>
      <c r="D289" s="44">
        <v>36415.0</v>
      </c>
      <c r="E289" s="5">
        <v>23.0</v>
      </c>
      <c r="F289" s="45">
        <f t="shared" si="1"/>
        <v>24</v>
      </c>
    </row>
    <row r="290">
      <c r="A290" s="40" t="s">
        <v>1865</v>
      </c>
      <c r="B290" s="40" t="s">
        <v>30</v>
      </c>
      <c r="C290" s="40" t="s">
        <v>2049</v>
      </c>
      <c r="D290" s="44">
        <v>37383.0</v>
      </c>
      <c r="E290" s="5">
        <v>21.0</v>
      </c>
      <c r="F290" s="45">
        <f t="shared" si="1"/>
        <v>21</v>
      </c>
    </row>
    <row r="291">
      <c r="A291" s="40" t="s">
        <v>1867</v>
      </c>
      <c r="B291" s="40" t="s">
        <v>13</v>
      </c>
      <c r="C291" s="40" t="s">
        <v>983</v>
      </c>
      <c r="D291" s="44">
        <v>32863.0</v>
      </c>
      <c r="E291" s="5">
        <v>33.0</v>
      </c>
      <c r="F291" s="45">
        <f t="shared" si="1"/>
        <v>34</v>
      </c>
    </row>
    <row r="292">
      <c r="A292" s="40" t="s">
        <v>1869</v>
      </c>
      <c r="B292" s="40" t="s">
        <v>172</v>
      </c>
      <c r="C292" s="40" t="s">
        <v>983</v>
      </c>
      <c r="D292" s="44">
        <v>34340.0</v>
      </c>
      <c r="E292" s="5">
        <v>29.0</v>
      </c>
      <c r="F292" s="45">
        <f t="shared" si="1"/>
        <v>30</v>
      </c>
    </row>
    <row r="293">
      <c r="A293" s="40" t="s">
        <v>1305</v>
      </c>
      <c r="B293" s="40" t="s">
        <v>191</v>
      </c>
      <c r="C293" s="40" t="s">
        <v>992</v>
      </c>
      <c r="D293" s="44">
        <v>36723.0</v>
      </c>
      <c r="E293" s="5">
        <v>23.0</v>
      </c>
      <c r="F293" s="45">
        <f t="shared" si="1"/>
        <v>23</v>
      </c>
    </row>
    <row r="294">
      <c r="A294" s="40" t="s">
        <v>699</v>
      </c>
      <c r="B294" s="40" t="s">
        <v>516</v>
      </c>
      <c r="C294" s="40" t="s">
        <v>940</v>
      </c>
      <c r="D294" s="44">
        <v>33554.0</v>
      </c>
      <c r="E294" s="5">
        <v>31.0</v>
      </c>
      <c r="F294" s="45">
        <f t="shared" si="1"/>
        <v>32</v>
      </c>
    </row>
    <row r="295">
      <c r="A295" s="40" t="s">
        <v>1873</v>
      </c>
      <c r="B295" s="40" t="s">
        <v>13</v>
      </c>
      <c r="C295" s="40" t="s">
        <v>990</v>
      </c>
      <c r="D295" s="44">
        <v>34756.0</v>
      </c>
      <c r="E295" s="5">
        <v>28.0</v>
      </c>
      <c r="F295" s="45">
        <f t="shared" si="1"/>
        <v>28</v>
      </c>
    </row>
    <row r="296">
      <c r="A296" s="40" t="s">
        <v>1875</v>
      </c>
      <c r="B296" s="40" t="s">
        <v>30</v>
      </c>
      <c r="C296" s="40" t="s">
        <v>952</v>
      </c>
      <c r="D296" s="44">
        <v>36218.0</v>
      </c>
      <c r="E296" s="5">
        <v>24.0</v>
      </c>
      <c r="F296" s="45">
        <f t="shared" si="1"/>
        <v>24</v>
      </c>
    </row>
    <row r="297">
      <c r="A297" s="40" t="s">
        <v>364</v>
      </c>
      <c r="B297" s="40" t="s">
        <v>172</v>
      </c>
      <c r="C297" s="40" t="s">
        <v>974</v>
      </c>
      <c r="D297" s="44">
        <v>36403.0</v>
      </c>
      <c r="E297" s="5">
        <v>23.0</v>
      </c>
      <c r="F297" s="45">
        <f t="shared" si="1"/>
        <v>24</v>
      </c>
    </row>
    <row r="298">
      <c r="A298" s="40" t="s">
        <v>1362</v>
      </c>
      <c r="B298" s="40" t="s">
        <v>30</v>
      </c>
      <c r="C298" s="40" t="s">
        <v>929</v>
      </c>
      <c r="D298" s="44">
        <v>34137.0</v>
      </c>
      <c r="E298" s="5">
        <v>30.0</v>
      </c>
      <c r="F298" s="45">
        <f t="shared" si="1"/>
        <v>30</v>
      </c>
    </row>
    <row r="299">
      <c r="A299" s="40" t="s">
        <v>382</v>
      </c>
      <c r="B299" s="40" t="s">
        <v>172</v>
      </c>
      <c r="C299" s="40" t="s">
        <v>963</v>
      </c>
      <c r="D299" s="44">
        <v>36521.0</v>
      </c>
      <c r="E299" s="5">
        <v>23.0</v>
      </c>
      <c r="F299" s="45">
        <f t="shared" si="1"/>
        <v>24</v>
      </c>
    </row>
    <row r="300">
      <c r="A300" s="40" t="s">
        <v>1880</v>
      </c>
      <c r="B300" s="40" t="s">
        <v>30</v>
      </c>
      <c r="C300" s="40" t="s">
        <v>2049</v>
      </c>
      <c r="D300" s="44">
        <v>32355.0</v>
      </c>
      <c r="E300" s="5">
        <v>35.0</v>
      </c>
      <c r="F300" s="45">
        <f t="shared" si="1"/>
        <v>35</v>
      </c>
    </row>
    <row r="301">
      <c r="A301" s="40" t="s">
        <v>660</v>
      </c>
      <c r="B301" s="40" t="s">
        <v>30</v>
      </c>
      <c r="C301" s="40" t="s">
        <v>2049</v>
      </c>
      <c r="D301" s="44">
        <v>36638.0</v>
      </c>
      <c r="E301" s="5">
        <v>23.0</v>
      </c>
      <c r="F301" s="45">
        <f t="shared" si="1"/>
        <v>23</v>
      </c>
    </row>
    <row r="302">
      <c r="A302" s="40" t="s">
        <v>1883</v>
      </c>
      <c r="B302" s="40" t="s">
        <v>516</v>
      </c>
      <c r="C302" s="40" t="s">
        <v>2049</v>
      </c>
      <c r="D302" s="44">
        <v>34606.0</v>
      </c>
      <c r="E302" s="5">
        <v>28.0</v>
      </c>
      <c r="F302" s="45">
        <f t="shared" si="1"/>
        <v>29</v>
      </c>
    </row>
    <row r="303">
      <c r="A303" s="40" t="s">
        <v>1885</v>
      </c>
      <c r="B303" s="40" t="s">
        <v>516</v>
      </c>
      <c r="C303" s="40" t="s">
        <v>990</v>
      </c>
      <c r="D303" s="44">
        <v>32858.0</v>
      </c>
      <c r="E303" s="5">
        <v>33.0</v>
      </c>
      <c r="F303" s="45">
        <f t="shared" si="1"/>
        <v>34</v>
      </c>
    </row>
    <row r="304">
      <c r="A304" s="40" t="s">
        <v>1887</v>
      </c>
      <c r="B304" s="40" t="s">
        <v>13</v>
      </c>
      <c r="C304" s="40" t="s">
        <v>954</v>
      </c>
      <c r="D304" s="44">
        <v>36159.0</v>
      </c>
      <c r="E304" s="5">
        <v>24.0</v>
      </c>
      <c r="F304" s="45">
        <f t="shared" si="1"/>
        <v>25</v>
      </c>
    </row>
    <row r="305">
      <c r="A305" s="40" t="s">
        <v>803</v>
      </c>
      <c r="B305" s="40" t="s">
        <v>191</v>
      </c>
      <c r="C305" s="40" t="s">
        <v>967</v>
      </c>
      <c r="D305" s="44">
        <v>34910.0</v>
      </c>
      <c r="E305" s="5">
        <v>28.0</v>
      </c>
      <c r="F305" s="45">
        <f t="shared" si="1"/>
        <v>28</v>
      </c>
    </row>
    <row r="306">
      <c r="A306" s="40" t="s">
        <v>1890</v>
      </c>
      <c r="B306" s="40" t="s">
        <v>13</v>
      </c>
      <c r="C306" s="40" t="s">
        <v>976</v>
      </c>
      <c r="D306" s="44">
        <v>35131.0</v>
      </c>
      <c r="E306" s="5">
        <v>27.0</v>
      </c>
      <c r="F306" s="45">
        <f t="shared" si="1"/>
        <v>27</v>
      </c>
    </row>
    <row r="307">
      <c r="A307" s="40" t="s">
        <v>1892</v>
      </c>
      <c r="B307" s="40" t="s">
        <v>13</v>
      </c>
      <c r="C307" s="40" t="s">
        <v>954</v>
      </c>
      <c r="D307" s="44">
        <v>35476.0</v>
      </c>
      <c r="E307" s="5">
        <v>26.0</v>
      </c>
      <c r="F307" s="45">
        <f t="shared" si="1"/>
        <v>26</v>
      </c>
    </row>
    <row r="308">
      <c r="A308" s="40" t="s">
        <v>564</v>
      </c>
      <c r="B308" s="40" t="s">
        <v>172</v>
      </c>
      <c r="C308" s="40" t="s">
        <v>958</v>
      </c>
      <c r="D308" s="44">
        <v>34803.0</v>
      </c>
      <c r="E308" s="5">
        <v>28.0</v>
      </c>
      <c r="F308" s="45">
        <f t="shared" si="1"/>
        <v>28</v>
      </c>
    </row>
    <row r="309">
      <c r="A309" s="40" t="s">
        <v>344</v>
      </c>
      <c r="B309" s="40" t="s">
        <v>172</v>
      </c>
      <c r="C309" s="40" t="s">
        <v>988</v>
      </c>
      <c r="D309" s="44">
        <v>36101.0</v>
      </c>
      <c r="E309" s="5">
        <v>24.0</v>
      </c>
      <c r="F309" s="45">
        <f t="shared" si="1"/>
        <v>25</v>
      </c>
    </row>
    <row r="310">
      <c r="A310" s="40" t="s">
        <v>888</v>
      </c>
      <c r="B310" s="40" t="s">
        <v>30</v>
      </c>
      <c r="C310" s="40" t="s">
        <v>2049</v>
      </c>
      <c r="D310" s="46"/>
      <c r="E310" s="2">
        <v>23.0</v>
      </c>
      <c r="F310" s="47">
        <v>23.0</v>
      </c>
    </row>
    <row r="311">
      <c r="A311" s="40" t="s">
        <v>1897</v>
      </c>
      <c r="B311" s="40" t="s">
        <v>13</v>
      </c>
      <c r="C311" s="40" t="s">
        <v>967</v>
      </c>
      <c r="D311" s="44">
        <v>35690.0</v>
      </c>
      <c r="E311" s="5">
        <v>25.0</v>
      </c>
      <c r="F311" s="45">
        <f t="shared" ref="F311:F336" si="2">datedif(D311,today(),"Y")</f>
        <v>26</v>
      </c>
    </row>
    <row r="312">
      <c r="A312" s="40" t="s">
        <v>764</v>
      </c>
      <c r="B312" s="40" t="s">
        <v>13</v>
      </c>
      <c r="C312" s="40" t="s">
        <v>2049</v>
      </c>
      <c r="D312" s="44">
        <v>37080.0</v>
      </c>
      <c r="E312" s="5">
        <v>22.0</v>
      </c>
      <c r="F312" s="45">
        <f t="shared" si="2"/>
        <v>22</v>
      </c>
    </row>
    <row r="313">
      <c r="A313" s="40" t="s">
        <v>1900</v>
      </c>
      <c r="B313" s="40" t="s">
        <v>172</v>
      </c>
      <c r="C313" s="40" t="s">
        <v>961</v>
      </c>
      <c r="D313" s="44">
        <v>31184.0</v>
      </c>
      <c r="E313" s="5">
        <v>38.0</v>
      </c>
      <c r="F313" s="45">
        <f t="shared" si="2"/>
        <v>38</v>
      </c>
    </row>
    <row r="314">
      <c r="A314" s="40" t="s">
        <v>655</v>
      </c>
      <c r="B314" s="40" t="s">
        <v>30</v>
      </c>
      <c r="C314" s="40" t="s">
        <v>929</v>
      </c>
      <c r="D314" s="44">
        <v>36559.0</v>
      </c>
      <c r="E314" s="5">
        <v>23.0</v>
      </c>
      <c r="F314" s="45">
        <f t="shared" si="2"/>
        <v>23</v>
      </c>
    </row>
    <row r="315">
      <c r="A315" s="40" t="s">
        <v>1277</v>
      </c>
      <c r="B315" s="40" t="s">
        <v>13</v>
      </c>
      <c r="C315" s="40" t="s">
        <v>980</v>
      </c>
      <c r="D315" s="44">
        <v>34133.0</v>
      </c>
      <c r="E315" s="5">
        <v>30.0</v>
      </c>
      <c r="F315" s="45">
        <f t="shared" si="2"/>
        <v>30</v>
      </c>
    </row>
    <row r="316">
      <c r="A316" s="40" t="s">
        <v>1904</v>
      </c>
      <c r="B316" s="40" t="s">
        <v>13</v>
      </c>
      <c r="C316" s="40" t="s">
        <v>946</v>
      </c>
      <c r="D316" s="44">
        <v>36054.0</v>
      </c>
      <c r="E316" s="5">
        <v>24.0</v>
      </c>
      <c r="F316" s="45">
        <f t="shared" si="2"/>
        <v>25</v>
      </c>
    </row>
    <row r="317">
      <c r="A317" s="40" t="s">
        <v>1522</v>
      </c>
      <c r="B317" s="40" t="s">
        <v>172</v>
      </c>
      <c r="C317" s="40" t="s">
        <v>2049</v>
      </c>
      <c r="D317" s="44">
        <v>36338.0</v>
      </c>
      <c r="E317" s="5">
        <v>24.0</v>
      </c>
      <c r="F317" s="45">
        <f t="shared" si="2"/>
        <v>24</v>
      </c>
    </row>
    <row r="318">
      <c r="A318" s="40" t="s">
        <v>1346</v>
      </c>
      <c r="B318" s="40" t="s">
        <v>30</v>
      </c>
      <c r="C318" s="40" t="s">
        <v>1040</v>
      </c>
      <c r="D318" s="44">
        <v>35944.0</v>
      </c>
      <c r="E318" s="5">
        <v>25.0</v>
      </c>
      <c r="F318" s="45">
        <f t="shared" si="2"/>
        <v>25</v>
      </c>
    </row>
    <row r="319">
      <c r="A319" s="40" t="s">
        <v>1908</v>
      </c>
      <c r="B319" s="40" t="s">
        <v>13</v>
      </c>
      <c r="C319" s="40" t="s">
        <v>933</v>
      </c>
      <c r="D319" s="44">
        <v>35645.0</v>
      </c>
      <c r="E319" s="5">
        <v>26.0</v>
      </c>
      <c r="F319" s="45">
        <f t="shared" si="2"/>
        <v>26</v>
      </c>
    </row>
    <row r="320">
      <c r="A320" s="40" t="s">
        <v>447</v>
      </c>
      <c r="B320" s="40" t="s">
        <v>13</v>
      </c>
      <c r="C320" s="40" t="s">
        <v>2049</v>
      </c>
      <c r="D320" s="44">
        <v>36922.0</v>
      </c>
      <c r="E320" s="5">
        <v>22.0</v>
      </c>
      <c r="F320" s="45">
        <f t="shared" si="2"/>
        <v>22</v>
      </c>
    </row>
    <row r="321">
      <c r="A321" s="40" t="s">
        <v>1911</v>
      </c>
      <c r="B321" s="40" t="s">
        <v>30</v>
      </c>
      <c r="C321" s="40" t="s">
        <v>940</v>
      </c>
      <c r="D321" s="44">
        <v>34290.0</v>
      </c>
      <c r="E321" s="5">
        <v>29.0</v>
      </c>
      <c r="F321" s="45">
        <f t="shared" si="2"/>
        <v>30</v>
      </c>
    </row>
    <row r="322">
      <c r="A322" s="40" t="s">
        <v>582</v>
      </c>
      <c r="B322" s="40" t="s">
        <v>516</v>
      </c>
      <c r="C322" s="40" t="s">
        <v>942</v>
      </c>
      <c r="D322" s="44">
        <v>36410.0</v>
      </c>
      <c r="E322" s="5">
        <v>23.0</v>
      </c>
      <c r="F322" s="45">
        <f t="shared" si="2"/>
        <v>24</v>
      </c>
    </row>
    <row r="323">
      <c r="A323" s="40" t="s">
        <v>1439</v>
      </c>
      <c r="B323" s="40" t="s">
        <v>191</v>
      </c>
      <c r="C323" s="40" t="s">
        <v>980</v>
      </c>
      <c r="D323" s="44">
        <v>35556.0</v>
      </c>
      <c r="E323" s="5">
        <v>26.0</v>
      </c>
      <c r="F323" s="45">
        <f t="shared" si="2"/>
        <v>26</v>
      </c>
    </row>
    <row r="324">
      <c r="A324" s="40" t="s">
        <v>1327</v>
      </c>
      <c r="B324" s="40" t="s">
        <v>172</v>
      </c>
      <c r="C324" s="40" t="s">
        <v>1016</v>
      </c>
      <c r="D324" s="44">
        <v>33968.0</v>
      </c>
      <c r="E324" s="5">
        <v>30.0</v>
      </c>
      <c r="F324" s="45">
        <f t="shared" si="2"/>
        <v>31</v>
      </c>
    </row>
    <row r="325">
      <c r="A325" s="40" t="s">
        <v>727</v>
      </c>
      <c r="B325" s="40" t="s">
        <v>13</v>
      </c>
      <c r="C325" s="40" t="s">
        <v>1040</v>
      </c>
      <c r="D325" s="44">
        <v>36459.0</v>
      </c>
      <c r="E325" s="5">
        <v>23.0</v>
      </c>
      <c r="F325" s="45">
        <f t="shared" si="2"/>
        <v>24</v>
      </c>
    </row>
    <row r="326">
      <c r="A326" s="40" t="s">
        <v>1430</v>
      </c>
      <c r="B326" s="40" t="s">
        <v>30</v>
      </c>
      <c r="C326" s="40" t="s">
        <v>1009</v>
      </c>
      <c r="D326" s="44">
        <v>34113.0</v>
      </c>
      <c r="E326" s="5">
        <v>30.0</v>
      </c>
      <c r="F326" s="45">
        <f t="shared" si="2"/>
        <v>30</v>
      </c>
    </row>
    <row r="327">
      <c r="A327" s="40" t="s">
        <v>1918</v>
      </c>
      <c r="B327" s="40" t="s">
        <v>30</v>
      </c>
      <c r="C327" s="40" t="s">
        <v>952</v>
      </c>
      <c r="D327" s="44">
        <v>35070.0</v>
      </c>
      <c r="E327" s="5">
        <v>27.0</v>
      </c>
      <c r="F327" s="45">
        <f t="shared" si="2"/>
        <v>28</v>
      </c>
    </row>
    <row r="328">
      <c r="A328" s="40" t="s">
        <v>1920</v>
      </c>
      <c r="B328" s="40" t="s">
        <v>30</v>
      </c>
      <c r="C328" s="40" t="s">
        <v>2049</v>
      </c>
      <c r="D328" s="44">
        <v>37334.0</v>
      </c>
      <c r="E328" s="5">
        <v>21.0</v>
      </c>
      <c r="F328" s="45">
        <f t="shared" si="2"/>
        <v>21</v>
      </c>
    </row>
    <row r="329">
      <c r="A329" s="40" t="s">
        <v>768</v>
      </c>
      <c r="B329" s="40" t="s">
        <v>191</v>
      </c>
      <c r="C329" s="40" t="s">
        <v>2049</v>
      </c>
      <c r="D329" s="44">
        <v>36451.0</v>
      </c>
      <c r="E329" s="5">
        <v>23.0</v>
      </c>
      <c r="F329" s="45">
        <f t="shared" si="2"/>
        <v>24</v>
      </c>
    </row>
    <row r="330">
      <c r="A330" s="40" t="s">
        <v>1511</v>
      </c>
      <c r="B330" s="40" t="s">
        <v>191</v>
      </c>
      <c r="C330" s="40" t="s">
        <v>961</v>
      </c>
      <c r="D330" s="44">
        <v>34231.0</v>
      </c>
      <c r="E330" s="5">
        <v>29.0</v>
      </c>
      <c r="F330" s="45">
        <f t="shared" si="2"/>
        <v>30</v>
      </c>
    </row>
    <row r="331">
      <c r="A331" s="40" t="s">
        <v>890</v>
      </c>
      <c r="B331" s="40" t="s">
        <v>191</v>
      </c>
      <c r="C331" s="40" t="s">
        <v>952</v>
      </c>
      <c r="D331" s="44">
        <v>36178.0</v>
      </c>
      <c r="E331" s="5">
        <v>24.0</v>
      </c>
      <c r="F331" s="45">
        <f t="shared" si="2"/>
        <v>24</v>
      </c>
    </row>
    <row r="332">
      <c r="A332" s="40" t="s">
        <v>1925</v>
      </c>
      <c r="B332" s="40" t="s">
        <v>30</v>
      </c>
      <c r="C332" s="40" t="s">
        <v>992</v>
      </c>
      <c r="D332" s="44">
        <v>34136.0</v>
      </c>
      <c r="E332" s="5">
        <v>30.0</v>
      </c>
      <c r="F332" s="45">
        <f t="shared" si="2"/>
        <v>30</v>
      </c>
    </row>
    <row r="333">
      <c r="A333" s="40" t="s">
        <v>1927</v>
      </c>
      <c r="B333" s="40" t="s">
        <v>13</v>
      </c>
      <c r="C333" s="40" t="s">
        <v>2049</v>
      </c>
      <c r="D333" s="44">
        <v>37197.0</v>
      </c>
      <c r="E333" s="5">
        <v>21.0</v>
      </c>
      <c r="F333" s="45">
        <f t="shared" si="2"/>
        <v>22</v>
      </c>
    </row>
    <row r="334">
      <c r="A334" s="40" t="s">
        <v>1281</v>
      </c>
      <c r="B334" s="40" t="s">
        <v>172</v>
      </c>
      <c r="C334" s="40" t="s">
        <v>983</v>
      </c>
      <c r="D334" s="44">
        <v>32079.0</v>
      </c>
      <c r="E334" s="5">
        <v>35.0</v>
      </c>
      <c r="F334" s="45">
        <f t="shared" si="2"/>
        <v>36</v>
      </c>
    </row>
    <row r="335">
      <c r="A335" s="40" t="s">
        <v>1436</v>
      </c>
      <c r="B335" s="40" t="s">
        <v>30</v>
      </c>
      <c r="C335" s="40" t="s">
        <v>988</v>
      </c>
      <c r="D335" s="44">
        <v>33107.0</v>
      </c>
      <c r="E335" s="5">
        <v>33.0</v>
      </c>
      <c r="F335" s="45">
        <f t="shared" si="2"/>
        <v>33</v>
      </c>
    </row>
    <row r="336">
      <c r="A336" s="40" t="s">
        <v>1931</v>
      </c>
      <c r="B336" s="40" t="s">
        <v>13</v>
      </c>
      <c r="C336" s="40" t="s">
        <v>2049</v>
      </c>
      <c r="D336" s="44">
        <v>34019.0</v>
      </c>
      <c r="E336" s="5">
        <v>30.0</v>
      </c>
      <c r="F336" s="45">
        <f t="shared" si="2"/>
        <v>30</v>
      </c>
    </row>
    <row r="337">
      <c r="A337" s="40" t="s">
        <v>1933</v>
      </c>
      <c r="B337" s="40" t="s">
        <v>13</v>
      </c>
      <c r="C337" s="40" t="s">
        <v>2049</v>
      </c>
      <c r="D337" s="46"/>
      <c r="E337" s="2">
        <v>23.0</v>
      </c>
      <c r="F337" s="47">
        <v>23.0</v>
      </c>
    </row>
    <row r="338">
      <c r="A338" s="40" t="s">
        <v>1935</v>
      </c>
      <c r="B338" s="40" t="s">
        <v>30</v>
      </c>
      <c r="C338" s="40" t="s">
        <v>990</v>
      </c>
      <c r="D338" s="44">
        <v>36328.0</v>
      </c>
      <c r="E338" s="5">
        <v>24.0</v>
      </c>
      <c r="F338" s="45">
        <f t="shared" ref="F338:F342" si="3">datedif(D338,today(),"Y")</f>
        <v>24</v>
      </c>
    </row>
    <row r="339">
      <c r="A339" s="40" t="s">
        <v>1408</v>
      </c>
      <c r="B339" s="40" t="s">
        <v>30</v>
      </c>
      <c r="C339" s="40" t="s">
        <v>983</v>
      </c>
      <c r="D339" s="44">
        <v>35881.0</v>
      </c>
      <c r="E339" s="5">
        <v>25.0</v>
      </c>
      <c r="F339" s="45">
        <f t="shared" si="3"/>
        <v>25</v>
      </c>
    </row>
    <row r="340">
      <c r="A340" s="40" t="s">
        <v>1477</v>
      </c>
      <c r="B340" s="40" t="s">
        <v>13</v>
      </c>
      <c r="C340" s="40" t="s">
        <v>1024</v>
      </c>
      <c r="D340" s="44">
        <v>35554.0</v>
      </c>
      <c r="E340" s="5">
        <v>26.0</v>
      </c>
      <c r="F340" s="45">
        <f t="shared" si="3"/>
        <v>26</v>
      </c>
    </row>
    <row r="341">
      <c r="A341" s="40" t="s">
        <v>1523</v>
      </c>
      <c r="B341" s="40" t="s">
        <v>172</v>
      </c>
      <c r="C341" s="40" t="s">
        <v>967</v>
      </c>
      <c r="D341" s="44">
        <v>36375.0</v>
      </c>
      <c r="E341" s="5">
        <v>24.0</v>
      </c>
      <c r="F341" s="45">
        <f t="shared" si="3"/>
        <v>24</v>
      </c>
    </row>
    <row r="342">
      <c r="A342" s="40" t="s">
        <v>1940</v>
      </c>
      <c r="B342" s="40" t="s">
        <v>30</v>
      </c>
      <c r="C342" s="40" t="s">
        <v>958</v>
      </c>
      <c r="D342" s="44">
        <v>35608.0</v>
      </c>
      <c r="E342" s="5">
        <v>26.0</v>
      </c>
      <c r="F342" s="45">
        <f t="shared" si="3"/>
        <v>26</v>
      </c>
    </row>
    <row r="343">
      <c r="A343" s="40" t="s">
        <v>288</v>
      </c>
      <c r="B343" s="40" t="s">
        <v>172</v>
      </c>
      <c r="C343" s="40" t="s">
        <v>2049</v>
      </c>
      <c r="D343" s="46"/>
      <c r="E343" s="2">
        <v>21.0</v>
      </c>
      <c r="F343" s="47">
        <v>21.0</v>
      </c>
    </row>
    <row r="344">
      <c r="A344" s="40" t="s">
        <v>1409</v>
      </c>
      <c r="B344" s="40" t="s">
        <v>172</v>
      </c>
      <c r="C344" s="40" t="s">
        <v>992</v>
      </c>
      <c r="D344" s="44">
        <v>36089.0</v>
      </c>
      <c r="E344" s="5">
        <v>24.0</v>
      </c>
      <c r="F344" s="45">
        <f t="shared" ref="F344:F359" si="4">datedif(D344,today(),"Y")</f>
        <v>25</v>
      </c>
    </row>
    <row r="345">
      <c r="A345" s="40" t="s">
        <v>1384</v>
      </c>
      <c r="B345" s="40" t="s">
        <v>13</v>
      </c>
      <c r="C345" s="40" t="s">
        <v>2049</v>
      </c>
      <c r="D345" s="44">
        <v>33697.0</v>
      </c>
      <c r="E345" s="5">
        <v>31.0</v>
      </c>
      <c r="F345" s="45">
        <f t="shared" si="4"/>
        <v>31</v>
      </c>
    </row>
    <row r="346">
      <c r="A346" s="40" t="s">
        <v>1442</v>
      </c>
      <c r="B346" s="40" t="s">
        <v>30</v>
      </c>
      <c r="C346" s="40" t="s">
        <v>1007</v>
      </c>
      <c r="D346" s="44">
        <v>34134.0</v>
      </c>
      <c r="E346" s="5">
        <v>30.0</v>
      </c>
      <c r="F346" s="45">
        <f t="shared" si="4"/>
        <v>30</v>
      </c>
    </row>
    <row r="347">
      <c r="A347" s="40" t="s">
        <v>1946</v>
      </c>
      <c r="B347" s="40" t="s">
        <v>172</v>
      </c>
      <c r="C347" s="40" t="s">
        <v>967</v>
      </c>
      <c r="D347" s="44">
        <v>34783.0</v>
      </c>
      <c r="E347" s="5">
        <v>28.0</v>
      </c>
      <c r="F347" s="45">
        <f t="shared" si="4"/>
        <v>28</v>
      </c>
    </row>
    <row r="348">
      <c r="A348" s="40" t="s">
        <v>1262</v>
      </c>
      <c r="B348" s="40" t="s">
        <v>191</v>
      </c>
      <c r="C348" s="40" t="s">
        <v>983</v>
      </c>
      <c r="D348" s="44">
        <v>35466.0</v>
      </c>
      <c r="E348" s="5">
        <v>26.0</v>
      </c>
      <c r="F348" s="45">
        <f t="shared" si="4"/>
        <v>26</v>
      </c>
    </row>
    <row r="349">
      <c r="A349" s="40" t="s">
        <v>852</v>
      </c>
      <c r="B349" s="40" t="s">
        <v>30</v>
      </c>
      <c r="C349" s="40" t="s">
        <v>958</v>
      </c>
      <c r="D349" s="44">
        <v>36440.0</v>
      </c>
      <c r="E349" s="5">
        <v>23.0</v>
      </c>
      <c r="F349" s="45">
        <f t="shared" si="4"/>
        <v>24</v>
      </c>
    </row>
    <row r="350">
      <c r="A350" s="40" t="s">
        <v>1948</v>
      </c>
      <c r="B350" s="40" t="s">
        <v>13</v>
      </c>
      <c r="C350" s="40" t="s">
        <v>2049</v>
      </c>
      <c r="D350" s="44">
        <v>34747.0</v>
      </c>
      <c r="E350" s="5">
        <v>28.0</v>
      </c>
      <c r="F350" s="45">
        <f t="shared" si="4"/>
        <v>28</v>
      </c>
    </row>
    <row r="351">
      <c r="A351" s="40" t="s">
        <v>1337</v>
      </c>
      <c r="B351" s="40" t="s">
        <v>30</v>
      </c>
      <c r="C351" s="40" t="s">
        <v>1016</v>
      </c>
      <c r="D351" s="44">
        <v>36465.0</v>
      </c>
      <c r="E351" s="5">
        <v>23.0</v>
      </c>
      <c r="F351" s="45">
        <f t="shared" si="4"/>
        <v>24</v>
      </c>
    </row>
    <row r="352">
      <c r="A352" s="40" t="s">
        <v>617</v>
      </c>
      <c r="B352" s="40" t="s">
        <v>516</v>
      </c>
      <c r="C352" s="40" t="s">
        <v>944</v>
      </c>
      <c r="D352" s="44">
        <v>36918.0</v>
      </c>
      <c r="E352" s="5">
        <v>22.0</v>
      </c>
      <c r="F352" s="45">
        <f t="shared" si="4"/>
        <v>22</v>
      </c>
    </row>
    <row r="353">
      <c r="A353" s="40" t="s">
        <v>1498</v>
      </c>
      <c r="B353" s="40" t="s">
        <v>13</v>
      </c>
      <c r="C353" s="40" t="s">
        <v>931</v>
      </c>
      <c r="D353" s="44">
        <v>36190.0</v>
      </c>
      <c r="E353" s="5">
        <v>24.0</v>
      </c>
      <c r="F353" s="45">
        <f t="shared" si="4"/>
        <v>24</v>
      </c>
    </row>
    <row r="354">
      <c r="A354" s="40" t="s">
        <v>1949</v>
      </c>
      <c r="B354" s="40" t="s">
        <v>30</v>
      </c>
      <c r="C354" s="40" t="s">
        <v>940</v>
      </c>
      <c r="D354" s="44">
        <v>35561.0</v>
      </c>
      <c r="E354" s="5">
        <v>26.0</v>
      </c>
      <c r="F354" s="45">
        <f t="shared" si="4"/>
        <v>26</v>
      </c>
    </row>
    <row r="355">
      <c r="A355" s="40" t="s">
        <v>1950</v>
      </c>
      <c r="B355" s="40" t="s">
        <v>191</v>
      </c>
      <c r="C355" s="40" t="s">
        <v>1024</v>
      </c>
      <c r="D355" s="44">
        <v>33422.0</v>
      </c>
      <c r="E355" s="5">
        <v>32.0</v>
      </c>
      <c r="F355" s="45">
        <f t="shared" si="4"/>
        <v>32</v>
      </c>
    </row>
    <row r="356">
      <c r="A356" s="40" t="s">
        <v>1318</v>
      </c>
      <c r="B356" s="40" t="s">
        <v>191</v>
      </c>
      <c r="C356" s="40" t="s">
        <v>967</v>
      </c>
      <c r="D356" s="44">
        <v>33983.0</v>
      </c>
      <c r="E356" s="5">
        <v>30.0</v>
      </c>
      <c r="F356" s="45">
        <f t="shared" si="4"/>
        <v>30</v>
      </c>
    </row>
    <row r="357">
      <c r="A357" s="40" t="s">
        <v>1447</v>
      </c>
      <c r="B357" s="40" t="s">
        <v>191</v>
      </c>
      <c r="C357" s="40" t="s">
        <v>944</v>
      </c>
      <c r="D357" s="44">
        <v>35908.0</v>
      </c>
      <c r="E357" s="5">
        <v>25.0</v>
      </c>
      <c r="F357" s="45">
        <f t="shared" si="4"/>
        <v>25</v>
      </c>
    </row>
    <row r="358">
      <c r="A358" s="40" t="s">
        <v>1484</v>
      </c>
      <c r="B358" s="40" t="s">
        <v>13</v>
      </c>
      <c r="C358" s="40" t="s">
        <v>1009</v>
      </c>
      <c r="D358" s="44">
        <v>36847.0</v>
      </c>
      <c r="E358" s="5">
        <v>22.0</v>
      </c>
      <c r="F358" s="45">
        <f t="shared" si="4"/>
        <v>23</v>
      </c>
    </row>
    <row r="359">
      <c r="A359" s="40" t="s">
        <v>1951</v>
      </c>
      <c r="B359" s="40" t="s">
        <v>30</v>
      </c>
      <c r="C359" s="40" t="s">
        <v>954</v>
      </c>
      <c r="D359" s="44">
        <v>35120.0</v>
      </c>
      <c r="E359" s="5">
        <v>27.0</v>
      </c>
      <c r="F359" s="45">
        <f t="shared" si="4"/>
        <v>27</v>
      </c>
    </row>
    <row r="360">
      <c r="A360" s="40" t="s">
        <v>1952</v>
      </c>
      <c r="B360" s="40" t="s">
        <v>30</v>
      </c>
      <c r="C360" s="40" t="s">
        <v>2049</v>
      </c>
      <c r="D360" s="46"/>
      <c r="E360" s="2">
        <v>21.0</v>
      </c>
      <c r="F360" s="47">
        <v>21.0</v>
      </c>
    </row>
    <row r="361">
      <c r="A361" s="40" t="s">
        <v>1953</v>
      </c>
      <c r="B361" s="40" t="s">
        <v>13</v>
      </c>
      <c r="C361" s="40" t="s">
        <v>2049</v>
      </c>
      <c r="D361" s="46"/>
      <c r="E361" s="2">
        <v>23.0</v>
      </c>
      <c r="F361" s="47">
        <v>23.0</v>
      </c>
    </row>
    <row r="362">
      <c r="A362" s="40" t="s">
        <v>1954</v>
      </c>
      <c r="B362" s="40" t="s">
        <v>30</v>
      </c>
      <c r="C362" s="40" t="s">
        <v>954</v>
      </c>
      <c r="D362" s="44">
        <v>35023.0</v>
      </c>
      <c r="E362" s="5">
        <v>27.0</v>
      </c>
      <c r="F362" s="45">
        <f t="shared" ref="F362:F419" si="5">datedif(D362,today(),"Y")</f>
        <v>28</v>
      </c>
    </row>
    <row r="363">
      <c r="A363" s="40" t="s">
        <v>1461</v>
      </c>
      <c r="B363" s="40" t="s">
        <v>172</v>
      </c>
      <c r="C363" s="40" t="s">
        <v>944</v>
      </c>
      <c r="D363" s="44">
        <v>33949.0</v>
      </c>
      <c r="E363" s="5">
        <v>30.0</v>
      </c>
      <c r="F363" s="45">
        <f t="shared" si="5"/>
        <v>31</v>
      </c>
    </row>
    <row r="364">
      <c r="A364" s="40" t="s">
        <v>1955</v>
      </c>
      <c r="B364" s="40" t="s">
        <v>191</v>
      </c>
      <c r="C364" s="40" t="s">
        <v>933</v>
      </c>
      <c r="D364" s="44">
        <v>36280.0</v>
      </c>
      <c r="E364" s="5">
        <v>24.0</v>
      </c>
      <c r="F364" s="45">
        <f t="shared" si="5"/>
        <v>24</v>
      </c>
    </row>
    <row r="365">
      <c r="A365" s="40" t="s">
        <v>1358</v>
      </c>
      <c r="B365" s="40" t="s">
        <v>30</v>
      </c>
      <c r="C365" s="40" t="s">
        <v>950</v>
      </c>
      <c r="D365" s="44">
        <v>36162.0</v>
      </c>
      <c r="E365" s="5">
        <v>24.0</v>
      </c>
      <c r="F365" s="45">
        <f t="shared" si="5"/>
        <v>25</v>
      </c>
    </row>
    <row r="366">
      <c r="A366" s="40" t="s">
        <v>1956</v>
      </c>
      <c r="B366" s="40" t="s">
        <v>13</v>
      </c>
      <c r="C366" s="40" t="s">
        <v>1024</v>
      </c>
      <c r="D366" s="44">
        <v>33564.0</v>
      </c>
      <c r="E366" s="5">
        <v>31.0</v>
      </c>
      <c r="F366" s="45">
        <f t="shared" si="5"/>
        <v>32</v>
      </c>
    </row>
    <row r="367">
      <c r="A367" s="40" t="s">
        <v>1957</v>
      </c>
      <c r="B367" s="40" t="s">
        <v>30</v>
      </c>
      <c r="C367" s="40" t="s">
        <v>952</v>
      </c>
      <c r="D367" s="44">
        <v>32826.0</v>
      </c>
      <c r="E367" s="5">
        <v>33.0</v>
      </c>
      <c r="F367" s="45">
        <f t="shared" si="5"/>
        <v>34</v>
      </c>
    </row>
    <row r="368">
      <c r="A368" s="40" t="s">
        <v>1958</v>
      </c>
      <c r="B368" s="40" t="s">
        <v>13</v>
      </c>
      <c r="C368" s="40" t="s">
        <v>952</v>
      </c>
      <c r="D368" s="44">
        <v>36125.0</v>
      </c>
      <c r="E368" s="5">
        <v>24.0</v>
      </c>
      <c r="F368" s="45">
        <f t="shared" si="5"/>
        <v>25</v>
      </c>
    </row>
    <row r="369">
      <c r="A369" s="40" t="s">
        <v>1526</v>
      </c>
      <c r="B369" s="40" t="s">
        <v>191</v>
      </c>
      <c r="C369" s="40" t="s">
        <v>946</v>
      </c>
      <c r="D369" s="44">
        <v>35254.0</v>
      </c>
      <c r="E369" s="5">
        <v>27.0</v>
      </c>
      <c r="F369" s="45">
        <f t="shared" si="5"/>
        <v>27</v>
      </c>
    </row>
    <row r="370">
      <c r="A370" s="40" t="s">
        <v>1959</v>
      </c>
      <c r="B370" s="40" t="s">
        <v>13</v>
      </c>
      <c r="C370" s="40" t="s">
        <v>946</v>
      </c>
      <c r="D370" s="44">
        <v>36014.0</v>
      </c>
      <c r="E370" s="5">
        <v>25.0</v>
      </c>
      <c r="F370" s="45">
        <f t="shared" si="5"/>
        <v>25</v>
      </c>
    </row>
    <row r="371">
      <c r="A371" s="40" t="s">
        <v>1960</v>
      </c>
      <c r="B371" s="40" t="s">
        <v>30</v>
      </c>
      <c r="C371" s="40" t="s">
        <v>1007</v>
      </c>
      <c r="D371" s="44">
        <v>34598.0</v>
      </c>
      <c r="E371" s="5">
        <v>28.0</v>
      </c>
      <c r="F371" s="45">
        <f t="shared" si="5"/>
        <v>29</v>
      </c>
    </row>
    <row r="372">
      <c r="A372" s="40" t="s">
        <v>1961</v>
      </c>
      <c r="B372" s="40" t="s">
        <v>191</v>
      </c>
      <c r="C372" s="40" t="s">
        <v>992</v>
      </c>
      <c r="D372" s="44">
        <v>33713.0</v>
      </c>
      <c r="E372" s="5">
        <v>31.0</v>
      </c>
      <c r="F372" s="45">
        <f t="shared" si="5"/>
        <v>31</v>
      </c>
    </row>
    <row r="373">
      <c r="A373" s="40" t="s">
        <v>1962</v>
      </c>
      <c r="B373" s="40" t="s">
        <v>172</v>
      </c>
      <c r="C373" s="40" t="s">
        <v>980</v>
      </c>
      <c r="D373" s="44">
        <v>35285.0</v>
      </c>
      <c r="E373" s="5">
        <v>27.0</v>
      </c>
      <c r="F373" s="45">
        <f t="shared" si="5"/>
        <v>27</v>
      </c>
    </row>
    <row r="374">
      <c r="A374" s="40" t="s">
        <v>903</v>
      </c>
      <c r="B374" s="40" t="s">
        <v>191</v>
      </c>
      <c r="C374" s="40" t="s">
        <v>2049</v>
      </c>
      <c r="D374" s="44">
        <v>36771.0</v>
      </c>
      <c r="E374" s="5">
        <v>22.0</v>
      </c>
      <c r="F374" s="45">
        <f t="shared" si="5"/>
        <v>23</v>
      </c>
    </row>
    <row r="375">
      <c r="A375" s="40" t="s">
        <v>1431</v>
      </c>
      <c r="B375" s="40" t="s">
        <v>30</v>
      </c>
      <c r="C375" s="40" t="s">
        <v>974</v>
      </c>
      <c r="D375" s="44">
        <v>35634.0</v>
      </c>
      <c r="E375" s="5">
        <v>26.0</v>
      </c>
      <c r="F375" s="45">
        <f t="shared" si="5"/>
        <v>26</v>
      </c>
    </row>
    <row r="376">
      <c r="A376" s="40" t="s">
        <v>1492</v>
      </c>
      <c r="B376" s="40" t="s">
        <v>191</v>
      </c>
      <c r="C376" s="40" t="s">
        <v>961</v>
      </c>
      <c r="D376" s="44">
        <v>35881.0</v>
      </c>
      <c r="E376" s="5">
        <v>25.0</v>
      </c>
      <c r="F376" s="45">
        <f t="shared" si="5"/>
        <v>25</v>
      </c>
    </row>
    <row r="377">
      <c r="A377" s="40" t="s">
        <v>1963</v>
      </c>
      <c r="B377" s="40" t="s">
        <v>13</v>
      </c>
      <c r="C377" s="40" t="s">
        <v>961</v>
      </c>
      <c r="D377" s="44">
        <v>36209.0</v>
      </c>
      <c r="E377" s="5">
        <v>24.0</v>
      </c>
      <c r="F377" s="45">
        <f t="shared" si="5"/>
        <v>24</v>
      </c>
    </row>
    <row r="378">
      <c r="A378" s="40" t="s">
        <v>1964</v>
      </c>
      <c r="B378" s="40" t="s">
        <v>13</v>
      </c>
      <c r="C378" s="40" t="s">
        <v>974</v>
      </c>
      <c r="D378" s="44">
        <v>36053.0</v>
      </c>
      <c r="E378" s="5">
        <v>24.0</v>
      </c>
      <c r="F378" s="45">
        <f t="shared" si="5"/>
        <v>25</v>
      </c>
    </row>
    <row r="379">
      <c r="A379" s="40" t="s">
        <v>775</v>
      </c>
      <c r="B379" s="40" t="s">
        <v>13</v>
      </c>
      <c r="C379" s="40" t="s">
        <v>952</v>
      </c>
      <c r="D379" s="44">
        <v>35960.0</v>
      </c>
      <c r="E379" s="5">
        <v>25.0</v>
      </c>
      <c r="F379" s="45">
        <f t="shared" si="5"/>
        <v>25</v>
      </c>
    </row>
    <row r="380">
      <c r="A380" s="40" t="s">
        <v>1516</v>
      </c>
      <c r="B380" s="40" t="s">
        <v>172</v>
      </c>
      <c r="C380" s="40" t="s">
        <v>996</v>
      </c>
      <c r="D380" s="44">
        <v>35586.0</v>
      </c>
      <c r="E380" s="5">
        <v>26.0</v>
      </c>
      <c r="F380" s="45">
        <f t="shared" si="5"/>
        <v>26</v>
      </c>
    </row>
    <row r="381">
      <c r="A381" s="40" t="s">
        <v>1451</v>
      </c>
      <c r="B381" s="40" t="s">
        <v>30</v>
      </c>
      <c r="C381" s="40" t="s">
        <v>983</v>
      </c>
      <c r="D381" s="44">
        <v>35071.0</v>
      </c>
      <c r="E381" s="5">
        <v>27.0</v>
      </c>
      <c r="F381" s="45">
        <f t="shared" si="5"/>
        <v>27</v>
      </c>
    </row>
    <row r="382">
      <c r="A382" s="40" t="s">
        <v>1965</v>
      </c>
      <c r="B382" s="40" t="s">
        <v>13</v>
      </c>
      <c r="C382" s="40" t="s">
        <v>942</v>
      </c>
      <c r="D382" s="44">
        <v>36739.0</v>
      </c>
      <c r="E382" s="5">
        <v>23.0</v>
      </c>
      <c r="F382" s="45">
        <f t="shared" si="5"/>
        <v>23</v>
      </c>
    </row>
    <row r="383">
      <c r="A383" s="40" t="s">
        <v>1397</v>
      </c>
      <c r="B383" s="40" t="s">
        <v>191</v>
      </c>
      <c r="C383" s="40" t="s">
        <v>2049</v>
      </c>
      <c r="D383" s="44">
        <v>37120.0</v>
      </c>
      <c r="E383" s="5">
        <v>22.0</v>
      </c>
      <c r="F383" s="45">
        <f t="shared" si="5"/>
        <v>22</v>
      </c>
    </row>
    <row r="384">
      <c r="A384" s="40" t="s">
        <v>1966</v>
      </c>
      <c r="B384" s="40" t="s">
        <v>13</v>
      </c>
      <c r="C384" s="40" t="s">
        <v>940</v>
      </c>
      <c r="D384" s="44">
        <v>36162.0</v>
      </c>
      <c r="E384" s="5">
        <v>24.0</v>
      </c>
      <c r="F384" s="45">
        <f t="shared" si="5"/>
        <v>25</v>
      </c>
    </row>
    <row r="385">
      <c r="A385" s="40" t="s">
        <v>1967</v>
      </c>
      <c r="B385" s="40" t="s">
        <v>191</v>
      </c>
      <c r="C385" s="40" t="s">
        <v>1024</v>
      </c>
      <c r="D385" s="44">
        <v>32821.0</v>
      </c>
      <c r="E385" s="5">
        <v>33.0</v>
      </c>
      <c r="F385" s="45">
        <f t="shared" si="5"/>
        <v>34</v>
      </c>
    </row>
    <row r="386">
      <c r="A386" s="40" t="s">
        <v>1968</v>
      </c>
      <c r="B386" s="40" t="s">
        <v>30</v>
      </c>
      <c r="C386" s="40" t="s">
        <v>965</v>
      </c>
      <c r="D386" s="44">
        <v>35886.0</v>
      </c>
      <c r="E386" s="5">
        <v>25.0</v>
      </c>
      <c r="F386" s="45">
        <f t="shared" si="5"/>
        <v>25</v>
      </c>
    </row>
    <row r="387">
      <c r="A387" s="40" t="s">
        <v>1366</v>
      </c>
      <c r="B387" s="40" t="s">
        <v>30</v>
      </c>
      <c r="C387" s="40" t="s">
        <v>963</v>
      </c>
      <c r="D387" s="44">
        <v>35621.0</v>
      </c>
      <c r="E387" s="5">
        <v>26.0</v>
      </c>
      <c r="F387" s="45">
        <f t="shared" si="5"/>
        <v>26</v>
      </c>
    </row>
    <row r="388">
      <c r="A388" s="40" t="s">
        <v>1969</v>
      </c>
      <c r="B388" s="40" t="s">
        <v>30</v>
      </c>
      <c r="C388" s="40" t="s">
        <v>938</v>
      </c>
      <c r="D388" s="44">
        <v>34069.0</v>
      </c>
      <c r="E388" s="5">
        <v>30.0</v>
      </c>
      <c r="F388" s="45">
        <f t="shared" si="5"/>
        <v>30</v>
      </c>
    </row>
    <row r="389">
      <c r="A389" s="40" t="s">
        <v>1970</v>
      </c>
      <c r="B389" s="40" t="s">
        <v>191</v>
      </c>
      <c r="C389" s="40" t="s">
        <v>942</v>
      </c>
      <c r="D389" s="44">
        <v>34773.0</v>
      </c>
      <c r="E389" s="5">
        <v>28.0</v>
      </c>
      <c r="F389" s="45">
        <f t="shared" si="5"/>
        <v>28</v>
      </c>
    </row>
    <row r="390">
      <c r="A390" s="40" t="s">
        <v>1971</v>
      </c>
      <c r="B390" s="40" t="s">
        <v>13</v>
      </c>
      <c r="C390" s="40" t="s">
        <v>940</v>
      </c>
      <c r="D390" s="44">
        <v>35985.0</v>
      </c>
      <c r="E390" s="5">
        <v>25.0</v>
      </c>
      <c r="F390" s="45">
        <f t="shared" si="5"/>
        <v>25</v>
      </c>
    </row>
    <row r="391">
      <c r="A391" s="40" t="s">
        <v>1972</v>
      </c>
      <c r="B391" s="40" t="s">
        <v>13</v>
      </c>
      <c r="C391" s="40" t="s">
        <v>958</v>
      </c>
      <c r="D391" s="44">
        <v>34104.0</v>
      </c>
      <c r="E391" s="5">
        <v>30.0</v>
      </c>
      <c r="F391" s="45">
        <f t="shared" si="5"/>
        <v>30</v>
      </c>
    </row>
    <row r="392">
      <c r="A392" s="40" t="s">
        <v>1973</v>
      </c>
      <c r="B392" s="40" t="s">
        <v>191</v>
      </c>
      <c r="C392" s="40" t="s">
        <v>996</v>
      </c>
      <c r="D392" s="44">
        <v>36679.0</v>
      </c>
      <c r="E392" s="5">
        <v>23.0</v>
      </c>
      <c r="F392" s="45">
        <f t="shared" si="5"/>
        <v>23</v>
      </c>
    </row>
    <row r="393">
      <c r="A393" s="40" t="s">
        <v>635</v>
      </c>
      <c r="B393" s="40" t="s">
        <v>516</v>
      </c>
      <c r="C393" s="40" t="s">
        <v>961</v>
      </c>
      <c r="D393" s="44">
        <v>35164.0</v>
      </c>
      <c r="E393" s="5">
        <v>27.0</v>
      </c>
      <c r="F393" s="45">
        <f t="shared" si="5"/>
        <v>27</v>
      </c>
    </row>
    <row r="394">
      <c r="A394" s="40" t="s">
        <v>1974</v>
      </c>
      <c r="B394" s="40" t="s">
        <v>191</v>
      </c>
      <c r="C394" s="40" t="s">
        <v>965</v>
      </c>
      <c r="D394" s="44">
        <v>36383.0</v>
      </c>
      <c r="E394" s="5">
        <v>24.0</v>
      </c>
      <c r="F394" s="45">
        <f t="shared" si="5"/>
        <v>24</v>
      </c>
    </row>
    <row r="395">
      <c r="A395" s="40" t="s">
        <v>1501</v>
      </c>
      <c r="B395" s="40" t="s">
        <v>13</v>
      </c>
      <c r="C395" s="40" t="s">
        <v>1009</v>
      </c>
      <c r="D395" s="44">
        <v>33991.0</v>
      </c>
      <c r="E395" s="5">
        <v>30.0</v>
      </c>
      <c r="F395" s="45">
        <f t="shared" si="5"/>
        <v>30</v>
      </c>
    </row>
    <row r="396">
      <c r="A396" s="40" t="s">
        <v>1506</v>
      </c>
      <c r="B396" s="40" t="s">
        <v>172</v>
      </c>
      <c r="C396" s="40" t="s">
        <v>990</v>
      </c>
      <c r="D396" s="44">
        <v>36305.0</v>
      </c>
      <c r="E396" s="5">
        <v>24.0</v>
      </c>
      <c r="F396" s="45">
        <f t="shared" si="5"/>
        <v>24</v>
      </c>
    </row>
    <row r="397">
      <c r="A397" s="40" t="s">
        <v>1975</v>
      </c>
      <c r="B397" s="40" t="s">
        <v>172</v>
      </c>
      <c r="C397" s="40" t="s">
        <v>1007</v>
      </c>
      <c r="D397" s="44">
        <v>35829.0</v>
      </c>
      <c r="E397" s="5">
        <v>25.0</v>
      </c>
      <c r="F397" s="45">
        <f t="shared" si="5"/>
        <v>25</v>
      </c>
    </row>
    <row r="398">
      <c r="A398" s="40" t="s">
        <v>1976</v>
      </c>
      <c r="B398" s="40" t="s">
        <v>191</v>
      </c>
      <c r="C398" s="40" t="s">
        <v>965</v>
      </c>
      <c r="D398" s="44">
        <v>36126.0</v>
      </c>
      <c r="E398" s="5">
        <v>24.0</v>
      </c>
      <c r="F398" s="45">
        <f t="shared" si="5"/>
        <v>25</v>
      </c>
    </row>
    <row r="399">
      <c r="A399" s="40" t="s">
        <v>1977</v>
      </c>
      <c r="B399" s="40" t="s">
        <v>13</v>
      </c>
      <c r="C399" s="40" t="s">
        <v>996</v>
      </c>
      <c r="D399" s="44">
        <v>35951.0</v>
      </c>
      <c r="E399" s="5">
        <v>25.0</v>
      </c>
      <c r="F399" s="45">
        <f t="shared" si="5"/>
        <v>25</v>
      </c>
    </row>
    <row r="400">
      <c r="A400" s="40" t="s">
        <v>1978</v>
      </c>
      <c r="B400" s="40" t="s">
        <v>191</v>
      </c>
      <c r="C400" s="40" t="s">
        <v>938</v>
      </c>
      <c r="D400" s="44">
        <v>35658.0</v>
      </c>
      <c r="E400" s="5">
        <v>26.0</v>
      </c>
      <c r="F400" s="45">
        <f t="shared" si="5"/>
        <v>26</v>
      </c>
    </row>
    <row r="401">
      <c r="A401" s="40" t="s">
        <v>1393</v>
      </c>
      <c r="B401" s="40" t="s">
        <v>30</v>
      </c>
      <c r="C401" s="40" t="s">
        <v>965</v>
      </c>
      <c r="D401" s="44">
        <v>34554.0</v>
      </c>
      <c r="E401" s="5">
        <v>29.0</v>
      </c>
      <c r="F401" s="45">
        <f t="shared" si="5"/>
        <v>29</v>
      </c>
    </row>
    <row r="402">
      <c r="A402" s="40" t="s">
        <v>1979</v>
      </c>
      <c r="B402" s="40" t="s">
        <v>13</v>
      </c>
      <c r="C402" s="40" t="s">
        <v>2049</v>
      </c>
      <c r="D402" s="44">
        <v>34235.0</v>
      </c>
      <c r="E402" s="5">
        <v>29.0</v>
      </c>
      <c r="F402" s="45">
        <f t="shared" si="5"/>
        <v>30</v>
      </c>
    </row>
    <row r="403">
      <c r="A403" s="40" t="s">
        <v>1980</v>
      </c>
      <c r="B403" s="40" t="s">
        <v>13</v>
      </c>
      <c r="C403" s="40" t="s">
        <v>1016</v>
      </c>
      <c r="D403" s="44">
        <v>36517.0</v>
      </c>
      <c r="E403" s="5">
        <v>23.0</v>
      </c>
      <c r="F403" s="45">
        <f t="shared" si="5"/>
        <v>24</v>
      </c>
    </row>
    <row r="404">
      <c r="A404" s="40" t="s">
        <v>1340</v>
      </c>
      <c r="B404" s="40" t="s">
        <v>30</v>
      </c>
      <c r="C404" s="40" t="s">
        <v>940</v>
      </c>
      <c r="D404" s="44">
        <v>35338.0</v>
      </c>
      <c r="E404" s="5">
        <v>26.0</v>
      </c>
      <c r="F404" s="45">
        <f t="shared" si="5"/>
        <v>27</v>
      </c>
    </row>
    <row r="405">
      <c r="A405" s="40" t="s">
        <v>908</v>
      </c>
      <c r="B405" s="40" t="s">
        <v>191</v>
      </c>
      <c r="C405" s="40" t="s">
        <v>1016</v>
      </c>
      <c r="D405" s="44">
        <v>36601.0</v>
      </c>
      <c r="E405" s="5">
        <v>23.0</v>
      </c>
      <c r="F405" s="45">
        <f t="shared" si="5"/>
        <v>23</v>
      </c>
    </row>
    <row r="406">
      <c r="A406" s="40" t="s">
        <v>1981</v>
      </c>
      <c r="B406" s="40" t="s">
        <v>191</v>
      </c>
      <c r="C406" s="40" t="s">
        <v>938</v>
      </c>
      <c r="D406" s="44">
        <v>36172.0</v>
      </c>
      <c r="E406" s="5">
        <v>24.0</v>
      </c>
      <c r="F406" s="45">
        <f t="shared" si="5"/>
        <v>24</v>
      </c>
    </row>
    <row r="407">
      <c r="A407" s="40" t="s">
        <v>1982</v>
      </c>
      <c r="B407" s="40" t="s">
        <v>516</v>
      </c>
      <c r="C407" s="40" t="s">
        <v>965</v>
      </c>
      <c r="D407" s="44">
        <v>34908.0</v>
      </c>
      <c r="E407" s="5">
        <v>28.0</v>
      </c>
      <c r="F407" s="45">
        <f t="shared" si="5"/>
        <v>28</v>
      </c>
    </row>
    <row r="408">
      <c r="A408" s="40" t="s">
        <v>1311</v>
      </c>
      <c r="B408" s="40" t="s">
        <v>30</v>
      </c>
      <c r="C408" s="40" t="s">
        <v>963</v>
      </c>
      <c r="D408" s="44">
        <v>36251.0</v>
      </c>
      <c r="E408" s="5">
        <v>24.0</v>
      </c>
      <c r="F408" s="45">
        <f t="shared" si="5"/>
        <v>24</v>
      </c>
    </row>
    <row r="409">
      <c r="A409" s="40" t="s">
        <v>696</v>
      </c>
      <c r="B409" s="40" t="s">
        <v>13</v>
      </c>
      <c r="C409" s="40" t="s">
        <v>950</v>
      </c>
      <c r="D409" s="44">
        <v>35927.0</v>
      </c>
      <c r="E409" s="5">
        <v>25.0</v>
      </c>
      <c r="F409" s="45">
        <f t="shared" si="5"/>
        <v>25</v>
      </c>
    </row>
    <row r="410">
      <c r="A410" s="40" t="s">
        <v>1983</v>
      </c>
      <c r="B410" s="40" t="s">
        <v>30</v>
      </c>
      <c r="C410" s="40" t="s">
        <v>985</v>
      </c>
      <c r="D410" s="44">
        <v>36243.0</v>
      </c>
      <c r="E410" s="5">
        <v>24.0</v>
      </c>
      <c r="F410" s="45">
        <f t="shared" si="5"/>
        <v>24</v>
      </c>
    </row>
    <row r="411">
      <c r="A411" s="40" t="s">
        <v>1984</v>
      </c>
      <c r="B411" s="40" t="s">
        <v>191</v>
      </c>
      <c r="C411" s="40" t="s">
        <v>967</v>
      </c>
      <c r="D411" s="44">
        <v>36749.0</v>
      </c>
      <c r="E411" s="5">
        <v>23.0</v>
      </c>
      <c r="F411" s="45">
        <f t="shared" si="5"/>
        <v>23</v>
      </c>
    </row>
    <row r="412">
      <c r="A412" s="40" t="s">
        <v>1985</v>
      </c>
      <c r="B412" s="40" t="s">
        <v>30</v>
      </c>
      <c r="C412" s="40" t="s">
        <v>992</v>
      </c>
      <c r="D412" s="44">
        <v>36426.0</v>
      </c>
      <c r="E412" s="5">
        <v>23.0</v>
      </c>
      <c r="F412" s="45">
        <f t="shared" si="5"/>
        <v>24</v>
      </c>
    </row>
    <row r="413">
      <c r="A413" s="40" t="s">
        <v>1325</v>
      </c>
      <c r="B413" s="40" t="s">
        <v>30</v>
      </c>
      <c r="C413" s="40" t="s">
        <v>967</v>
      </c>
      <c r="D413" s="44">
        <v>35713.0</v>
      </c>
      <c r="E413" s="5">
        <v>25.0</v>
      </c>
      <c r="F413" s="45">
        <f t="shared" si="5"/>
        <v>26</v>
      </c>
    </row>
    <row r="414">
      <c r="A414" s="40" t="s">
        <v>1986</v>
      </c>
      <c r="B414" s="40" t="s">
        <v>30</v>
      </c>
      <c r="C414" s="40" t="s">
        <v>2049</v>
      </c>
      <c r="D414" s="44">
        <v>36678.0</v>
      </c>
      <c r="E414" s="5">
        <v>23.0</v>
      </c>
      <c r="F414" s="45">
        <f t="shared" si="5"/>
        <v>23</v>
      </c>
    </row>
    <row r="415">
      <c r="A415" s="40" t="s">
        <v>522</v>
      </c>
      <c r="B415" s="40" t="s">
        <v>516</v>
      </c>
      <c r="C415" s="40" t="s">
        <v>938</v>
      </c>
      <c r="D415" s="44">
        <v>36652.0</v>
      </c>
      <c r="E415" s="5">
        <v>23.0</v>
      </c>
      <c r="F415" s="45">
        <f t="shared" si="5"/>
        <v>23</v>
      </c>
    </row>
    <row r="416">
      <c r="A416" s="40" t="s">
        <v>1507</v>
      </c>
      <c r="B416" s="40" t="s">
        <v>172</v>
      </c>
      <c r="C416" s="40" t="s">
        <v>974</v>
      </c>
      <c r="D416" s="44">
        <v>34272.0</v>
      </c>
      <c r="E416" s="5">
        <v>29.0</v>
      </c>
      <c r="F416" s="45">
        <f t="shared" si="5"/>
        <v>30</v>
      </c>
    </row>
    <row r="417">
      <c r="A417" s="40" t="s">
        <v>1987</v>
      </c>
      <c r="B417" s="40" t="s">
        <v>13</v>
      </c>
      <c r="C417" s="40" t="s">
        <v>965</v>
      </c>
      <c r="D417" s="44">
        <v>35231.0</v>
      </c>
      <c r="E417" s="5">
        <v>27.0</v>
      </c>
      <c r="F417" s="45">
        <f t="shared" si="5"/>
        <v>27</v>
      </c>
    </row>
    <row r="418">
      <c r="A418" s="40" t="s">
        <v>1475</v>
      </c>
      <c r="B418" s="40" t="s">
        <v>13</v>
      </c>
      <c r="C418" s="40" t="s">
        <v>1007</v>
      </c>
      <c r="D418" s="44">
        <v>35748.0</v>
      </c>
      <c r="E418" s="5">
        <v>25.0</v>
      </c>
      <c r="F418" s="45">
        <f t="shared" si="5"/>
        <v>26</v>
      </c>
    </row>
    <row r="419">
      <c r="A419" s="40" t="s">
        <v>1988</v>
      </c>
      <c r="B419" s="40" t="s">
        <v>13</v>
      </c>
      <c r="C419" s="40" t="s">
        <v>976</v>
      </c>
      <c r="D419" s="44">
        <v>36563.0</v>
      </c>
      <c r="E419" s="5">
        <v>23.0</v>
      </c>
      <c r="F419" s="45">
        <f t="shared" si="5"/>
        <v>23</v>
      </c>
    </row>
    <row r="420">
      <c r="A420" s="40" t="s">
        <v>585</v>
      </c>
      <c r="B420" s="40" t="s">
        <v>13</v>
      </c>
      <c r="C420" s="40" t="s">
        <v>2049</v>
      </c>
      <c r="D420" s="46"/>
      <c r="E420" s="2">
        <v>22.0</v>
      </c>
      <c r="F420" s="47">
        <v>22.0</v>
      </c>
    </row>
    <row r="421">
      <c r="A421" s="40" t="s">
        <v>1480</v>
      </c>
      <c r="B421" s="40" t="s">
        <v>13</v>
      </c>
      <c r="C421" s="40" t="s">
        <v>950</v>
      </c>
      <c r="D421" s="44">
        <v>35835.0</v>
      </c>
      <c r="E421" s="5">
        <v>25.0</v>
      </c>
      <c r="F421" s="45">
        <f t="shared" ref="F421:F426" si="6">datedif(D421,today(),"Y")</f>
        <v>25</v>
      </c>
    </row>
    <row r="422">
      <c r="A422" s="40" t="s">
        <v>771</v>
      </c>
      <c r="B422" s="40" t="s">
        <v>13</v>
      </c>
      <c r="C422" s="40" t="s">
        <v>2049</v>
      </c>
      <c r="D422" s="44">
        <v>36606.0</v>
      </c>
      <c r="E422" s="5">
        <v>23.0</v>
      </c>
      <c r="F422" s="45">
        <f t="shared" si="6"/>
        <v>23</v>
      </c>
    </row>
    <row r="423">
      <c r="A423" s="40" t="s">
        <v>1989</v>
      </c>
      <c r="B423" s="40" t="s">
        <v>172</v>
      </c>
      <c r="C423" s="40" t="s">
        <v>1009</v>
      </c>
      <c r="D423" s="44">
        <v>36276.0</v>
      </c>
      <c r="E423" s="5">
        <v>24.0</v>
      </c>
      <c r="F423" s="45">
        <f t="shared" si="6"/>
        <v>24</v>
      </c>
    </row>
    <row r="424">
      <c r="A424" s="40" t="s">
        <v>1990</v>
      </c>
      <c r="B424" s="40" t="s">
        <v>13</v>
      </c>
      <c r="C424" s="40" t="s">
        <v>976</v>
      </c>
      <c r="D424" s="44">
        <v>34910.0</v>
      </c>
      <c r="E424" s="5">
        <v>28.0</v>
      </c>
      <c r="F424" s="45">
        <f t="shared" si="6"/>
        <v>28</v>
      </c>
    </row>
    <row r="425">
      <c r="A425" s="40" t="s">
        <v>1273</v>
      </c>
      <c r="B425" s="40" t="s">
        <v>30</v>
      </c>
      <c r="C425" s="40" t="s">
        <v>2049</v>
      </c>
      <c r="D425" s="44">
        <v>36112.0</v>
      </c>
      <c r="E425" s="5">
        <v>24.0</v>
      </c>
      <c r="F425" s="45">
        <f t="shared" si="6"/>
        <v>25</v>
      </c>
    </row>
    <row r="426">
      <c r="A426" s="40" t="s">
        <v>1991</v>
      </c>
      <c r="B426" s="40" t="s">
        <v>191</v>
      </c>
      <c r="C426" s="40" t="s">
        <v>1007</v>
      </c>
      <c r="D426" s="44">
        <v>36201.0</v>
      </c>
      <c r="E426" s="5">
        <v>24.0</v>
      </c>
      <c r="F426" s="45">
        <f t="shared" si="6"/>
        <v>24</v>
      </c>
    </row>
    <row r="427">
      <c r="A427" s="40" t="s">
        <v>1992</v>
      </c>
      <c r="B427" s="40" t="s">
        <v>13</v>
      </c>
      <c r="C427" s="40" t="s">
        <v>2049</v>
      </c>
      <c r="D427" s="46"/>
      <c r="E427" s="2">
        <v>24.0</v>
      </c>
      <c r="F427" s="47">
        <v>24.0</v>
      </c>
    </row>
    <row r="428">
      <c r="A428" s="40" t="s">
        <v>1993</v>
      </c>
      <c r="B428" s="40" t="s">
        <v>172</v>
      </c>
      <c r="C428" s="40" t="s">
        <v>996</v>
      </c>
      <c r="D428" s="44">
        <v>36191.0</v>
      </c>
      <c r="E428" s="5">
        <v>24.0</v>
      </c>
      <c r="F428" s="45">
        <f t="shared" ref="F428:F429" si="7">datedif(D428,today(),"Y")</f>
        <v>24</v>
      </c>
    </row>
    <row r="429">
      <c r="A429" s="40" t="s">
        <v>1994</v>
      </c>
      <c r="B429" s="40" t="s">
        <v>30</v>
      </c>
      <c r="C429" s="40" t="s">
        <v>2049</v>
      </c>
      <c r="D429" s="44">
        <v>35157.0</v>
      </c>
      <c r="E429" s="5">
        <v>27.0</v>
      </c>
      <c r="F429" s="45">
        <f t="shared" si="7"/>
        <v>27</v>
      </c>
    </row>
    <row r="430">
      <c r="A430" s="40" t="s">
        <v>751</v>
      </c>
      <c r="B430" s="40" t="s">
        <v>30</v>
      </c>
      <c r="C430" s="40" t="s">
        <v>2049</v>
      </c>
      <c r="D430" s="46"/>
      <c r="E430" s="2">
        <v>22.0</v>
      </c>
      <c r="F430" s="47">
        <v>22.0</v>
      </c>
    </row>
    <row r="431">
      <c r="A431" s="40" t="s">
        <v>1995</v>
      </c>
      <c r="B431" s="40" t="s">
        <v>30</v>
      </c>
      <c r="C431" s="40" t="s">
        <v>2049</v>
      </c>
      <c r="D431" s="46"/>
      <c r="E431" s="2">
        <v>23.0</v>
      </c>
      <c r="F431" s="47">
        <v>23.0</v>
      </c>
    </row>
    <row r="432">
      <c r="A432" s="40" t="s">
        <v>1996</v>
      </c>
      <c r="B432" s="40" t="s">
        <v>30</v>
      </c>
      <c r="C432" s="40" t="s">
        <v>944</v>
      </c>
      <c r="D432" s="44">
        <v>36774.0</v>
      </c>
      <c r="E432" s="5">
        <v>22.0</v>
      </c>
      <c r="F432" s="45">
        <f t="shared" ref="F432:F435" si="8">datedif(D432,today(),"Y")</f>
        <v>23</v>
      </c>
    </row>
    <row r="433">
      <c r="A433" s="40" t="s">
        <v>1997</v>
      </c>
      <c r="B433" s="40" t="s">
        <v>30</v>
      </c>
      <c r="C433" s="40" t="s">
        <v>933</v>
      </c>
      <c r="D433" s="44">
        <v>36509.0</v>
      </c>
      <c r="E433" s="5">
        <v>23.0</v>
      </c>
      <c r="F433" s="45">
        <f t="shared" si="8"/>
        <v>24</v>
      </c>
    </row>
    <row r="434">
      <c r="A434" s="40" t="s">
        <v>1454</v>
      </c>
      <c r="B434" s="40" t="s">
        <v>30</v>
      </c>
      <c r="C434" s="40" t="s">
        <v>1007</v>
      </c>
      <c r="D434" s="44">
        <v>36293.0</v>
      </c>
      <c r="E434" s="5">
        <v>24.0</v>
      </c>
      <c r="F434" s="45">
        <f t="shared" si="8"/>
        <v>24</v>
      </c>
    </row>
    <row r="435">
      <c r="A435" s="40" t="s">
        <v>1386</v>
      </c>
      <c r="B435" s="40" t="s">
        <v>30</v>
      </c>
      <c r="C435" s="40" t="s">
        <v>933</v>
      </c>
      <c r="D435" s="44">
        <v>35159.0</v>
      </c>
      <c r="E435" s="5">
        <v>27.0</v>
      </c>
      <c r="F435" s="45">
        <f t="shared" si="8"/>
        <v>27</v>
      </c>
    </row>
    <row r="436">
      <c r="A436" s="40" t="s">
        <v>1998</v>
      </c>
      <c r="B436" s="40" t="s">
        <v>13</v>
      </c>
      <c r="C436" s="40" t="s">
        <v>2049</v>
      </c>
      <c r="D436" s="46"/>
      <c r="E436" s="2">
        <v>23.0</v>
      </c>
      <c r="F436" s="47">
        <v>23.0</v>
      </c>
    </row>
    <row r="437">
      <c r="A437" s="40" t="s">
        <v>1999</v>
      </c>
      <c r="B437" s="40" t="s">
        <v>172</v>
      </c>
      <c r="C437" s="40" t="s">
        <v>931</v>
      </c>
      <c r="D437" s="44">
        <v>35201.0</v>
      </c>
      <c r="E437" s="5">
        <v>27.0</v>
      </c>
      <c r="F437" s="45">
        <f t="shared" ref="F437:F451" si="9">datedif(D437,today(),"Y")</f>
        <v>27</v>
      </c>
    </row>
    <row r="438">
      <c r="A438" s="40" t="s">
        <v>2000</v>
      </c>
      <c r="B438" s="40" t="s">
        <v>30</v>
      </c>
      <c r="C438" s="40" t="s">
        <v>954</v>
      </c>
      <c r="D438" s="44">
        <v>36550.0</v>
      </c>
      <c r="E438" s="5">
        <v>23.0</v>
      </c>
      <c r="F438" s="45">
        <f t="shared" si="9"/>
        <v>23</v>
      </c>
    </row>
    <row r="439">
      <c r="A439" s="40" t="s">
        <v>2001</v>
      </c>
      <c r="B439" s="40" t="s">
        <v>191</v>
      </c>
      <c r="C439" s="40" t="s">
        <v>992</v>
      </c>
      <c r="D439" s="44">
        <v>34657.0</v>
      </c>
      <c r="E439" s="5">
        <v>28.0</v>
      </c>
      <c r="F439" s="45">
        <f t="shared" si="9"/>
        <v>29</v>
      </c>
    </row>
    <row r="440">
      <c r="A440" s="40" t="s">
        <v>2002</v>
      </c>
      <c r="B440" s="40" t="s">
        <v>30</v>
      </c>
      <c r="C440" s="40" t="s">
        <v>961</v>
      </c>
      <c r="D440" s="44">
        <v>35565.0</v>
      </c>
      <c r="E440" s="5">
        <v>26.0</v>
      </c>
      <c r="F440" s="45">
        <f t="shared" si="9"/>
        <v>26</v>
      </c>
    </row>
    <row r="441">
      <c r="A441" s="40" t="s">
        <v>2003</v>
      </c>
      <c r="B441" s="40" t="s">
        <v>30</v>
      </c>
      <c r="C441" s="40" t="s">
        <v>2049</v>
      </c>
      <c r="D441" s="44">
        <v>36915.0</v>
      </c>
      <c r="E441" s="5">
        <v>22.0</v>
      </c>
      <c r="F441" s="45">
        <f t="shared" si="9"/>
        <v>22</v>
      </c>
    </row>
    <row r="442">
      <c r="A442" s="40" t="s">
        <v>665</v>
      </c>
      <c r="B442" s="40" t="s">
        <v>516</v>
      </c>
      <c r="C442" s="40" t="s">
        <v>1016</v>
      </c>
      <c r="D442" s="44">
        <v>35165.0</v>
      </c>
      <c r="E442" s="5">
        <v>27.0</v>
      </c>
      <c r="F442" s="45">
        <f t="shared" si="9"/>
        <v>27</v>
      </c>
    </row>
    <row r="443">
      <c r="A443" s="40" t="s">
        <v>2004</v>
      </c>
      <c r="B443" s="40" t="s">
        <v>30</v>
      </c>
      <c r="C443" s="40" t="s">
        <v>2049</v>
      </c>
      <c r="D443" s="44">
        <v>36459.0</v>
      </c>
      <c r="E443" s="5">
        <v>23.0</v>
      </c>
      <c r="F443" s="45">
        <f t="shared" si="9"/>
        <v>24</v>
      </c>
    </row>
    <row r="444">
      <c r="A444" s="40" t="s">
        <v>2005</v>
      </c>
      <c r="B444" s="40" t="s">
        <v>30</v>
      </c>
      <c r="C444" s="40" t="s">
        <v>946</v>
      </c>
      <c r="D444" s="44">
        <v>35512.0</v>
      </c>
      <c r="E444" s="5">
        <v>26.0</v>
      </c>
      <c r="F444" s="45">
        <f t="shared" si="9"/>
        <v>26</v>
      </c>
    </row>
    <row r="445">
      <c r="A445" s="40" t="s">
        <v>2006</v>
      </c>
      <c r="B445" s="40" t="s">
        <v>13</v>
      </c>
      <c r="C445" s="40" t="s">
        <v>2049</v>
      </c>
      <c r="D445" s="44">
        <v>36795.0</v>
      </c>
      <c r="E445" s="5">
        <v>22.0</v>
      </c>
      <c r="F445" s="45">
        <f t="shared" si="9"/>
        <v>23</v>
      </c>
    </row>
    <row r="446">
      <c r="A446" s="40" t="s">
        <v>1517</v>
      </c>
      <c r="B446" s="40" t="s">
        <v>172</v>
      </c>
      <c r="C446" s="40" t="s">
        <v>1016</v>
      </c>
      <c r="D446" s="44">
        <v>34043.0</v>
      </c>
      <c r="E446" s="5">
        <v>30.0</v>
      </c>
      <c r="F446" s="45">
        <f t="shared" si="9"/>
        <v>30</v>
      </c>
    </row>
    <row r="447">
      <c r="A447" s="40" t="s">
        <v>2007</v>
      </c>
      <c r="B447" s="40" t="s">
        <v>191</v>
      </c>
      <c r="C447" s="40" t="s">
        <v>1016</v>
      </c>
      <c r="D447" s="44">
        <v>35740.0</v>
      </c>
      <c r="E447" s="5">
        <v>25.0</v>
      </c>
      <c r="F447" s="45">
        <f t="shared" si="9"/>
        <v>26</v>
      </c>
    </row>
    <row r="448">
      <c r="A448" s="40" t="s">
        <v>2008</v>
      </c>
      <c r="B448" s="40" t="s">
        <v>30</v>
      </c>
      <c r="C448" s="40" t="s">
        <v>2049</v>
      </c>
      <c r="D448" s="44">
        <v>36983.0</v>
      </c>
      <c r="E448" s="5">
        <v>22.0</v>
      </c>
      <c r="F448" s="45">
        <f t="shared" si="9"/>
        <v>22</v>
      </c>
    </row>
    <row r="449">
      <c r="A449" s="40" t="s">
        <v>2009</v>
      </c>
      <c r="B449" s="40" t="s">
        <v>172</v>
      </c>
      <c r="C449" s="40" t="s">
        <v>954</v>
      </c>
      <c r="D449" s="44">
        <v>35585.0</v>
      </c>
      <c r="E449" s="5">
        <v>26.0</v>
      </c>
      <c r="F449" s="45">
        <f t="shared" si="9"/>
        <v>26</v>
      </c>
    </row>
    <row r="450">
      <c r="A450" s="40" t="s">
        <v>1415</v>
      </c>
      <c r="B450" s="40" t="s">
        <v>30</v>
      </c>
      <c r="C450" s="40" t="s">
        <v>946</v>
      </c>
      <c r="D450" s="44">
        <v>33196.0</v>
      </c>
      <c r="E450" s="5">
        <v>32.0</v>
      </c>
      <c r="F450" s="45">
        <f t="shared" si="9"/>
        <v>33</v>
      </c>
    </row>
    <row r="451">
      <c r="A451" s="40" t="s">
        <v>1455</v>
      </c>
      <c r="B451" s="40" t="s">
        <v>191</v>
      </c>
      <c r="C451" s="40" t="s">
        <v>954</v>
      </c>
      <c r="D451" s="44">
        <v>36026.0</v>
      </c>
      <c r="E451" s="5">
        <v>25.0</v>
      </c>
      <c r="F451" s="45">
        <f t="shared" si="9"/>
        <v>25</v>
      </c>
    </row>
    <row r="452">
      <c r="A452" s="40" t="s">
        <v>2010</v>
      </c>
      <c r="B452" s="40" t="s">
        <v>13</v>
      </c>
      <c r="C452" s="40" t="s">
        <v>948</v>
      </c>
      <c r="D452" s="46"/>
      <c r="E452" s="2">
        <v>23.0</v>
      </c>
      <c r="F452" s="47">
        <v>23.0</v>
      </c>
    </row>
    <row r="453">
      <c r="A453" s="40" t="s">
        <v>2011</v>
      </c>
      <c r="B453" s="40" t="s">
        <v>13</v>
      </c>
      <c r="C453" s="40" t="s">
        <v>963</v>
      </c>
      <c r="D453" s="44">
        <v>34075.0</v>
      </c>
      <c r="E453" s="5">
        <v>30.0</v>
      </c>
      <c r="F453" s="45">
        <f t="shared" ref="F453:F467" si="10">datedif(D453,today(),"Y")</f>
        <v>30</v>
      </c>
    </row>
    <row r="454">
      <c r="A454" s="40" t="s">
        <v>1428</v>
      </c>
      <c r="B454" s="40" t="s">
        <v>30</v>
      </c>
      <c r="C454" s="40" t="s">
        <v>940</v>
      </c>
      <c r="D454" s="44">
        <v>35781.0</v>
      </c>
      <c r="E454" s="5">
        <v>25.0</v>
      </c>
      <c r="F454" s="45">
        <f t="shared" si="10"/>
        <v>26</v>
      </c>
    </row>
    <row r="455">
      <c r="A455" s="40" t="s">
        <v>657</v>
      </c>
      <c r="B455" s="40" t="s">
        <v>516</v>
      </c>
      <c r="C455" s="40" t="s">
        <v>996</v>
      </c>
      <c r="D455" s="44">
        <v>34955.0</v>
      </c>
      <c r="E455" s="5">
        <v>27.0</v>
      </c>
      <c r="F455" s="45">
        <f t="shared" si="10"/>
        <v>28</v>
      </c>
    </row>
    <row r="456">
      <c r="A456" s="40" t="s">
        <v>2012</v>
      </c>
      <c r="B456" s="40" t="s">
        <v>191</v>
      </c>
      <c r="C456" s="40" t="s">
        <v>952</v>
      </c>
      <c r="D456" s="44">
        <v>36273.0</v>
      </c>
      <c r="E456" s="5">
        <v>24.0</v>
      </c>
      <c r="F456" s="45">
        <f t="shared" si="10"/>
        <v>24</v>
      </c>
    </row>
    <row r="457">
      <c r="A457" s="40" t="s">
        <v>2013</v>
      </c>
      <c r="B457" s="40" t="s">
        <v>30</v>
      </c>
      <c r="C457" s="40" t="s">
        <v>933</v>
      </c>
      <c r="D457" s="44">
        <v>36401.0</v>
      </c>
      <c r="E457" s="5">
        <v>23.0</v>
      </c>
      <c r="F457" s="45">
        <f t="shared" si="10"/>
        <v>24</v>
      </c>
    </row>
    <row r="458">
      <c r="A458" s="40" t="s">
        <v>2014</v>
      </c>
      <c r="B458" s="40" t="s">
        <v>30</v>
      </c>
      <c r="C458" s="40" t="s">
        <v>988</v>
      </c>
      <c r="D458" s="44">
        <v>35878.0</v>
      </c>
      <c r="E458" s="5">
        <v>25.0</v>
      </c>
      <c r="F458" s="45">
        <f t="shared" si="10"/>
        <v>25</v>
      </c>
    </row>
    <row r="459">
      <c r="A459" s="40" t="s">
        <v>2015</v>
      </c>
      <c r="B459" s="40" t="s">
        <v>172</v>
      </c>
      <c r="C459" s="40" t="s">
        <v>961</v>
      </c>
      <c r="D459" s="44">
        <v>36068.0</v>
      </c>
      <c r="E459" s="5">
        <v>24.0</v>
      </c>
      <c r="F459" s="45">
        <f t="shared" si="10"/>
        <v>25</v>
      </c>
    </row>
    <row r="460">
      <c r="A460" s="40" t="s">
        <v>2016</v>
      </c>
      <c r="B460" s="40" t="s">
        <v>30</v>
      </c>
      <c r="C460" s="40" t="s">
        <v>946</v>
      </c>
      <c r="D460" s="44">
        <v>34864.0</v>
      </c>
      <c r="E460" s="5">
        <v>28.0</v>
      </c>
      <c r="F460" s="45">
        <f t="shared" si="10"/>
        <v>28</v>
      </c>
    </row>
    <row r="461">
      <c r="A461" s="40" t="s">
        <v>2017</v>
      </c>
      <c r="B461" s="40" t="s">
        <v>13</v>
      </c>
      <c r="C461" s="40" t="s">
        <v>992</v>
      </c>
      <c r="D461" s="44">
        <v>34458.0</v>
      </c>
      <c r="E461" s="5">
        <v>29.0</v>
      </c>
      <c r="F461" s="45">
        <f t="shared" si="10"/>
        <v>29</v>
      </c>
    </row>
    <row r="462">
      <c r="A462" s="40" t="s">
        <v>2018</v>
      </c>
      <c r="B462" s="40" t="s">
        <v>30</v>
      </c>
      <c r="C462" s="40" t="s">
        <v>2049</v>
      </c>
      <c r="D462" s="44">
        <v>34440.0</v>
      </c>
      <c r="E462" s="5">
        <v>29.0</v>
      </c>
      <c r="F462" s="45">
        <f t="shared" si="10"/>
        <v>29</v>
      </c>
    </row>
    <row r="463">
      <c r="A463" s="40" t="s">
        <v>2019</v>
      </c>
      <c r="B463" s="40" t="s">
        <v>13</v>
      </c>
      <c r="C463" s="40" t="s">
        <v>948</v>
      </c>
      <c r="D463" s="44">
        <v>36219.0</v>
      </c>
      <c r="E463" s="5">
        <v>24.0</v>
      </c>
      <c r="F463" s="45">
        <f t="shared" si="10"/>
        <v>24</v>
      </c>
    </row>
    <row r="464">
      <c r="A464" s="40" t="s">
        <v>2020</v>
      </c>
      <c r="B464" s="40" t="s">
        <v>30</v>
      </c>
      <c r="C464" s="40" t="s">
        <v>942</v>
      </c>
      <c r="D464" s="44">
        <v>34792.0</v>
      </c>
      <c r="E464" s="5">
        <v>28.0</v>
      </c>
      <c r="F464" s="45">
        <f t="shared" si="10"/>
        <v>28</v>
      </c>
    </row>
    <row r="465">
      <c r="A465" s="40" t="s">
        <v>2021</v>
      </c>
      <c r="B465" s="40" t="s">
        <v>13</v>
      </c>
      <c r="C465" s="40" t="s">
        <v>985</v>
      </c>
      <c r="D465" s="44">
        <v>35852.0</v>
      </c>
      <c r="E465" s="5">
        <v>25.0</v>
      </c>
      <c r="F465" s="45">
        <f t="shared" si="10"/>
        <v>25</v>
      </c>
    </row>
    <row r="466">
      <c r="A466" s="40" t="s">
        <v>2022</v>
      </c>
      <c r="B466" s="40" t="s">
        <v>191</v>
      </c>
      <c r="C466" s="40" t="s">
        <v>931</v>
      </c>
      <c r="D466" s="44">
        <v>36133.0</v>
      </c>
      <c r="E466" s="5">
        <v>24.0</v>
      </c>
      <c r="F466" s="45">
        <f t="shared" si="10"/>
        <v>25</v>
      </c>
    </row>
    <row r="467">
      <c r="A467" s="40" t="s">
        <v>2023</v>
      </c>
      <c r="B467" s="40" t="s">
        <v>13</v>
      </c>
      <c r="C467" s="40" t="s">
        <v>980</v>
      </c>
      <c r="D467" s="44">
        <v>32899.0</v>
      </c>
      <c r="E467" s="5">
        <v>33.0</v>
      </c>
      <c r="F467" s="45">
        <f t="shared" si="10"/>
        <v>33</v>
      </c>
    </row>
    <row r="468">
      <c r="A468" s="40" t="s">
        <v>2024</v>
      </c>
      <c r="B468" s="40" t="s">
        <v>191</v>
      </c>
      <c r="C468" s="40" t="s">
        <v>2049</v>
      </c>
      <c r="D468" s="46"/>
      <c r="E468" s="2">
        <v>22.0</v>
      </c>
      <c r="F468" s="47">
        <v>22.0</v>
      </c>
    </row>
    <row r="469">
      <c r="A469" s="40" t="s">
        <v>2025</v>
      </c>
      <c r="B469" s="40" t="s">
        <v>30</v>
      </c>
      <c r="C469" s="40" t="s">
        <v>1007</v>
      </c>
      <c r="D469" s="44">
        <v>35329.0</v>
      </c>
      <c r="E469" s="5">
        <v>26.0</v>
      </c>
      <c r="F469" s="45">
        <f t="shared" ref="F469:F486" si="11">datedif(D469,today(),"Y")</f>
        <v>27</v>
      </c>
    </row>
    <row r="470">
      <c r="A470" s="40" t="s">
        <v>1525</v>
      </c>
      <c r="B470" s="40" t="s">
        <v>191</v>
      </c>
      <c r="C470" s="40" t="s">
        <v>2049</v>
      </c>
      <c r="D470" s="44">
        <v>36833.0</v>
      </c>
      <c r="E470" s="5">
        <v>22.0</v>
      </c>
      <c r="F470" s="45">
        <f t="shared" si="11"/>
        <v>23</v>
      </c>
    </row>
    <row r="471">
      <c r="A471" s="40" t="s">
        <v>2026</v>
      </c>
      <c r="B471" s="40" t="s">
        <v>172</v>
      </c>
      <c r="C471" s="40" t="s">
        <v>985</v>
      </c>
      <c r="D471" s="44">
        <v>34566.0</v>
      </c>
      <c r="E471" s="5">
        <v>29.0</v>
      </c>
      <c r="F471" s="45">
        <f t="shared" si="11"/>
        <v>29</v>
      </c>
    </row>
    <row r="472">
      <c r="A472" s="40" t="s">
        <v>2027</v>
      </c>
      <c r="B472" s="40" t="s">
        <v>30</v>
      </c>
      <c r="C472" s="40" t="s">
        <v>996</v>
      </c>
      <c r="D472" s="44">
        <v>34614.0</v>
      </c>
      <c r="E472" s="5">
        <v>28.0</v>
      </c>
      <c r="F472" s="45">
        <f t="shared" si="11"/>
        <v>29</v>
      </c>
    </row>
    <row r="473">
      <c r="A473" s="40" t="s">
        <v>2028</v>
      </c>
      <c r="B473" s="40" t="s">
        <v>13</v>
      </c>
      <c r="C473" s="40" t="s">
        <v>990</v>
      </c>
      <c r="D473" s="44">
        <v>36825.0</v>
      </c>
      <c r="E473" s="5">
        <v>22.0</v>
      </c>
      <c r="F473" s="45">
        <f t="shared" si="11"/>
        <v>23</v>
      </c>
    </row>
    <row r="474">
      <c r="A474" s="40" t="s">
        <v>2029</v>
      </c>
      <c r="B474" s="40" t="s">
        <v>191</v>
      </c>
      <c r="C474" s="40" t="s">
        <v>996</v>
      </c>
      <c r="D474" s="44">
        <v>35222.0</v>
      </c>
      <c r="E474" s="5">
        <v>27.0</v>
      </c>
      <c r="F474" s="45">
        <f t="shared" si="11"/>
        <v>27</v>
      </c>
    </row>
    <row r="475">
      <c r="A475" s="40" t="s">
        <v>2030</v>
      </c>
      <c r="B475" s="40" t="s">
        <v>13</v>
      </c>
      <c r="C475" s="40" t="s">
        <v>992</v>
      </c>
      <c r="D475" s="44">
        <v>35119.0</v>
      </c>
      <c r="E475" s="5">
        <v>27.0</v>
      </c>
      <c r="F475" s="45">
        <f t="shared" si="11"/>
        <v>27</v>
      </c>
    </row>
    <row r="476">
      <c r="A476" s="40" t="s">
        <v>2031</v>
      </c>
      <c r="B476" s="40" t="s">
        <v>30</v>
      </c>
      <c r="C476" s="40" t="s">
        <v>944</v>
      </c>
      <c r="D476" s="44">
        <v>36174.0</v>
      </c>
      <c r="E476" s="5">
        <v>24.0</v>
      </c>
      <c r="F476" s="45">
        <f t="shared" si="11"/>
        <v>24</v>
      </c>
    </row>
    <row r="477">
      <c r="A477" s="40" t="s">
        <v>2032</v>
      </c>
      <c r="B477" s="40" t="s">
        <v>30</v>
      </c>
      <c r="C477" s="40" t="s">
        <v>976</v>
      </c>
      <c r="D477" s="44">
        <v>36233.0</v>
      </c>
      <c r="E477" s="5">
        <v>24.0</v>
      </c>
      <c r="F477" s="45">
        <f t="shared" si="11"/>
        <v>24</v>
      </c>
    </row>
    <row r="478">
      <c r="A478" s="40" t="s">
        <v>2033</v>
      </c>
      <c r="B478" s="40" t="s">
        <v>13</v>
      </c>
      <c r="C478" s="40" t="s">
        <v>931</v>
      </c>
      <c r="D478" s="44">
        <v>36076.0</v>
      </c>
      <c r="E478" s="5">
        <v>24.0</v>
      </c>
      <c r="F478" s="45">
        <f t="shared" si="11"/>
        <v>25</v>
      </c>
    </row>
    <row r="479">
      <c r="A479" s="40" t="s">
        <v>2034</v>
      </c>
      <c r="B479" s="40" t="s">
        <v>30</v>
      </c>
      <c r="C479" s="40" t="s">
        <v>946</v>
      </c>
      <c r="D479" s="44">
        <v>36315.0</v>
      </c>
      <c r="E479" s="5">
        <v>24.0</v>
      </c>
      <c r="F479" s="45">
        <f t="shared" si="11"/>
        <v>24</v>
      </c>
    </row>
    <row r="480">
      <c r="A480" s="40" t="s">
        <v>2035</v>
      </c>
      <c r="B480" s="40" t="s">
        <v>30</v>
      </c>
      <c r="C480" s="40" t="s">
        <v>996</v>
      </c>
      <c r="D480" s="44">
        <v>36094.0</v>
      </c>
      <c r="E480" s="5">
        <v>24.0</v>
      </c>
      <c r="F480" s="45">
        <f t="shared" si="11"/>
        <v>25</v>
      </c>
    </row>
    <row r="481">
      <c r="A481" s="40" t="s">
        <v>2036</v>
      </c>
      <c r="B481" s="40" t="s">
        <v>191</v>
      </c>
      <c r="C481" s="40" t="s">
        <v>946</v>
      </c>
      <c r="D481" s="44">
        <v>36168.0</v>
      </c>
      <c r="E481" s="5">
        <v>24.0</v>
      </c>
      <c r="F481" s="45">
        <f t="shared" si="11"/>
        <v>24</v>
      </c>
    </row>
    <row r="482">
      <c r="A482" s="40" t="s">
        <v>2037</v>
      </c>
      <c r="B482" s="40" t="s">
        <v>191</v>
      </c>
      <c r="C482" s="40" t="s">
        <v>929</v>
      </c>
      <c r="D482" s="44">
        <v>36181.0</v>
      </c>
      <c r="E482" s="5">
        <v>24.0</v>
      </c>
      <c r="F482" s="45">
        <f t="shared" si="11"/>
        <v>24</v>
      </c>
    </row>
    <row r="483">
      <c r="A483" s="40" t="s">
        <v>2038</v>
      </c>
      <c r="B483" s="40" t="s">
        <v>13</v>
      </c>
      <c r="C483" s="40" t="s">
        <v>1009</v>
      </c>
      <c r="D483" s="44">
        <v>35799.0</v>
      </c>
      <c r="E483" s="5">
        <v>25.0</v>
      </c>
      <c r="F483" s="45">
        <f t="shared" si="11"/>
        <v>26</v>
      </c>
    </row>
    <row r="484">
      <c r="A484" s="40" t="s">
        <v>2039</v>
      </c>
      <c r="B484" s="40" t="s">
        <v>13</v>
      </c>
      <c r="C484" s="40" t="s">
        <v>974</v>
      </c>
      <c r="D484" s="44">
        <v>35991.0</v>
      </c>
      <c r="E484" s="5">
        <v>25.0</v>
      </c>
      <c r="F484" s="45">
        <f t="shared" si="11"/>
        <v>25</v>
      </c>
    </row>
    <row r="485">
      <c r="A485" s="40" t="s">
        <v>2040</v>
      </c>
      <c r="B485" s="40" t="s">
        <v>30</v>
      </c>
      <c r="C485" s="40" t="s">
        <v>958</v>
      </c>
      <c r="D485" s="44">
        <v>36219.0</v>
      </c>
      <c r="E485" s="5">
        <v>24.0</v>
      </c>
      <c r="F485" s="45">
        <f t="shared" si="11"/>
        <v>24</v>
      </c>
    </row>
    <row r="486">
      <c r="A486" s="40" t="s">
        <v>2041</v>
      </c>
      <c r="B486" s="40" t="s">
        <v>30</v>
      </c>
      <c r="C486" s="40" t="s">
        <v>952</v>
      </c>
      <c r="D486" s="44">
        <v>35279.0</v>
      </c>
      <c r="E486" s="5">
        <v>27.0</v>
      </c>
      <c r="F486" s="45">
        <f t="shared" si="11"/>
        <v>27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hidden="1" min="2" max="2" width="46.75"/>
    <col customWidth="1" min="3" max="3" width="14.88"/>
    <col customWidth="1" min="5" max="5" width="22.88"/>
    <col customWidth="1" min="6" max="6" width="11.0"/>
    <col customWidth="1" min="8" max="8" width="17.13"/>
    <col customWidth="1" min="9" max="9" width="14.88"/>
    <col customWidth="1" min="11" max="11" width="15.5"/>
    <col customWidth="1" min="12" max="12" width="7.5"/>
  </cols>
  <sheetData>
    <row r="1">
      <c r="C1" s="2" t="s">
        <v>1250</v>
      </c>
      <c r="D1" s="48" t="s">
        <v>1253</v>
      </c>
      <c r="E1" s="33" t="s">
        <v>2050</v>
      </c>
      <c r="F1" s="33" t="s">
        <v>3</v>
      </c>
      <c r="G1" s="33" t="s">
        <v>921</v>
      </c>
      <c r="H1" s="33" t="s">
        <v>2051</v>
      </c>
      <c r="I1" s="2" t="s">
        <v>1250</v>
      </c>
      <c r="J1" s="2" t="s">
        <v>2052</v>
      </c>
      <c r="K1" s="41" t="s">
        <v>2053</v>
      </c>
      <c r="L1" s="49"/>
    </row>
    <row r="2">
      <c r="A2" s="50"/>
      <c r="B2" s="51" t="s">
        <v>2054</v>
      </c>
      <c r="C2" s="19" t="str">
        <f>vlookup(E2,'Player Codes'!A:D,4,)</f>
        <v>0174</v>
      </c>
      <c r="D2" s="33">
        <v>1.0</v>
      </c>
      <c r="E2" s="33" t="str">
        <f t="shared" ref="E2:E36" si="1">MID(B2,FIND(".",B2) + 1 + 1,FIND(",",B2) - 1 - (FIND(".",B2) + 1))</f>
        <v>Justin Jefferson</v>
      </c>
      <c r="F2" s="33" t="str">
        <f>IFERROR(__xludf.DUMMYFUNCTION("REGEXEXTRACT(B2,""[A-Z]{2,}"")"),"WR")</f>
        <v>WR</v>
      </c>
      <c r="G2" s="33" t="str">
        <f t="shared" ref="G2:G200" si="2">MID(B2,FIND(CHAR(160),SUBSTITUTE(B2,",",CHAR(160),2)) + 1 + 1,FIND(CHAR(160),SUBSTITUTE(B2,",",CHAR(160),3)) - 1 - (FIND(CHAR(160),SUBSTITUTE(B2,",",CHAR(160),2)) + 1))</f>
        <v>Vikings</v>
      </c>
      <c r="H2" s="33">
        <v>1.0</v>
      </c>
      <c r="I2" s="19" t="str">
        <f t="shared" ref="I2:I201" si="3">C2</f>
        <v>0174</v>
      </c>
      <c r="J2" s="5" t="str">
        <f t="shared" ref="J2:J201" si="4">ifna(vlookup(G2,bye_weeks!A:B,2,),"")</f>
        <v>#REF!</v>
      </c>
      <c r="K2" s="5">
        <f>vlookup(E2,proj_fantasy_pts!D:P,13,)</f>
        <v>252.7</v>
      </c>
      <c r="L2" s="49"/>
    </row>
    <row r="3">
      <c r="A3" s="50"/>
      <c r="B3" s="51" t="s">
        <v>2055</v>
      </c>
      <c r="C3" s="19" t="str">
        <f>vlookup(E3,'Player Codes'!A:D,4,)</f>
        <v>0132</v>
      </c>
      <c r="D3" s="33">
        <v>2.0</v>
      </c>
      <c r="E3" s="33" t="str">
        <f t="shared" si="1"/>
        <v>Ja'Marr Chase</v>
      </c>
      <c r="F3" s="33" t="str">
        <f>IFERROR(__xludf.DUMMYFUNCTION("REGEXEXTRACT(B3,""[A-Z]{2,}"")"),"WR")</f>
        <v>WR</v>
      </c>
      <c r="G3" s="33" t="str">
        <f t="shared" si="2"/>
        <v>Bengals</v>
      </c>
      <c r="H3" s="33">
        <v>2.0</v>
      </c>
      <c r="I3" s="19" t="str">
        <f t="shared" si="3"/>
        <v>0132</v>
      </c>
      <c r="J3" s="5" t="str">
        <f t="shared" si="4"/>
        <v>#REF!</v>
      </c>
      <c r="K3" s="5">
        <f>vlookup(E3,proj_fantasy_pts!D:P,13,)</f>
        <v>244</v>
      </c>
      <c r="L3" s="49"/>
    </row>
    <row r="4">
      <c r="A4" s="50"/>
      <c r="B4" s="51" t="s">
        <v>2056</v>
      </c>
      <c r="C4" s="19" t="str">
        <f>vlookup(E4,'Player Codes'!A:D,4,)</f>
        <v>0055</v>
      </c>
      <c r="D4" s="33">
        <v>3.0</v>
      </c>
      <c r="E4" s="16" t="str">
        <f t="shared" si="1"/>
        <v>Christian McCaffrey</v>
      </c>
      <c r="F4" s="33" t="str">
        <f>IFERROR(__xludf.DUMMYFUNCTION("REGEXEXTRACT(B4,""[A-Z]{2,}"")"),"RB")</f>
        <v>RB</v>
      </c>
      <c r="G4" s="16" t="str">
        <f t="shared" si="2"/>
        <v>49ers</v>
      </c>
      <c r="H4" s="33">
        <v>1.0</v>
      </c>
      <c r="I4" s="19" t="str">
        <f t="shared" si="3"/>
        <v>0055</v>
      </c>
      <c r="J4" s="5" t="str">
        <f t="shared" si="4"/>
        <v>#REF!</v>
      </c>
      <c r="K4" s="5">
        <f>vlookup(E4,proj_fantasy_pts!D:P,13,)</f>
        <v>247.4</v>
      </c>
      <c r="Z4" s="52"/>
      <c r="AA4" s="52"/>
    </row>
    <row r="5">
      <c r="A5" s="50"/>
      <c r="B5" s="51" t="s">
        <v>2057</v>
      </c>
      <c r="C5" s="19" t="str">
        <f>vlookup(E5,'Player Codes'!A:D,4,)</f>
        <v>0018</v>
      </c>
      <c r="D5" s="33">
        <v>4.0</v>
      </c>
      <c r="E5" s="16" t="str">
        <f t="shared" si="1"/>
        <v>Austin Ekeler</v>
      </c>
      <c r="F5" s="16" t="str">
        <f>IFERROR(__xludf.DUMMYFUNCTION("REGEXEXTRACT(B5,""[A-Z]{2,}"")"),"RB")</f>
        <v>RB</v>
      </c>
      <c r="G5" s="16" t="str">
        <f t="shared" si="2"/>
        <v>Chargers</v>
      </c>
      <c r="H5" s="33">
        <v>2.0</v>
      </c>
      <c r="I5" s="19" t="str">
        <f t="shared" si="3"/>
        <v>0018</v>
      </c>
      <c r="J5" s="5" t="str">
        <f t="shared" si="4"/>
        <v>#REF!</v>
      </c>
      <c r="K5" s="5">
        <f>vlookup(E5,proj_fantasy_pts!D:P,13,)</f>
        <v>238.3</v>
      </c>
      <c r="Z5" s="53"/>
      <c r="AA5" s="53"/>
    </row>
    <row r="6">
      <c r="A6" s="50"/>
      <c r="B6" s="51" t="s">
        <v>2058</v>
      </c>
      <c r="C6" s="19" t="str">
        <f>vlookup(E6,'Player Codes'!A:D,4,)</f>
        <v>0259</v>
      </c>
      <c r="D6" s="33">
        <v>5.0</v>
      </c>
      <c r="E6" s="16" t="str">
        <f t="shared" si="1"/>
        <v>Saquon Barkley</v>
      </c>
      <c r="F6" s="16" t="str">
        <f>IFERROR(__xludf.DUMMYFUNCTION("REGEXEXTRACT(B6,""[A-Z]{2,}"")"),"RB")</f>
        <v>RB</v>
      </c>
      <c r="G6" s="16" t="str">
        <f t="shared" si="2"/>
        <v>Giants</v>
      </c>
      <c r="H6" s="33">
        <v>3.0</v>
      </c>
      <c r="I6" s="19" t="str">
        <f t="shared" si="3"/>
        <v>0259</v>
      </c>
      <c r="J6" s="5" t="str">
        <f t="shared" si="4"/>
        <v>#REF!</v>
      </c>
      <c r="K6" s="5">
        <f>vlookup(E6,proj_fantasy_pts!D:P,13,)</f>
        <v>213.6</v>
      </c>
      <c r="Z6" s="52"/>
      <c r="AA6" s="52"/>
    </row>
    <row r="7">
      <c r="A7" s="50"/>
      <c r="B7" s="51" t="s">
        <v>2059</v>
      </c>
      <c r="C7" s="19" t="str">
        <f>vlookup(E7,'Player Codes'!A:D,4,)</f>
        <v>0063</v>
      </c>
      <c r="D7" s="33">
        <v>6.0</v>
      </c>
      <c r="E7" s="16" t="str">
        <f t="shared" si="1"/>
        <v>Cooper Kupp</v>
      </c>
      <c r="F7" s="16" t="str">
        <f>IFERROR(__xludf.DUMMYFUNCTION("REGEXEXTRACT(B7,""[A-Z]{2,}"")"),"WR")</f>
        <v>WR</v>
      </c>
      <c r="G7" s="16" t="str">
        <f t="shared" si="2"/>
        <v>Rams</v>
      </c>
      <c r="H7" s="33">
        <v>3.0</v>
      </c>
      <c r="I7" s="19" t="str">
        <f t="shared" si="3"/>
        <v>0063</v>
      </c>
      <c r="J7" s="5" t="str">
        <f t="shared" si="4"/>
        <v>#REF!</v>
      </c>
      <c r="K7" s="5">
        <f>vlookup(E7,proj_fantasy_pts!D:P,13,)</f>
        <v>199.6</v>
      </c>
      <c r="Z7" s="52"/>
      <c r="AA7" s="52"/>
    </row>
    <row r="8">
      <c r="A8" s="50"/>
      <c r="B8" s="51" t="s">
        <v>2060</v>
      </c>
      <c r="C8" s="19" t="str">
        <f>vlookup(E8,'Player Codes'!A:D,4,)</f>
        <v>0021</v>
      </c>
      <c r="D8" s="33">
        <v>7.0</v>
      </c>
      <c r="E8" s="16" t="str">
        <f t="shared" si="1"/>
        <v>Bijan Robinson</v>
      </c>
      <c r="F8" s="16" t="str">
        <f>IFERROR(__xludf.DUMMYFUNCTION("REGEXEXTRACT(B8,""[A-Z]{2,}"")"),"RB")</f>
        <v>RB</v>
      </c>
      <c r="G8" s="16" t="str">
        <f t="shared" si="2"/>
        <v>Falcons</v>
      </c>
      <c r="H8" s="33">
        <v>4.0</v>
      </c>
      <c r="I8" s="19" t="str">
        <f t="shared" si="3"/>
        <v>0021</v>
      </c>
      <c r="J8" s="5" t="str">
        <f t="shared" si="4"/>
        <v>#REF!</v>
      </c>
      <c r="K8" s="5">
        <f>vlookup(E8,proj_fantasy_pts!D:P,13,)</f>
        <v>227.9</v>
      </c>
      <c r="R8" s="52"/>
      <c r="S8" s="52"/>
      <c r="T8" s="52"/>
      <c r="U8" s="52"/>
      <c r="V8" s="52"/>
      <c r="W8" s="52"/>
      <c r="Z8" s="52"/>
      <c r="AA8" s="52"/>
    </row>
    <row r="9">
      <c r="A9" s="50"/>
      <c r="B9" s="51" t="s">
        <v>2061</v>
      </c>
      <c r="C9" s="19" t="str">
        <f>vlookup(E9,'Player Codes'!A:D,4,)</f>
        <v>0276</v>
      </c>
      <c r="D9" s="33">
        <v>8.0</v>
      </c>
      <c r="E9" s="16" t="str">
        <f t="shared" si="1"/>
        <v>Travis Kelce</v>
      </c>
      <c r="F9" s="16" t="str">
        <f>IFERROR(__xludf.DUMMYFUNCTION("REGEXEXTRACT(B9,""[A-Z]{2,}"")"),"TE")</f>
        <v>TE</v>
      </c>
      <c r="G9" s="16" t="str">
        <f t="shared" si="2"/>
        <v>Chiefs</v>
      </c>
      <c r="H9" s="33">
        <v>1.0</v>
      </c>
      <c r="I9" s="19" t="str">
        <f t="shared" si="3"/>
        <v>0276</v>
      </c>
      <c r="J9" s="5" t="str">
        <f t="shared" si="4"/>
        <v>#REF!</v>
      </c>
      <c r="K9" s="5">
        <f>vlookup(E9,proj_fantasy_pts!D:P,13,)</f>
        <v>227.9</v>
      </c>
      <c r="R9" s="52"/>
      <c r="S9" s="53"/>
      <c r="T9" s="53"/>
      <c r="U9" s="53"/>
      <c r="V9" s="53"/>
      <c r="W9" s="53"/>
      <c r="Z9" s="52"/>
      <c r="AA9" s="52"/>
    </row>
    <row r="10">
      <c r="A10" s="50"/>
      <c r="B10" s="51" t="s">
        <v>2062</v>
      </c>
      <c r="C10" s="19" t="str">
        <f>vlookup(E10,'Player Codes'!A:D,4,)</f>
        <v>0291</v>
      </c>
      <c r="D10" s="33">
        <v>9.0</v>
      </c>
      <c r="E10" s="16" t="str">
        <f t="shared" si="1"/>
        <v>Tyreek Hill</v>
      </c>
      <c r="F10" s="16" t="str">
        <f>IFERROR(__xludf.DUMMYFUNCTION("REGEXEXTRACT(B10,""[A-Z]{2,}"")"),"WR")</f>
        <v>WR</v>
      </c>
      <c r="G10" s="16" t="str">
        <f t="shared" si="2"/>
        <v>Dolphins</v>
      </c>
      <c r="H10" s="33">
        <v>4.0</v>
      </c>
      <c r="I10" s="19" t="str">
        <f t="shared" si="3"/>
        <v>0291</v>
      </c>
      <c r="J10" s="5" t="str">
        <f t="shared" si="4"/>
        <v>#REF!</v>
      </c>
      <c r="K10" s="5">
        <f>vlookup(E10,proj_fantasy_pts!D:P,13,)</f>
        <v>246.9</v>
      </c>
      <c r="R10" s="52"/>
      <c r="S10" s="52"/>
      <c r="T10" s="52"/>
      <c r="U10" s="52"/>
      <c r="V10" s="52"/>
      <c r="W10" s="52"/>
      <c r="Z10" s="52"/>
      <c r="AA10" s="52"/>
    </row>
    <row r="11">
      <c r="A11" s="50"/>
      <c r="B11" s="51" t="s">
        <v>2063</v>
      </c>
      <c r="C11" s="19" t="str">
        <f>vlookup(E11,'Player Codes'!A:D,4,)</f>
        <v>0164</v>
      </c>
      <c r="D11" s="33">
        <v>10.0</v>
      </c>
      <c r="E11" s="16" t="str">
        <f t="shared" si="1"/>
        <v>Jonathan Taylor</v>
      </c>
      <c r="F11" s="16" t="str">
        <f>IFERROR(__xludf.DUMMYFUNCTION("REGEXEXTRACT(B11,""[A-Z]{2,}"")"),"RB")</f>
        <v>RB</v>
      </c>
      <c r="G11" s="16" t="str">
        <f t="shared" si="2"/>
        <v>Colts</v>
      </c>
      <c r="H11" s="33">
        <v>5.0</v>
      </c>
      <c r="I11" s="19" t="str">
        <f t="shared" si="3"/>
        <v>0164</v>
      </c>
      <c r="J11" s="5" t="str">
        <f t="shared" si="4"/>
        <v>#REF!</v>
      </c>
      <c r="K11" s="5">
        <f>vlookup(E11,proj_fantasy_pts!D:P,13,)</f>
        <v>122.1</v>
      </c>
      <c r="R11" s="52"/>
      <c r="S11" s="52"/>
      <c r="T11" s="52"/>
      <c r="U11" s="52"/>
      <c r="V11" s="52"/>
      <c r="W11" s="52"/>
      <c r="Z11" s="52"/>
      <c r="AA11" s="52"/>
    </row>
    <row r="12">
      <c r="A12" s="50"/>
      <c r="B12" s="51" t="s">
        <v>2064</v>
      </c>
      <c r="C12" s="19" t="str">
        <f>vlookup(E12,'Player Codes'!A:D,4,)</f>
        <v>0089</v>
      </c>
      <c r="D12" s="33">
        <v>11.0</v>
      </c>
      <c r="E12" s="16" t="str">
        <f t="shared" si="1"/>
        <v>Derrick Henry</v>
      </c>
      <c r="F12" s="16" t="str">
        <f>IFERROR(__xludf.DUMMYFUNCTION("REGEXEXTRACT(B12,""[A-Z]{2,}"")"),"RB")</f>
        <v>RB</v>
      </c>
      <c r="G12" s="16" t="str">
        <f t="shared" si="2"/>
        <v>Titans</v>
      </c>
      <c r="H12" s="33">
        <v>6.0</v>
      </c>
      <c r="I12" s="19" t="str">
        <f t="shared" si="3"/>
        <v>0089</v>
      </c>
      <c r="J12" s="5" t="str">
        <f t="shared" si="4"/>
        <v>#REF!</v>
      </c>
      <c r="K12" s="5">
        <f>vlookup(E12,proj_fantasy_pts!D:P,13,)</f>
        <v>214.2</v>
      </c>
      <c r="X12" s="54"/>
      <c r="Y12" s="54"/>
    </row>
    <row r="13">
      <c r="A13" s="50"/>
      <c r="B13" s="51" t="s">
        <v>2065</v>
      </c>
      <c r="C13" s="19" t="str">
        <f>vlookup(E13,'Player Codes'!A:D,4,)</f>
        <v>0274</v>
      </c>
      <c r="D13" s="33">
        <v>12.0</v>
      </c>
      <c r="E13" s="16" t="str">
        <f t="shared" si="1"/>
        <v>Tony Pollard</v>
      </c>
      <c r="F13" s="16" t="str">
        <f>IFERROR(__xludf.DUMMYFUNCTION("REGEXEXTRACT(B13,""[A-Z]{2,}"")"),"RB")</f>
        <v>RB</v>
      </c>
      <c r="G13" s="16" t="str">
        <f t="shared" si="2"/>
        <v>Cowboys</v>
      </c>
      <c r="H13" s="33">
        <v>7.0</v>
      </c>
      <c r="I13" s="19" t="str">
        <f t="shared" si="3"/>
        <v>0274</v>
      </c>
      <c r="J13" s="5" t="str">
        <f t="shared" si="4"/>
        <v>#REF!</v>
      </c>
      <c r="K13" s="5">
        <f>vlookup(E13,proj_fantasy_pts!D:P,13,)</f>
        <v>221</v>
      </c>
      <c r="L13" s="49"/>
      <c r="M13" s="55"/>
      <c r="X13" s="56"/>
      <c r="Y13" s="56"/>
    </row>
    <row r="14">
      <c r="A14" s="50"/>
      <c r="B14" s="51" t="s">
        <v>2066</v>
      </c>
      <c r="C14" s="19" t="str">
        <f>vlookup(E14,'Player Codes'!A:D,4,)</f>
        <v>0168</v>
      </c>
      <c r="D14" s="33">
        <v>13.0</v>
      </c>
      <c r="E14" s="16" t="str">
        <f t="shared" si="1"/>
        <v>Josh Jacobs</v>
      </c>
      <c r="F14" s="16" t="str">
        <f>IFERROR(__xludf.DUMMYFUNCTION("REGEXEXTRACT(B14,""[A-Z]{2,}"")"),"RB")</f>
        <v>RB</v>
      </c>
      <c r="G14" s="16" t="str">
        <f t="shared" si="2"/>
        <v>Raiders</v>
      </c>
      <c r="H14" s="33">
        <v>8.0</v>
      </c>
      <c r="I14" s="19" t="str">
        <f t="shared" si="3"/>
        <v>0168</v>
      </c>
      <c r="J14" s="5" t="str">
        <f t="shared" si="4"/>
        <v>#REF!</v>
      </c>
      <c r="K14" s="5">
        <f>vlookup(E14,proj_fantasy_pts!D:P,13,)</f>
        <v>207.5</v>
      </c>
      <c r="L14" s="49"/>
      <c r="M14" s="55"/>
    </row>
    <row r="15">
      <c r="A15" s="50"/>
      <c r="B15" s="51" t="s">
        <v>2067</v>
      </c>
      <c r="C15" s="19" t="str">
        <f>vlookup(E15,'Player Codes'!A:D,4,)</f>
        <v>0263</v>
      </c>
      <c r="D15" s="33">
        <v>14.0</v>
      </c>
      <c r="E15" s="16" t="str">
        <f t="shared" si="1"/>
        <v>Stefon Diggs</v>
      </c>
      <c r="F15" s="16" t="str">
        <f>IFERROR(__xludf.DUMMYFUNCTION("REGEXEXTRACT(B15,""[A-Z]{2,}"")"),"WR")</f>
        <v>WR</v>
      </c>
      <c r="G15" s="16" t="str">
        <f t="shared" si="2"/>
        <v>Bills</v>
      </c>
      <c r="H15" s="33">
        <v>5.0</v>
      </c>
      <c r="I15" s="19" t="str">
        <f t="shared" si="3"/>
        <v>0263</v>
      </c>
      <c r="J15" s="5" t="str">
        <f t="shared" si="4"/>
        <v>#REF!</v>
      </c>
      <c r="K15" s="5">
        <f>vlookup(E15,proj_fantasy_pts!D:P,13,)</f>
        <v>229.6</v>
      </c>
      <c r="L15" s="49"/>
      <c r="M15" s="55"/>
    </row>
    <row r="16">
      <c r="A16" s="50"/>
      <c r="B16" s="51" t="s">
        <v>2068</v>
      </c>
      <c r="C16" s="19" t="str">
        <f>vlookup(E16,'Player Codes'!A:D,4,)</f>
        <v>0228</v>
      </c>
      <c r="D16" s="33">
        <v>15.0</v>
      </c>
      <c r="E16" s="16" t="str">
        <f t="shared" si="1"/>
        <v>Nick Chubb</v>
      </c>
      <c r="F16" s="16" t="str">
        <f>IFERROR(__xludf.DUMMYFUNCTION("REGEXEXTRACT(B16,""[A-Z]{2,}"")"),"RB")</f>
        <v>RB</v>
      </c>
      <c r="G16" s="16" t="str">
        <f t="shared" si="2"/>
        <v>Browns</v>
      </c>
      <c r="H16" s="33">
        <v>9.0</v>
      </c>
      <c r="I16" s="19" t="str">
        <f t="shared" si="3"/>
        <v>0228</v>
      </c>
      <c r="J16" s="5" t="str">
        <f t="shared" si="4"/>
        <v>#REF!</v>
      </c>
      <c r="K16" s="5">
        <f>vlookup(E16,proj_fantasy_pts!D:P,13,)</f>
        <v>219.9</v>
      </c>
      <c r="L16" s="49"/>
      <c r="M16" s="55"/>
    </row>
    <row r="17">
      <c r="A17" s="50"/>
      <c r="B17" s="51" t="s">
        <v>2069</v>
      </c>
      <c r="C17" s="19" t="str">
        <f>vlookup(E17,'Player Codes'!A:D,4,)</f>
        <v>0081</v>
      </c>
      <c r="D17" s="33">
        <v>16.0</v>
      </c>
      <c r="E17" s="16" t="str">
        <f t="shared" si="1"/>
        <v>Davante Adams</v>
      </c>
      <c r="F17" s="16" t="str">
        <f>IFERROR(__xludf.DUMMYFUNCTION("REGEXEXTRACT(B17,""[A-Z]{2,}"")"),"WR")</f>
        <v>WR</v>
      </c>
      <c r="G17" s="16" t="str">
        <f t="shared" si="2"/>
        <v>Raiders</v>
      </c>
      <c r="H17" s="33">
        <v>6.0</v>
      </c>
      <c r="I17" s="19" t="str">
        <f t="shared" si="3"/>
        <v>0081</v>
      </c>
      <c r="J17" s="5" t="str">
        <f t="shared" si="4"/>
        <v>#REF!</v>
      </c>
      <c r="K17" s="5">
        <f>vlookup(E17,proj_fantasy_pts!D:P,13,)</f>
        <v>212.9</v>
      </c>
      <c r="L17" s="55"/>
      <c r="M17" s="55"/>
    </row>
    <row r="18">
      <c r="A18" s="50"/>
      <c r="B18" s="51" t="s">
        <v>2070</v>
      </c>
      <c r="C18" s="19" t="str">
        <f>vlookup(E18,'Player Codes'!A:D,4,)</f>
        <v>0275</v>
      </c>
      <c r="D18" s="33">
        <v>17.0</v>
      </c>
      <c r="E18" s="16" t="str">
        <f t="shared" si="1"/>
        <v>Travis Etienne Jr.</v>
      </c>
      <c r="F18" s="16" t="str">
        <f>IFERROR(__xludf.DUMMYFUNCTION("REGEXEXTRACT(B18,""[A-Z]{2,}"")"),"RB")</f>
        <v>RB</v>
      </c>
      <c r="G18" s="16" t="str">
        <f t="shared" si="2"/>
        <v>Jaguars</v>
      </c>
      <c r="H18" s="33">
        <v>10.0</v>
      </c>
      <c r="I18" s="19" t="str">
        <f t="shared" si="3"/>
        <v>0275</v>
      </c>
      <c r="J18" s="5" t="str">
        <f t="shared" si="4"/>
        <v>#REF!</v>
      </c>
      <c r="K18" s="5">
        <f>vlookup(E18,proj_fantasy_pts!D:P,13,)</f>
        <v>161.9</v>
      </c>
      <c r="L18" s="49"/>
      <c r="M18" s="55"/>
    </row>
    <row r="19">
      <c r="A19" s="50"/>
      <c r="B19" s="51" t="s">
        <v>2071</v>
      </c>
      <c r="C19" s="19" t="str">
        <f>vlookup(E19,'Player Codes'!A:D,4,)</f>
        <v>0042</v>
      </c>
      <c r="D19" s="33">
        <v>18.0</v>
      </c>
      <c r="E19" s="16" t="str">
        <f t="shared" si="1"/>
        <v>CeeDee Lamb</v>
      </c>
      <c r="F19" s="16" t="str">
        <f>IFERROR(__xludf.DUMMYFUNCTION("REGEXEXTRACT(B19,""[A-Z]{2,}"")"),"WR")</f>
        <v>WR</v>
      </c>
      <c r="G19" s="16" t="str">
        <f t="shared" si="2"/>
        <v>Cowboys</v>
      </c>
      <c r="H19" s="33">
        <v>7.0</v>
      </c>
      <c r="I19" s="19" t="str">
        <f t="shared" si="3"/>
        <v>0042</v>
      </c>
      <c r="J19" s="5" t="str">
        <f t="shared" si="4"/>
        <v>#REF!</v>
      </c>
      <c r="K19" s="5">
        <f>vlookup(E19,proj_fantasy_pts!D:P,13,)</f>
        <v>214.1</v>
      </c>
      <c r="L19" s="49"/>
      <c r="M19" s="55"/>
    </row>
    <row r="20">
      <c r="A20" s="50"/>
      <c r="B20" s="51" t="s">
        <v>2072</v>
      </c>
      <c r="C20" s="19" t="str">
        <f>vlookup(E20,'Player Codes'!A:D,4,)</f>
        <v>0111</v>
      </c>
      <c r="D20" s="33">
        <v>19.0</v>
      </c>
      <c r="E20" s="16" t="str">
        <f t="shared" si="1"/>
        <v>Garrett Wilson</v>
      </c>
      <c r="F20" s="16" t="str">
        <f>IFERROR(__xludf.DUMMYFUNCTION("REGEXEXTRACT(B20,""[A-Z]{2,}"")"),"WR")</f>
        <v>WR</v>
      </c>
      <c r="G20" s="16" t="str">
        <f t="shared" si="2"/>
        <v>Jets</v>
      </c>
      <c r="H20" s="33">
        <v>8.0</v>
      </c>
      <c r="I20" s="19" t="str">
        <f t="shared" si="3"/>
        <v>0111</v>
      </c>
      <c r="J20" s="5" t="str">
        <f t="shared" si="4"/>
        <v>#REF!</v>
      </c>
      <c r="K20" s="5">
        <f>vlookup(E20,proj_fantasy_pts!D:P,13,)</f>
        <v>221.2</v>
      </c>
      <c r="L20" s="49"/>
      <c r="M20" s="55"/>
    </row>
    <row r="21">
      <c r="A21" s="50"/>
      <c r="B21" s="51" t="s">
        <v>2073</v>
      </c>
      <c r="C21" s="19" t="str">
        <f>vlookup(E21,'Player Codes'!A:D,4,)</f>
        <v>0202</v>
      </c>
      <c r="D21" s="33">
        <v>20.0</v>
      </c>
      <c r="E21" s="16" t="str">
        <f t="shared" si="1"/>
        <v>Mark Andrews</v>
      </c>
      <c r="F21" s="16" t="str">
        <f>IFERROR(__xludf.DUMMYFUNCTION("REGEXEXTRACT(B21,""[A-Z]{2,}"")"),"TE")</f>
        <v>TE</v>
      </c>
      <c r="G21" s="16" t="str">
        <f t="shared" si="2"/>
        <v>Ravens</v>
      </c>
      <c r="H21" s="33">
        <v>2.0</v>
      </c>
      <c r="I21" s="19" t="str">
        <f t="shared" si="3"/>
        <v>0202</v>
      </c>
      <c r="J21" s="5" t="str">
        <f t="shared" si="4"/>
        <v>#REF!</v>
      </c>
      <c r="K21" s="5">
        <f>vlookup(E21,proj_fantasy_pts!D:P,13,)</f>
        <v>171.6</v>
      </c>
      <c r="L21" s="55"/>
      <c r="M21" s="55"/>
    </row>
    <row r="22">
      <c r="A22" s="50"/>
      <c r="B22" s="51" t="s">
        <v>2074</v>
      </c>
      <c r="C22" s="19" t="str">
        <f>vlookup(E22,'Player Codes'!A:D,4,)</f>
        <v>0160</v>
      </c>
      <c r="D22" s="33">
        <v>21.0</v>
      </c>
      <c r="E22" s="16" t="str">
        <f t="shared" si="1"/>
        <v>Joe Mixon</v>
      </c>
      <c r="F22" s="16" t="str">
        <f>IFERROR(__xludf.DUMMYFUNCTION("REGEXEXTRACT(B22,""[A-Z]{2,}"")"),"RB")</f>
        <v>RB</v>
      </c>
      <c r="G22" s="16" t="str">
        <f t="shared" si="2"/>
        <v>Bengals</v>
      </c>
      <c r="H22" s="33">
        <v>11.0</v>
      </c>
      <c r="I22" s="19" t="str">
        <f t="shared" si="3"/>
        <v>0160</v>
      </c>
      <c r="J22" s="5" t="str">
        <f t="shared" si="4"/>
        <v>#REF!</v>
      </c>
      <c r="K22" s="5">
        <f>vlookup(E22,proj_fantasy_pts!D:P,13,)</f>
        <v>165.5</v>
      </c>
      <c r="L22" s="53"/>
      <c r="M22" s="55"/>
    </row>
    <row r="23">
      <c r="A23" s="50"/>
      <c r="B23" s="51" t="s">
        <v>2075</v>
      </c>
      <c r="C23" s="19" t="str">
        <f>vlookup(E23,'Player Codes'!A:D,4,)</f>
        <v>0001</v>
      </c>
      <c r="D23" s="33">
        <v>22.0</v>
      </c>
      <c r="E23" s="16" t="str">
        <f t="shared" si="1"/>
        <v>A.J. Brown</v>
      </c>
      <c r="F23" s="16" t="str">
        <f>IFERROR(__xludf.DUMMYFUNCTION("REGEXEXTRACT(B23,""[A-Z]{2,}"")"),"WR")</f>
        <v>WR</v>
      </c>
      <c r="G23" s="16" t="str">
        <f t="shared" si="2"/>
        <v>Eagles</v>
      </c>
      <c r="H23" s="33">
        <v>9.0</v>
      </c>
      <c r="I23" s="19" t="str">
        <f t="shared" si="3"/>
        <v>0001</v>
      </c>
      <c r="J23" s="5" t="str">
        <f t="shared" si="4"/>
        <v>#REF!</v>
      </c>
      <c r="K23" s="5">
        <f>vlookup(E23,proj_fantasy_pts!D:P,13,)</f>
        <v>222.1</v>
      </c>
      <c r="L23" s="53"/>
      <c r="M23" s="55"/>
    </row>
    <row r="24">
      <c r="A24" s="50"/>
      <c r="B24" s="51" t="s">
        <v>2076</v>
      </c>
      <c r="C24" s="19" t="str">
        <f>vlookup(E24,'Player Codes'!A:D,4,)</f>
        <v>0002</v>
      </c>
      <c r="D24" s="33">
        <v>23.0</v>
      </c>
      <c r="E24" s="16" t="str">
        <f t="shared" si="1"/>
        <v>Aaron Jones</v>
      </c>
      <c r="F24" s="16" t="str">
        <f>IFERROR(__xludf.DUMMYFUNCTION("REGEXEXTRACT(B24,""[A-Z]{2,}"")"),"RB")</f>
        <v>RB</v>
      </c>
      <c r="G24" s="16" t="str">
        <f t="shared" si="2"/>
        <v>Packers</v>
      </c>
      <c r="H24" s="33">
        <v>12.0</v>
      </c>
      <c r="I24" s="19" t="str">
        <f t="shared" si="3"/>
        <v>0002</v>
      </c>
      <c r="J24" s="5" t="str">
        <f t="shared" si="4"/>
        <v>#REF!</v>
      </c>
      <c r="K24" s="5">
        <f>vlookup(E24,proj_fantasy_pts!D:P,13,)</f>
        <v>163</v>
      </c>
      <c r="L24" s="53"/>
      <c r="M24" s="55"/>
    </row>
    <row r="25">
      <c r="A25" s="50"/>
      <c r="B25" s="51" t="s">
        <v>2077</v>
      </c>
      <c r="C25" s="19" t="str">
        <f>vlookup(E25,'Player Codes'!A:D,4,)</f>
        <v>0223</v>
      </c>
      <c r="D25" s="33">
        <v>24.0</v>
      </c>
      <c r="E25" s="16" t="str">
        <f t="shared" si="1"/>
        <v>Najee Harris</v>
      </c>
      <c r="F25" s="16" t="str">
        <f>IFERROR(__xludf.DUMMYFUNCTION("REGEXEXTRACT(B25,""[A-Z]{2,}"")"),"RB")</f>
        <v>RB</v>
      </c>
      <c r="G25" s="16" t="str">
        <f t="shared" si="2"/>
        <v>Steelers</v>
      </c>
      <c r="H25" s="33">
        <v>13.0</v>
      </c>
      <c r="I25" s="19" t="str">
        <f t="shared" si="3"/>
        <v>0223</v>
      </c>
      <c r="J25" s="5" t="str">
        <f t="shared" si="4"/>
        <v>#REF!</v>
      </c>
      <c r="K25" s="5">
        <f>vlookup(E25,proj_fantasy_pts!D:P,13,)</f>
        <v>178</v>
      </c>
      <c r="L25" s="55"/>
      <c r="M25" s="55"/>
    </row>
    <row r="26">
      <c r="A26" s="50"/>
      <c r="B26" s="51" t="s">
        <v>2078</v>
      </c>
      <c r="C26" s="19" t="str">
        <f>vlookup(E26,'Player Codes'!A:D,4,)</f>
        <v>0246</v>
      </c>
      <c r="D26" s="33">
        <v>25.0</v>
      </c>
      <c r="E26" s="16" t="str">
        <f t="shared" si="1"/>
        <v>Rhamondre Stevenson</v>
      </c>
      <c r="F26" s="16" t="str">
        <f>IFERROR(__xludf.DUMMYFUNCTION("REGEXEXTRACT(B26,""[A-Z]{2,}"")"),"RB")</f>
        <v>RB</v>
      </c>
      <c r="G26" s="16" t="str">
        <f t="shared" si="2"/>
        <v>Patriots</v>
      </c>
      <c r="H26" s="33">
        <v>14.0</v>
      </c>
      <c r="I26" s="19" t="str">
        <f t="shared" si="3"/>
        <v>0246</v>
      </c>
      <c r="J26" s="5" t="str">
        <f t="shared" si="4"/>
        <v>#REF!</v>
      </c>
      <c r="K26" s="5">
        <f>vlookup(E26,proj_fantasy_pts!D:P,13,)</f>
        <v>183.9</v>
      </c>
      <c r="L26" s="53"/>
      <c r="M26" s="55"/>
    </row>
    <row r="27">
      <c r="A27" s="50"/>
      <c r="B27" s="51" t="s">
        <v>2079</v>
      </c>
      <c r="C27" s="19" t="str">
        <f>vlookup(E27,'Player Codes'!A:D,4,)</f>
        <v>0264</v>
      </c>
      <c r="D27" s="33">
        <v>26.0</v>
      </c>
      <c r="E27" s="16" t="str">
        <f t="shared" si="1"/>
        <v>T.J. Hockenson</v>
      </c>
      <c r="F27" s="16" t="str">
        <f>IFERROR(__xludf.DUMMYFUNCTION("REGEXEXTRACT(B27,""[A-Z]{2,}"")"),"TE")</f>
        <v>TE</v>
      </c>
      <c r="G27" s="16" t="str">
        <f t="shared" si="2"/>
        <v>Vikings</v>
      </c>
      <c r="H27" s="33">
        <v>3.0</v>
      </c>
      <c r="I27" s="19" t="str">
        <f t="shared" si="3"/>
        <v>0264</v>
      </c>
      <c r="J27" s="5" t="str">
        <f t="shared" si="4"/>
        <v>#REF!</v>
      </c>
      <c r="K27" s="5">
        <f>vlookup(E27,proj_fantasy_pts!D:P,13,)</f>
        <v>142.6</v>
      </c>
      <c r="L27" s="53"/>
      <c r="M27" s="55"/>
    </row>
    <row r="28">
      <c r="A28" s="50"/>
      <c r="B28" s="51" t="s">
        <v>2080</v>
      </c>
      <c r="C28" s="19" t="str">
        <f>vlookup(E28,'Player Codes'!A:D,4,)</f>
        <v>0012</v>
      </c>
      <c r="D28" s="33">
        <v>27.0</v>
      </c>
      <c r="E28" s="16" t="str">
        <f t="shared" si="1"/>
        <v>Amon-Ra St. Brown</v>
      </c>
      <c r="F28" s="16" t="str">
        <f>IFERROR(__xludf.DUMMYFUNCTION("REGEXEXTRACT(B28,""[A-Z]{2,}"")"),"WR")</f>
        <v>WR</v>
      </c>
      <c r="G28" s="16" t="str">
        <f t="shared" si="2"/>
        <v>Lions</v>
      </c>
      <c r="H28" s="33">
        <v>10.0</v>
      </c>
      <c r="I28" s="19" t="str">
        <f t="shared" si="3"/>
        <v>0012</v>
      </c>
      <c r="J28" s="5" t="str">
        <f t="shared" si="4"/>
        <v>#REF!</v>
      </c>
      <c r="K28" s="5">
        <f>vlookup(E28,proj_fantasy_pts!D:P,13,)</f>
        <v>213.9</v>
      </c>
      <c r="L28" s="53"/>
      <c r="M28" s="55"/>
    </row>
    <row r="29">
      <c r="A29" s="50"/>
      <c r="B29" s="51" t="s">
        <v>2081</v>
      </c>
      <c r="C29" s="19" t="str">
        <f>vlookup(E29,'Player Codes'!A:D,4,)</f>
        <v>0135</v>
      </c>
      <c r="D29" s="33">
        <v>28.0</v>
      </c>
      <c r="E29" s="16" t="str">
        <f t="shared" si="1"/>
        <v>Jahmyr Gibbs</v>
      </c>
      <c r="F29" s="16" t="str">
        <f>IFERROR(__xludf.DUMMYFUNCTION("REGEXEXTRACT(B29,""[A-Z]{2,}"")"),"RB")</f>
        <v>RB</v>
      </c>
      <c r="G29" s="16" t="str">
        <f t="shared" si="2"/>
        <v>Lions</v>
      </c>
      <c r="H29" s="33">
        <v>15.0</v>
      </c>
      <c r="I29" s="19" t="str">
        <f t="shared" si="3"/>
        <v>0135</v>
      </c>
      <c r="J29" s="5" t="str">
        <f t="shared" si="4"/>
        <v>#REF!</v>
      </c>
      <c r="K29" s="5">
        <f>vlookup(E29,proj_fantasy_pts!D:P,13,)</f>
        <v>177.2</v>
      </c>
      <c r="L29" s="53"/>
      <c r="M29" s="55"/>
    </row>
    <row r="30">
      <c r="A30" s="50"/>
      <c r="B30" s="51" t="s">
        <v>2082</v>
      </c>
      <c r="C30" s="19" t="str">
        <f>vlookup(E30,'Player Codes'!A:D,4,)</f>
        <v>0152</v>
      </c>
      <c r="D30" s="33">
        <v>29.0</v>
      </c>
      <c r="E30" s="16" t="str">
        <f t="shared" si="1"/>
        <v>Jaylen Waddle</v>
      </c>
      <c r="F30" s="16" t="str">
        <f>IFERROR(__xludf.DUMMYFUNCTION("REGEXEXTRACT(B30,""[A-Z]{2,}"")"),"WR")</f>
        <v>WR</v>
      </c>
      <c r="G30" s="16" t="str">
        <f t="shared" si="2"/>
        <v>Dolphins</v>
      </c>
      <c r="H30" s="33">
        <v>11.0</v>
      </c>
      <c r="I30" s="19" t="str">
        <f t="shared" si="3"/>
        <v>0152</v>
      </c>
      <c r="J30" s="5" t="str">
        <f t="shared" si="4"/>
        <v>#REF!</v>
      </c>
      <c r="K30" s="5">
        <f>vlookup(E30,proj_fantasy_pts!D:P,13,)</f>
        <v>197.1</v>
      </c>
      <c r="L30" s="53"/>
      <c r="M30" s="55"/>
    </row>
    <row r="31">
      <c r="A31" s="50"/>
      <c r="B31" s="51" t="s">
        <v>2083</v>
      </c>
      <c r="C31" s="19" t="str">
        <f>vlookup(E31,'Player Codes'!A:D,4,)</f>
        <v>0235</v>
      </c>
      <c r="D31" s="33">
        <v>30.0</v>
      </c>
      <c r="E31" s="16" t="str">
        <f t="shared" si="1"/>
        <v>Patrick Mahomes</v>
      </c>
      <c r="F31" s="16" t="str">
        <f>IFERROR(__xludf.DUMMYFUNCTION("REGEXEXTRACT(B31,""[A-Z]{2,}"")"),"QB")</f>
        <v>QB</v>
      </c>
      <c r="G31" s="16" t="str">
        <f t="shared" si="2"/>
        <v>Chiefs</v>
      </c>
      <c r="H31" s="33">
        <v>1.0</v>
      </c>
      <c r="I31" s="19" t="str">
        <f t="shared" si="3"/>
        <v>0235</v>
      </c>
      <c r="J31" s="5" t="str">
        <f t="shared" si="4"/>
        <v>#REF!</v>
      </c>
      <c r="K31" s="5">
        <f>vlookup(E31,proj_fantasy_pts!D:P,13,)</f>
        <v>361</v>
      </c>
      <c r="L31" s="55"/>
      <c r="M31" s="55"/>
    </row>
    <row r="32">
      <c r="A32" s="50"/>
      <c r="B32" s="51" t="s">
        <v>2084</v>
      </c>
      <c r="C32" s="19" t="str">
        <f>vlookup(E32,'Player Codes'!A:D,4,)</f>
        <v>0186</v>
      </c>
      <c r="D32" s="33">
        <v>31.0</v>
      </c>
      <c r="E32" s="16" t="str">
        <f t="shared" si="1"/>
        <v>Kenneth Walker III</v>
      </c>
      <c r="F32" s="33" t="s">
        <v>13</v>
      </c>
      <c r="G32" s="16" t="str">
        <f t="shared" si="2"/>
        <v>Seahawks</v>
      </c>
      <c r="H32" s="33">
        <v>16.0</v>
      </c>
      <c r="I32" s="19" t="str">
        <f t="shared" si="3"/>
        <v>0186</v>
      </c>
      <c r="J32" s="5" t="str">
        <f t="shared" si="4"/>
        <v>#REF!</v>
      </c>
      <c r="K32" s="5">
        <f>vlookup(E32,proj_fantasy_pts!D:P,13,)</f>
        <v>168.9</v>
      </c>
      <c r="L32" s="53"/>
      <c r="M32" s="55"/>
    </row>
    <row r="33">
      <c r="A33" s="50"/>
      <c r="B33" s="51" t="s">
        <v>2085</v>
      </c>
      <c r="C33" s="19" t="str">
        <f>vlookup(E33,'Player Codes'!A:D,4,)</f>
        <v>0270</v>
      </c>
      <c r="D33" s="33">
        <v>32.0</v>
      </c>
      <c r="E33" s="16" t="str">
        <f t="shared" si="1"/>
        <v>Tee Higgins</v>
      </c>
      <c r="F33" s="16" t="str">
        <f>IFERROR(__xludf.DUMMYFUNCTION("REGEXEXTRACT(B33,""[A-Z]{2,}"")"),"WR")</f>
        <v>WR</v>
      </c>
      <c r="G33" s="16" t="str">
        <f t="shared" si="2"/>
        <v>Bengals</v>
      </c>
      <c r="H33" s="33">
        <v>12.0</v>
      </c>
      <c r="I33" s="19" t="str">
        <f t="shared" si="3"/>
        <v>0270</v>
      </c>
      <c r="J33" s="5" t="str">
        <f t="shared" si="4"/>
        <v>#REF!</v>
      </c>
      <c r="K33" s="5">
        <f>vlookup(E33,proj_fantasy_pts!D:P,13,)</f>
        <v>199.5</v>
      </c>
      <c r="L33" s="53"/>
      <c r="M33" s="55"/>
    </row>
    <row r="34">
      <c r="A34" s="50"/>
      <c r="B34" s="51" t="s">
        <v>2086</v>
      </c>
      <c r="C34" s="19" t="str">
        <f>vlookup(E34,'Player Codes'!A:D,4,)</f>
        <v>0074</v>
      </c>
      <c r="D34" s="33">
        <v>33.0</v>
      </c>
      <c r="E34" s="16" t="str">
        <f t="shared" si="1"/>
        <v>Dameon Pierce</v>
      </c>
      <c r="F34" s="16" t="str">
        <f>IFERROR(__xludf.DUMMYFUNCTION("REGEXEXTRACT(B34,""[A-Z]{2,}"")"),"RB")</f>
        <v>RB</v>
      </c>
      <c r="G34" s="16" t="str">
        <f t="shared" si="2"/>
        <v>Texans</v>
      </c>
      <c r="H34" s="33">
        <v>17.0</v>
      </c>
      <c r="I34" s="19" t="str">
        <f t="shared" si="3"/>
        <v>0074</v>
      </c>
      <c r="J34" s="5" t="str">
        <f t="shared" si="4"/>
        <v>#REF!</v>
      </c>
      <c r="K34" s="5">
        <f>vlookup(E34,proj_fantasy_pts!D:P,13,)</f>
        <v>160.8</v>
      </c>
      <c r="L34" s="52"/>
      <c r="M34" s="52"/>
    </row>
    <row r="35">
      <c r="A35" s="50"/>
      <c r="B35" s="51" t="s">
        <v>2087</v>
      </c>
      <c r="C35" s="19" t="str">
        <f>vlookup(E35,'Player Codes'!A:D,4,)</f>
        <v>0096</v>
      </c>
      <c r="D35" s="33">
        <v>34.0</v>
      </c>
      <c r="E35" s="16" t="str">
        <f t="shared" si="1"/>
        <v>DeVonta Smith</v>
      </c>
      <c r="F35" s="16" t="str">
        <f>IFERROR(__xludf.DUMMYFUNCTION("REGEXEXTRACT(B35,""[A-Z]{2,}"")"),"WR")</f>
        <v>WR</v>
      </c>
      <c r="G35" s="16" t="str">
        <f t="shared" si="2"/>
        <v>Eagles</v>
      </c>
      <c r="H35" s="33">
        <v>13.0</v>
      </c>
      <c r="I35" s="19" t="str">
        <f t="shared" si="3"/>
        <v>0096</v>
      </c>
      <c r="J35" s="5" t="str">
        <f t="shared" si="4"/>
        <v>#REF!</v>
      </c>
      <c r="K35" s="5">
        <f>vlookup(E35,proj_fantasy_pts!D:P,13,)</f>
        <v>188.7</v>
      </c>
      <c r="L35" s="53"/>
      <c r="M35" s="55"/>
    </row>
    <row r="36">
      <c r="A36" s="50"/>
      <c r="B36" s="51" t="s">
        <v>2088</v>
      </c>
      <c r="C36" s="19" t="str">
        <f>vlookup(E36,'Player Codes'!A:D,4,)</f>
        <v>0143</v>
      </c>
      <c r="D36" s="33">
        <v>35.0</v>
      </c>
      <c r="E36" s="16" t="str">
        <f t="shared" si="1"/>
        <v>James Conner</v>
      </c>
      <c r="F36" s="16" t="str">
        <f>IFERROR(__xludf.DUMMYFUNCTION("REGEXEXTRACT(B36,""[A-Z]{2,}"")"),"RB")</f>
        <v>RB</v>
      </c>
      <c r="G36" s="16" t="str">
        <f t="shared" si="2"/>
        <v>Cardinals</v>
      </c>
      <c r="H36" s="33">
        <v>18.0</v>
      </c>
      <c r="I36" s="19" t="str">
        <f t="shared" si="3"/>
        <v>0143</v>
      </c>
      <c r="J36" s="5" t="str">
        <f t="shared" si="4"/>
        <v>#REF!</v>
      </c>
      <c r="K36" s="5">
        <f>vlookup(E36,proj_fantasy_pts!D:P,13,)</f>
        <v>147.5</v>
      </c>
      <c r="L36" s="52"/>
      <c r="M36" s="52"/>
    </row>
    <row r="37">
      <c r="A37" s="50"/>
      <c r="B37" s="51" t="s">
        <v>2089</v>
      </c>
      <c r="C37" s="19" t="str">
        <f>vlookup(E37,'Player Codes'!A:D,4,)</f>
        <v>0101</v>
      </c>
      <c r="D37" s="33">
        <v>36.0</v>
      </c>
      <c r="E37" s="33" t="s">
        <v>209</v>
      </c>
      <c r="F37" s="16" t="str">
        <f>IFERROR(__xludf.DUMMYFUNCTION("REGEXEXTRACT(B37,""[A-Z]{2,}"")"),"DK")</f>
        <v>DK</v>
      </c>
      <c r="G37" s="16" t="str">
        <f t="shared" si="2"/>
        <v>Seahawks</v>
      </c>
      <c r="H37" s="33">
        <v>14.0</v>
      </c>
      <c r="I37" s="19" t="str">
        <f t="shared" si="3"/>
        <v>0101</v>
      </c>
      <c r="J37" s="5" t="str">
        <f t="shared" si="4"/>
        <v>#REF!</v>
      </c>
      <c r="K37" s="5" t="str">
        <f>vlookup(E37,proj_fantasy_pts!D:P,13,)</f>
        <v>#N/A</v>
      </c>
      <c r="L37" s="53"/>
      <c r="M37" s="55"/>
    </row>
    <row r="38">
      <c r="A38" s="50"/>
      <c r="B38" s="51" t="s">
        <v>2090</v>
      </c>
      <c r="C38" s="19" t="str">
        <f>vlookup(E38,'Player Codes'!A:D,4,)</f>
        <v>0240</v>
      </c>
      <c r="D38" s="33">
        <v>37.0</v>
      </c>
      <c r="E38" s="16" t="str">
        <f t="shared" ref="E38:E53" si="5">MID(B38,FIND(".",B38) + 1 + 1,FIND(",",B38) - 1 - (FIND(".",B38) + 1))</f>
        <v>Rachaad White</v>
      </c>
      <c r="F38" s="16" t="str">
        <f>IFERROR(__xludf.DUMMYFUNCTION("REGEXEXTRACT(B38,""[A-Z]{2,}"")"),"RB")</f>
        <v>RB</v>
      </c>
      <c r="G38" s="16" t="str">
        <f t="shared" si="2"/>
        <v>Buccaneers</v>
      </c>
      <c r="H38" s="33">
        <v>19.0</v>
      </c>
      <c r="I38" s="19" t="str">
        <f t="shared" si="3"/>
        <v>0240</v>
      </c>
      <c r="J38" s="5" t="str">
        <f t="shared" si="4"/>
        <v>#REF!</v>
      </c>
      <c r="K38" s="5">
        <f>vlookup(E38,proj_fantasy_pts!D:P,13,)</f>
        <v>133.5</v>
      </c>
      <c r="L38" s="55"/>
      <c r="M38" s="55"/>
    </row>
    <row r="39">
      <c r="A39" s="50"/>
      <c r="B39" s="51" t="s">
        <v>2091</v>
      </c>
      <c r="C39" s="19" t="str">
        <f>vlookup(E39,'Player Codes'!A:D,4,)</f>
        <v>0167</v>
      </c>
      <c r="D39" s="33">
        <v>38.0</v>
      </c>
      <c r="E39" s="16" t="str">
        <f t="shared" si="5"/>
        <v>Josh Allen</v>
      </c>
      <c r="F39" s="16" t="str">
        <f>IFERROR(__xludf.DUMMYFUNCTION("REGEXEXTRACT(B39,""[A-Z]{2,}"")"),"QB")</f>
        <v>QB</v>
      </c>
      <c r="G39" s="16" t="str">
        <f t="shared" si="2"/>
        <v>Bills</v>
      </c>
      <c r="H39" s="33">
        <v>2.0</v>
      </c>
      <c r="I39" s="19" t="str">
        <f t="shared" si="3"/>
        <v>0167</v>
      </c>
      <c r="J39" s="5" t="str">
        <f t="shared" si="4"/>
        <v>#REF!</v>
      </c>
      <c r="K39" s="5">
        <f>vlookup(E39,proj_fantasy_pts!D:P,13,)</f>
        <v>372.5</v>
      </c>
      <c r="L39" s="57"/>
      <c r="M39" s="57"/>
    </row>
    <row r="40">
      <c r="A40" s="50"/>
      <c r="B40" s="51" t="s">
        <v>2092</v>
      </c>
      <c r="C40" s="19" t="str">
        <f>vlookup(E40,'Player Codes'!A:D,4,)</f>
        <v>0053</v>
      </c>
      <c r="D40" s="33">
        <v>39.0</v>
      </c>
      <c r="E40" s="16" t="str">
        <f t="shared" si="5"/>
        <v>Chris Olave</v>
      </c>
      <c r="F40" s="16" t="str">
        <f>IFERROR(__xludf.DUMMYFUNCTION("REGEXEXTRACT(B40,""[A-Z]{2,}"")"),"WR")</f>
        <v>WR</v>
      </c>
      <c r="G40" s="16" t="str">
        <f t="shared" si="2"/>
        <v>Saints</v>
      </c>
      <c r="H40" s="33">
        <v>15.0</v>
      </c>
      <c r="I40" s="19" t="str">
        <f t="shared" si="3"/>
        <v>0053</v>
      </c>
      <c r="J40" s="5" t="str">
        <f t="shared" si="4"/>
        <v>#REF!</v>
      </c>
      <c r="K40" s="5">
        <f>vlookup(E40,proj_fantasy_pts!D:P,13,)</f>
        <v>202.2</v>
      </c>
      <c r="L40" s="53"/>
      <c r="M40" s="55"/>
    </row>
    <row r="41">
      <c r="A41" s="50"/>
      <c r="B41" s="51" t="s">
        <v>2093</v>
      </c>
      <c r="C41" s="19" t="str">
        <f>vlookup(E41,'Player Codes'!A:D,4,)</f>
        <v>0182</v>
      </c>
      <c r="D41" s="33">
        <v>40.0</v>
      </c>
      <c r="E41" s="16" t="str">
        <f t="shared" si="5"/>
        <v>Keenan Allen</v>
      </c>
      <c r="F41" s="16" t="str">
        <f>IFERROR(__xludf.DUMMYFUNCTION("REGEXEXTRACT(B41,""[A-Z]{2,}"")"),"WR")</f>
        <v>WR</v>
      </c>
      <c r="G41" s="16" t="str">
        <f t="shared" si="2"/>
        <v>Chargers</v>
      </c>
      <c r="H41" s="33">
        <v>16.0</v>
      </c>
      <c r="I41" s="19" t="str">
        <f t="shared" si="3"/>
        <v>0182</v>
      </c>
      <c r="J41" s="5" t="str">
        <f t="shared" si="4"/>
        <v>#REF!</v>
      </c>
      <c r="K41" s="5">
        <f>vlookup(E41,proj_fantasy_pts!D:P,13,)</f>
        <v>163.6</v>
      </c>
      <c r="L41" s="52"/>
      <c r="M41" s="52"/>
    </row>
    <row r="42">
      <c r="A42" s="50"/>
      <c r="B42" s="51" t="s">
        <v>2094</v>
      </c>
      <c r="C42" s="19" t="str">
        <f>vlookup(E42,'Player Codes'!A:D,4,)</f>
        <v>0086</v>
      </c>
      <c r="D42" s="33">
        <v>41.0</v>
      </c>
      <c r="E42" s="16" t="str">
        <f t="shared" si="5"/>
        <v>Deebo Samuel</v>
      </c>
      <c r="F42" s="16" t="str">
        <f>IFERROR(__xludf.DUMMYFUNCTION("REGEXEXTRACT(B42,""[A-Z]{2,}"")"),"WR")</f>
        <v>WR</v>
      </c>
      <c r="G42" s="16" t="str">
        <f t="shared" si="2"/>
        <v>49ers</v>
      </c>
      <c r="H42" s="33">
        <v>17.0</v>
      </c>
      <c r="I42" s="19" t="str">
        <f t="shared" si="3"/>
        <v>0086</v>
      </c>
      <c r="J42" s="5" t="str">
        <f t="shared" si="4"/>
        <v>#REF!</v>
      </c>
      <c r="K42" s="5">
        <f>vlookup(E42,proj_fantasy_pts!D:P,13,)</f>
        <v>170.2</v>
      </c>
      <c r="L42" s="53"/>
      <c r="M42" s="55"/>
    </row>
    <row r="43">
      <c r="A43" s="50"/>
      <c r="B43" s="51" t="s">
        <v>2095</v>
      </c>
      <c r="C43" s="19" t="str">
        <f>vlookup(E43,'Player Codes'!A:D,4,)</f>
        <v>0140</v>
      </c>
      <c r="D43" s="33">
        <v>42.0</v>
      </c>
      <c r="E43" s="16" t="str">
        <f t="shared" si="5"/>
        <v>Jalen Hurts</v>
      </c>
      <c r="F43" s="16" t="str">
        <f>IFERROR(__xludf.DUMMYFUNCTION("REGEXEXTRACT(B43,""[A-Z]{2,}"")"),"QB")</f>
        <v>QB</v>
      </c>
      <c r="G43" s="16" t="str">
        <f t="shared" si="2"/>
        <v>Eagles</v>
      </c>
      <c r="H43" s="33">
        <v>3.0</v>
      </c>
      <c r="I43" s="19" t="str">
        <f t="shared" si="3"/>
        <v>0140</v>
      </c>
      <c r="J43" s="5" t="str">
        <f t="shared" si="4"/>
        <v>#REF!</v>
      </c>
      <c r="K43" s="5">
        <f>vlookup(E43,proj_fantasy_pts!D:P,13,)</f>
        <v>369</v>
      </c>
      <c r="L43" s="52"/>
      <c r="M43" s="52"/>
    </row>
    <row r="44">
      <c r="A44" s="50"/>
      <c r="B44" s="51" t="s">
        <v>2096</v>
      </c>
      <c r="C44" s="19" t="str">
        <f>vlookup(E44,'Player Codes'!A:D,4,)</f>
        <v>0037</v>
      </c>
      <c r="D44" s="33">
        <v>43.0</v>
      </c>
      <c r="E44" s="16" t="str">
        <f t="shared" si="5"/>
        <v>Calvin Ridley</v>
      </c>
      <c r="F44" s="16" t="str">
        <f>IFERROR(__xludf.DUMMYFUNCTION("REGEXEXTRACT(B44,""[A-Z]{2,}"")"),"WR")</f>
        <v>WR</v>
      </c>
      <c r="G44" s="16" t="str">
        <f t="shared" si="2"/>
        <v>Jaguars</v>
      </c>
      <c r="H44" s="33">
        <v>18.0</v>
      </c>
      <c r="I44" s="19" t="str">
        <f t="shared" si="3"/>
        <v>0037</v>
      </c>
      <c r="J44" s="5" t="str">
        <f t="shared" si="4"/>
        <v>#REF!</v>
      </c>
      <c r="K44" s="5">
        <f>vlookup(E44,proj_fantasy_pts!D:P,13,)</f>
        <v>181.8</v>
      </c>
      <c r="L44" s="53"/>
      <c r="M44" s="55"/>
    </row>
    <row r="45">
      <c r="A45" s="50"/>
      <c r="B45" s="51" t="s">
        <v>2097</v>
      </c>
      <c r="C45" s="19" t="str">
        <f>vlookup(E45,'Player Codes'!A:D,4,)</f>
        <v>0080</v>
      </c>
      <c r="D45" s="33">
        <v>44.0</v>
      </c>
      <c r="E45" s="16" t="str">
        <f t="shared" si="5"/>
        <v>Darren Waller</v>
      </c>
      <c r="F45" s="16" t="str">
        <f>IFERROR(__xludf.DUMMYFUNCTION("REGEXEXTRACT(B45,""[A-Z]{2,}"")"),"TE")</f>
        <v>TE</v>
      </c>
      <c r="G45" s="16" t="str">
        <f t="shared" si="2"/>
        <v>Giants</v>
      </c>
      <c r="H45" s="33">
        <v>4.0</v>
      </c>
      <c r="I45" s="19" t="str">
        <f t="shared" si="3"/>
        <v>0080</v>
      </c>
      <c r="J45" s="5" t="str">
        <f t="shared" si="4"/>
        <v>#REF!</v>
      </c>
      <c r="K45" s="5">
        <f>vlookup(E45,proj_fantasy_pts!D:P,13,)</f>
        <v>139.2</v>
      </c>
      <c r="L45" s="52"/>
      <c r="M45" s="52"/>
    </row>
    <row r="46">
      <c r="A46" s="50"/>
      <c r="B46" s="51" t="s">
        <v>2098</v>
      </c>
      <c r="C46" s="19" t="str">
        <f>vlookup(E46,'Player Codes'!A:D,4,)</f>
        <v>0011</v>
      </c>
      <c r="D46" s="33">
        <v>45.0</v>
      </c>
      <c r="E46" s="16" t="str">
        <f t="shared" si="5"/>
        <v>Amari Cooper</v>
      </c>
      <c r="F46" s="16" t="str">
        <f>IFERROR(__xludf.DUMMYFUNCTION("REGEXEXTRACT(B46,""[A-Z]{2,}"")"),"WR")</f>
        <v>WR</v>
      </c>
      <c r="G46" s="16" t="str">
        <f t="shared" si="2"/>
        <v>Browns</v>
      </c>
      <c r="H46" s="33">
        <v>19.0</v>
      </c>
      <c r="I46" s="19" t="str">
        <f t="shared" si="3"/>
        <v>0011</v>
      </c>
      <c r="J46" s="5" t="str">
        <f t="shared" si="4"/>
        <v>#REF!</v>
      </c>
      <c r="K46" s="5">
        <f>vlookup(E46,proj_fantasy_pts!D:P,13,)</f>
        <v>169.6</v>
      </c>
      <c r="L46" s="53"/>
      <c r="M46" s="55"/>
    </row>
    <row r="47">
      <c r="A47" s="50"/>
      <c r="B47" s="51" t="s">
        <v>2099</v>
      </c>
      <c r="C47" s="19" t="str">
        <f>vlookup(E47,'Player Codes'!A:D,4,)</f>
        <v>0026</v>
      </c>
      <c r="D47" s="33">
        <v>46.0</v>
      </c>
      <c r="E47" s="16" t="str">
        <f t="shared" si="5"/>
        <v>Breece Hall</v>
      </c>
      <c r="F47" s="16" t="str">
        <f>IFERROR(__xludf.DUMMYFUNCTION("REGEXEXTRACT(B47,""[A-Z]{2,}"")"),"RB")</f>
        <v>RB</v>
      </c>
      <c r="G47" s="16" t="str">
        <f t="shared" si="2"/>
        <v>Jets</v>
      </c>
      <c r="H47" s="33">
        <v>20.0</v>
      </c>
      <c r="I47" s="19" t="str">
        <f t="shared" si="3"/>
        <v>0026</v>
      </c>
      <c r="J47" s="5" t="str">
        <f t="shared" si="4"/>
        <v>#REF!</v>
      </c>
      <c r="K47" s="5">
        <f>vlookup(E47,proj_fantasy_pts!D:P,13,)</f>
        <v>172.2</v>
      </c>
      <c r="L47" s="52"/>
      <c r="M47" s="52"/>
    </row>
    <row r="48">
      <c r="A48" s="50"/>
      <c r="B48" s="51" t="s">
        <v>2100</v>
      </c>
      <c r="C48" s="19" t="str">
        <f>vlookup(E48,'Player Codes'!A:D,4,)</f>
        <v>0052</v>
      </c>
      <c r="D48" s="33">
        <v>47.0</v>
      </c>
      <c r="E48" s="16" t="str">
        <f t="shared" si="5"/>
        <v>Chris Godwin</v>
      </c>
      <c r="F48" s="16" t="str">
        <f>IFERROR(__xludf.DUMMYFUNCTION("REGEXEXTRACT(B48,""[A-Z]{2,}"")"),"WR")</f>
        <v>WR</v>
      </c>
      <c r="G48" s="16" t="str">
        <f t="shared" si="2"/>
        <v>Buccaneers</v>
      </c>
      <c r="H48" s="33">
        <v>20.0</v>
      </c>
      <c r="I48" s="19" t="str">
        <f t="shared" si="3"/>
        <v>0052</v>
      </c>
      <c r="J48" s="5" t="str">
        <f t="shared" si="4"/>
        <v>#REF!</v>
      </c>
      <c r="K48" s="5">
        <f>vlookup(E48,proj_fantasy_pts!D:P,13,)</f>
        <v>157</v>
      </c>
      <c r="L48" s="53"/>
      <c r="M48" s="55"/>
    </row>
    <row r="49">
      <c r="A49" s="50"/>
      <c r="B49" s="51" t="s">
        <v>2101</v>
      </c>
      <c r="C49" s="19" t="str">
        <f>vlookup(E49,'Player Codes'!A:D,4,)</f>
        <v>0191</v>
      </c>
      <c r="D49" s="33">
        <v>48.0</v>
      </c>
      <c r="E49" s="16" t="str">
        <f t="shared" si="5"/>
        <v>Kyle Pitts</v>
      </c>
      <c r="F49" s="16" t="str">
        <f>IFERROR(__xludf.DUMMYFUNCTION("REGEXEXTRACT(B49,""[A-Z]{2,}"")"),"TE")</f>
        <v>TE</v>
      </c>
      <c r="G49" s="16" t="str">
        <f t="shared" si="2"/>
        <v>Falcons</v>
      </c>
      <c r="H49" s="33">
        <v>5.0</v>
      </c>
      <c r="I49" s="19" t="str">
        <f t="shared" si="3"/>
        <v>0191</v>
      </c>
      <c r="J49" s="5" t="str">
        <f t="shared" si="4"/>
        <v>#REF!</v>
      </c>
      <c r="K49" s="5">
        <f>vlookup(E49,proj_fantasy_pts!D:P,13,)</f>
        <v>127.8</v>
      </c>
      <c r="L49" s="55"/>
      <c r="M49" s="55"/>
    </row>
    <row r="50">
      <c r="A50" s="50"/>
      <c r="B50" s="51" t="s">
        <v>2102</v>
      </c>
      <c r="C50" s="19" t="str">
        <f>vlookup(E50,'Player Codes'!A:D,4,)</f>
        <v>0085</v>
      </c>
      <c r="D50" s="33">
        <v>49.0</v>
      </c>
      <c r="E50" s="16" t="str">
        <f t="shared" si="5"/>
        <v>DeAndre Hopkins</v>
      </c>
      <c r="F50" s="16" t="str">
        <f>IFERROR(__xludf.DUMMYFUNCTION("REGEXEXTRACT(B50,""[A-Z]{2,}"")"),"WR")</f>
        <v>WR</v>
      </c>
      <c r="G50" s="16" t="str">
        <f t="shared" si="2"/>
        <v>Titans</v>
      </c>
      <c r="H50" s="33">
        <v>21.0</v>
      </c>
      <c r="I50" s="19" t="str">
        <f t="shared" si="3"/>
        <v>0085</v>
      </c>
      <c r="J50" s="5" t="str">
        <f t="shared" si="4"/>
        <v>#REF!</v>
      </c>
      <c r="K50" s="5">
        <f>vlookup(E50,proj_fantasy_pts!D:P,13,)</f>
        <v>157</v>
      </c>
      <c r="L50" s="57"/>
      <c r="M50" s="55"/>
    </row>
    <row r="51">
      <c r="A51" s="50"/>
      <c r="B51" s="51" t="s">
        <v>2103</v>
      </c>
      <c r="C51" s="19" t="str">
        <f>vlookup(E51,'Player Codes'!A:D,4,)</f>
        <v>0157</v>
      </c>
      <c r="D51" s="33">
        <v>50.0</v>
      </c>
      <c r="E51" s="16" t="str">
        <f t="shared" si="5"/>
        <v>Jerry Jeudy</v>
      </c>
      <c r="F51" s="16" t="str">
        <f>IFERROR(__xludf.DUMMYFUNCTION("REGEXEXTRACT(B51,""[A-Z]{2,}"")"),"WR")</f>
        <v>WR</v>
      </c>
      <c r="G51" s="16" t="str">
        <f t="shared" si="2"/>
        <v>Broncos</v>
      </c>
      <c r="H51" s="33">
        <v>22.0</v>
      </c>
      <c r="I51" s="19" t="str">
        <f t="shared" si="3"/>
        <v>0157</v>
      </c>
      <c r="J51" s="5" t="str">
        <f t="shared" si="4"/>
        <v>#REF!</v>
      </c>
      <c r="K51" s="5">
        <f>vlookup(E51,proj_fantasy_pts!D:P,13,)</f>
        <v>151.5</v>
      </c>
      <c r="L51" s="53"/>
      <c r="M51" s="55"/>
    </row>
    <row r="52">
      <c r="A52" s="50"/>
      <c r="B52" s="51" t="s">
        <v>2104</v>
      </c>
      <c r="C52" s="19" t="str">
        <f>vlookup(E52,'Player Codes'!A:D,4,)</f>
        <v>0221</v>
      </c>
      <c r="D52" s="33">
        <v>51.0</v>
      </c>
      <c r="E52" s="16" t="str">
        <f t="shared" si="5"/>
        <v>Miles Sanders</v>
      </c>
      <c r="F52" s="16" t="str">
        <f>IFERROR(__xludf.DUMMYFUNCTION("REGEXEXTRACT(B52,""[A-Z]{2,}"")"),"RB")</f>
        <v>RB</v>
      </c>
      <c r="G52" s="16" t="str">
        <f t="shared" si="2"/>
        <v>Panthers</v>
      </c>
      <c r="H52" s="33">
        <v>21.0</v>
      </c>
      <c r="I52" s="19" t="str">
        <f t="shared" si="3"/>
        <v>0221</v>
      </c>
      <c r="J52" s="5" t="str">
        <f t="shared" si="4"/>
        <v>#REF!</v>
      </c>
      <c r="K52" s="5">
        <f>vlookup(E52,proj_fantasy_pts!D:P,13,)</f>
        <v>155.5</v>
      </c>
    </row>
    <row r="53">
      <c r="A53" s="50"/>
      <c r="B53" s="51" t="s">
        <v>2105</v>
      </c>
      <c r="C53" s="19" t="str">
        <f>vlookup(E53,'Player Codes'!A:D,4,)</f>
        <v>0007</v>
      </c>
      <c r="D53" s="33">
        <v>52.0</v>
      </c>
      <c r="E53" s="16" t="str">
        <f t="shared" si="5"/>
        <v>Alexander Mattison</v>
      </c>
      <c r="F53" s="16" t="str">
        <f>IFERROR(__xludf.DUMMYFUNCTION("REGEXEXTRACT(B53,""[A-Z]{2,}"")"),"RB")</f>
        <v>RB</v>
      </c>
      <c r="G53" s="16" t="str">
        <f t="shared" si="2"/>
        <v>Vikings</v>
      </c>
      <c r="H53" s="33">
        <v>22.0</v>
      </c>
      <c r="I53" s="19" t="str">
        <f t="shared" si="3"/>
        <v>0007</v>
      </c>
      <c r="J53" s="5" t="str">
        <f t="shared" si="4"/>
        <v>#REF!</v>
      </c>
      <c r="K53" s="5">
        <f>vlookup(E53,proj_fantasy_pts!D:P,13,)</f>
        <v>165.9</v>
      </c>
    </row>
    <row r="54">
      <c r="A54" s="50"/>
      <c r="B54" s="51" t="s">
        <v>2106</v>
      </c>
      <c r="C54" s="19" t="str">
        <f>vlookup(E54,'Player Codes'!A:D,4,)</f>
        <v>0100</v>
      </c>
      <c r="D54" s="33">
        <v>53.0</v>
      </c>
      <c r="E54" s="33" t="s">
        <v>188</v>
      </c>
      <c r="F54" s="16" t="str">
        <f>IFERROR(__xludf.DUMMYFUNCTION("REGEXEXTRACT(B54,""[A-Z]{2,}"")"),"DJ")</f>
        <v>DJ</v>
      </c>
      <c r="G54" s="16" t="str">
        <f t="shared" si="2"/>
        <v>Bears</v>
      </c>
      <c r="H54" s="33">
        <v>23.0</v>
      </c>
      <c r="I54" s="19" t="str">
        <f t="shared" si="3"/>
        <v>0100</v>
      </c>
      <c r="J54" s="5" t="str">
        <f t="shared" si="4"/>
        <v>#REF!</v>
      </c>
      <c r="K54" s="5" t="str">
        <f>vlookup(E54,proj_fantasy_pts!D:P,13,)</f>
        <v>#N/A</v>
      </c>
    </row>
    <row r="55">
      <c r="A55" s="50"/>
      <c r="B55" s="51" t="s">
        <v>2107</v>
      </c>
      <c r="C55" s="19" t="str">
        <f>vlookup(E55,'Player Codes'!A:D,4,)</f>
        <v>0038</v>
      </c>
      <c r="D55" s="33">
        <v>54.0</v>
      </c>
      <c r="E55" s="16" t="str">
        <f t="shared" ref="E55:E81" si="6">MID(B55,FIND(".",B55) + 1 + 1,FIND(",",B55) - 1 - (FIND(".",B55) + 1))</f>
        <v>Cam Akers</v>
      </c>
      <c r="F55" s="16" t="str">
        <f>IFERROR(__xludf.DUMMYFUNCTION("REGEXEXTRACT(B55,""[A-Z]{2,}"")"),"RB")</f>
        <v>RB</v>
      </c>
      <c r="G55" s="16" t="str">
        <f t="shared" si="2"/>
        <v>Rams</v>
      </c>
      <c r="H55" s="33">
        <v>23.0</v>
      </c>
      <c r="I55" s="19" t="str">
        <f t="shared" si="3"/>
        <v>0038</v>
      </c>
      <c r="J55" s="5" t="str">
        <f t="shared" si="4"/>
        <v>#REF!</v>
      </c>
      <c r="K55" s="5">
        <f>vlookup(E55,proj_fantasy_pts!D:P,13,)</f>
        <v>143.2</v>
      </c>
    </row>
    <row r="56">
      <c r="A56" s="50"/>
      <c r="B56" s="51" t="s">
        <v>2108</v>
      </c>
      <c r="C56" s="19" t="str">
        <f>vlookup(E56,'Player Codes'!A:D,4,)</f>
        <v>0103</v>
      </c>
      <c r="D56" s="33">
        <v>55.0</v>
      </c>
      <c r="E56" s="16" t="str">
        <f t="shared" si="6"/>
        <v>Drake London</v>
      </c>
      <c r="F56" s="16" t="str">
        <f>IFERROR(__xludf.DUMMYFUNCTION("REGEXEXTRACT(B56,""[A-Z]{2,}"")"),"WR")</f>
        <v>WR</v>
      </c>
      <c r="G56" s="16" t="str">
        <f t="shared" si="2"/>
        <v>Falcons</v>
      </c>
      <c r="H56" s="33">
        <v>24.0</v>
      </c>
      <c r="I56" s="19" t="str">
        <f t="shared" si="3"/>
        <v>0103</v>
      </c>
      <c r="J56" s="5" t="str">
        <f t="shared" si="4"/>
        <v>#REF!</v>
      </c>
      <c r="K56" s="5">
        <f>vlookup(E56,proj_fantasy_pts!D:P,13,)</f>
        <v>165.8</v>
      </c>
    </row>
    <row r="57">
      <c r="A57" s="50"/>
      <c r="B57" s="51" t="s">
        <v>2109</v>
      </c>
      <c r="C57" s="19" t="str">
        <f>vlookup(E57,'Player Codes'!A:D,4,)</f>
        <v>0195</v>
      </c>
      <c r="D57" s="33">
        <v>56.0</v>
      </c>
      <c r="E57" s="16" t="str">
        <f t="shared" si="6"/>
        <v>Lamar Jackson</v>
      </c>
      <c r="F57" s="16" t="str">
        <f>IFERROR(__xludf.DUMMYFUNCTION("REGEXEXTRACT(B57,""[A-Z]{2,}"")"),"QB")</f>
        <v>QB</v>
      </c>
      <c r="G57" s="16" t="str">
        <f t="shared" si="2"/>
        <v>Ravens</v>
      </c>
      <c r="H57" s="33">
        <v>4.0</v>
      </c>
      <c r="I57" s="19" t="str">
        <f t="shared" si="3"/>
        <v>0195</v>
      </c>
      <c r="J57" s="5" t="str">
        <f t="shared" si="4"/>
        <v>#REF!</v>
      </c>
      <c r="K57" s="5">
        <f>vlookup(E57,proj_fantasy_pts!D:P,13,)</f>
        <v>325.4</v>
      </c>
    </row>
    <row r="58">
      <c r="A58" s="50"/>
      <c r="B58" s="51" t="s">
        <v>2110</v>
      </c>
      <c r="C58" s="19" t="str">
        <f>vlookup(E58,'Player Codes'!A:D,4,)</f>
        <v>0056</v>
      </c>
      <c r="D58" s="33">
        <v>57.0</v>
      </c>
      <c r="E58" s="16" t="str">
        <f t="shared" si="6"/>
        <v>Christian Watson</v>
      </c>
      <c r="F58" s="16" t="str">
        <f>IFERROR(__xludf.DUMMYFUNCTION("REGEXEXTRACT(B58,""[A-Z]{2,}"")"),"WR")</f>
        <v>WR</v>
      </c>
      <c r="G58" s="16" t="str">
        <f t="shared" si="2"/>
        <v>Packers</v>
      </c>
      <c r="H58" s="33">
        <v>25.0</v>
      </c>
      <c r="I58" s="19" t="str">
        <f t="shared" si="3"/>
        <v>0056</v>
      </c>
      <c r="J58" s="5" t="str">
        <f t="shared" si="4"/>
        <v>#REF!</v>
      </c>
      <c r="K58" s="5">
        <f>vlookup(E58,proj_fantasy_pts!D:P,13,)</f>
        <v>173.3</v>
      </c>
    </row>
    <row r="59">
      <c r="A59" s="50"/>
      <c r="B59" s="51" t="s">
        <v>2111</v>
      </c>
      <c r="C59" s="19" t="str">
        <f>vlookup(E59,'Player Codes'!A:D,4,)</f>
        <v>0113</v>
      </c>
      <c r="D59" s="33">
        <v>58.0</v>
      </c>
      <c r="E59" s="16" t="str">
        <f t="shared" si="6"/>
        <v>George Kittle</v>
      </c>
      <c r="F59" s="16" t="str">
        <f>IFERROR(__xludf.DUMMYFUNCTION("REGEXEXTRACT(B59,""[A-Z]{2,}"")"),"TE")</f>
        <v>TE</v>
      </c>
      <c r="G59" s="16" t="str">
        <f t="shared" si="2"/>
        <v>49ers</v>
      </c>
      <c r="H59" s="33">
        <v>6.0</v>
      </c>
      <c r="I59" s="19" t="str">
        <f t="shared" si="3"/>
        <v>0113</v>
      </c>
      <c r="J59" s="5" t="str">
        <f t="shared" si="4"/>
        <v>#REF!</v>
      </c>
      <c r="K59" s="5">
        <f>vlookup(E59,proj_fantasy_pts!D:P,13,)</f>
        <v>137.8</v>
      </c>
    </row>
    <row r="60">
      <c r="A60" s="50"/>
      <c r="B60" s="51" t="s">
        <v>2112</v>
      </c>
      <c r="C60" s="19" t="str">
        <f>vlookup(E60,'Player Codes'!A:D,4,)</f>
        <v>0159</v>
      </c>
      <c r="D60" s="33">
        <v>59.0</v>
      </c>
      <c r="E60" s="16" t="str">
        <f t="shared" si="6"/>
        <v>Joe Burrow</v>
      </c>
      <c r="F60" s="16" t="str">
        <f>IFERROR(__xludf.DUMMYFUNCTION("REGEXEXTRACT(B60,""[A-Z]{2,}"")"),"QB")</f>
        <v>QB</v>
      </c>
      <c r="G60" s="16" t="str">
        <f t="shared" si="2"/>
        <v>Bengals</v>
      </c>
      <c r="H60" s="33">
        <v>5.0</v>
      </c>
      <c r="I60" s="19" t="str">
        <f t="shared" si="3"/>
        <v>0159</v>
      </c>
      <c r="J60" s="5" t="str">
        <f t="shared" si="4"/>
        <v>#REF!</v>
      </c>
      <c r="K60" s="5">
        <f>vlookup(E60,proj_fantasy_pts!D:P,13,)</f>
        <v>345.7</v>
      </c>
    </row>
    <row r="61">
      <c r="A61" s="50"/>
      <c r="B61" s="51" t="s">
        <v>2113</v>
      </c>
      <c r="C61" s="19" t="str">
        <f>vlookup(E61,'Player Codes'!A:D,4,)</f>
        <v>0131</v>
      </c>
      <c r="D61" s="33">
        <v>60.0</v>
      </c>
      <c r="E61" s="16" t="str">
        <f t="shared" si="6"/>
        <v>J.K. Dobbins</v>
      </c>
      <c r="F61" s="16" t="str">
        <f>IFERROR(__xludf.DUMMYFUNCTION("REGEXEXTRACT(B61,""[A-Z]{2,}"")"),"RB")</f>
        <v>RB</v>
      </c>
      <c r="G61" s="16" t="str">
        <f t="shared" si="2"/>
        <v>Ravens</v>
      </c>
      <c r="H61" s="33">
        <v>24.0</v>
      </c>
      <c r="I61" s="19" t="str">
        <f t="shared" si="3"/>
        <v>0131</v>
      </c>
      <c r="J61" s="5" t="str">
        <f t="shared" si="4"/>
        <v>#REF!</v>
      </c>
      <c r="K61" s="5">
        <f>vlookup(E61,proj_fantasy_pts!D:P,13,)</f>
        <v>148.1</v>
      </c>
    </row>
    <row r="62">
      <c r="A62" s="50"/>
      <c r="B62" s="51" t="s">
        <v>2114</v>
      </c>
      <c r="C62" s="19" t="str">
        <f>vlookup(E62,'Player Codes'!A:D,4,)</f>
        <v>0010</v>
      </c>
      <c r="D62" s="33">
        <v>61.0</v>
      </c>
      <c r="E62" s="16" t="str">
        <f t="shared" si="6"/>
        <v>Alvin Kamara</v>
      </c>
      <c r="F62" s="16" t="str">
        <f>IFERROR(__xludf.DUMMYFUNCTION("REGEXEXTRACT(B62,""[A-Z]{2,}"")"),"RB")</f>
        <v>RB</v>
      </c>
      <c r="G62" s="16" t="str">
        <f t="shared" si="2"/>
        <v>Saints</v>
      </c>
      <c r="H62" s="33">
        <v>25.0</v>
      </c>
      <c r="I62" s="19" t="str">
        <f t="shared" si="3"/>
        <v>0010</v>
      </c>
      <c r="J62" s="5" t="str">
        <f t="shared" si="4"/>
        <v>#REF!</v>
      </c>
      <c r="K62" s="5">
        <f>vlookup(E62,proj_fantasy_pts!D:P,13,)</f>
        <v>132.4</v>
      </c>
    </row>
    <row r="63">
      <c r="A63" s="50"/>
      <c r="B63" s="51" t="s">
        <v>2115</v>
      </c>
      <c r="C63" s="19" t="str">
        <f>vlookup(E63,'Player Codes'!A:D,4,)</f>
        <v>0149</v>
      </c>
      <c r="D63" s="33">
        <v>62.0</v>
      </c>
      <c r="E63" s="16" t="str">
        <f t="shared" si="6"/>
        <v>Javonte Williams</v>
      </c>
      <c r="F63" s="16" t="str">
        <f>IFERROR(__xludf.DUMMYFUNCTION("REGEXEXTRACT(B63,""[A-Z]{2,}"")"),"RB")</f>
        <v>RB</v>
      </c>
      <c r="G63" s="16" t="str">
        <f t="shared" si="2"/>
        <v>Broncos</v>
      </c>
      <c r="H63" s="33">
        <v>26.0</v>
      </c>
      <c r="I63" s="19" t="str">
        <f t="shared" si="3"/>
        <v>0149</v>
      </c>
      <c r="J63" s="5" t="str">
        <f t="shared" si="4"/>
        <v>#REF!</v>
      </c>
      <c r="K63" s="5">
        <f>vlookup(E63,proj_fantasy_pts!D:P,13,)</f>
        <v>140.2</v>
      </c>
    </row>
    <row r="64">
      <c r="A64" s="50"/>
      <c r="B64" s="51" t="s">
        <v>2116</v>
      </c>
      <c r="C64" s="19" t="str">
        <f>vlookup(E64,'Player Codes'!A:D,4,)</f>
        <v>0144</v>
      </c>
      <c r="D64" s="33">
        <v>63.0</v>
      </c>
      <c r="E64" s="16" t="str">
        <f t="shared" si="6"/>
        <v>James Cook</v>
      </c>
      <c r="F64" s="16" t="str">
        <f>IFERROR(__xludf.DUMMYFUNCTION("REGEXEXTRACT(B64,""[A-Z]{2,}"")"),"RB")</f>
        <v>RB</v>
      </c>
      <c r="G64" s="16" t="str">
        <f t="shared" si="2"/>
        <v>Bills</v>
      </c>
      <c r="H64" s="33">
        <v>27.0</v>
      </c>
      <c r="I64" s="19" t="str">
        <f t="shared" si="3"/>
        <v>0144</v>
      </c>
      <c r="J64" s="5" t="str">
        <f t="shared" si="4"/>
        <v>#REF!</v>
      </c>
      <c r="K64" s="5">
        <f>vlookup(E64,proj_fantasy_pts!D:P,13,)</f>
        <v>140.8</v>
      </c>
    </row>
    <row r="65">
      <c r="A65" s="50"/>
      <c r="B65" s="51" t="s">
        <v>2117</v>
      </c>
      <c r="C65" s="19" t="str">
        <f>vlookup(E65,'Player Codes'!A:D,4,)</f>
        <v>0070</v>
      </c>
      <c r="D65" s="33">
        <v>64.0</v>
      </c>
      <c r="E65" s="16" t="str">
        <f t="shared" si="6"/>
        <v>Dallas Goedert</v>
      </c>
      <c r="F65" s="16" t="str">
        <f>IFERROR(__xludf.DUMMYFUNCTION("REGEXEXTRACT(B65,""[A-Z]{2,}"")"),"TE")</f>
        <v>TE</v>
      </c>
      <c r="G65" s="16" t="str">
        <f t="shared" si="2"/>
        <v>Eagles</v>
      </c>
      <c r="H65" s="33">
        <v>7.0</v>
      </c>
      <c r="I65" s="19" t="str">
        <f t="shared" si="3"/>
        <v>0070</v>
      </c>
      <c r="J65" s="5" t="str">
        <f t="shared" si="4"/>
        <v>#REF!</v>
      </c>
      <c r="K65" s="5">
        <f>vlookup(E65,proj_fantasy_pts!D:P,13,)</f>
        <v>122.3</v>
      </c>
    </row>
    <row r="66">
      <c r="A66" s="50"/>
      <c r="B66" s="51" t="s">
        <v>2118</v>
      </c>
      <c r="C66" s="19" t="str">
        <f>vlookup(E66,'Player Codes'!A:D,4,)</f>
        <v>0130</v>
      </c>
      <c r="D66" s="33">
        <v>65.0</v>
      </c>
      <c r="E66" s="16" t="str">
        <f t="shared" si="6"/>
        <v>Isiah Pacheco</v>
      </c>
      <c r="F66" s="16" t="str">
        <f>IFERROR(__xludf.DUMMYFUNCTION("REGEXEXTRACT(B66,""[A-Z]{2,}"")"),"RB")</f>
        <v>RB</v>
      </c>
      <c r="G66" s="16" t="str">
        <f t="shared" si="2"/>
        <v>Chiefs</v>
      </c>
      <c r="H66" s="33">
        <v>28.0</v>
      </c>
      <c r="I66" s="19" t="str">
        <f t="shared" si="3"/>
        <v>0130</v>
      </c>
      <c r="J66" s="5" t="str">
        <f t="shared" si="4"/>
        <v>#REF!</v>
      </c>
      <c r="K66" s="5">
        <f>vlookup(E66,proj_fantasy_pts!D:P,13,)</f>
        <v>151.1</v>
      </c>
    </row>
    <row r="67">
      <c r="A67" s="50"/>
      <c r="B67" s="51" t="s">
        <v>2119</v>
      </c>
      <c r="C67" s="19" t="str">
        <f>vlookup(E67,'Player Codes'!A:D,4,)</f>
        <v>0218</v>
      </c>
      <c r="D67" s="33">
        <v>66.0</v>
      </c>
      <c r="E67" s="16" t="str">
        <f t="shared" si="6"/>
        <v>Mike Evans</v>
      </c>
      <c r="F67" s="16" t="str">
        <f>IFERROR(__xludf.DUMMYFUNCTION("REGEXEXTRACT(B67,""[A-Z]{2,}"")"),"WR")</f>
        <v>WR</v>
      </c>
      <c r="G67" s="16" t="str">
        <f t="shared" si="2"/>
        <v>Buccaneers</v>
      </c>
      <c r="H67" s="33">
        <v>26.0</v>
      </c>
      <c r="I67" s="19" t="str">
        <f t="shared" si="3"/>
        <v>0218</v>
      </c>
      <c r="J67" s="5" t="str">
        <f t="shared" si="4"/>
        <v>#REF!</v>
      </c>
      <c r="K67" s="5">
        <f>vlookup(E67,proj_fantasy_pts!D:P,13,)</f>
        <v>152.2</v>
      </c>
    </row>
    <row r="68">
      <c r="A68" s="50"/>
      <c r="B68" s="58" t="s">
        <v>2120</v>
      </c>
      <c r="C68" s="19" t="str">
        <f>vlookup(E68,'Player Codes'!A:D,4,)</f>
        <v>0172</v>
      </c>
      <c r="D68" s="33">
        <v>67.0</v>
      </c>
      <c r="E68" s="16" t="str">
        <f t="shared" si="6"/>
        <v>Justin FielD/ST</v>
      </c>
      <c r="F68" s="16" t="str">
        <f>IFERROR(__xludf.DUMMYFUNCTION("REGEXEXTRACT(B68,""[A-Z]{2,}"")"),"ST")</f>
        <v>ST</v>
      </c>
      <c r="G68" s="16" t="str">
        <f t="shared" si="2"/>
        <v>Bears</v>
      </c>
      <c r="H68" s="33">
        <v>6.0</v>
      </c>
      <c r="I68" s="19" t="str">
        <f t="shared" si="3"/>
        <v>0172</v>
      </c>
      <c r="J68" s="5" t="str">
        <f t="shared" si="4"/>
        <v>#REF!</v>
      </c>
      <c r="K68" s="5" t="str">
        <f>vlookup(E68,proj_fantasy_pts!D:P,13,)</f>
        <v>#N/A</v>
      </c>
    </row>
    <row r="69">
      <c r="A69" s="50"/>
      <c r="B69" s="51" t="s">
        <v>2121</v>
      </c>
      <c r="C69" s="19" t="str">
        <f>vlookup(E69,'Player Codes'!A:D,4,)</f>
        <v>0273</v>
      </c>
      <c r="D69" s="33">
        <v>68.0</v>
      </c>
      <c r="E69" s="16" t="str">
        <f t="shared" si="6"/>
        <v>Terry McLaurin</v>
      </c>
      <c r="F69" s="16" t="str">
        <f>IFERROR(__xludf.DUMMYFUNCTION("REGEXEXTRACT(B69,""[A-Z]{2,}"")"),"WR")</f>
        <v>WR</v>
      </c>
      <c r="G69" s="16" t="str">
        <f t="shared" si="2"/>
        <v>Commanders</v>
      </c>
      <c r="H69" s="33">
        <v>27.0</v>
      </c>
      <c r="I69" s="19" t="str">
        <f t="shared" si="3"/>
        <v>0273</v>
      </c>
      <c r="J69" s="5" t="str">
        <f t="shared" si="4"/>
        <v>#REF!</v>
      </c>
      <c r="K69" s="5">
        <f>vlookup(E69,proj_fantasy_pts!D:P,13,)</f>
        <v>166</v>
      </c>
    </row>
    <row r="70">
      <c r="A70" s="50"/>
      <c r="B70" s="51" t="s">
        <v>2122</v>
      </c>
      <c r="C70" s="19" t="str">
        <f>vlookup(E70,'Player Codes'!A:D,4,)</f>
        <v>0098</v>
      </c>
      <c r="D70" s="33">
        <v>69.0</v>
      </c>
      <c r="E70" s="16" t="str">
        <f t="shared" si="6"/>
        <v>Diontae Johnson</v>
      </c>
      <c r="F70" s="16" t="str">
        <f>IFERROR(__xludf.DUMMYFUNCTION("REGEXEXTRACT(B70,""[A-Z]{2,}"")"),"WR")</f>
        <v>WR</v>
      </c>
      <c r="G70" s="16" t="str">
        <f t="shared" si="2"/>
        <v>Steelers</v>
      </c>
      <c r="H70" s="33">
        <v>28.0</v>
      </c>
      <c r="I70" s="19" t="str">
        <f t="shared" si="3"/>
        <v>0098</v>
      </c>
      <c r="J70" s="5" t="str">
        <f t="shared" si="4"/>
        <v>#REF!</v>
      </c>
      <c r="K70" s="5">
        <f>vlookup(E70,proj_fantasy_pts!D:P,13,)</f>
        <v>149.4</v>
      </c>
    </row>
    <row r="71">
      <c r="A71" s="50"/>
      <c r="B71" s="51" t="s">
        <v>2123</v>
      </c>
      <c r="C71" s="19" t="str">
        <f>vlookup(E71,'Player Codes'!A:D,4,)</f>
        <v>0067</v>
      </c>
      <c r="D71" s="33">
        <v>70.0</v>
      </c>
      <c r="E71" s="16" t="str">
        <f t="shared" si="6"/>
        <v>D'Andre Swift</v>
      </c>
      <c r="F71" s="16" t="str">
        <f>IFERROR(__xludf.DUMMYFUNCTION("REGEXEXTRACT(B71,""[A-Z]{2,}"")"),"RB")</f>
        <v>RB</v>
      </c>
      <c r="G71" s="16" t="str">
        <f t="shared" si="2"/>
        <v>Eagles</v>
      </c>
      <c r="H71" s="33">
        <v>29.0</v>
      </c>
      <c r="I71" s="19" t="str">
        <f t="shared" si="3"/>
        <v>0067</v>
      </c>
      <c r="J71" s="5" t="str">
        <f t="shared" si="4"/>
        <v>#REF!</v>
      </c>
      <c r="K71" s="5">
        <f>vlookup(E71,proj_fantasy_pts!D:P,13,)</f>
        <v>131</v>
      </c>
    </row>
    <row r="72">
      <c r="A72" s="50"/>
      <c r="B72" s="51" t="s">
        <v>2124</v>
      </c>
      <c r="C72" s="19" t="str">
        <f>vlookup(E72,'Player Codes'!A:D,4,)</f>
        <v>0215</v>
      </c>
      <c r="D72" s="33">
        <v>71.0</v>
      </c>
      <c r="E72" s="16" t="str">
        <f t="shared" si="6"/>
        <v>Michael Pittman Jr.</v>
      </c>
      <c r="F72" s="16" t="str">
        <f>IFERROR(__xludf.DUMMYFUNCTION("REGEXEXTRACT(B72,""[A-Z]{2,}"")"),"WR")</f>
        <v>WR</v>
      </c>
      <c r="G72" s="16" t="str">
        <f t="shared" si="2"/>
        <v>Colts</v>
      </c>
      <c r="H72" s="33">
        <v>29.0</v>
      </c>
      <c r="I72" s="19" t="str">
        <f t="shared" si="3"/>
        <v>0215</v>
      </c>
      <c r="J72" s="5" t="str">
        <f t="shared" si="4"/>
        <v>#REF!</v>
      </c>
      <c r="K72" s="5">
        <f>vlookup(E72,proj_fantasy_pts!D:P,13,)</f>
        <v>152.5</v>
      </c>
    </row>
    <row r="73">
      <c r="A73" s="50"/>
      <c r="B73" s="51" t="s">
        <v>2125</v>
      </c>
      <c r="C73" s="19" t="str">
        <f>vlookup(E73,'Player Codes'!A:D,4,)</f>
        <v>0289</v>
      </c>
      <c r="D73" s="33">
        <v>72.0</v>
      </c>
      <c r="E73" s="16" t="str">
        <f t="shared" si="6"/>
        <v>Tyler Lockett</v>
      </c>
      <c r="F73" s="16" t="str">
        <f>IFERROR(__xludf.DUMMYFUNCTION("REGEXEXTRACT(B73,""[A-Z]{2,}"")"),"WR")</f>
        <v>WR</v>
      </c>
      <c r="G73" s="16" t="str">
        <f t="shared" si="2"/>
        <v>Seahawks</v>
      </c>
      <c r="H73" s="33">
        <v>30.0</v>
      </c>
      <c r="I73" s="19" t="str">
        <f t="shared" si="3"/>
        <v>0289</v>
      </c>
      <c r="J73" s="5" t="str">
        <f t="shared" si="4"/>
        <v>#REF!</v>
      </c>
      <c r="K73" s="5">
        <f>vlookup(E73,proj_fantasy_pts!D:P,13,)</f>
        <v>154.1</v>
      </c>
    </row>
    <row r="74">
      <c r="A74" s="50"/>
      <c r="B74" s="51" t="s">
        <v>2126</v>
      </c>
      <c r="C74" s="19" t="str">
        <f>vlookup(E74,'Player Codes'!A:D,4,)</f>
        <v>0082</v>
      </c>
      <c r="D74" s="33">
        <v>73.0</v>
      </c>
      <c r="E74" s="16" t="str">
        <f t="shared" si="6"/>
        <v>David Montgomery</v>
      </c>
      <c r="F74" s="16" t="str">
        <f>IFERROR(__xludf.DUMMYFUNCTION("REGEXEXTRACT(B74,""[A-Z]{2,}"")"),"RB")</f>
        <v>RB</v>
      </c>
      <c r="G74" s="16" t="str">
        <f t="shared" si="2"/>
        <v>Lions</v>
      </c>
      <c r="H74" s="33">
        <v>30.0</v>
      </c>
      <c r="I74" s="19" t="str">
        <f t="shared" si="3"/>
        <v>0082</v>
      </c>
      <c r="J74" s="5" t="str">
        <f t="shared" si="4"/>
        <v>#REF!</v>
      </c>
      <c r="K74" s="5">
        <f>vlookup(E74,proj_fantasy_pts!D:P,13,)</f>
        <v>144.4</v>
      </c>
    </row>
    <row r="75">
      <c r="A75" s="50"/>
      <c r="B75" s="51" t="s">
        <v>2127</v>
      </c>
      <c r="C75" s="19" t="str">
        <f>vlookup(E75,'Player Codes'!A:D,4,)</f>
        <v>0277</v>
      </c>
      <c r="D75" s="33">
        <v>74.0</v>
      </c>
      <c r="E75" s="16" t="str">
        <f t="shared" si="6"/>
        <v>Trevor Lawrence</v>
      </c>
      <c r="F75" s="16" t="str">
        <f>IFERROR(__xludf.DUMMYFUNCTION("REGEXEXTRACT(B75,""[A-Z]{2,}"")"),"QB")</f>
        <v>QB</v>
      </c>
      <c r="G75" s="16" t="str">
        <f t="shared" si="2"/>
        <v>Jaguars</v>
      </c>
      <c r="H75" s="33">
        <v>7.0</v>
      </c>
      <c r="I75" s="19" t="str">
        <f t="shared" si="3"/>
        <v>0277</v>
      </c>
      <c r="J75" s="5" t="str">
        <f t="shared" si="4"/>
        <v>#REF!</v>
      </c>
      <c r="K75" s="5">
        <f>vlookup(E75,proj_fantasy_pts!D:P,13,)</f>
        <v>301.4</v>
      </c>
    </row>
    <row r="76">
      <c r="A76" s="50"/>
      <c r="B76" s="51" t="s">
        <v>2128</v>
      </c>
      <c r="C76" s="19" t="str">
        <f>vlookup(E76,'Player Codes'!A:D,4,)</f>
        <v>0220</v>
      </c>
      <c r="D76" s="33">
        <v>75.0</v>
      </c>
      <c r="E76" s="16" t="str">
        <f t="shared" si="6"/>
        <v>Mike Williams</v>
      </c>
      <c r="F76" s="16" t="str">
        <f>IFERROR(__xludf.DUMMYFUNCTION("REGEXEXTRACT(B76,""[A-Z]{2,}"")"),"WR")</f>
        <v>WR</v>
      </c>
      <c r="G76" s="16" t="str">
        <f t="shared" si="2"/>
        <v>Chargers</v>
      </c>
      <c r="H76" s="33">
        <v>31.0</v>
      </c>
      <c r="I76" s="19" t="str">
        <f t="shared" si="3"/>
        <v>0220</v>
      </c>
      <c r="J76" s="5" t="str">
        <f t="shared" si="4"/>
        <v>#REF!</v>
      </c>
      <c r="K76" s="5">
        <f>vlookup(E76,proj_fantasy_pts!D:P,13,)</f>
        <v>159.3</v>
      </c>
    </row>
    <row r="77">
      <c r="A77" s="50"/>
      <c r="B77" s="51" t="s">
        <v>2129</v>
      </c>
      <c r="C77" s="19" t="str">
        <f>vlookup(E77,'Player Codes'!A:D,4,)</f>
        <v>0023</v>
      </c>
      <c r="D77" s="33">
        <v>76.0</v>
      </c>
      <c r="E77" s="16" t="str">
        <f t="shared" si="6"/>
        <v>Brandon Aiyuk</v>
      </c>
      <c r="F77" s="16" t="str">
        <f>IFERROR(__xludf.DUMMYFUNCTION("REGEXEXTRACT(B77,""[A-Z]{2,}"")"),"WR")</f>
        <v>WR</v>
      </c>
      <c r="G77" s="16" t="str">
        <f t="shared" si="2"/>
        <v>49ers</v>
      </c>
      <c r="H77" s="33">
        <v>32.0</v>
      </c>
      <c r="I77" s="19" t="str">
        <f t="shared" si="3"/>
        <v>0023</v>
      </c>
      <c r="J77" s="5" t="str">
        <f t="shared" si="4"/>
        <v>#REF!</v>
      </c>
      <c r="K77" s="5">
        <f>vlookup(E77,proj_fantasy_pts!D:P,13,)</f>
        <v>156.9</v>
      </c>
    </row>
    <row r="78">
      <c r="A78" s="50"/>
      <c r="B78" s="51" t="s">
        <v>2130</v>
      </c>
      <c r="C78" s="19" t="str">
        <f>vlookup(E78,'Player Codes'!A:D,4,)</f>
        <v>0054</v>
      </c>
      <c r="D78" s="33">
        <v>77.0</v>
      </c>
      <c r="E78" s="16" t="str">
        <f t="shared" si="6"/>
        <v>Christian Kirk</v>
      </c>
      <c r="F78" s="16" t="str">
        <f>IFERROR(__xludf.DUMMYFUNCTION("REGEXEXTRACT(B78,""[A-Z]{2,}"")"),"WR")</f>
        <v>WR</v>
      </c>
      <c r="G78" s="16" t="str">
        <f t="shared" si="2"/>
        <v>Jaguars</v>
      </c>
      <c r="H78" s="33">
        <v>33.0</v>
      </c>
      <c r="I78" s="19" t="str">
        <f t="shared" si="3"/>
        <v>0054</v>
      </c>
      <c r="J78" s="5" t="str">
        <f t="shared" si="4"/>
        <v>#REF!</v>
      </c>
      <c r="K78" s="5">
        <f>vlookup(E78,proj_fantasy_pts!D:P,13,)</f>
        <v>152</v>
      </c>
    </row>
    <row r="79">
      <c r="A79" s="50"/>
      <c r="B79" s="51" t="s">
        <v>2131</v>
      </c>
      <c r="C79" s="19" t="str">
        <f>vlookup(E79,'Player Codes'!A:D,4,)</f>
        <v>0173</v>
      </c>
      <c r="D79" s="33">
        <v>78.0</v>
      </c>
      <c r="E79" s="16" t="str">
        <f t="shared" si="6"/>
        <v>Justin Herbert</v>
      </c>
      <c r="F79" s="16" t="str">
        <f>IFERROR(__xludf.DUMMYFUNCTION("REGEXEXTRACT(B79,""[A-Z]{2,}"")"),"QB")</f>
        <v>QB</v>
      </c>
      <c r="G79" s="16" t="str">
        <f t="shared" si="2"/>
        <v>Chargers</v>
      </c>
      <c r="H79" s="33">
        <v>8.0</v>
      </c>
      <c r="I79" s="19" t="str">
        <f t="shared" si="3"/>
        <v>0173</v>
      </c>
      <c r="J79" s="5" t="str">
        <f t="shared" si="4"/>
        <v>#REF!</v>
      </c>
      <c r="K79" s="5">
        <f>vlookup(E79,proj_fantasy_pts!D:P,13,)</f>
        <v>314</v>
      </c>
    </row>
    <row r="80">
      <c r="A80" s="50"/>
      <c r="B80" s="51" t="s">
        <v>2132</v>
      </c>
      <c r="C80" s="19" t="str">
        <f>vlookup(E80,'Player Codes'!A:D,4,)</f>
        <v>0073</v>
      </c>
      <c r="D80" s="33">
        <v>79.0</v>
      </c>
      <c r="E80" s="16" t="str">
        <f t="shared" si="6"/>
        <v>Dalvin Cook</v>
      </c>
      <c r="F80" s="16" t="str">
        <f>IFERROR(__xludf.DUMMYFUNCTION("REGEXEXTRACT(B80,""[A-Z]{2,}"")"),"RB")</f>
        <v>RB</v>
      </c>
      <c r="G80" s="16" t="str">
        <f t="shared" si="2"/>
        <v>Jets</v>
      </c>
      <c r="H80" s="33">
        <v>31.0</v>
      </c>
      <c r="I80" s="19" t="str">
        <f t="shared" si="3"/>
        <v>0073</v>
      </c>
      <c r="J80" s="5" t="str">
        <f t="shared" si="4"/>
        <v>#REF!</v>
      </c>
      <c r="K80" s="5">
        <f>vlookup(E80,proj_fantasy_pts!D:P,13,)</f>
        <v>123.6</v>
      </c>
    </row>
    <row r="81">
      <c r="A81" s="50"/>
      <c r="B81" s="51" t="s">
        <v>2133</v>
      </c>
      <c r="C81" s="19" t="str">
        <f>vlookup(E81,'Player Codes'!A:D,4,)</f>
        <v>0107</v>
      </c>
      <c r="D81" s="33">
        <v>80.0</v>
      </c>
      <c r="E81" s="16" t="str">
        <f t="shared" si="6"/>
        <v>Evan Engram</v>
      </c>
      <c r="F81" s="16" t="str">
        <f>IFERROR(__xludf.DUMMYFUNCTION("REGEXEXTRACT(B81,""[A-Z]{2,}"")"),"TE")</f>
        <v>TE</v>
      </c>
      <c r="G81" s="16" t="str">
        <f t="shared" si="2"/>
        <v>Jaguars</v>
      </c>
      <c r="H81" s="33">
        <v>8.0</v>
      </c>
      <c r="I81" s="19" t="str">
        <f t="shared" si="3"/>
        <v>0107</v>
      </c>
      <c r="J81" s="5" t="str">
        <f t="shared" si="4"/>
        <v>#REF!</v>
      </c>
      <c r="K81" s="5">
        <f>vlookup(E81,proj_fantasy_pts!D:P,13,)</f>
        <v>113.9</v>
      </c>
    </row>
    <row r="82">
      <c r="A82" s="50"/>
      <c r="B82" s="51" t="s">
        <v>2134</v>
      </c>
      <c r="C82" s="19" t="str">
        <f>vlookup(E82,'Player Codes'!A:D,4,)</f>
        <v>0005</v>
      </c>
      <c r="D82" s="33">
        <v>81.0</v>
      </c>
      <c r="E82" s="33" t="s">
        <v>309</v>
      </c>
      <c r="F82" s="16" t="str">
        <f>IFERROR(__xludf.DUMMYFUNCTION("REGEXEXTRACT(B82,""[A-Z]{2,}"")"),"AJ")</f>
        <v>AJ</v>
      </c>
      <c r="G82" s="16" t="str">
        <f t="shared" si="2"/>
        <v>Packers</v>
      </c>
      <c r="H82" s="33">
        <v>32.0</v>
      </c>
      <c r="I82" s="19" t="str">
        <f t="shared" si="3"/>
        <v>0005</v>
      </c>
      <c r="J82" s="5" t="str">
        <f t="shared" si="4"/>
        <v>#REF!</v>
      </c>
      <c r="K82" s="5" t="str">
        <f>vlookup(E82,proj_fantasy_pts!D:P,13,)</f>
        <v>#N/A</v>
      </c>
    </row>
    <row r="83">
      <c r="A83" s="50"/>
      <c r="B83" s="51" t="s">
        <v>2135</v>
      </c>
      <c r="C83" s="19" t="str">
        <f>vlookup(E83,'Player Codes'!A:D,4,)</f>
        <v>0028</v>
      </c>
      <c r="D83" s="33">
        <v>82.0</v>
      </c>
      <c r="E83" s="33" t="s">
        <v>298</v>
      </c>
      <c r="F83" s="16" t="str">
        <f>IFERROR(__xludf.DUMMYFUNCTION("REGEXEXTRACT(B83,""[A-Z]{2,}"")"),"RB")</f>
        <v>RB</v>
      </c>
      <c r="G83" s="16" t="str">
        <f t="shared" si="2"/>
        <v>Commanders</v>
      </c>
      <c r="H83" s="33">
        <v>33.0</v>
      </c>
      <c r="I83" s="19" t="str">
        <f t="shared" si="3"/>
        <v>0028</v>
      </c>
      <c r="J83" s="5" t="str">
        <f t="shared" si="4"/>
        <v>#REF!</v>
      </c>
      <c r="K83" s="2">
        <v>133.6</v>
      </c>
    </row>
    <row r="84">
      <c r="A84" s="50"/>
      <c r="B84" s="51" t="s">
        <v>2136</v>
      </c>
      <c r="C84" s="19" t="str">
        <f>vlookup(E84,'Player Codes'!A:D,4,)</f>
        <v>0204</v>
      </c>
      <c r="D84" s="33">
        <v>83.0</v>
      </c>
      <c r="E84" s="16" t="str">
        <f t="shared" ref="E84:E201" si="7">MID(B84,FIND(".",B84) + 1 + 1,FIND(",",B84) - 1 - (FIND(".",B84) + 1))</f>
        <v>Marquise Brown</v>
      </c>
      <c r="F84" s="16" t="str">
        <f>IFERROR(__xludf.DUMMYFUNCTION("REGEXEXTRACT(B84,""[A-Z]{2,}"")"),"WR")</f>
        <v>WR</v>
      </c>
      <c r="G84" s="16" t="str">
        <f t="shared" si="2"/>
        <v>Cardinals</v>
      </c>
      <c r="H84" s="33">
        <v>34.0</v>
      </c>
      <c r="I84" s="19" t="str">
        <f t="shared" si="3"/>
        <v>0204</v>
      </c>
      <c r="J84" s="5" t="str">
        <f t="shared" si="4"/>
        <v>#REF!</v>
      </c>
      <c r="K84" s="5">
        <f>vlookup(E84,proj_fantasy_pts!D:P,13,)</f>
        <v>147</v>
      </c>
    </row>
    <row r="85">
      <c r="A85" s="50"/>
      <c r="B85" s="51" t="s">
        <v>2137</v>
      </c>
      <c r="C85" s="19" t="str">
        <f>vlookup(E85,'Player Codes'!A:D,4,)</f>
        <v>0090</v>
      </c>
      <c r="D85" s="33">
        <v>84.0</v>
      </c>
      <c r="E85" s="16" t="str">
        <f t="shared" si="7"/>
        <v>Deshaun Watson</v>
      </c>
      <c r="F85" s="16" t="str">
        <f>IFERROR(__xludf.DUMMYFUNCTION("REGEXEXTRACT(B85,""[A-Z]{2,}"")"),"QB")</f>
        <v>QB</v>
      </c>
      <c r="G85" s="16" t="str">
        <f t="shared" si="2"/>
        <v>Browns</v>
      </c>
      <c r="H85" s="33">
        <v>9.0</v>
      </c>
      <c r="I85" s="19" t="str">
        <f t="shared" si="3"/>
        <v>0090</v>
      </c>
      <c r="J85" s="5" t="str">
        <f t="shared" si="4"/>
        <v>#REF!</v>
      </c>
      <c r="K85" s="5">
        <f>vlookup(E85,proj_fantasy_pts!D:P,13,)</f>
        <v>293.2</v>
      </c>
    </row>
    <row r="86">
      <c r="A86" s="50"/>
      <c r="B86" s="51" t="s">
        <v>2138</v>
      </c>
      <c r="C86" s="19" t="str">
        <f>vlookup(E86,'Player Codes'!A:D,4,)</f>
        <v>0134</v>
      </c>
      <c r="D86" s="33">
        <v>85.0</v>
      </c>
      <c r="E86" s="16" t="str">
        <f t="shared" si="7"/>
        <v>Jahan Dotson</v>
      </c>
      <c r="F86" s="16" t="str">
        <f>IFERROR(__xludf.DUMMYFUNCTION("REGEXEXTRACT(B86,""[A-Z]{2,}"")"),"WR")</f>
        <v>WR</v>
      </c>
      <c r="G86" s="16" t="str">
        <f t="shared" si="2"/>
        <v>Commanders</v>
      </c>
      <c r="H86" s="33">
        <v>35.0</v>
      </c>
      <c r="I86" s="19" t="str">
        <f t="shared" si="3"/>
        <v>0134</v>
      </c>
      <c r="J86" s="5" t="str">
        <f t="shared" si="4"/>
        <v>#REF!</v>
      </c>
      <c r="K86" s="5">
        <f>vlookup(E86,proj_fantasy_pts!D:P,13,)</f>
        <v>130.5</v>
      </c>
    </row>
    <row r="87">
      <c r="A87" s="50"/>
      <c r="B87" s="51" t="s">
        <v>2139</v>
      </c>
      <c r="C87" s="19" t="str">
        <f>vlookup(E87,'Player Codes'!A:D,4,)</f>
        <v>0015</v>
      </c>
      <c r="D87" s="33">
        <v>86.0</v>
      </c>
      <c r="E87" s="16" t="str">
        <f t="shared" si="7"/>
        <v>Antonio Gibson</v>
      </c>
      <c r="F87" s="16" t="str">
        <f>IFERROR(__xludf.DUMMYFUNCTION("REGEXEXTRACT(B87,""[A-Z]{2,}"")"),"RB")</f>
        <v>RB</v>
      </c>
      <c r="G87" s="16" t="str">
        <f t="shared" si="2"/>
        <v>Commanders</v>
      </c>
      <c r="H87" s="33">
        <v>34.0</v>
      </c>
      <c r="I87" s="19" t="str">
        <f t="shared" si="3"/>
        <v>0015</v>
      </c>
      <c r="J87" s="5" t="str">
        <f t="shared" si="4"/>
        <v>#REF!</v>
      </c>
      <c r="K87" s="5">
        <f>vlookup(E87,proj_fantasy_pts!D:P,13,)</f>
        <v>129.5</v>
      </c>
    </row>
    <row r="88">
      <c r="A88" s="50"/>
      <c r="B88" s="51" t="s">
        <v>2140</v>
      </c>
      <c r="C88" s="19" t="str">
        <f>vlookup(E88,'Player Codes'!A:D,4,)</f>
        <v>0114</v>
      </c>
      <c r="D88" s="33">
        <v>87.0</v>
      </c>
      <c r="E88" s="16" t="str">
        <f t="shared" si="7"/>
        <v>George Pickens</v>
      </c>
      <c r="F88" s="16" t="str">
        <f>IFERROR(__xludf.DUMMYFUNCTION("REGEXEXTRACT(B88,""[A-Z]{2,}"")"),"WR")</f>
        <v>WR</v>
      </c>
      <c r="G88" s="16" t="str">
        <f t="shared" si="2"/>
        <v>Steelers</v>
      </c>
      <c r="H88" s="33">
        <v>36.0</v>
      </c>
      <c r="I88" s="19" t="str">
        <f t="shared" si="3"/>
        <v>0114</v>
      </c>
      <c r="J88" s="5" t="str">
        <f t="shared" si="4"/>
        <v>#REF!</v>
      </c>
      <c r="K88" s="5">
        <f>vlookup(E88,proj_fantasy_pts!D:P,13,)</f>
        <v>151.6</v>
      </c>
    </row>
    <row r="89">
      <c r="A89" s="50"/>
      <c r="B89" s="51" t="s">
        <v>2141</v>
      </c>
      <c r="C89" s="19" t="str">
        <f>vlookup(E89,'Player Codes'!A:D,4,)</f>
        <v>0242</v>
      </c>
      <c r="D89" s="33">
        <v>88.0</v>
      </c>
      <c r="E89" s="16" t="str">
        <f t="shared" si="7"/>
        <v>Rashaad Penny</v>
      </c>
      <c r="F89" s="16" t="str">
        <f>IFERROR(__xludf.DUMMYFUNCTION("REGEXEXTRACT(B89,""[A-Z]{2,}"")"),"RB")</f>
        <v>RB</v>
      </c>
      <c r="G89" s="16" t="str">
        <f t="shared" si="2"/>
        <v>Eagles</v>
      </c>
      <c r="H89" s="33">
        <v>35.0</v>
      </c>
      <c r="I89" s="19" t="str">
        <f t="shared" si="3"/>
        <v>0242</v>
      </c>
      <c r="J89" s="5" t="str">
        <f t="shared" si="4"/>
        <v>#REF!</v>
      </c>
      <c r="K89" s="5">
        <f>vlookup(E89,proj_fantasy_pts!D:P,13,)</f>
        <v>98.9</v>
      </c>
    </row>
    <row r="90">
      <c r="A90" s="50"/>
      <c r="B90" s="51" t="s">
        <v>2142</v>
      </c>
      <c r="C90" s="19" t="str">
        <f>vlookup(E90,'Player Codes'!A:D,4,)</f>
        <v>0279</v>
      </c>
      <c r="D90" s="33">
        <v>89.0</v>
      </c>
      <c r="E90" s="16" t="str">
        <f t="shared" si="7"/>
        <v>Treylon Burks</v>
      </c>
      <c r="F90" s="16" t="str">
        <f>IFERROR(__xludf.DUMMYFUNCTION("REGEXEXTRACT(B90,""[A-Z]{2,}"")"),"WR")</f>
        <v>WR</v>
      </c>
      <c r="G90" s="16" t="str">
        <f t="shared" si="2"/>
        <v>Titans</v>
      </c>
      <c r="H90" s="33">
        <v>37.0</v>
      </c>
      <c r="I90" s="19" t="str">
        <f t="shared" si="3"/>
        <v>0279</v>
      </c>
      <c r="J90" s="5" t="str">
        <f t="shared" si="4"/>
        <v>#REF!</v>
      </c>
      <c r="K90" s="5">
        <f>vlookup(E90,proj_fantasy_pts!D:P,13,)</f>
        <v>137.2</v>
      </c>
    </row>
    <row r="91">
      <c r="A91" s="50"/>
      <c r="B91" s="51" t="s">
        <v>2143</v>
      </c>
      <c r="C91" s="19" t="str">
        <f>vlookup(E91,'Player Codes'!A:D,4,)</f>
        <v>0188</v>
      </c>
      <c r="D91" s="33">
        <v>90.0</v>
      </c>
      <c r="E91" s="16" t="str">
        <f t="shared" si="7"/>
        <v>Khalil Herbert</v>
      </c>
      <c r="F91" s="16" t="str">
        <f>IFERROR(__xludf.DUMMYFUNCTION("REGEXEXTRACT(B91,""[A-Z]{2,}"")"),"RB")</f>
        <v>RB</v>
      </c>
      <c r="G91" s="16" t="str">
        <f t="shared" si="2"/>
        <v>Bears</v>
      </c>
      <c r="H91" s="33">
        <v>36.0</v>
      </c>
      <c r="I91" s="19" t="str">
        <f t="shared" si="3"/>
        <v>0188</v>
      </c>
      <c r="J91" s="5" t="str">
        <f t="shared" si="4"/>
        <v>#REF!</v>
      </c>
      <c r="K91" s="5">
        <f>vlookup(E91,proj_fantasy_pts!D:P,13,)</f>
        <v>137.2</v>
      </c>
    </row>
    <row r="92">
      <c r="A92" s="50"/>
      <c r="B92" s="51" t="s">
        <v>2144</v>
      </c>
      <c r="C92" s="19" t="str">
        <f>vlookup(E92,'Player Codes'!A:D,4,)</f>
        <v>0257</v>
      </c>
      <c r="D92" s="33">
        <v>91.0</v>
      </c>
      <c r="E92" s="16" t="str">
        <f t="shared" si="7"/>
        <v>Samaje Perine</v>
      </c>
      <c r="F92" s="16" t="str">
        <f>IFERROR(__xludf.DUMMYFUNCTION("REGEXEXTRACT(B92,""[A-Z]{2,}"")"),"RB")</f>
        <v>RB</v>
      </c>
      <c r="G92" s="16" t="str">
        <f t="shared" si="2"/>
        <v>Broncos</v>
      </c>
      <c r="H92" s="33">
        <v>37.0</v>
      </c>
      <c r="I92" s="19" t="str">
        <f t="shared" si="3"/>
        <v>0257</v>
      </c>
      <c r="J92" s="5" t="str">
        <f t="shared" si="4"/>
        <v>#REF!</v>
      </c>
      <c r="K92" s="5">
        <f>vlookup(E92,proj_fantasy_pts!D:P,13,)</f>
        <v>118.4</v>
      </c>
    </row>
    <row r="93">
      <c r="A93" s="50"/>
      <c r="B93" s="51" t="s">
        <v>2145</v>
      </c>
      <c r="C93" s="19" t="str">
        <f>vlookup(E93,'Player Codes'!A:D,4,)</f>
        <v>0068</v>
      </c>
      <c r="D93" s="33">
        <v>92.0</v>
      </c>
      <c r="E93" s="16" t="str">
        <f t="shared" si="7"/>
        <v>Dak Prescott</v>
      </c>
      <c r="F93" s="16" t="str">
        <f>IFERROR(__xludf.DUMMYFUNCTION("REGEXEXTRACT(B93,""[A-Z]{2,}"")"),"QB")</f>
        <v>QB</v>
      </c>
      <c r="G93" s="16" t="str">
        <f t="shared" si="2"/>
        <v>Cowboys</v>
      </c>
      <c r="H93" s="33">
        <v>10.0</v>
      </c>
      <c r="I93" s="19" t="str">
        <f t="shared" si="3"/>
        <v>0068</v>
      </c>
      <c r="J93" s="5" t="str">
        <f t="shared" si="4"/>
        <v>#REF!</v>
      </c>
      <c r="K93" s="5">
        <f>vlookup(E93,proj_fantasy_pts!D:P,13,)</f>
        <v>277.4</v>
      </c>
    </row>
    <row r="94">
      <c r="A94" s="50"/>
      <c r="B94" s="51" t="s">
        <v>2146</v>
      </c>
      <c r="C94" s="19" t="str">
        <f>vlookup(E94,'Player Codes'!A:D,4,)</f>
        <v>0234</v>
      </c>
      <c r="D94" s="33">
        <v>93.0</v>
      </c>
      <c r="E94" s="16" t="str">
        <f t="shared" si="7"/>
        <v>Pat Freiermuth</v>
      </c>
      <c r="F94" s="16" t="str">
        <f>IFERROR(__xludf.DUMMYFUNCTION("REGEXEXTRACT(B94,""[A-Z]{2,}"")"),"TE")</f>
        <v>TE</v>
      </c>
      <c r="G94" s="16" t="str">
        <f t="shared" si="2"/>
        <v>Steelers</v>
      </c>
      <c r="H94" s="33">
        <v>9.0</v>
      </c>
      <c r="I94" s="19" t="str">
        <f t="shared" si="3"/>
        <v>0234</v>
      </c>
      <c r="J94" s="5" t="str">
        <f t="shared" si="4"/>
        <v>#REF!</v>
      </c>
      <c r="K94" s="5">
        <f>vlookup(E94,proj_fantasy_pts!D:P,13,)</f>
        <v>120.4</v>
      </c>
    </row>
    <row r="95">
      <c r="A95" s="50"/>
      <c r="B95" s="51" t="s">
        <v>2147</v>
      </c>
      <c r="C95" s="19" t="str">
        <f>vlookup(E95,'Player Codes'!A:D,4,)</f>
        <v>0083</v>
      </c>
      <c r="D95" s="33">
        <v>94.0</v>
      </c>
      <c r="E95" s="16" t="str">
        <f t="shared" si="7"/>
        <v>David Njoku</v>
      </c>
      <c r="F95" s="16" t="str">
        <f>IFERROR(__xludf.DUMMYFUNCTION("REGEXEXTRACT(B95,""[A-Z]{2,}"")"),"TE")</f>
        <v>TE</v>
      </c>
      <c r="G95" s="16" t="str">
        <f t="shared" si="2"/>
        <v>Browns</v>
      </c>
      <c r="H95" s="33">
        <v>10.0</v>
      </c>
      <c r="I95" s="19" t="str">
        <f t="shared" si="3"/>
        <v>0083</v>
      </c>
      <c r="J95" s="5" t="str">
        <f t="shared" si="4"/>
        <v>#REF!</v>
      </c>
      <c r="K95" s="5">
        <f>vlookup(E95,proj_fantasy_pts!D:P,13,)</f>
        <v>103.5</v>
      </c>
    </row>
    <row r="96">
      <c r="A96" s="50"/>
      <c r="B96" s="51" t="s">
        <v>2148</v>
      </c>
      <c r="C96" s="19" t="str">
        <f>vlookup(E96,'Player Codes'!A:D,4,)</f>
        <v>0065</v>
      </c>
      <c r="D96" s="33">
        <v>95.0</v>
      </c>
      <c r="E96" s="16" t="str">
        <f t="shared" si="7"/>
        <v>Courtland Sutton</v>
      </c>
      <c r="F96" s="16" t="str">
        <f>IFERROR(__xludf.DUMMYFUNCTION("REGEXEXTRACT(B96,""[A-Z]{2,}"")"),"WR")</f>
        <v>WR</v>
      </c>
      <c r="G96" s="16" t="str">
        <f t="shared" si="2"/>
        <v>Broncos</v>
      </c>
      <c r="H96" s="33">
        <v>38.0</v>
      </c>
      <c r="I96" s="19" t="str">
        <f t="shared" si="3"/>
        <v>0065</v>
      </c>
      <c r="J96" s="5" t="str">
        <f t="shared" si="4"/>
        <v>#REF!</v>
      </c>
      <c r="K96" s="5">
        <f>vlookup(E96,proj_fantasy_pts!D:P,13,)</f>
        <v>128.8</v>
      </c>
    </row>
    <row r="97">
      <c r="A97" s="50"/>
      <c r="B97" s="51" t="s">
        <v>2149</v>
      </c>
      <c r="C97" s="19" t="str">
        <f>vlookup(E97,'Player Codes'!A:D,4,)</f>
        <v>0072</v>
      </c>
      <c r="D97" s="33">
        <v>96.0</v>
      </c>
      <c r="E97" s="16" t="str">
        <f t="shared" si="7"/>
        <v>Dalton Schultz</v>
      </c>
      <c r="F97" s="16" t="str">
        <f>IFERROR(__xludf.DUMMYFUNCTION("REGEXEXTRACT(B97,""[A-Z]{2,}"")"),"TE")</f>
        <v>TE</v>
      </c>
      <c r="G97" s="16" t="str">
        <f t="shared" si="2"/>
        <v>Texans</v>
      </c>
      <c r="H97" s="33">
        <v>11.0</v>
      </c>
      <c r="I97" s="19" t="str">
        <f t="shared" si="3"/>
        <v>0072</v>
      </c>
      <c r="J97" s="5" t="str">
        <f t="shared" si="4"/>
        <v>#REF!</v>
      </c>
      <c r="K97" s="5">
        <f>vlookup(E97,proj_fantasy_pts!D:P,13,)</f>
        <v>101.2</v>
      </c>
    </row>
    <row r="98">
      <c r="A98" s="50"/>
      <c r="B98" s="51" t="s">
        <v>2150</v>
      </c>
      <c r="C98" s="19" t="str">
        <f>vlookup(E98,'Player Codes'!A:D,4,)</f>
        <v>0022</v>
      </c>
      <c r="D98" s="33">
        <v>97.0</v>
      </c>
      <c r="E98" s="16" t="str">
        <f t="shared" si="7"/>
        <v>Brandin Cooks</v>
      </c>
      <c r="F98" s="16" t="str">
        <f>IFERROR(__xludf.DUMMYFUNCTION("REGEXEXTRACT(B98,""[A-Z]{2,}"")"),"WR")</f>
        <v>WR</v>
      </c>
      <c r="G98" s="16" t="str">
        <f t="shared" si="2"/>
        <v>Cowboys</v>
      </c>
      <c r="H98" s="33">
        <v>39.0</v>
      </c>
      <c r="I98" s="19" t="str">
        <f t="shared" si="3"/>
        <v>0022</v>
      </c>
      <c r="J98" s="5" t="str">
        <f t="shared" si="4"/>
        <v>#REF!</v>
      </c>
      <c r="K98" s="5">
        <f>vlookup(E98,proj_fantasy_pts!D:P,13,)</f>
        <v>124.5</v>
      </c>
    </row>
    <row r="99">
      <c r="A99" s="50"/>
      <c r="B99" s="51" t="s">
        <v>2151</v>
      </c>
      <c r="C99" s="19" t="str">
        <f>vlookup(E99,'Player Codes'!A:D,4,)</f>
        <v>0280</v>
      </c>
      <c r="D99" s="33">
        <v>98.0</v>
      </c>
      <c r="E99" s="16" t="str">
        <f t="shared" si="7"/>
        <v>Tua Tagovailoa</v>
      </c>
      <c r="F99" s="16" t="str">
        <f>IFERROR(__xludf.DUMMYFUNCTION("REGEXEXTRACT(B99,""[A-Z]{2,}"")"),"QB")</f>
        <v>QB</v>
      </c>
      <c r="G99" s="16" t="str">
        <f t="shared" si="2"/>
        <v>Dolphins</v>
      </c>
      <c r="H99" s="33">
        <v>11.0</v>
      </c>
      <c r="I99" s="19" t="str">
        <f t="shared" si="3"/>
        <v>0280</v>
      </c>
      <c r="J99" s="5" t="str">
        <f t="shared" si="4"/>
        <v>#REF!</v>
      </c>
      <c r="K99" s="5">
        <f>vlookup(E99,proj_fantasy_pts!D:P,13,)</f>
        <v>274.5</v>
      </c>
    </row>
    <row r="100">
      <c r="A100" s="50"/>
      <c r="B100" s="51" t="s">
        <v>2152</v>
      </c>
      <c r="C100" s="19" t="str">
        <f>vlookup(E100,'Player Codes'!A:D,4,)</f>
        <v>0165</v>
      </c>
      <c r="D100" s="33">
        <v>99.0</v>
      </c>
      <c r="E100" s="16" t="str">
        <f t="shared" si="7"/>
        <v>Jordan Addison</v>
      </c>
      <c r="F100" s="16" t="str">
        <f>IFERROR(__xludf.DUMMYFUNCTION("REGEXEXTRACT(B100,""[A-Z]{2,}"")"),"WR")</f>
        <v>WR</v>
      </c>
      <c r="G100" s="16" t="str">
        <f t="shared" si="2"/>
        <v>Vikings</v>
      </c>
      <c r="H100" s="33">
        <v>40.0</v>
      </c>
      <c r="I100" s="19" t="str">
        <f t="shared" si="3"/>
        <v>0165</v>
      </c>
      <c r="J100" s="5" t="str">
        <f t="shared" si="4"/>
        <v>#REF!</v>
      </c>
      <c r="K100" s="5">
        <f>vlookup(E100,proj_fantasy_pts!D:P,13,)</f>
        <v>141.7</v>
      </c>
    </row>
    <row r="101">
      <c r="A101" s="50"/>
      <c r="B101" s="51" t="s">
        <v>2153</v>
      </c>
      <c r="C101" s="19" t="str">
        <f>vlookup(E101,'Player Codes'!A:D,4,)</f>
        <v>0190</v>
      </c>
      <c r="D101" s="33">
        <v>100.0</v>
      </c>
      <c r="E101" s="16" t="str">
        <f t="shared" si="7"/>
        <v>Kirk Cousins</v>
      </c>
      <c r="F101" s="16" t="str">
        <f>IFERROR(__xludf.DUMMYFUNCTION("REGEXEXTRACT(B101,""[A-Z]{2,}"")"),"QB")</f>
        <v>QB</v>
      </c>
      <c r="G101" s="16" t="str">
        <f t="shared" si="2"/>
        <v>Vikings</v>
      </c>
      <c r="H101" s="33">
        <v>12.0</v>
      </c>
      <c r="I101" s="19" t="str">
        <f t="shared" si="3"/>
        <v>0190</v>
      </c>
      <c r="J101" s="5" t="str">
        <f t="shared" si="4"/>
        <v>#REF!</v>
      </c>
      <c r="K101" s="5">
        <f>vlookup(E101,proj_fantasy_pts!D:P,13,)</f>
        <v>271.8</v>
      </c>
    </row>
    <row r="102">
      <c r="A102" s="50"/>
      <c r="B102" s="51" t="s">
        <v>2154</v>
      </c>
      <c r="C102" s="19" t="str">
        <f>vlookup(E102,'Player Codes'!A:D,4,)</f>
        <v>0142</v>
      </c>
      <c r="D102" s="33">
        <v>101.0</v>
      </c>
      <c r="E102" s="16" t="str">
        <f t="shared" si="7"/>
        <v>Jamaal Williams</v>
      </c>
      <c r="F102" s="16" t="str">
        <f>IFERROR(__xludf.DUMMYFUNCTION("REGEXEXTRACT(B102,""[A-Z]{2,}"")"),"RB")</f>
        <v>RB</v>
      </c>
      <c r="G102" s="16" t="str">
        <f t="shared" si="2"/>
        <v>Saints</v>
      </c>
      <c r="H102" s="33">
        <v>38.0</v>
      </c>
      <c r="I102" s="19" t="str">
        <f t="shared" si="3"/>
        <v>0142</v>
      </c>
      <c r="J102" s="5" t="str">
        <f t="shared" si="4"/>
        <v>#REF!</v>
      </c>
      <c r="K102" s="5">
        <f>vlookup(E102,proj_fantasy_pts!D:P,13,)</f>
        <v>90.3</v>
      </c>
    </row>
    <row r="103">
      <c r="A103" s="50"/>
      <c r="B103" s="51" t="s">
        <v>2155</v>
      </c>
      <c r="C103" s="19" t="str">
        <f>vlookup(E103,'Player Codes'!A:D,4,)</f>
        <v>0150</v>
      </c>
      <c r="D103" s="33">
        <v>102.0</v>
      </c>
      <c r="E103" s="16" t="str">
        <f t="shared" si="7"/>
        <v>Jaxon Smith-Njigba</v>
      </c>
      <c r="F103" s="16" t="str">
        <f>IFERROR(__xludf.DUMMYFUNCTION("REGEXEXTRACT(B103,""[A-Z]{2,}"")"),"WR")</f>
        <v>WR</v>
      </c>
      <c r="G103" s="16" t="str">
        <f t="shared" si="2"/>
        <v>Seahawks</v>
      </c>
      <c r="H103" s="33">
        <v>41.0</v>
      </c>
      <c r="I103" s="19" t="str">
        <f t="shared" si="3"/>
        <v>0150</v>
      </c>
      <c r="J103" s="5" t="str">
        <f t="shared" si="4"/>
        <v>#REF!</v>
      </c>
      <c r="K103" s="5">
        <f>vlookup(E103,proj_fantasy_pts!D:P,13,)</f>
        <v>126.3</v>
      </c>
    </row>
    <row r="104">
      <c r="A104" s="50"/>
      <c r="B104" s="51" t="s">
        <v>2156</v>
      </c>
      <c r="C104" s="19" t="str">
        <f>vlookup(E104,'Player Codes'!A:D,4,)</f>
        <v>0296</v>
      </c>
      <c r="D104" s="33">
        <v>103.0</v>
      </c>
      <c r="E104" s="16" t="str">
        <f t="shared" si="7"/>
        <v>Zach Charbonnet</v>
      </c>
      <c r="F104" s="16" t="str">
        <f>IFERROR(__xludf.DUMMYFUNCTION("REGEXEXTRACT(B104,""[A-Z]{2,}"")"),"RB")</f>
        <v>RB</v>
      </c>
      <c r="G104" s="16" t="str">
        <f t="shared" si="2"/>
        <v>Seahawks</v>
      </c>
      <c r="H104" s="33">
        <v>39.0</v>
      </c>
      <c r="I104" s="19" t="str">
        <f t="shared" si="3"/>
        <v>0296</v>
      </c>
      <c r="J104" s="5" t="str">
        <f t="shared" si="4"/>
        <v>#REF!</v>
      </c>
      <c r="K104" s="5">
        <f>vlookup(E104,proj_fantasy_pts!D:P,13,)</f>
        <v>118.8</v>
      </c>
    </row>
    <row r="105">
      <c r="A105" s="50"/>
      <c r="B105" s="51" t="s">
        <v>2157</v>
      </c>
      <c r="C105" s="19" t="str">
        <f>vlookup(E105,'Player Codes'!A:D,4,)</f>
        <v>0216</v>
      </c>
      <c r="D105" s="33">
        <v>104.0</v>
      </c>
      <c r="E105" s="16" t="str">
        <f t="shared" si="7"/>
        <v>Michael Thomas</v>
      </c>
      <c r="F105" s="16" t="str">
        <f>IFERROR(__xludf.DUMMYFUNCTION("REGEXEXTRACT(B105,""[A-Z]{2,}"")"),"WR")</f>
        <v>WR</v>
      </c>
      <c r="G105" s="16" t="str">
        <f t="shared" si="2"/>
        <v>Saints</v>
      </c>
      <c r="H105" s="33">
        <v>42.0</v>
      </c>
      <c r="I105" s="19" t="str">
        <f t="shared" si="3"/>
        <v>0216</v>
      </c>
      <c r="J105" s="5" t="str">
        <f t="shared" si="4"/>
        <v>#REF!</v>
      </c>
      <c r="K105" s="5">
        <f>vlookup(E105,proj_fantasy_pts!D:P,13,)</f>
        <v>117.2</v>
      </c>
    </row>
    <row r="106">
      <c r="A106" s="50"/>
      <c r="B106" s="51" t="s">
        <v>2158</v>
      </c>
      <c r="C106" s="19" t="str">
        <f>vlookup(E106,'Player Codes'!A:D,4,)</f>
        <v>0288</v>
      </c>
      <c r="D106" s="33">
        <v>105.0</v>
      </c>
      <c r="E106" s="16" t="str">
        <f t="shared" si="7"/>
        <v>Tyler Higbee</v>
      </c>
      <c r="F106" s="16" t="str">
        <f>IFERROR(__xludf.DUMMYFUNCTION("REGEXEXTRACT(B106,""[A-Z]{2,}"")"),"TE")</f>
        <v>TE</v>
      </c>
      <c r="G106" s="16" t="str">
        <f t="shared" si="2"/>
        <v>Rams</v>
      </c>
      <c r="H106" s="33">
        <v>12.0</v>
      </c>
      <c r="I106" s="19" t="str">
        <f t="shared" si="3"/>
        <v>0288</v>
      </c>
      <c r="J106" s="5" t="str">
        <f t="shared" si="4"/>
        <v>#REF!</v>
      </c>
      <c r="K106" s="5">
        <f>vlookup(E106,proj_fantasy_pts!D:P,13,)</f>
        <v>105.6</v>
      </c>
    </row>
    <row r="107">
      <c r="A107" s="50"/>
      <c r="B107" s="51" t="s">
        <v>2159</v>
      </c>
      <c r="C107" s="19" t="str">
        <f>vlookup(E107,'Player Codes'!A:D,4,)</f>
        <v>0003</v>
      </c>
      <c r="D107" s="33">
        <v>106.0</v>
      </c>
      <c r="E107" s="16" t="str">
        <f t="shared" si="7"/>
        <v>Aaron Rodgers</v>
      </c>
      <c r="F107" s="16" t="str">
        <f>IFERROR(__xludf.DUMMYFUNCTION("REGEXEXTRACT(B107,""[A-Z]{2,}"")"),"QB")</f>
        <v>QB</v>
      </c>
      <c r="G107" s="16" t="str">
        <f t="shared" si="2"/>
        <v>Jets</v>
      </c>
      <c r="H107" s="33">
        <v>13.0</v>
      </c>
      <c r="I107" s="19" t="str">
        <f t="shared" si="3"/>
        <v>0003</v>
      </c>
      <c r="J107" s="5" t="str">
        <f t="shared" si="4"/>
        <v>#REF!</v>
      </c>
      <c r="K107" s="5">
        <f>vlookup(E107,proj_fantasy_pts!D:P,13,)</f>
        <v>261.3</v>
      </c>
    </row>
    <row r="108">
      <c r="A108" s="50"/>
      <c r="B108" s="51" t="s">
        <v>2160</v>
      </c>
      <c r="C108" s="19" t="str">
        <f>vlookup(E108,'Player Codes'!A:D,4,)</f>
        <v>0171</v>
      </c>
      <c r="D108" s="33">
        <v>107.0</v>
      </c>
      <c r="E108" s="16" t="str">
        <f t="shared" si="7"/>
        <v>JuJu Smith-Schuster</v>
      </c>
      <c r="F108" s="16" t="str">
        <f>IFERROR(__xludf.DUMMYFUNCTION("REGEXEXTRACT(B108,""[A-Z]{2,}"")"),"WR")</f>
        <v>WR</v>
      </c>
      <c r="G108" s="16" t="str">
        <f t="shared" si="2"/>
        <v>Patriots</v>
      </c>
      <c r="H108" s="33">
        <v>43.0</v>
      </c>
      <c r="I108" s="19" t="str">
        <f t="shared" si="3"/>
        <v>0171</v>
      </c>
      <c r="J108" s="5" t="str">
        <f t="shared" si="4"/>
        <v>#REF!</v>
      </c>
      <c r="K108" s="5">
        <f>vlookup(E108,proj_fantasy_pts!D:P,13,)</f>
        <v>118.8</v>
      </c>
    </row>
    <row r="109">
      <c r="A109" s="50"/>
      <c r="B109" s="51" t="s">
        <v>2161</v>
      </c>
      <c r="C109" s="19" t="str">
        <f>vlookup(E109,'Player Codes'!A:D,4,)</f>
        <v>0154</v>
      </c>
      <c r="D109" s="33">
        <v>108.0</v>
      </c>
      <c r="E109" s="16" t="str">
        <f t="shared" si="7"/>
        <v>Jeff Wilson Jr.</v>
      </c>
      <c r="F109" s="16" t="str">
        <f>IFERROR(__xludf.DUMMYFUNCTION("REGEXEXTRACT(B109,""[A-Z]{2,}"")"),"RB")</f>
        <v>RB</v>
      </c>
      <c r="G109" s="16" t="str">
        <f t="shared" si="2"/>
        <v>Dolphins</v>
      </c>
      <c r="H109" s="33">
        <v>40.0</v>
      </c>
      <c r="I109" s="19" t="str">
        <f t="shared" si="3"/>
        <v>0154</v>
      </c>
      <c r="J109" s="5" t="str">
        <f t="shared" si="4"/>
        <v>#REF!</v>
      </c>
      <c r="K109" s="5" t="str">
        <f>vlookup(E109,proj_fantasy_pts!D:P,13,)</f>
        <v>#N/A</v>
      </c>
    </row>
    <row r="110">
      <c r="A110" s="50"/>
      <c r="B110" s="51" t="s">
        <v>2162</v>
      </c>
      <c r="C110" s="19" t="str">
        <f>vlookup(E110,'Player Codes'!A:D,4,)</f>
        <v>0110</v>
      </c>
      <c r="D110" s="33">
        <v>109.0</v>
      </c>
      <c r="E110" s="16" t="str">
        <f t="shared" si="7"/>
        <v>Gabe Davis</v>
      </c>
      <c r="F110" s="16" t="str">
        <f>IFERROR(__xludf.DUMMYFUNCTION("REGEXEXTRACT(B110,""[A-Z]{2,}"")"),"WR")</f>
        <v>WR</v>
      </c>
      <c r="G110" s="16" t="str">
        <f t="shared" si="2"/>
        <v>Bills</v>
      </c>
      <c r="H110" s="33">
        <v>44.0</v>
      </c>
      <c r="I110" s="19" t="str">
        <f t="shared" si="3"/>
        <v>0110</v>
      </c>
      <c r="J110" s="5" t="str">
        <f t="shared" si="4"/>
        <v>#REF!</v>
      </c>
      <c r="K110" s="5">
        <f>vlookup(E110,proj_fantasy_pts!D:P,13,)</f>
        <v>149.5</v>
      </c>
    </row>
    <row r="111">
      <c r="A111" s="50"/>
      <c r="B111" s="51" t="s">
        <v>2163</v>
      </c>
      <c r="C111" s="19" t="str">
        <f>vlookup(E111,'Player Codes'!A:D,4,)</f>
        <v>0077</v>
      </c>
      <c r="D111" s="33">
        <v>110.0</v>
      </c>
      <c r="E111" s="16" t="str">
        <f t="shared" si="7"/>
        <v>Daniel Jones</v>
      </c>
      <c r="F111" s="16" t="str">
        <f>IFERROR(__xludf.DUMMYFUNCTION("REGEXEXTRACT(B111,""[A-Z]{2,}"")"),"QB")</f>
        <v>QB</v>
      </c>
      <c r="G111" s="16" t="str">
        <f t="shared" si="2"/>
        <v>Giants</v>
      </c>
      <c r="H111" s="33">
        <v>14.0</v>
      </c>
      <c r="I111" s="19" t="str">
        <f t="shared" si="3"/>
        <v>0077</v>
      </c>
      <c r="J111" s="5" t="str">
        <f t="shared" si="4"/>
        <v>#REF!</v>
      </c>
      <c r="K111" s="5">
        <f>vlookup(E111,proj_fantasy_pts!D:P,13,)</f>
        <v>284.1</v>
      </c>
    </row>
    <row r="112">
      <c r="A112" s="50"/>
      <c r="B112" s="51" t="s">
        <v>2164</v>
      </c>
      <c r="C112" s="19" t="str">
        <f>vlookup(E112,'Player Codes'!A:D,4,)</f>
        <v>0061</v>
      </c>
      <c r="D112" s="33">
        <v>111.0</v>
      </c>
      <c r="E112" s="16" t="str">
        <f t="shared" si="7"/>
        <v>Cole Kmet</v>
      </c>
      <c r="F112" s="16" t="str">
        <f>IFERROR(__xludf.DUMMYFUNCTION("REGEXEXTRACT(B112,""[A-Z]{2,}"")"),"TE")</f>
        <v>TE</v>
      </c>
      <c r="G112" s="16" t="str">
        <f t="shared" si="2"/>
        <v>Bears</v>
      </c>
      <c r="H112" s="33">
        <v>13.0</v>
      </c>
      <c r="I112" s="19" t="str">
        <f t="shared" si="3"/>
        <v>0061</v>
      </c>
      <c r="J112" s="5" t="str">
        <f t="shared" si="4"/>
        <v>#REF!</v>
      </c>
      <c r="K112" s="5">
        <f>vlookup(E112,proj_fantasy_pts!D:P,13,)</f>
        <v>97.2</v>
      </c>
    </row>
    <row r="113">
      <c r="A113" s="50"/>
      <c r="B113" s="51" t="s">
        <v>2165</v>
      </c>
      <c r="C113" s="19" t="str">
        <f>vlookup(E113,'Player Codes'!A:D,4,)</f>
        <v>0118</v>
      </c>
      <c r="D113" s="33">
        <v>112.0</v>
      </c>
      <c r="E113" s="16" t="str">
        <f t="shared" si="7"/>
        <v>Greg Dulcich</v>
      </c>
      <c r="F113" s="16" t="str">
        <f>IFERROR(__xludf.DUMMYFUNCTION("REGEXEXTRACT(B113,""[A-Z]{2,}"")"),"TE")</f>
        <v>TE</v>
      </c>
      <c r="G113" s="16" t="str">
        <f t="shared" si="2"/>
        <v>Broncos</v>
      </c>
      <c r="H113" s="33">
        <v>14.0</v>
      </c>
      <c r="I113" s="19" t="str">
        <f t="shared" si="3"/>
        <v>0118</v>
      </c>
      <c r="J113" s="5" t="str">
        <f t="shared" si="4"/>
        <v>#REF!</v>
      </c>
      <c r="K113" s="5">
        <f>vlookup(E113,proj_fantasy_pts!D:P,13,)</f>
        <v>91.8</v>
      </c>
    </row>
    <row r="114">
      <c r="A114" s="50"/>
      <c r="B114" s="51" t="s">
        <v>2166</v>
      </c>
      <c r="C114" s="19" t="str">
        <f>vlookup(E114,'Player Codes'!A:D,4,)</f>
        <v>0155</v>
      </c>
      <c r="D114" s="33">
        <v>113.0</v>
      </c>
      <c r="E114" s="16" t="str">
        <f t="shared" si="7"/>
        <v>Jerick McKinnon</v>
      </c>
      <c r="F114" s="16" t="str">
        <f>IFERROR(__xludf.DUMMYFUNCTION("REGEXEXTRACT(B114,""[A-Z]{2,}"")"),"RB")</f>
        <v>RB</v>
      </c>
      <c r="G114" s="16" t="str">
        <f t="shared" si="2"/>
        <v>Chiefs</v>
      </c>
      <c r="H114" s="33">
        <v>41.0</v>
      </c>
      <c r="I114" s="19" t="str">
        <f t="shared" si="3"/>
        <v>0155</v>
      </c>
      <c r="J114" s="5" t="str">
        <f t="shared" si="4"/>
        <v>#REF!</v>
      </c>
      <c r="K114" s="5">
        <f>vlookup(E114,proj_fantasy_pts!D:P,13,)</f>
        <v>103.7</v>
      </c>
    </row>
    <row r="115">
      <c r="A115" s="50"/>
      <c r="B115" s="51" t="s">
        <v>2167</v>
      </c>
      <c r="C115" s="19" t="str">
        <f>vlookup(E115,'Player Codes'!A:D,4,)</f>
        <v>0139</v>
      </c>
      <c r="D115" s="33">
        <v>114.0</v>
      </c>
      <c r="E115" s="16" t="str">
        <f t="shared" si="7"/>
        <v>Jakobi Meyers</v>
      </c>
      <c r="F115" s="16" t="str">
        <f>IFERROR(__xludf.DUMMYFUNCTION("REGEXEXTRACT(B115,""[A-Z]{2,}"")"),"WR")</f>
        <v>WR</v>
      </c>
      <c r="G115" s="16" t="str">
        <f t="shared" si="2"/>
        <v>Raiders</v>
      </c>
      <c r="H115" s="33">
        <v>45.0</v>
      </c>
      <c r="I115" s="19" t="str">
        <f t="shared" si="3"/>
        <v>0139</v>
      </c>
      <c r="J115" s="5" t="str">
        <f t="shared" si="4"/>
        <v>#REF!</v>
      </c>
      <c r="K115" s="5">
        <f>vlookup(E115,proj_fantasy_pts!D:P,13,)</f>
        <v>116</v>
      </c>
    </row>
    <row r="116">
      <c r="A116" s="50"/>
      <c r="B116" s="51" t="s">
        <v>2168</v>
      </c>
      <c r="C116" s="19" t="str">
        <f>vlookup(E116,'Player Codes'!A:D,4,)</f>
        <v>0179</v>
      </c>
      <c r="D116" s="33">
        <v>115.0</v>
      </c>
      <c r="E116" s="16" t="str">
        <f t="shared" si="7"/>
        <v>Kadarius Toney</v>
      </c>
      <c r="F116" s="16" t="str">
        <f>IFERROR(__xludf.DUMMYFUNCTION("REGEXEXTRACT(B116,""[A-Z]{2,}"")"),"WR")</f>
        <v>WR</v>
      </c>
      <c r="G116" s="16" t="str">
        <f t="shared" si="2"/>
        <v>Chiefs</v>
      </c>
      <c r="H116" s="33">
        <v>46.0</v>
      </c>
      <c r="I116" s="19" t="str">
        <f t="shared" si="3"/>
        <v>0179</v>
      </c>
      <c r="J116" s="5" t="str">
        <f t="shared" si="4"/>
        <v>#REF!</v>
      </c>
      <c r="K116" s="5">
        <f>vlookup(E116,proj_fantasy_pts!D:P,13,)</f>
        <v>123.2</v>
      </c>
    </row>
    <row r="117">
      <c r="A117" s="50"/>
      <c r="B117" s="51" t="s">
        <v>2169</v>
      </c>
      <c r="C117" s="19" t="str">
        <f>vlookup(E117,'Player Codes'!A:D,4,)</f>
        <v>0075</v>
      </c>
      <c r="D117" s="33">
        <v>116.0</v>
      </c>
      <c r="E117" s="16" t="str">
        <f t="shared" si="7"/>
        <v>Damien Harris</v>
      </c>
      <c r="F117" s="16" t="str">
        <f>IFERROR(__xludf.DUMMYFUNCTION("REGEXEXTRACT(B117,""[A-Z]{2,}"")"),"RB")</f>
        <v>RB</v>
      </c>
      <c r="G117" s="16" t="str">
        <f t="shared" si="2"/>
        <v>Bills</v>
      </c>
      <c r="H117" s="33">
        <v>42.0</v>
      </c>
      <c r="I117" s="19" t="str">
        <f t="shared" si="3"/>
        <v>0075</v>
      </c>
      <c r="J117" s="5" t="str">
        <f t="shared" si="4"/>
        <v>#REF!</v>
      </c>
      <c r="K117" s="5">
        <f>vlookup(E117,proj_fantasy_pts!D:P,13,)</f>
        <v>88.8</v>
      </c>
    </row>
    <row r="118">
      <c r="A118" s="50"/>
      <c r="B118" s="51" t="s">
        <v>2170</v>
      </c>
      <c r="C118" s="19" t="str">
        <f>vlookup(E118,'Player Codes'!A:D,4,)</f>
        <v>0094</v>
      </c>
      <c r="D118" s="33">
        <v>117.0</v>
      </c>
      <c r="E118" s="16" t="str">
        <f t="shared" si="7"/>
        <v>Devin Singletary</v>
      </c>
      <c r="F118" s="16" t="str">
        <f>IFERROR(__xludf.DUMMYFUNCTION("REGEXEXTRACT(B118,""[A-Z]{2,}"")"),"RB")</f>
        <v>RB</v>
      </c>
      <c r="G118" s="16" t="str">
        <f t="shared" si="2"/>
        <v>Texans</v>
      </c>
      <c r="H118" s="33">
        <v>43.0</v>
      </c>
      <c r="I118" s="19" t="str">
        <f t="shared" si="3"/>
        <v>0094</v>
      </c>
      <c r="J118" s="5" t="str">
        <f t="shared" si="4"/>
        <v>#REF!</v>
      </c>
      <c r="K118" s="5">
        <f>vlookup(E118,proj_fantasy_pts!D:P,13,)</f>
        <v>95.8</v>
      </c>
    </row>
    <row r="119">
      <c r="A119" s="50"/>
      <c r="B119" s="51" t="s">
        <v>2171</v>
      </c>
      <c r="C119" s="19" t="str">
        <f>vlookup(E119,'Player Codes'!A:D,4,)</f>
        <v>0230</v>
      </c>
      <c r="D119" s="33">
        <v>118.0</v>
      </c>
      <c r="E119" s="16" t="str">
        <f t="shared" si="7"/>
        <v>Nico Collins</v>
      </c>
      <c r="F119" s="16" t="str">
        <f>IFERROR(__xludf.DUMMYFUNCTION("REGEXEXTRACT(B119,""[A-Z]{2,}"")"),"WR")</f>
        <v>WR</v>
      </c>
      <c r="G119" s="16" t="str">
        <f t="shared" si="2"/>
        <v>Texans</v>
      </c>
      <c r="H119" s="33">
        <v>47.0</v>
      </c>
      <c r="I119" s="19" t="str">
        <f t="shared" si="3"/>
        <v>0230</v>
      </c>
      <c r="J119" s="5" t="str">
        <f t="shared" si="4"/>
        <v>#REF!</v>
      </c>
      <c r="K119" s="5">
        <f>vlookup(E119,proj_fantasy_pts!D:P,13,)</f>
        <v>113.9</v>
      </c>
    </row>
    <row r="120">
      <c r="A120" s="50"/>
      <c r="B120" s="51" t="s">
        <v>2172</v>
      </c>
      <c r="C120" s="19" t="str">
        <f>vlookup(E120,'Player Codes'!A:D,4,)</f>
        <v>0253</v>
      </c>
      <c r="D120" s="33">
        <v>119.0</v>
      </c>
      <c r="E120" s="16" t="str">
        <f t="shared" si="7"/>
        <v>Russell Wilson</v>
      </c>
      <c r="F120" s="16" t="str">
        <f>IFERROR(__xludf.DUMMYFUNCTION("REGEXEXTRACT(B120,""[A-Z]{2,}"")"),"QB")</f>
        <v>QB</v>
      </c>
      <c r="G120" s="16" t="str">
        <f t="shared" si="2"/>
        <v>Broncos</v>
      </c>
      <c r="H120" s="33">
        <v>15.0</v>
      </c>
      <c r="I120" s="19" t="str">
        <f t="shared" si="3"/>
        <v>0253</v>
      </c>
      <c r="J120" s="5" t="str">
        <f t="shared" si="4"/>
        <v>#REF!</v>
      </c>
      <c r="K120" s="5">
        <f>vlookup(E120,proj_fantasy_pts!D:P,13,)</f>
        <v>244.5</v>
      </c>
    </row>
    <row r="121">
      <c r="A121" s="50"/>
      <c r="B121" s="51" t="s">
        <v>2173</v>
      </c>
      <c r="C121" s="19" t="str">
        <f>vlookup(E121,'Player Codes'!A:D,4,)</f>
        <v>0105</v>
      </c>
      <c r="D121" s="33">
        <v>120.0</v>
      </c>
      <c r="E121" s="16" t="str">
        <f t="shared" si="7"/>
        <v>Elijah Mitchell</v>
      </c>
      <c r="F121" s="16" t="str">
        <f>IFERROR(__xludf.DUMMYFUNCTION("REGEXEXTRACT(B121,""[A-Z]{2,}"")"),"RB")</f>
        <v>RB</v>
      </c>
      <c r="G121" s="16" t="str">
        <f t="shared" si="2"/>
        <v>49ers</v>
      </c>
      <c r="H121" s="33">
        <v>44.0</v>
      </c>
      <c r="I121" s="19" t="str">
        <f t="shared" si="3"/>
        <v>0105</v>
      </c>
      <c r="J121" s="5" t="str">
        <f t="shared" si="4"/>
        <v>#REF!</v>
      </c>
      <c r="K121" s="5">
        <f>vlookup(E121,proj_fantasy_pts!D:P,13,)</f>
        <v>101.2</v>
      </c>
    </row>
    <row r="122">
      <c r="A122" s="50"/>
      <c r="B122" s="51" t="s">
        <v>2174</v>
      </c>
      <c r="C122" s="19" t="str">
        <f>vlookup(E122,'Player Codes'!A:D,4,)</f>
        <v>0284</v>
      </c>
      <c r="D122" s="33">
        <v>121.0</v>
      </c>
      <c r="E122" s="16" t="str">
        <f t="shared" si="7"/>
        <v>Tyler Allgeier</v>
      </c>
      <c r="F122" s="16" t="str">
        <f>IFERROR(__xludf.DUMMYFUNCTION("REGEXEXTRACT(B122,""[A-Z]{2,}"")"),"RB")</f>
        <v>RB</v>
      </c>
      <c r="G122" s="16" t="str">
        <f t="shared" si="2"/>
        <v>Falcons</v>
      </c>
      <c r="H122" s="33">
        <v>45.0</v>
      </c>
      <c r="I122" s="19" t="str">
        <f t="shared" si="3"/>
        <v>0284</v>
      </c>
      <c r="J122" s="5" t="str">
        <f t="shared" si="4"/>
        <v>#REF!</v>
      </c>
      <c r="K122" s="5">
        <f>vlookup(E122,proj_fantasy_pts!D:P,13,)</f>
        <v>101.6</v>
      </c>
    </row>
    <row r="123">
      <c r="A123" s="50"/>
      <c r="B123" s="51" t="s">
        <v>2175</v>
      </c>
      <c r="C123" s="19" t="str">
        <f>vlookup(E123,'Player Codes'!A:D,4,)</f>
        <v>0112</v>
      </c>
      <c r="D123" s="33">
        <v>122.0</v>
      </c>
      <c r="E123" s="16" t="str">
        <f t="shared" si="7"/>
        <v>Geno Smith</v>
      </c>
      <c r="F123" s="16" t="str">
        <f>IFERROR(__xludf.DUMMYFUNCTION("REGEXEXTRACT(B123,""[A-Z]{2,}"")"),"QB")</f>
        <v>QB</v>
      </c>
      <c r="G123" s="16" t="str">
        <f t="shared" si="2"/>
        <v>Seahawks</v>
      </c>
      <c r="H123" s="33">
        <v>16.0</v>
      </c>
      <c r="I123" s="19" t="str">
        <f t="shared" si="3"/>
        <v>0112</v>
      </c>
      <c r="J123" s="5" t="str">
        <f t="shared" si="4"/>
        <v>#REF!</v>
      </c>
      <c r="K123" s="5">
        <f>vlookup(E123,proj_fantasy_pts!D:P,13,)</f>
        <v>285.9</v>
      </c>
    </row>
    <row r="124">
      <c r="A124" s="50"/>
      <c r="B124" s="51" t="s">
        <v>2176</v>
      </c>
      <c r="C124" s="19" t="str">
        <f>vlookup(E124,'Player Codes'!A:D,4,)</f>
        <v>0048</v>
      </c>
      <c r="D124" s="33">
        <v>123.0</v>
      </c>
      <c r="E124" s="16" t="str">
        <f t="shared" si="7"/>
        <v>Chigoziem Okonkwo</v>
      </c>
      <c r="F124" s="16" t="str">
        <f>IFERROR(__xludf.DUMMYFUNCTION("REGEXEXTRACT(B124,""[A-Z]{2,}"")"),"TE")</f>
        <v>TE</v>
      </c>
      <c r="G124" s="16" t="str">
        <f t="shared" si="2"/>
        <v>Titans</v>
      </c>
      <c r="H124" s="33">
        <v>15.0</v>
      </c>
      <c r="I124" s="19" t="str">
        <f t="shared" si="3"/>
        <v>0048</v>
      </c>
      <c r="J124" s="5" t="str">
        <f t="shared" si="4"/>
        <v>#REF!</v>
      </c>
      <c r="K124" s="5">
        <f>vlookup(E124,proj_fantasy_pts!D:P,13,)</f>
        <v>110.4</v>
      </c>
    </row>
    <row r="125">
      <c r="A125" s="50"/>
      <c r="B125" s="51" t="s">
        <v>2177</v>
      </c>
      <c r="C125" s="19" t="str">
        <f>vlookup(E125,'Player Codes'!A:D,4,)</f>
        <v>0239</v>
      </c>
      <c r="D125" s="33">
        <v>124.0</v>
      </c>
      <c r="E125" s="16" t="str">
        <f t="shared" si="7"/>
        <v>Quentin Johnston</v>
      </c>
      <c r="F125" s="16" t="str">
        <f>IFERROR(__xludf.DUMMYFUNCTION("REGEXEXTRACT(B125,""[A-Z]{2,}"")"),"WR")</f>
        <v>WR</v>
      </c>
      <c r="G125" s="16" t="str">
        <f t="shared" si="2"/>
        <v>Chargers</v>
      </c>
      <c r="H125" s="33">
        <v>48.0</v>
      </c>
      <c r="I125" s="19" t="str">
        <f t="shared" si="3"/>
        <v>0239</v>
      </c>
      <c r="J125" s="5" t="str">
        <f t="shared" si="4"/>
        <v>#REF!</v>
      </c>
      <c r="K125" s="5">
        <f>vlookup(E125,proj_fantasy_pts!D:P,13,)</f>
        <v>130.6</v>
      </c>
    </row>
    <row r="126">
      <c r="A126" s="50"/>
      <c r="B126" s="51" t="s">
        <v>2178</v>
      </c>
      <c r="C126" s="19" t="str">
        <f>vlookup(E126,'Player Codes'!A:D,4,)</f>
        <v>0153</v>
      </c>
      <c r="D126" s="33">
        <v>125.0</v>
      </c>
      <c r="E126" s="16" t="str">
        <f t="shared" si="7"/>
        <v>Jaylen Warren</v>
      </c>
      <c r="F126" s="16" t="str">
        <f>IFERROR(__xludf.DUMMYFUNCTION("REGEXEXTRACT(B126,""[A-Z]{2,}"")"),"RB")</f>
        <v>RB</v>
      </c>
      <c r="G126" s="16" t="str">
        <f t="shared" si="2"/>
        <v>Steelers</v>
      </c>
      <c r="H126" s="33">
        <v>46.0</v>
      </c>
      <c r="I126" s="19" t="str">
        <f t="shared" si="3"/>
        <v>0153</v>
      </c>
      <c r="J126" s="5" t="str">
        <f t="shared" si="4"/>
        <v>#REF!</v>
      </c>
      <c r="K126" s="5">
        <f>vlookup(E126,proj_fantasy_pts!D:P,13,)</f>
        <v>106.3</v>
      </c>
    </row>
    <row r="127">
      <c r="A127" s="50"/>
      <c r="B127" s="51" t="s">
        <v>2179</v>
      </c>
      <c r="C127" s="19" t="str">
        <f>vlookup(E127,'Player Codes'!A:D,4,)</f>
        <v>0245</v>
      </c>
      <c r="D127" s="33">
        <v>126.0</v>
      </c>
      <c r="E127" s="16" t="str">
        <f t="shared" si="7"/>
        <v>Rashod Bateman</v>
      </c>
      <c r="F127" s="16" t="str">
        <f>IFERROR(__xludf.DUMMYFUNCTION("REGEXEXTRACT(B127,""[A-Z]{2,}"")"),"WR")</f>
        <v>WR</v>
      </c>
      <c r="G127" s="16" t="str">
        <f t="shared" si="2"/>
        <v>Ravens</v>
      </c>
      <c r="H127" s="33">
        <v>49.0</v>
      </c>
      <c r="I127" s="19" t="str">
        <f t="shared" si="3"/>
        <v>0245</v>
      </c>
      <c r="J127" s="5" t="str">
        <f t="shared" si="4"/>
        <v>#REF!</v>
      </c>
      <c r="K127" s="5">
        <f>vlookup(E127,proj_fantasy_pts!D:P,13,)</f>
        <v>122.4</v>
      </c>
    </row>
    <row r="128">
      <c r="A128" s="50"/>
      <c r="B128" s="51" t="s">
        <v>2180</v>
      </c>
      <c r="C128" s="19" t="str">
        <f>vlookup(E128,'Player Codes'!A:D,4,)</f>
        <v>0251</v>
      </c>
      <c r="D128" s="33">
        <v>127.0</v>
      </c>
      <c r="E128" s="16" t="str">
        <f t="shared" si="7"/>
        <v>Rondale Moore</v>
      </c>
      <c r="F128" s="16" t="str">
        <f>IFERROR(__xludf.DUMMYFUNCTION("REGEXEXTRACT(B128,""[A-Z]{2,}"")"),"WR")</f>
        <v>WR</v>
      </c>
      <c r="G128" s="16" t="str">
        <f t="shared" si="2"/>
        <v>Cardinals</v>
      </c>
      <c r="H128" s="33">
        <v>50.0</v>
      </c>
      <c r="I128" s="19" t="str">
        <f t="shared" si="3"/>
        <v>0251</v>
      </c>
      <c r="J128" s="5" t="str">
        <f t="shared" si="4"/>
        <v>#REF!</v>
      </c>
      <c r="K128" s="5">
        <f>vlookup(E128,proj_fantasy_pts!D:P,13,)</f>
        <v>96.5</v>
      </c>
    </row>
    <row r="129">
      <c r="A129" s="50"/>
      <c r="B129" s="58" t="s">
        <v>2181</v>
      </c>
      <c r="C129" s="19" t="str">
        <f>vlookup(E129,'Player Codes'!A:D,4,)</f>
        <v>0014</v>
      </c>
      <c r="D129" s="33">
        <v>128.0</v>
      </c>
      <c r="E129" s="16" t="str">
        <f t="shared" si="7"/>
        <v>Anthony RicharD/STon</v>
      </c>
      <c r="F129" s="16" t="str">
        <f>IFERROR(__xludf.DUMMYFUNCTION("REGEXEXTRACT(B129,""[A-Z]{2,}"")"),"ST")</f>
        <v>ST</v>
      </c>
      <c r="G129" s="16" t="str">
        <f t="shared" si="2"/>
        <v>Colts</v>
      </c>
      <c r="H129" s="33">
        <v>17.0</v>
      </c>
      <c r="I129" s="19" t="str">
        <f t="shared" si="3"/>
        <v>0014</v>
      </c>
      <c r="J129" s="5" t="str">
        <f t="shared" si="4"/>
        <v>#REF!</v>
      </c>
      <c r="K129" s="5" t="str">
        <f>vlookup(E129,proj_fantasy_pts!D:P,13,)</f>
        <v>#N/A</v>
      </c>
    </row>
    <row r="130">
      <c r="A130" s="50"/>
      <c r="B130" s="51" t="s">
        <v>2182</v>
      </c>
      <c r="C130" s="19" t="str">
        <f>vlookup(E130,'Player Codes'!A:D,4,)</f>
        <v>0297</v>
      </c>
      <c r="D130" s="33">
        <v>129.0</v>
      </c>
      <c r="E130" s="16" t="str">
        <f t="shared" si="7"/>
        <v>Zach Ertz</v>
      </c>
      <c r="F130" s="16" t="str">
        <f>IFERROR(__xludf.DUMMYFUNCTION("REGEXEXTRACT(B130,""[A-Z]{2,}"")"),"TE")</f>
        <v>TE</v>
      </c>
      <c r="G130" s="16" t="str">
        <f t="shared" si="2"/>
        <v>Cardinals</v>
      </c>
      <c r="H130" s="33">
        <v>16.0</v>
      </c>
      <c r="I130" s="19" t="str">
        <f t="shared" si="3"/>
        <v>0297</v>
      </c>
      <c r="J130" s="5" t="str">
        <f t="shared" si="4"/>
        <v>#REF!</v>
      </c>
      <c r="K130" s="5">
        <f>vlookup(E130,proj_fantasy_pts!D:P,13,)</f>
        <v>69.5</v>
      </c>
    </row>
    <row r="131">
      <c r="A131" s="50"/>
      <c r="B131" s="51" t="s">
        <v>2183</v>
      </c>
      <c r="C131" s="19" t="str">
        <f>vlookup(E131,'Player Codes'!A:D,4,)</f>
        <v>0301</v>
      </c>
      <c r="D131" s="33">
        <v>130.0</v>
      </c>
      <c r="E131" s="16" t="str">
        <f t="shared" si="7"/>
        <v>D'Onta Foreman</v>
      </c>
      <c r="F131" s="16" t="str">
        <f>IFERROR(__xludf.DUMMYFUNCTION("REGEXEXTRACT(B131,""[A-Z]{2,}"")"),"RB")</f>
        <v>RB</v>
      </c>
      <c r="G131" s="16" t="str">
        <f t="shared" si="2"/>
        <v>Bears</v>
      </c>
      <c r="H131" s="33">
        <v>47.0</v>
      </c>
      <c r="I131" s="19" t="str">
        <f t="shared" si="3"/>
        <v>0301</v>
      </c>
      <c r="J131" s="5" t="str">
        <f t="shared" si="4"/>
        <v>#REF!</v>
      </c>
      <c r="K131" s="5" t="str">
        <f>vlookup(E131,proj_fantasy_pts!D:P,13,)</f>
        <v>#N/A</v>
      </c>
    </row>
    <row r="132">
      <c r="A132" s="50"/>
      <c r="B132" s="51" t="s">
        <v>2184</v>
      </c>
      <c r="C132" s="19" t="str">
        <f>vlookup(E132,'Player Codes'!A:D,4,)</f>
        <v>0241</v>
      </c>
      <c r="D132" s="33">
        <v>131.0</v>
      </c>
      <c r="E132" s="16" t="str">
        <f t="shared" si="7"/>
        <v>Raheem Mostert</v>
      </c>
      <c r="F132" s="16" t="str">
        <f>IFERROR(__xludf.DUMMYFUNCTION("REGEXEXTRACT(B132,""[A-Z]{2,}"")"),"RB")</f>
        <v>RB</v>
      </c>
      <c r="G132" s="16" t="str">
        <f t="shared" si="2"/>
        <v>Dolphins</v>
      </c>
      <c r="H132" s="33">
        <v>48.0</v>
      </c>
      <c r="I132" s="19" t="str">
        <f t="shared" si="3"/>
        <v>0241</v>
      </c>
      <c r="J132" s="5" t="str">
        <f t="shared" si="4"/>
        <v>#REF!</v>
      </c>
      <c r="K132" s="5">
        <f>vlookup(E132,proj_fantasy_pts!D:P,13,)</f>
        <v>109.8</v>
      </c>
    </row>
    <row r="133">
      <c r="A133" s="50"/>
      <c r="B133" s="51" t="s">
        <v>2185</v>
      </c>
      <c r="C133" s="19" t="str">
        <f>vlookup(E133,'Player Codes'!A:D,4,)</f>
        <v>0146</v>
      </c>
      <c r="D133" s="33">
        <v>132.0</v>
      </c>
      <c r="E133" s="16" t="str">
        <f t="shared" si="7"/>
        <v>Jared Goff</v>
      </c>
      <c r="F133" s="16" t="str">
        <f>IFERROR(__xludf.DUMMYFUNCTION("REGEXEXTRACT(B133,""[A-Z]{2,}"")"),"QB")</f>
        <v>QB</v>
      </c>
      <c r="G133" s="16" t="str">
        <f t="shared" si="2"/>
        <v>Lions</v>
      </c>
      <c r="H133" s="33">
        <v>18.0</v>
      </c>
      <c r="I133" s="19" t="str">
        <f t="shared" si="3"/>
        <v>0146</v>
      </c>
      <c r="J133" s="5" t="str">
        <f t="shared" si="4"/>
        <v>#REF!</v>
      </c>
      <c r="K133" s="5">
        <f>vlookup(E133,proj_fantasy_pts!D:P,13,)</f>
        <v>264.1</v>
      </c>
    </row>
    <row r="134">
      <c r="A134" s="50"/>
      <c r="B134" s="51" t="s">
        <v>2186</v>
      </c>
      <c r="C134" s="19" t="str">
        <f>vlookup(E134,'Player Codes'!A:D,4,)</f>
        <v>0210</v>
      </c>
      <c r="D134" s="33">
        <v>133.0</v>
      </c>
      <c r="E134" s="16" t="str">
        <f t="shared" si="7"/>
        <v>Matthew Stafford</v>
      </c>
      <c r="F134" s="16" t="str">
        <f>IFERROR(__xludf.DUMMYFUNCTION("REGEXEXTRACT(B134,""[A-Z]{2,}"")"),"QB")</f>
        <v>QB</v>
      </c>
      <c r="G134" s="16" t="str">
        <f t="shared" si="2"/>
        <v>Rams</v>
      </c>
      <c r="H134" s="33">
        <v>19.0</v>
      </c>
      <c r="I134" s="19" t="str">
        <f t="shared" si="3"/>
        <v>0210</v>
      </c>
      <c r="J134" s="5" t="str">
        <f t="shared" si="4"/>
        <v>#REF!</v>
      </c>
      <c r="K134" s="5">
        <f>vlookup(E134,proj_fantasy_pts!D:P,13,)</f>
        <v>227.7</v>
      </c>
    </row>
    <row r="135">
      <c r="A135" s="50"/>
      <c r="B135" s="51" t="s">
        <v>2187</v>
      </c>
      <c r="C135" s="19" t="str">
        <f>vlookup(E135,'Player Codes'!A:D,4,)</f>
        <v>0071</v>
      </c>
      <c r="D135" s="33">
        <v>134.0</v>
      </c>
      <c r="E135" s="16" t="str">
        <f t="shared" si="7"/>
        <v>Dalton Kincaid</v>
      </c>
      <c r="F135" s="16" t="str">
        <f>IFERROR(__xludf.DUMMYFUNCTION("REGEXEXTRACT(B135,""[A-Z]{2,}"")"),"TE")</f>
        <v>TE</v>
      </c>
      <c r="G135" s="16" t="str">
        <f t="shared" si="2"/>
        <v>Bills</v>
      </c>
      <c r="H135" s="33">
        <v>17.0</v>
      </c>
      <c r="I135" s="19" t="str">
        <f t="shared" si="3"/>
        <v>0071</v>
      </c>
      <c r="J135" s="5" t="str">
        <f t="shared" si="4"/>
        <v>#REF!</v>
      </c>
      <c r="K135" s="5">
        <f>vlookup(E135,proj_fantasy_pts!D:P,13,)</f>
        <v>99.7</v>
      </c>
    </row>
    <row r="136">
      <c r="A136" s="50"/>
      <c r="B136" s="51" t="s">
        <v>2188</v>
      </c>
      <c r="C136" s="19" t="str">
        <f>vlookup(E136,'Player Codes'!A:D,4,)</f>
        <v>0109</v>
      </c>
      <c r="D136" s="33">
        <v>135.0</v>
      </c>
      <c r="E136" s="16" t="str">
        <f t="shared" si="7"/>
        <v>Ezekiel Elliott</v>
      </c>
      <c r="F136" s="16" t="str">
        <f>IFERROR(__xludf.DUMMYFUNCTION("REGEXEXTRACT(B136,""[A-Z]{2,}"")"),"RB")</f>
        <v>RB</v>
      </c>
      <c r="G136" s="16" t="str">
        <f t="shared" si="2"/>
        <v>Patriots</v>
      </c>
      <c r="H136" s="33">
        <v>49.0</v>
      </c>
      <c r="I136" s="19" t="str">
        <f t="shared" si="3"/>
        <v>0109</v>
      </c>
      <c r="J136" s="5" t="str">
        <f t="shared" si="4"/>
        <v>#REF!</v>
      </c>
      <c r="K136" s="5">
        <f>vlookup(E136,proj_fantasy_pts!D:P,13,)</f>
        <v>100.8</v>
      </c>
    </row>
    <row r="137">
      <c r="A137" s="50"/>
      <c r="B137" s="51" t="s">
        <v>2189</v>
      </c>
      <c r="C137" s="19" t="str">
        <f>vlookup(E137,'Player Codes'!A:D,4,)</f>
        <v>0106</v>
      </c>
      <c r="D137" s="33">
        <v>136.0</v>
      </c>
      <c r="E137" s="16" t="str">
        <f t="shared" si="7"/>
        <v>Elijah Moore</v>
      </c>
      <c r="F137" s="16" t="str">
        <f>IFERROR(__xludf.DUMMYFUNCTION("REGEXEXTRACT(B137,""[A-Z]{2,}"")"),"WR")</f>
        <v>WR</v>
      </c>
      <c r="G137" s="16" t="str">
        <f t="shared" si="2"/>
        <v>Browns</v>
      </c>
      <c r="H137" s="33">
        <v>51.0</v>
      </c>
      <c r="I137" s="19" t="str">
        <f t="shared" si="3"/>
        <v>0106</v>
      </c>
      <c r="J137" s="5" t="str">
        <f t="shared" si="4"/>
        <v>#REF!</v>
      </c>
      <c r="K137" s="5">
        <f>vlookup(E137,proj_fantasy_pts!D:P,13,)</f>
        <v>134.3</v>
      </c>
    </row>
    <row r="138">
      <c r="A138" s="50"/>
      <c r="B138" s="51" t="s">
        <v>2190</v>
      </c>
      <c r="C138" s="19" t="str">
        <f>vlookup(E138,'Player Codes'!A:D,4,)</f>
        <v>0079</v>
      </c>
      <c r="D138" s="33">
        <v>137.0</v>
      </c>
      <c r="E138" s="16" t="str">
        <f t="shared" si="7"/>
        <v>Darnell Mooney</v>
      </c>
      <c r="F138" s="16" t="str">
        <f>IFERROR(__xludf.DUMMYFUNCTION("REGEXEXTRACT(B138,""[A-Z]{2,}"")"),"WR")</f>
        <v>WR</v>
      </c>
      <c r="G138" s="16" t="str">
        <f t="shared" si="2"/>
        <v>Bears</v>
      </c>
      <c r="H138" s="33">
        <v>52.0</v>
      </c>
      <c r="I138" s="19" t="str">
        <f t="shared" si="3"/>
        <v>0079</v>
      </c>
      <c r="J138" s="5" t="str">
        <f t="shared" si="4"/>
        <v>#REF!</v>
      </c>
      <c r="K138" s="5">
        <f>vlookup(E138,proj_fantasy_pts!D:P,13,)</f>
        <v>95.7</v>
      </c>
    </row>
    <row r="139">
      <c r="A139" s="50"/>
      <c r="B139" s="51" t="s">
        <v>2191</v>
      </c>
      <c r="C139" s="19" t="str">
        <f>vlookup(E139,'Player Codes'!A:D,4,)</f>
        <v>0175</v>
      </c>
      <c r="D139" s="33">
        <v>138.0</v>
      </c>
      <c r="E139" s="16" t="str">
        <f t="shared" si="7"/>
        <v>Justin Tucker</v>
      </c>
      <c r="F139" s="33" t="s">
        <v>516</v>
      </c>
      <c r="G139" s="16" t="str">
        <f t="shared" si="2"/>
        <v>Ravens</v>
      </c>
      <c r="H139" s="33">
        <v>1.0</v>
      </c>
      <c r="I139" s="19" t="str">
        <f t="shared" si="3"/>
        <v>0175</v>
      </c>
      <c r="J139" s="5" t="str">
        <f t="shared" si="4"/>
        <v>#REF!</v>
      </c>
      <c r="K139" s="5">
        <f>vlookup(E139,proj_fantasy_pts!D:P,13,)</f>
        <v>145.9</v>
      </c>
    </row>
    <row r="140">
      <c r="A140" s="50"/>
      <c r="B140" s="51" t="s">
        <v>2192</v>
      </c>
      <c r="C140" s="19" t="str">
        <f>vlookup(E140,'Player Codes'!A:D,4,)</f>
        <v>0302</v>
      </c>
      <c r="D140" s="33">
        <v>139.0</v>
      </c>
      <c r="E140" s="16" t="str">
        <f t="shared" si="7"/>
        <v>De'Von Achane</v>
      </c>
      <c r="F140" s="16" t="str">
        <f>IFERROR(__xludf.DUMMYFUNCTION("REGEXEXTRACT(B140,""[A-Z]{2,}"")"),"RB")</f>
        <v>RB</v>
      </c>
      <c r="G140" s="16" t="str">
        <f t="shared" si="2"/>
        <v>Dolphins</v>
      </c>
      <c r="H140" s="33">
        <v>50.0</v>
      </c>
      <c r="I140" s="19" t="str">
        <f t="shared" si="3"/>
        <v>0302</v>
      </c>
      <c r="J140" s="5" t="str">
        <f t="shared" si="4"/>
        <v>#REF!</v>
      </c>
      <c r="K140" s="2">
        <v>97.3</v>
      </c>
    </row>
    <row r="141">
      <c r="A141" s="50"/>
      <c r="B141" s="51" t="s">
        <v>2193</v>
      </c>
      <c r="C141" s="19" t="str">
        <f>vlookup(E141,'Player Codes'!A:D,4,)</f>
        <v>0193</v>
      </c>
      <c r="D141" s="33">
        <v>140.0</v>
      </c>
      <c r="E141" s="16" t="str">
        <f t="shared" si="7"/>
        <v>Kyler Murray</v>
      </c>
      <c r="F141" s="16" t="str">
        <f>IFERROR(__xludf.DUMMYFUNCTION("REGEXEXTRACT(B141,""[A-Z]{2,}"")"),"QB")</f>
        <v>QB</v>
      </c>
      <c r="G141" s="16" t="str">
        <f t="shared" si="2"/>
        <v>Cardinals</v>
      </c>
      <c r="H141" s="33">
        <v>20.0</v>
      </c>
      <c r="I141" s="19" t="str">
        <f t="shared" si="3"/>
        <v>0193</v>
      </c>
      <c r="J141" s="5" t="str">
        <f t="shared" si="4"/>
        <v>#REF!</v>
      </c>
      <c r="K141" s="5">
        <f>vlookup(E141,proj_fantasy_pts!D:P,13,)</f>
        <v>168.5</v>
      </c>
    </row>
    <row r="142">
      <c r="A142" s="50"/>
      <c r="B142" s="51" t="s">
        <v>2194</v>
      </c>
      <c r="C142" s="19" t="str">
        <f>vlookup(E142,'Player Codes'!A:D,4,)</f>
        <v>0115</v>
      </c>
      <c r="D142" s="33">
        <v>141.0</v>
      </c>
      <c r="E142" s="16" t="str">
        <f t="shared" si="7"/>
        <v>Gerald Everett</v>
      </c>
      <c r="F142" s="16" t="str">
        <f>IFERROR(__xludf.DUMMYFUNCTION("REGEXEXTRACT(B142,""[A-Z]{2,}"")"),"TE")</f>
        <v>TE</v>
      </c>
      <c r="G142" s="16" t="str">
        <f t="shared" si="2"/>
        <v>Chargers</v>
      </c>
      <c r="H142" s="33">
        <v>18.0</v>
      </c>
      <c r="I142" s="19" t="str">
        <f t="shared" si="3"/>
        <v>0115</v>
      </c>
      <c r="J142" s="5" t="str">
        <f t="shared" si="4"/>
        <v>#REF!</v>
      </c>
      <c r="K142" s="5">
        <f>vlookup(E142,proj_fantasy_pts!D:P,13,)</f>
        <v>91</v>
      </c>
    </row>
    <row r="143">
      <c r="A143" s="50"/>
      <c r="B143" s="51" t="s">
        <v>2195</v>
      </c>
      <c r="C143" s="19" t="str">
        <f>vlookup(E143,'Player Codes'!A:D,4,)</f>
        <v>0008</v>
      </c>
      <c r="D143" s="33">
        <v>142.0</v>
      </c>
      <c r="E143" s="16" t="str">
        <f t="shared" si="7"/>
        <v>Allen Lazard</v>
      </c>
      <c r="F143" s="16" t="str">
        <f>IFERROR(__xludf.DUMMYFUNCTION("REGEXEXTRACT(B143,""[A-Z]{2,}"")"),"WR")</f>
        <v>WR</v>
      </c>
      <c r="G143" s="16" t="str">
        <f t="shared" si="2"/>
        <v>Jets</v>
      </c>
      <c r="H143" s="33">
        <v>53.0</v>
      </c>
      <c r="I143" s="19" t="str">
        <f t="shared" si="3"/>
        <v>0008</v>
      </c>
      <c r="J143" s="5" t="str">
        <f t="shared" si="4"/>
        <v>#REF!</v>
      </c>
      <c r="K143" s="5">
        <f>vlookup(E143,proj_fantasy_pts!D:P,13,)</f>
        <v>126.3</v>
      </c>
    </row>
    <row r="144">
      <c r="A144" s="50"/>
      <c r="B144" s="51" t="s">
        <v>2196</v>
      </c>
      <c r="C144" s="19" t="str">
        <f>vlookup(E144,'Player Codes'!A:D,4,)</f>
        <v>0156</v>
      </c>
      <c r="D144" s="33">
        <v>143.0</v>
      </c>
      <c r="E144" s="16" t="str">
        <f t="shared" si="7"/>
        <v>Jerome Ford</v>
      </c>
      <c r="F144" s="16" t="str">
        <f>IFERROR(__xludf.DUMMYFUNCTION("REGEXEXTRACT(B144,""[A-Z]{2,}"")"),"RB")</f>
        <v>RB</v>
      </c>
      <c r="G144" s="16" t="str">
        <f t="shared" si="2"/>
        <v>Browns</v>
      </c>
      <c r="H144" s="33">
        <v>51.0</v>
      </c>
      <c r="I144" s="19" t="str">
        <f t="shared" si="3"/>
        <v>0156</v>
      </c>
      <c r="J144" s="5" t="str">
        <f t="shared" si="4"/>
        <v>#REF!</v>
      </c>
      <c r="K144" s="5">
        <f>vlookup(E144,proj_fantasy_pts!D:P,13,)</f>
        <v>74</v>
      </c>
    </row>
    <row r="145">
      <c r="A145" s="50"/>
      <c r="B145" s="51" t="s">
        <v>2197</v>
      </c>
      <c r="C145" s="19" t="str">
        <f>vlookup(E145,'Player Codes'!A:D,4,)</f>
        <v>0219</v>
      </c>
      <c r="D145" s="33">
        <v>144.0</v>
      </c>
      <c r="E145" s="16" t="str">
        <f t="shared" si="7"/>
        <v>Mike Gesicki</v>
      </c>
      <c r="F145" s="16" t="str">
        <f>IFERROR(__xludf.DUMMYFUNCTION("REGEXEXTRACT(B145,""[A-Z]{2,}"")"),"TE")</f>
        <v>TE</v>
      </c>
      <c r="G145" s="16" t="str">
        <f t="shared" si="2"/>
        <v>Patriots</v>
      </c>
      <c r="H145" s="33">
        <v>19.0</v>
      </c>
      <c r="I145" s="19" t="str">
        <f t="shared" si="3"/>
        <v>0219</v>
      </c>
      <c r="J145" s="5" t="str">
        <f t="shared" si="4"/>
        <v>#REF!</v>
      </c>
      <c r="K145" s="5">
        <f>vlookup(E145,proj_fantasy_pts!D:P,13,)</f>
        <v>74.6</v>
      </c>
    </row>
    <row r="146">
      <c r="A146" s="50"/>
      <c r="B146" s="51" t="s">
        <v>2198</v>
      </c>
      <c r="C146" s="19" t="str">
        <f>vlookup(E146,'Player Codes'!A:D,4,)</f>
        <v>0108</v>
      </c>
      <c r="D146" s="33">
        <v>145.0</v>
      </c>
      <c r="E146" s="16" t="str">
        <f t="shared" si="7"/>
        <v>Evan McPherson</v>
      </c>
      <c r="F146" s="33" t="s">
        <v>516</v>
      </c>
      <c r="G146" s="16" t="str">
        <f t="shared" si="2"/>
        <v>Bengals</v>
      </c>
      <c r="H146" s="33">
        <v>2.0</v>
      </c>
      <c r="I146" s="19" t="str">
        <f t="shared" si="3"/>
        <v>0108</v>
      </c>
      <c r="J146" s="5" t="str">
        <f t="shared" si="4"/>
        <v>#REF!</v>
      </c>
      <c r="K146" s="5">
        <f>vlookup(E146,proj_fantasy_pts!D:P,13,)</f>
        <v>139.8</v>
      </c>
    </row>
    <row r="147">
      <c r="A147" s="50"/>
      <c r="B147" s="51" t="s">
        <v>2199</v>
      </c>
      <c r="C147" s="19" t="str">
        <f>vlookup(E147,'Player Codes'!A:D,4,)</f>
        <v>0128</v>
      </c>
      <c r="D147" s="33">
        <v>146.0</v>
      </c>
      <c r="E147" s="16" t="str">
        <f t="shared" si="7"/>
        <v>Irv Smith Jr.</v>
      </c>
      <c r="F147" s="16" t="str">
        <f>IFERROR(__xludf.DUMMYFUNCTION("REGEXEXTRACT(B147,""[A-Z]{2,}"")"),"TE")</f>
        <v>TE</v>
      </c>
      <c r="G147" s="16" t="str">
        <f t="shared" si="2"/>
        <v>Bengals</v>
      </c>
      <c r="H147" s="33">
        <v>20.0</v>
      </c>
      <c r="I147" s="19" t="str">
        <f t="shared" si="3"/>
        <v>0128</v>
      </c>
      <c r="J147" s="5" t="str">
        <f t="shared" si="4"/>
        <v>#REF!</v>
      </c>
      <c r="K147" s="5">
        <f>vlookup(E147,proj_fantasy_pts!D:P,13,)</f>
        <v>92.8</v>
      </c>
    </row>
    <row r="148">
      <c r="A148" s="50"/>
      <c r="B148" s="51" t="s">
        <v>2200</v>
      </c>
      <c r="C148" s="19" t="str">
        <f>vlookup(E148,'Player Codes'!A:D,4,)</f>
        <v>0299</v>
      </c>
      <c r="D148" s="33">
        <v>147.0</v>
      </c>
      <c r="E148" s="16" t="str">
        <f t="shared" si="7"/>
        <v>Zay Flowers</v>
      </c>
      <c r="F148" s="16" t="str">
        <f>IFERROR(__xludf.DUMMYFUNCTION("REGEXEXTRACT(B148,""[A-Z]{2,}"")"),"WR")</f>
        <v>WR</v>
      </c>
      <c r="G148" s="16" t="str">
        <f t="shared" si="2"/>
        <v>Ravens</v>
      </c>
      <c r="H148" s="33">
        <v>54.0</v>
      </c>
      <c r="I148" s="19" t="str">
        <f t="shared" si="3"/>
        <v>0299</v>
      </c>
      <c r="J148" s="5" t="str">
        <f t="shared" si="4"/>
        <v>#REF!</v>
      </c>
      <c r="K148" s="5">
        <f>vlookup(E148,proj_fantasy_pts!D:P,13,)</f>
        <v>110.8</v>
      </c>
    </row>
    <row r="149">
      <c r="A149" s="50"/>
      <c r="B149" s="51" t="s">
        <v>2201</v>
      </c>
      <c r="C149" s="19" t="str">
        <f>vlookup(E149,'Player Codes'!A:D,4,)</f>
        <v>0176</v>
      </c>
      <c r="D149" s="33">
        <v>148.0</v>
      </c>
      <c r="E149" s="16" t="str">
        <f t="shared" si="7"/>
        <v>Juwan Johnson</v>
      </c>
      <c r="F149" s="16" t="str">
        <f>IFERROR(__xludf.DUMMYFUNCTION("REGEXEXTRACT(B149,""[A-Z]{2,}"")"),"TE")</f>
        <v>TE</v>
      </c>
      <c r="G149" s="16" t="str">
        <f t="shared" si="2"/>
        <v>Saints</v>
      </c>
      <c r="H149" s="33">
        <v>21.0</v>
      </c>
      <c r="I149" s="19" t="str">
        <f t="shared" si="3"/>
        <v>0176</v>
      </c>
      <c r="J149" s="5" t="str">
        <f t="shared" si="4"/>
        <v>#REF!</v>
      </c>
      <c r="K149" s="5">
        <f>vlookup(E149,proj_fantasy_pts!D:P,13,)</f>
        <v>88.9</v>
      </c>
    </row>
    <row r="150">
      <c r="A150" s="50"/>
      <c r="B150" s="58" t="s">
        <v>2202</v>
      </c>
      <c r="C150" s="19" t="str">
        <f>vlookup(E150,'Player Codes'!A:D,4,)</f>
        <v>0258</v>
      </c>
      <c r="D150" s="33">
        <v>149.0</v>
      </c>
      <c r="E150" s="16" t="str">
        <f t="shared" si="7"/>
        <v>49ers D/ST</v>
      </c>
      <c r="F150" s="16" t="str">
        <f>IFERROR(__xludf.DUMMYFUNCTION("REGEXEXTRACT(B150,""[A-Z]{2,}"")"),"ST")</f>
        <v>ST</v>
      </c>
      <c r="G150" s="16" t="str">
        <f t="shared" si="2"/>
        <v>49ers</v>
      </c>
      <c r="H150" s="33">
        <v>1.0</v>
      </c>
      <c r="I150" s="19" t="str">
        <f t="shared" si="3"/>
        <v>0258</v>
      </c>
      <c r="J150" s="5" t="str">
        <f t="shared" si="4"/>
        <v>#REF!</v>
      </c>
      <c r="K150" s="2">
        <v>130.6</v>
      </c>
    </row>
    <row r="151">
      <c r="A151" s="50"/>
      <c r="B151" s="51" t="s">
        <v>2203</v>
      </c>
      <c r="C151" s="19" t="str">
        <f>vlookup(E151,'Player Codes'!A:D,4,)</f>
        <v>0099</v>
      </c>
      <c r="D151" s="33">
        <v>150.0</v>
      </c>
      <c r="E151" s="16" t="str">
        <f t="shared" si="7"/>
        <v>DJ Chark Jr.</v>
      </c>
      <c r="F151" s="16" t="str">
        <f>IFERROR(__xludf.DUMMYFUNCTION("REGEXEXTRACT(B151,""[A-Z]{2,}"")"),"DJ")</f>
        <v>DJ</v>
      </c>
      <c r="G151" s="16" t="str">
        <f t="shared" si="2"/>
        <v>Panthers</v>
      </c>
      <c r="H151" s="33">
        <v>55.0</v>
      </c>
      <c r="I151" s="19" t="str">
        <f t="shared" si="3"/>
        <v>0099</v>
      </c>
      <c r="J151" s="5" t="str">
        <f t="shared" si="4"/>
        <v>#REF!</v>
      </c>
      <c r="K151" s="5">
        <f>vlookup(E151,proj_fantasy_pts!D:P,13,)</f>
        <v>105.8</v>
      </c>
    </row>
    <row r="152">
      <c r="A152" s="50"/>
      <c r="B152" s="51" t="s">
        <v>2204</v>
      </c>
      <c r="C152" s="19" t="str">
        <f>vlookup(E152,'Player Codes'!A:D,4,)</f>
        <v>0123</v>
      </c>
      <c r="D152" s="33">
        <v>151.0</v>
      </c>
      <c r="E152" s="16" t="str">
        <f t="shared" si="7"/>
        <v>Hayden Hurst</v>
      </c>
      <c r="F152" s="16" t="str">
        <f>IFERROR(__xludf.DUMMYFUNCTION("REGEXEXTRACT(B152,""[A-Z]{2,}"")"),"TE")</f>
        <v>TE</v>
      </c>
      <c r="G152" s="16" t="str">
        <f t="shared" si="2"/>
        <v>Panthers</v>
      </c>
      <c r="H152" s="33">
        <v>22.0</v>
      </c>
      <c r="I152" s="19" t="str">
        <f t="shared" si="3"/>
        <v>0123</v>
      </c>
      <c r="J152" s="5" t="str">
        <f t="shared" si="4"/>
        <v>#REF!</v>
      </c>
      <c r="K152" s="5">
        <f>vlookup(E152,proj_fantasy_pts!D:P,13,)</f>
        <v>81.8</v>
      </c>
    </row>
    <row r="153">
      <c r="A153" s="50"/>
      <c r="B153" s="51" t="s">
        <v>2205</v>
      </c>
      <c r="C153" s="19" t="str">
        <f>vlookup(E153,'Player Codes'!A:D,4,)</f>
        <v>0084</v>
      </c>
      <c r="D153" s="33">
        <v>152.0</v>
      </c>
      <c r="E153" s="16" t="str">
        <f t="shared" si="7"/>
        <v>Dawson Knox</v>
      </c>
      <c r="F153" s="16" t="str">
        <f>IFERROR(__xludf.DUMMYFUNCTION("REGEXEXTRACT(B153,""[A-Z]{2,}"")"),"TE")</f>
        <v>TE</v>
      </c>
      <c r="G153" s="16" t="str">
        <f t="shared" si="2"/>
        <v>Bills</v>
      </c>
      <c r="H153" s="33">
        <v>23.0</v>
      </c>
      <c r="I153" s="19" t="str">
        <f t="shared" si="3"/>
        <v>0084</v>
      </c>
      <c r="J153" s="5" t="str">
        <f t="shared" si="4"/>
        <v>#REF!</v>
      </c>
      <c r="K153" s="5">
        <f>vlookup(E153,proj_fantasy_pts!D:P,13,)</f>
        <v>83.9</v>
      </c>
    </row>
    <row r="154">
      <c r="A154" s="50"/>
      <c r="B154" s="51" t="s">
        <v>2206</v>
      </c>
      <c r="C154" s="19" t="str">
        <f>vlookup(E154,'Player Codes'!A:D,4,)</f>
        <v>0262</v>
      </c>
      <c r="D154" s="33">
        <v>153.0</v>
      </c>
      <c r="E154" s="16" t="str">
        <f t="shared" si="7"/>
        <v>Skyy Moore</v>
      </c>
      <c r="F154" s="16" t="str">
        <f>IFERROR(__xludf.DUMMYFUNCTION("REGEXEXTRACT(B154,""[A-Z]{2,}"")"),"WR")</f>
        <v>WR</v>
      </c>
      <c r="G154" s="16" t="str">
        <f t="shared" si="2"/>
        <v>Chiefs</v>
      </c>
      <c r="H154" s="33">
        <v>56.0</v>
      </c>
      <c r="I154" s="19" t="str">
        <f t="shared" si="3"/>
        <v>0262</v>
      </c>
      <c r="J154" s="5" t="str">
        <f t="shared" si="4"/>
        <v>#REF!</v>
      </c>
      <c r="K154" s="5">
        <f>vlookup(E154,proj_fantasy_pts!D:P,13,)</f>
        <v>112.5</v>
      </c>
    </row>
    <row r="155">
      <c r="A155" s="50"/>
      <c r="B155" s="58" t="s">
        <v>2207</v>
      </c>
      <c r="C155" s="19" t="str">
        <f>vlookup(E155,'Player Codes'!A:D,4,)</f>
        <v>0031</v>
      </c>
      <c r="D155" s="33">
        <v>154.0</v>
      </c>
      <c r="E155" s="16" t="str">
        <f t="shared" si="7"/>
        <v>Bills D/ST</v>
      </c>
      <c r="F155" s="16" t="str">
        <f>IFERROR(__xludf.DUMMYFUNCTION("REGEXEXTRACT(B155,""[A-Z]{2,}"")"),"ST")</f>
        <v>ST</v>
      </c>
      <c r="G155" s="16" t="str">
        <f t="shared" si="2"/>
        <v>Bills</v>
      </c>
      <c r="H155" s="33">
        <v>2.0</v>
      </c>
      <c r="I155" s="19" t="str">
        <f t="shared" si="3"/>
        <v>0031</v>
      </c>
      <c r="J155" s="5" t="str">
        <f t="shared" si="4"/>
        <v>#REF!</v>
      </c>
      <c r="K155" s="2">
        <v>121.1</v>
      </c>
    </row>
    <row r="156">
      <c r="A156" s="50"/>
      <c r="B156" s="51" t="s">
        <v>2208</v>
      </c>
      <c r="C156" s="19" t="str">
        <f>vlookup(E156,'Player Codes'!A:D,4,)</f>
        <v>0183</v>
      </c>
      <c r="D156" s="33">
        <v>155.0</v>
      </c>
      <c r="E156" s="16" t="str">
        <f t="shared" si="7"/>
        <v>Kendre Miller</v>
      </c>
      <c r="F156" s="16" t="str">
        <f>IFERROR(__xludf.DUMMYFUNCTION("REGEXEXTRACT(B156,""[A-Z]{2,}"")"),"RB")</f>
        <v>RB</v>
      </c>
      <c r="G156" s="16" t="str">
        <f t="shared" si="2"/>
        <v>Saints</v>
      </c>
      <c r="H156" s="33">
        <v>52.0</v>
      </c>
      <c r="I156" s="19" t="str">
        <f t="shared" si="3"/>
        <v>0183</v>
      </c>
      <c r="J156" s="5" t="str">
        <f t="shared" si="4"/>
        <v>#REF!</v>
      </c>
      <c r="K156" s="5">
        <f>vlookup(E156,proj_fantasy_pts!D:P,13,)</f>
        <v>92.9</v>
      </c>
    </row>
    <row r="157">
      <c r="A157" s="50"/>
      <c r="B157" s="51" t="s">
        <v>2209</v>
      </c>
      <c r="C157" s="19" t="str">
        <f>vlookup(E157,'Player Codes'!A:D,4,)</f>
        <v>0213</v>
      </c>
      <c r="D157" s="33">
        <v>156.0</v>
      </c>
      <c r="E157" s="16" t="str">
        <f t="shared" si="7"/>
        <v>Michael Gallup</v>
      </c>
      <c r="F157" s="16" t="str">
        <f>IFERROR(__xludf.DUMMYFUNCTION("REGEXEXTRACT(B157,""[A-Z]{2,}"")"),"WR")</f>
        <v>WR</v>
      </c>
      <c r="G157" s="16" t="str">
        <f t="shared" si="2"/>
        <v>Cowboys</v>
      </c>
      <c r="H157" s="33">
        <v>57.0</v>
      </c>
      <c r="I157" s="19" t="str">
        <f t="shared" si="3"/>
        <v>0213</v>
      </c>
      <c r="J157" s="5" t="str">
        <f t="shared" si="4"/>
        <v>#REF!</v>
      </c>
      <c r="K157" s="5">
        <f>vlookup(E157,proj_fantasy_pts!D:P,13,)</f>
        <v>105.7</v>
      </c>
    </row>
    <row r="158">
      <c r="A158" s="50"/>
      <c r="B158" s="51" t="s">
        <v>2210</v>
      </c>
      <c r="C158" s="19" t="str">
        <f>vlookup(E158,'Player Codes'!A:D,4,)</f>
        <v>0076</v>
      </c>
      <c r="D158" s="33">
        <v>157.0</v>
      </c>
      <c r="E158" s="16" t="str">
        <f t="shared" si="7"/>
        <v>Daniel Carlson</v>
      </c>
      <c r="F158" s="33" t="s">
        <v>516</v>
      </c>
      <c r="G158" s="16" t="str">
        <f t="shared" si="2"/>
        <v>Raiders</v>
      </c>
      <c r="H158" s="33">
        <v>3.0</v>
      </c>
      <c r="I158" s="19" t="str">
        <f t="shared" si="3"/>
        <v>0076</v>
      </c>
      <c r="J158" s="5" t="str">
        <f t="shared" si="4"/>
        <v>#REF!</v>
      </c>
      <c r="K158" s="5">
        <f>vlookup(E158,proj_fantasy_pts!D:P,13,)</f>
        <v>135.7</v>
      </c>
    </row>
    <row r="159">
      <c r="A159" s="50"/>
      <c r="B159" s="51" t="s">
        <v>2211</v>
      </c>
      <c r="C159" s="19" t="str">
        <f>vlookup(E159,'Player Codes'!A:D,4,)</f>
        <v>0145</v>
      </c>
      <c r="D159" s="33">
        <v>158.0</v>
      </c>
      <c r="E159" s="16" t="str">
        <f t="shared" si="7"/>
        <v>Jameson Williams</v>
      </c>
      <c r="F159" s="16" t="str">
        <f>IFERROR(__xludf.DUMMYFUNCTION("REGEXEXTRACT(B159,""[A-Z]{2,}"")"),"WR")</f>
        <v>WR</v>
      </c>
      <c r="G159" s="16" t="str">
        <f t="shared" si="2"/>
        <v>Lions</v>
      </c>
      <c r="H159" s="33">
        <v>58.0</v>
      </c>
      <c r="I159" s="19" t="str">
        <f t="shared" si="3"/>
        <v>0145</v>
      </c>
      <c r="J159" s="5" t="str">
        <f t="shared" si="4"/>
        <v>#REF!</v>
      </c>
      <c r="K159" s="5">
        <f>vlookup(E159,proj_fantasy_pts!D:P,13,)</f>
        <v>100.6</v>
      </c>
    </row>
    <row r="160">
      <c r="A160" s="50"/>
      <c r="B160" s="58" t="s">
        <v>2212</v>
      </c>
      <c r="C160" s="19" t="str">
        <f>vlookup(E160,'Player Codes'!A:D,4,)</f>
        <v>0069</v>
      </c>
      <c r="D160" s="33">
        <v>159.0</v>
      </c>
      <c r="E160" s="16" t="str">
        <f t="shared" si="7"/>
        <v>Cowboys D/ST</v>
      </c>
      <c r="F160" s="16" t="str">
        <f>IFERROR(__xludf.DUMMYFUNCTION("REGEXEXTRACT(B160,""[A-Z]{2,}"")"),"ST")</f>
        <v>ST</v>
      </c>
      <c r="G160" s="16" t="str">
        <f t="shared" si="2"/>
        <v>Cowboys</v>
      </c>
      <c r="H160" s="33">
        <v>3.0</v>
      </c>
      <c r="I160" s="19" t="str">
        <f t="shared" si="3"/>
        <v>0069</v>
      </c>
      <c r="J160" s="5" t="str">
        <f t="shared" si="4"/>
        <v>#REF!</v>
      </c>
      <c r="K160" s="2">
        <v>132.3</v>
      </c>
    </row>
    <row r="161">
      <c r="A161" s="50"/>
      <c r="B161" s="51" t="s">
        <v>2213</v>
      </c>
      <c r="C161" s="19" t="str">
        <f>vlookup(E161,'Player Codes'!A:D,4,)</f>
        <v>0057</v>
      </c>
      <c r="D161" s="33">
        <v>160.0</v>
      </c>
      <c r="E161" s="16" t="str">
        <f t="shared" si="7"/>
        <v>Chuba Hubbard</v>
      </c>
      <c r="F161" s="16" t="str">
        <f>IFERROR(__xludf.DUMMYFUNCTION("REGEXEXTRACT(B161,""[A-Z]{2,}"")"),"RB")</f>
        <v>RB</v>
      </c>
      <c r="G161" s="16" t="str">
        <f t="shared" si="2"/>
        <v>Panthers</v>
      </c>
      <c r="H161" s="33">
        <v>53.0</v>
      </c>
      <c r="I161" s="19" t="str">
        <f t="shared" si="3"/>
        <v>0057</v>
      </c>
      <c r="J161" s="5" t="str">
        <f t="shared" si="4"/>
        <v>#REF!</v>
      </c>
      <c r="K161" s="5">
        <f>vlookup(E161,proj_fantasy_pts!D:P,13,)</f>
        <v>83.8</v>
      </c>
    </row>
    <row r="162">
      <c r="A162" s="50"/>
      <c r="B162" s="51" t="s">
        <v>2214</v>
      </c>
      <c r="C162" s="19" t="str">
        <f>vlookup(E162,'Player Codes'!A:D,4,)</f>
        <v>0285</v>
      </c>
      <c r="D162" s="33">
        <v>161.0</v>
      </c>
      <c r="E162" s="16" t="str">
        <f t="shared" si="7"/>
        <v>Tyler Bass</v>
      </c>
      <c r="F162" s="33" t="s">
        <v>516</v>
      </c>
      <c r="G162" s="16" t="str">
        <f t="shared" si="2"/>
        <v>Bills</v>
      </c>
      <c r="H162" s="33">
        <v>4.0</v>
      </c>
      <c r="I162" s="19" t="str">
        <f t="shared" si="3"/>
        <v>0285</v>
      </c>
      <c r="J162" s="5" t="str">
        <f t="shared" si="4"/>
        <v>#REF!</v>
      </c>
      <c r="K162" s="5">
        <f>vlookup(E162,proj_fantasy_pts!D:P,13,)</f>
        <v>138.5</v>
      </c>
    </row>
    <row r="163">
      <c r="A163" s="50"/>
      <c r="B163" s="58" t="s">
        <v>2215</v>
      </c>
      <c r="C163" s="19" t="str">
        <f>vlookup(E163,'Player Codes'!A:D,4,)</f>
        <v>0236</v>
      </c>
      <c r="D163" s="33">
        <v>162.0</v>
      </c>
      <c r="E163" s="16" t="str">
        <f t="shared" si="7"/>
        <v>Eagles D/ST</v>
      </c>
      <c r="F163" s="16" t="str">
        <f>IFERROR(__xludf.DUMMYFUNCTION("REGEXEXTRACT(B163,""[A-Z]{2,}"")"),"ST")</f>
        <v>ST</v>
      </c>
      <c r="G163" s="16" t="str">
        <f t="shared" si="2"/>
        <v>Eagles</v>
      </c>
      <c r="H163" s="33">
        <v>4.0</v>
      </c>
      <c r="I163" s="19" t="str">
        <f t="shared" si="3"/>
        <v>0236</v>
      </c>
      <c r="J163" s="5" t="str">
        <f t="shared" si="4"/>
        <v>#REF!</v>
      </c>
      <c r="K163" s="2">
        <v>130.2</v>
      </c>
    </row>
    <row r="164">
      <c r="A164" s="50"/>
      <c r="B164" s="51" t="s">
        <v>2216</v>
      </c>
      <c r="C164" s="19" t="str">
        <f>vlookup(E164,'Player Codes'!A:D,4,)</f>
        <v>0286</v>
      </c>
      <c r="D164" s="33">
        <v>163.0</v>
      </c>
      <c r="E164" s="16" t="str">
        <f t="shared" si="7"/>
        <v>Tyler Boyd</v>
      </c>
      <c r="F164" s="16" t="str">
        <f>IFERROR(__xludf.DUMMYFUNCTION("REGEXEXTRACT(B164,""[A-Z]{2,}"")"),"WR")</f>
        <v>WR</v>
      </c>
      <c r="G164" s="16" t="str">
        <f t="shared" si="2"/>
        <v>Bengals</v>
      </c>
      <c r="H164" s="33">
        <v>59.0</v>
      </c>
      <c r="I164" s="19" t="str">
        <f t="shared" si="3"/>
        <v>0286</v>
      </c>
      <c r="J164" s="5" t="str">
        <f t="shared" si="4"/>
        <v>#REF!</v>
      </c>
      <c r="K164" s="5">
        <f>vlookup(E164,proj_fantasy_pts!D:P,13,)</f>
        <v>103</v>
      </c>
    </row>
    <row r="165">
      <c r="A165" s="50"/>
      <c r="B165" s="51" t="s">
        <v>2217</v>
      </c>
      <c r="C165" s="19" t="str">
        <f>vlookup(E165,'Player Codes'!A:D,4,)</f>
        <v>0300</v>
      </c>
      <c r="D165" s="33">
        <v>164.0</v>
      </c>
      <c r="E165" s="16" t="str">
        <f t="shared" si="7"/>
        <v>Zay Jones</v>
      </c>
      <c r="F165" s="16" t="str">
        <f>IFERROR(__xludf.DUMMYFUNCTION("REGEXEXTRACT(B165,""[A-Z]{2,}"")"),"WR")</f>
        <v>WR</v>
      </c>
      <c r="G165" s="16" t="str">
        <f t="shared" si="2"/>
        <v>Jaguars</v>
      </c>
      <c r="H165" s="33">
        <v>60.0</v>
      </c>
      <c r="I165" s="19" t="str">
        <f t="shared" si="3"/>
        <v>0300</v>
      </c>
      <c r="J165" s="5" t="str">
        <f t="shared" si="4"/>
        <v>#REF!</v>
      </c>
      <c r="K165" s="5">
        <f>vlookup(E165,proj_fantasy_pts!D:P,13,)</f>
        <v>108.8</v>
      </c>
    </row>
    <row r="166">
      <c r="A166" s="50"/>
      <c r="B166" s="51" t="s">
        <v>2218</v>
      </c>
      <c r="C166" s="19" t="str">
        <f>vlookup(E166,'Player Codes'!A:D,4,)</f>
        <v>0187</v>
      </c>
      <c r="D166" s="33">
        <v>165.0</v>
      </c>
      <c r="E166" s="16" t="str">
        <f t="shared" si="7"/>
        <v>Kenny Pickett</v>
      </c>
      <c r="F166" s="16" t="str">
        <f>IFERROR(__xludf.DUMMYFUNCTION("REGEXEXTRACT(B166,""[A-Z]{2,}"")"),"QB")</f>
        <v>QB</v>
      </c>
      <c r="G166" s="16" t="str">
        <f t="shared" si="2"/>
        <v>Steelers</v>
      </c>
      <c r="H166" s="33">
        <v>21.0</v>
      </c>
      <c r="I166" s="19" t="str">
        <f t="shared" si="3"/>
        <v>0187</v>
      </c>
      <c r="J166" s="5" t="str">
        <f t="shared" si="4"/>
        <v>#REF!</v>
      </c>
      <c r="K166" s="5">
        <f>vlookup(E166,proj_fantasy_pts!D:P,13,)</f>
        <v>238.3</v>
      </c>
    </row>
    <row r="167">
      <c r="A167" s="50"/>
      <c r="B167" s="51" t="s">
        <v>2219</v>
      </c>
      <c r="C167" s="19" t="str">
        <f>vlookup(E167,'Player Codes'!A:D,4,)</f>
        <v>0266</v>
      </c>
      <c r="D167" s="33">
        <v>166.0</v>
      </c>
      <c r="E167" s="16" t="str">
        <f t="shared" si="7"/>
        <v>Tank Bigsby</v>
      </c>
      <c r="F167" s="16" t="str">
        <f>IFERROR(__xludf.DUMMYFUNCTION("REGEXEXTRACT(B167,""[A-Z]{2,}"")"),"RB")</f>
        <v>RB</v>
      </c>
      <c r="G167" s="16" t="str">
        <f t="shared" si="2"/>
        <v>Jaguars</v>
      </c>
      <c r="H167" s="33">
        <v>54.0</v>
      </c>
      <c r="I167" s="19" t="str">
        <f t="shared" si="3"/>
        <v>0266</v>
      </c>
      <c r="J167" s="5" t="str">
        <f t="shared" si="4"/>
        <v>#REF!</v>
      </c>
      <c r="K167" s="5">
        <f>vlookup(E167,proj_fantasy_pts!D:P,13,)</f>
        <v>112.2</v>
      </c>
    </row>
    <row r="168">
      <c r="A168" s="50"/>
      <c r="B168" s="51" t="s">
        <v>2220</v>
      </c>
      <c r="C168" s="19" t="str">
        <f>vlookup(E168,'Player Codes'!A:D,4,)</f>
        <v>0122</v>
      </c>
      <c r="D168" s="33">
        <v>167.0</v>
      </c>
      <c r="E168" s="33" t="str">
        <f t="shared" si="7"/>
        <v>Harrison Butker</v>
      </c>
      <c r="F168" s="33" t="s">
        <v>516</v>
      </c>
      <c r="G168" s="16" t="str">
        <f t="shared" si="2"/>
        <v>Chiefs</v>
      </c>
      <c r="H168" s="33">
        <v>5.0</v>
      </c>
      <c r="I168" s="19" t="str">
        <f t="shared" si="3"/>
        <v>0122</v>
      </c>
      <c r="J168" s="5" t="str">
        <f t="shared" si="4"/>
        <v>#REF!</v>
      </c>
      <c r="K168" s="5">
        <f>vlookup(E168,proj_fantasy_pts!D:P,13,)</f>
        <v>143.8</v>
      </c>
    </row>
    <row r="169">
      <c r="A169" s="50"/>
      <c r="B169" s="51" t="s">
        <v>2221</v>
      </c>
      <c r="C169" s="19" t="str">
        <f>vlookup(E169,'Player Codes'!A:D,4,)</f>
        <v>0088</v>
      </c>
      <c r="D169" s="33">
        <v>168.0</v>
      </c>
      <c r="E169" s="33" t="str">
        <f t="shared" si="7"/>
        <v>Derek Carr</v>
      </c>
      <c r="F169" s="16" t="str">
        <f>IFERROR(__xludf.DUMMYFUNCTION("REGEXEXTRACT(B169,""[A-Z]{2,}"")"),"QB")</f>
        <v>QB</v>
      </c>
      <c r="G169" s="16" t="str">
        <f t="shared" si="2"/>
        <v>Saints</v>
      </c>
      <c r="H169" s="33">
        <v>22.0</v>
      </c>
      <c r="I169" s="19" t="str">
        <f t="shared" si="3"/>
        <v>0088</v>
      </c>
      <c r="J169" s="5" t="str">
        <f t="shared" si="4"/>
        <v>#REF!</v>
      </c>
      <c r="K169" s="5">
        <f>vlookup(E169,proj_fantasy_pts!D:P,13,)</f>
        <v>238.4</v>
      </c>
    </row>
    <row r="170">
      <c r="A170" s="50"/>
      <c r="B170" s="51" t="s">
        <v>2222</v>
      </c>
      <c r="C170" s="19" t="str">
        <f>vlookup(E170,'Player Codes'!A:D,4,)</f>
        <v>0232</v>
      </c>
      <c r="D170" s="33">
        <v>169.0</v>
      </c>
      <c r="E170" s="33" t="str">
        <f t="shared" si="7"/>
        <v>Odell Beckham Jr.</v>
      </c>
      <c r="F170" s="16" t="str">
        <f>IFERROR(__xludf.DUMMYFUNCTION("REGEXEXTRACT(B170,""[A-Z]{2,}"")"),"WR")</f>
        <v>WR</v>
      </c>
      <c r="G170" s="16" t="str">
        <f t="shared" si="2"/>
        <v>Ravens</v>
      </c>
      <c r="H170" s="33">
        <v>61.0</v>
      </c>
      <c r="I170" s="19" t="str">
        <f t="shared" si="3"/>
        <v>0232</v>
      </c>
      <c r="J170" s="5" t="str">
        <f t="shared" si="4"/>
        <v>#REF!</v>
      </c>
      <c r="K170" s="5">
        <f>vlookup(E170,proj_fantasy_pts!D:P,13,)</f>
        <v>104.7</v>
      </c>
    </row>
    <row r="171">
      <c r="A171" s="50"/>
      <c r="B171" s="51" t="s">
        <v>2223</v>
      </c>
      <c r="C171" s="19" t="str">
        <f>vlookup(E171,'Player Codes'!A:D,4,)</f>
        <v>0166</v>
      </c>
      <c r="D171" s="33">
        <v>170.0</v>
      </c>
      <c r="E171" s="33" t="str">
        <f t="shared" si="7"/>
        <v>Jordan Love</v>
      </c>
      <c r="F171" s="16" t="str">
        <f>IFERROR(__xludf.DUMMYFUNCTION("REGEXEXTRACT(B171,""[A-Z]{2,}"")"),"QB")</f>
        <v>QB</v>
      </c>
      <c r="G171" s="16" t="str">
        <f t="shared" si="2"/>
        <v>Packers</v>
      </c>
      <c r="H171" s="33">
        <v>23.0</v>
      </c>
      <c r="I171" s="19" t="str">
        <f t="shared" si="3"/>
        <v>0166</v>
      </c>
      <c r="J171" s="5" t="str">
        <f t="shared" si="4"/>
        <v>#REF!</v>
      </c>
      <c r="K171" s="5">
        <f>vlookup(E171,proj_fantasy_pts!D:P,13,)</f>
        <v>234.5</v>
      </c>
    </row>
    <row r="172">
      <c r="A172" s="50"/>
      <c r="B172" s="58" t="s">
        <v>2224</v>
      </c>
      <c r="C172" s="19" t="str">
        <f>vlookup(E172,'Player Codes'!A:D,4,)</f>
        <v>0020</v>
      </c>
      <c r="D172" s="33">
        <v>171.0</v>
      </c>
      <c r="E172" s="16" t="str">
        <f t="shared" si="7"/>
        <v>Ravens D/ST</v>
      </c>
      <c r="F172" s="16" t="str">
        <f>IFERROR(__xludf.DUMMYFUNCTION("REGEXEXTRACT(B172,""[A-Z]{2,}"")"),"ST")</f>
        <v>ST</v>
      </c>
      <c r="G172" s="16" t="str">
        <f t="shared" si="2"/>
        <v>Ravens</v>
      </c>
      <c r="H172" s="33">
        <v>5.0</v>
      </c>
      <c r="I172" s="19" t="str">
        <f t="shared" si="3"/>
        <v>0020</v>
      </c>
      <c r="J172" s="5" t="str">
        <f t="shared" si="4"/>
        <v>#REF!</v>
      </c>
      <c r="K172" s="2">
        <v>126.8</v>
      </c>
    </row>
    <row r="173">
      <c r="A173" s="50"/>
      <c r="B173" s="51" t="s">
        <v>2225</v>
      </c>
      <c r="C173" s="19" t="str">
        <f>vlookup(E173,'Player Codes'!A:D,4,)</f>
        <v>0185</v>
      </c>
      <c r="D173" s="33">
        <v>172.0</v>
      </c>
      <c r="E173" s="33" t="str">
        <f t="shared" si="7"/>
        <v>Kenneth Gainwell</v>
      </c>
      <c r="F173" s="16" t="str">
        <f>IFERROR(__xludf.DUMMYFUNCTION("REGEXEXTRACT(B173,""[A-Z]{2,}"")"),"RB")</f>
        <v>RB</v>
      </c>
      <c r="G173" s="16" t="str">
        <f t="shared" si="2"/>
        <v>Eagles</v>
      </c>
      <c r="H173" s="33">
        <v>55.0</v>
      </c>
      <c r="I173" s="19" t="str">
        <f t="shared" si="3"/>
        <v>0185</v>
      </c>
      <c r="J173" s="5" t="str">
        <f t="shared" si="4"/>
        <v>#REF!</v>
      </c>
      <c r="K173" s="5">
        <f>vlookup(E173,proj_fantasy_pts!D:P,13,)</f>
        <v>100</v>
      </c>
    </row>
    <row r="174">
      <c r="A174" s="50"/>
      <c r="B174" s="51" t="s">
        <v>2226</v>
      </c>
      <c r="C174" s="19" t="str">
        <f>vlookup(E174,'Player Codes'!A:D,4,)</f>
        <v>0148</v>
      </c>
      <c r="D174" s="33">
        <v>173.0</v>
      </c>
      <c r="E174" s="33" t="str">
        <f t="shared" si="7"/>
        <v>Jason Sanders</v>
      </c>
      <c r="F174" s="33" t="s">
        <v>516</v>
      </c>
      <c r="G174" s="16" t="str">
        <f t="shared" si="2"/>
        <v>Dolphins</v>
      </c>
      <c r="H174" s="33">
        <v>6.0</v>
      </c>
      <c r="I174" s="19" t="str">
        <f t="shared" si="3"/>
        <v>0148</v>
      </c>
      <c r="J174" s="5" t="str">
        <f t="shared" si="4"/>
        <v>#REF!</v>
      </c>
      <c r="K174" s="5">
        <f>vlookup(E174,proj_fantasy_pts!D:P,13,)</f>
        <v>140.5</v>
      </c>
    </row>
    <row r="175">
      <c r="A175" s="50"/>
      <c r="B175" s="51" t="s">
        <v>2227</v>
      </c>
      <c r="C175" s="19" t="str">
        <f>vlookup(E175,'Player Codes'!A:D,4,)</f>
        <v>0004</v>
      </c>
      <c r="D175" s="33">
        <v>174.0</v>
      </c>
      <c r="E175" s="16" t="str">
        <f t="shared" si="7"/>
        <v>Adam Thielen</v>
      </c>
      <c r="F175" s="16" t="str">
        <f>IFERROR(__xludf.DUMMYFUNCTION("REGEXEXTRACT(B175,""[A-Z]{2,}"")"),"WR")</f>
        <v>WR</v>
      </c>
      <c r="G175" s="16" t="str">
        <f t="shared" si="2"/>
        <v>Panthers</v>
      </c>
      <c r="H175" s="33">
        <v>62.0</v>
      </c>
      <c r="I175" s="19" t="str">
        <f t="shared" si="3"/>
        <v>0004</v>
      </c>
      <c r="J175" s="5" t="str">
        <f t="shared" si="4"/>
        <v>#REF!</v>
      </c>
      <c r="K175" s="5">
        <f>vlookup(E175,proj_fantasy_pts!D:P,13,)</f>
        <v>100.2</v>
      </c>
    </row>
    <row r="176">
      <c r="A176" s="50"/>
      <c r="B176" s="51" t="s">
        <v>2228</v>
      </c>
      <c r="C176" s="19" t="str">
        <f>vlookup(E176,'Player Codes'!A:D,4,)</f>
        <v>0136</v>
      </c>
      <c r="D176" s="33">
        <v>175.0</v>
      </c>
      <c r="E176" s="16" t="str">
        <f t="shared" si="7"/>
        <v>Jake Elliott</v>
      </c>
      <c r="F176" s="33" t="s">
        <v>516</v>
      </c>
      <c r="G176" s="16" t="str">
        <f t="shared" si="2"/>
        <v>Eagles</v>
      </c>
      <c r="H176" s="33">
        <v>7.0</v>
      </c>
      <c r="I176" s="19" t="str">
        <f t="shared" si="3"/>
        <v>0136</v>
      </c>
      <c r="J176" s="5" t="str">
        <f t="shared" si="4"/>
        <v>#REF!</v>
      </c>
      <c r="K176" s="5">
        <f>vlookup(E176,proj_fantasy_pts!D:P,13,)</f>
        <v>133.7</v>
      </c>
    </row>
    <row r="177">
      <c r="A177" s="50"/>
      <c r="B177" s="51" t="s">
        <v>2229</v>
      </c>
      <c r="C177" s="19" t="str">
        <f>vlookup(E177,'Player Codes'!A:D,4,)</f>
        <v>0256</v>
      </c>
      <c r="D177" s="33">
        <v>176.0</v>
      </c>
      <c r="E177" s="16" t="str">
        <f t="shared" si="7"/>
        <v>Sam LaPorta</v>
      </c>
      <c r="F177" s="16" t="str">
        <f>IFERROR(__xludf.DUMMYFUNCTION("REGEXEXTRACT(B177,""[A-Z]{2,}"")"),"TE")</f>
        <v>TE</v>
      </c>
      <c r="G177" s="16" t="str">
        <f t="shared" si="2"/>
        <v>Lions</v>
      </c>
      <c r="H177" s="33">
        <v>24.0</v>
      </c>
      <c r="I177" s="19" t="str">
        <f t="shared" si="3"/>
        <v>0256</v>
      </c>
      <c r="J177" s="5" t="str">
        <f t="shared" si="4"/>
        <v>#REF!</v>
      </c>
      <c r="K177" s="5">
        <f>vlookup(E177,proj_fantasy_pts!D:P,13,)</f>
        <v>96.8</v>
      </c>
    </row>
    <row r="178">
      <c r="A178" s="50"/>
      <c r="B178" s="58" t="s">
        <v>2230</v>
      </c>
      <c r="C178" s="19" t="str">
        <f>vlookup(E178,'Player Codes'!A:D,4,)</f>
        <v>0225</v>
      </c>
      <c r="D178" s="33">
        <v>177.0</v>
      </c>
      <c r="E178" s="16" t="str">
        <f t="shared" si="7"/>
        <v>Saints D/ST</v>
      </c>
      <c r="F178" s="33" t="s">
        <v>1536</v>
      </c>
      <c r="G178" s="16" t="str">
        <f t="shared" si="2"/>
        <v>Saints</v>
      </c>
      <c r="H178" s="33">
        <v>6.0</v>
      </c>
      <c r="I178" s="19" t="str">
        <f t="shared" si="3"/>
        <v>0225</v>
      </c>
      <c r="J178" s="5" t="str">
        <f t="shared" si="4"/>
        <v>#REF!</v>
      </c>
      <c r="K178" s="2">
        <v>115.2</v>
      </c>
    </row>
    <row r="179">
      <c r="A179" s="50"/>
      <c r="B179" s="51" t="s">
        <v>2231</v>
      </c>
      <c r="C179" s="19" t="str">
        <f>vlookup(E179,'Player Codes'!A:D,4,)</f>
        <v>0064</v>
      </c>
      <c r="D179" s="33">
        <v>178.0</v>
      </c>
      <c r="E179" s="16" t="str">
        <f t="shared" si="7"/>
        <v>Cordarrelle Patterson</v>
      </c>
      <c r="F179" s="16" t="str">
        <f>IFERROR(__xludf.DUMMYFUNCTION("REGEXEXTRACT(B179,""[A-Z]{2,}"")"),"RB")</f>
        <v>RB</v>
      </c>
      <c r="G179" s="16" t="str">
        <f t="shared" si="2"/>
        <v>Falcons</v>
      </c>
      <c r="H179" s="33">
        <v>56.0</v>
      </c>
      <c r="I179" s="19" t="str">
        <f t="shared" si="3"/>
        <v>0064</v>
      </c>
      <c r="J179" s="5" t="str">
        <f t="shared" si="4"/>
        <v>#REF!</v>
      </c>
      <c r="K179" s="5">
        <f>vlookup(E179,proj_fantasy_pts!D:P,13,)</f>
        <v>65.1</v>
      </c>
    </row>
    <row r="180">
      <c r="A180" s="50"/>
      <c r="B180" s="51" t="s">
        <v>2232</v>
      </c>
      <c r="C180" s="19" t="str">
        <f>vlookup(E180,'Player Codes'!A:D,4,)</f>
        <v>0203</v>
      </c>
      <c r="D180" s="33">
        <v>179.0</v>
      </c>
      <c r="E180" s="16" t="str">
        <f t="shared" si="7"/>
        <v>Marquez Valdes-Scantling</v>
      </c>
      <c r="F180" s="16" t="str">
        <f>IFERROR(__xludf.DUMMYFUNCTION("REGEXEXTRACT(B180,""[A-Z]{2,}"")"),"WR")</f>
        <v>WR</v>
      </c>
      <c r="G180" s="16" t="str">
        <f t="shared" si="2"/>
        <v>Chiefs</v>
      </c>
      <c r="H180" s="33">
        <v>63.0</v>
      </c>
      <c r="I180" s="19" t="str">
        <f t="shared" si="3"/>
        <v>0203</v>
      </c>
      <c r="J180" s="5" t="str">
        <f t="shared" si="4"/>
        <v>#REF!</v>
      </c>
      <c r="K180" s="5">
        <f>vlookup(E180,proj_fantasy_pts!D:P,13,)</f>
        <v>77.9</v>
      </c>
    </row>
    <row r="181">
      <c r="A181" s="50"/>
      <c r="B181" s="51" t="s">
        <v>2233</v>
      </c>
      <c r="C181" s="19" t="str">
        <f>vlookup(E181,'Player Codes'!A:D,4,)</f>
        <v>0278</v>
      </c>
      <c r="D181" s="33">
        <v>180.0</v>
      </c>
      <c r="E181" s="16" t="str">
        <f t="shared" si="7"/>
        <v>Trey McBride</v>
      </c>
      <c r="F181" s="16" t="str">
        <f>IFERROR(__xludf.DUMMYFUNCTION("REGEXEXTRACT(B181,""[A-Z]{2,}"")"),"TE")</f>
        <v>TE</v>
      </c>
      <c r="G181" s="16" t="str">
        <f t="shared" si="2"/>
        <v>Cardinals</v>
      </c>
      <c r="H181" s="33">
        <v>25.0</v>
      </c>
      <c r="I181" s="19" t="str">
        <f t="shared" si="3"/>
        <v>0278</v>
      </c>
      <c r="J181" s="5" t="str">
        <f t="shared" si="4"/>
        <v>#REF!</v>
      </c>
      <c r="K181" s="5">
        <f>vlookup(E181,proj_fantasy_pts!D:P,13,)</f>
        <v>72.3</v>
      </c>
    </row>
    <row r="182">
      <c r="A182" s="50"/>
      <c r="B182" s="51" t="s">
        <v>2234</v>
      </c>
      <c r="C182" s="19" t="str">
        <f>vlookup(E182,'Player Codes'!A:D,4,)</f>
        <v>0231</v>
      </c>
      <c r="D182" s="33">
        <v>181.0</v>
      </c>
      <c r="E182" s="16" t="str">
        <f t="shared" si="7"/>
        <v>Noah Fant</v>
      </c>
      <c r="F182" s="16" t="str">
        <f>IFERROR(__xludf.DUMMYFUNCTION("REGEXEXTRACT(B182,""[A-Z]{2,}"")"),"TE")</f>
        <v>TE</v>
      </c>
      <c r="G182" s="16" t="str">
        <f t="shared" si="2"/>
        <v>Seahawks</v>
      </c>
      <c r="H182" s="33">
        <v>26.0</v>
      </c>
      <c r="I182" s="19" t="str">
        <f t="shared" si="3"/>
        <v>0231</v>
      </c>
      <c r="J182" s="5" t="str">
        <f t="shared" si="4"/>
        <v>#REF!</v>
      </c>
      <c r="K182" s="5">
        <f>vlookup(E182,proj_fantasy_pts!D:P,13,)</f>
        <v>79.4</v>
      </c>
    </row>
    <row r="183">
      <c r="A183" s="50"/>
      <c r="B183" s="58" t="s">
        <v>2235</v>
      </c>
      <c r="C183" s="19" t="str">
        <f>vlookup(E183,'Player Codes'!A:D,4,)</f>
        <v>0121</v>
      </c>
      <c r="D183" s="33">
        <v>182.0</v>
      </c>
      <c r="E183" s="16" t="str">
        <f t="shared" si="7"/>
        <v>Gus EdwarD/ST</v>
      </c>
      <c r="F183" s="16" t="str">
        <f>IFERROR(__xludf.DUMMYFUNCTION("REGEXEXTRACT(B183,""[A-Z]{2,}"")"),"ST")</f>
        <v>ST</v>
      </c>
      <c r="G183" s="16" t="str">
        <f t="shared" si="2"/>
        <v>Ravens</v>
      </c>
      <c r="H183" s="33">
        <v>57.0</v>
      </c>
      <c r="I183" s="19" t="str">
        <f t="shared" si="3"/>
        <v>0121</v>
      </c>
      <c r="J183" s="5" t="str">
        <f t="shared" si="4"/>
        <v>#REF!</v>
      </c>
      <c r="K183" s="5" t="str">
        <f>vlookup(E183,proj_fantasy_pts!D:P,13,)</f>
        <v>#N/A</v>
      </c>
    </row>
    <row r="184">
      <c r="A184" s="50"/>
      <c r="B184" s="58" t="s">
        <v>2236</v>
      </c>
      <c r="C184" s="19" t="str">
        <f>vlookup(E184,'Player Codes'!A:D,4,)</f>
        <v>0058</v>
      </c>
      <c r="D184" s="33">
        <v>183.0</v>
      </c>
      <c r="E184" s="16" t="str">
        <f t="shared" si="7"/>
        <v>Bengals D/ST</v>
      </c>
      <c r="F184" s="33" t="s">
        <v>1536</v>
      </c>
      <c r="G184" s="16" t="str">
        <f t="shared" si="2"/>
        <v>Bengals</v>
      </c>
      <c r="H184" s="33">
        <v>7.0</v>
      </c>
      <c r="I184" s="19" t="str">
        <f t="shared" si="3"/>
        <v>0058</v>
      </c>
      <c r="J184" s="5" t="str">
        <f t="shared" si="4"/>
        <v>#REF!</v>
      </c>
      <c r="K184" s="2">
        <v>116.0</v>
      </c>
    </row>
    <row r="185">
      <c r="A185" s="50"/>
      <c r="B185" s="51" t="s">
        <v>2237</v>
      </c>
      <c r="C185" s="19" t="str">
        <f>vlookup(E185,'Player Codes'!A:D,4,)</f>
        <v>0177</v>
      </c>
      <c r="D185" s="33">
        <v>184.0</v>
      </c>
      <c r="E185" s="16" t="str">
        <f t="shared" si="7"/>
        <v>K.J. Osborn</v>
      </c>
      <c r="F185" s="16" t="str">
        <f>IFERROR(__xludf.DUMMYFUNCTION("REGEXEXTRACT(B185,""[A-Z]{2,}"")"),"WR")</f>
        <v>WR</v>
      </c>
      <c r="G185" s="16" t="str">
        <f t="shared" si="2"/>
        <v>Vikings</v>
      </c>
      <c r="H185" s="33">
        <v>64.0</v>
      </c>
      <c r="I185" s="19" t="str">
        <f t="shared" si="3"/>
        <v>0177</v>
      </c>
      <c r="J185" s="5" t="str">
        <f t="shared" si="4"/>
        <v>#REF!</v>
      </c>
      <c r="K185" s="5">
        <f>vlookup(E185,proj_fantasy_pts!D:P,13,)</f>
        <v>98.2</v>
      </c>
    </row>
    <row r="186">
      <c r="A186" s="50"/>
      <c r="B186" s="51" t="s">
        <v>2238</v>
      </c>
      <c r="C186" s="19" t="str">
        <f>vlookup(E186,'Player Codes'!A:D,4,)</f>
        <v>0030</v>
      </c>
      <c r="D186" s="33">
        <v>185.0</v>
      </c>
      <c r="E186" s="16" t="str">
        <f t="shared" si="7"/>
        <v>Bryce Young</v>
      </c>
      <c r="F186" s="16" t="str">
        <f>IFERROR(__xludf.DUMMYFUNCTION("REGEXEXTRACT(B186,""[A-Z]{2,}"")"),"QB")</f>
        <v>QB</v>
      </c>
      <c r="G186" s="16" t="str">
        <f t="shared" si="2"/>
        <v>Panthers</v>
      </c>
      <c r="H186" s="33">
        <v>24.0</v>
      </c>
      <c r="I186" s="19" t="str">
        <f t="shared" si="3"/>
        <v>0030</v>
      </c>
      <c r="J186" s="5" t="str">
        <f t="shared" si="4"/>
        <v>#REF!</v>
      </c>
      <c r="K186" s="5">
        <f>vlookup(E186,proj_fantasy_pts!D:P,13,)</f>
        <v>230.4</v>
      </c>
    </row>
    <row r="187">
      <c r="A187" s="50"/>
      <c r="B187" s="51" t="s">
        <v>2239</v>
      </c>
      <c r="C187" s="19" t="str">
        <f>vlookup(E187,'Player Codes'!A:D,4,)</f>
        <v>0303</v>
      </c>
      <c r="D187" s="33">
        <v>186.0</v>
      </c>
      <c r="E187" s="16" t="str">
        <f t="shared" si="7"/>
        <v>Michael Carter</v>
      </c>
      <c r="F187" s="16" t="str">
        <f>IFERROR(__xludf.DUMMYFUNCTION("REGEXEXTRACT(B187,""[A-Z]{2,}"")"),"RB")</f>
        <v>RB</v>
      </c>
      <c r="G187" s="16" t="str">
        <f t="shared" si="2"/>
        <v>Jets</v>
      </c>
      <c r="H187" s="33">
        <v>58.0</v>
      </c>
      <c r="I187" s="19" t="str">
        <f t="shared" si="3"/>
        <v>0303</v>
      </c>
      <c r="J187" s="5" t="str">
        <f t="shared" si="4"/>
        <v>#REF!</v>
      </c>
      <c r="K187" s="5" t="str">
        <f>vlookup(E187,proj_fantasy_pts!D:P,13,)</f>
        <v>#N/A</v>
      </c>
    </row>
    <row r="188">
      <c r="A188" s="50"/>
      <c r="B188" s="51" t="s">
        <v>2240</v>
      </c>
      <c r="C188" s="19" t="str">
        <f>vlookup(E188,'Player Codes'!A:D,4,)</f>
        <v>0295</v>
      </c>
      <c r="D188" s="33">
        <v>187.0</v>
      </c>
      <c r="E188" s="16" t="str">
        <f t="shared" si="7"/>
        <v>Younghoe Koo</v>
      </c>
      <c r="F188" s="33" t="s">
        <v>516</v>
      </c>
      <c r="G188" s="16" t="str">
        <f t="shared" si="2"/>
        <v>Falcons</v>
      </c>
      <c r="H188" s="33">
        <v>8.0</v>
      </c>
      <c r="I188" s="19" t="str">
        <f t="shared" si="3"/>
        <v>0295</v>
      </c>
      <c r="J188" s="5" t="str">
        <f t="shared" si="4"/>
        <v>#REF!</v>
      </c>
      <c r="K188" s="5">
        <f>vlookup(E188,proj_fantasy_pts!D:P,13,)</f>
        <v>133.5</v>
      </c>
    </row>
    <row r="189">
      <c r="A189" s="50"/>
      <c r="B189" s="58" t="s">
        <v>2241</v>
      </c>
      <c r="C189" s="19" t="str">
        <f>vlookup(E189,'Player Codes'!A:D,4,)</f>
        <v>0087</v>
      </c>
      <c r="D189" s="33">
        <v>188.0</v>
      </c>
      <c r="E189" s="16" t="str">
        <f t="shared" si="7"/>
        <v>Broncos D/ST</v>
      </c>
      <c r="F189" s="33" t="s">
        <v>1536</v>
      </c>
      <c r="G189" s="16" t="str">
        <f t="shared" si="2"/>
        <v>Broncos</v>
      </c>
      <c r="H189" s="33">
        <v>8.0</v>
      </c>
      <c r="I189" s="19" t="str">
        <f t="shared" si="3"/>
        <v>0087</v>
      </c>
      <c r="J189" s="5" t="str">
        <f t="shared" si="4"/>
        <v>#REF!</v>
      </c>
      <c r="K189" s="2">
        <v>103.4</v>
      </c>
    </row>
    <row r="190">
      <c r="A190" s="50"/>
      <c r="B190" s="51" t="s">
        <v>2242</v>
      </c>
      <c r="C190" s="19" t="str">
        <f>vlookup(E190,'Player Codes'!A:D,4,)</f>
        <v>0126</v>
      </c>
      <c r="D190" s="33">
        <v>189.0</v>
      </c>
      <c r="E190" s="16" t="str">
        <f t="shared" si="7"/>
        <v>Hunter Renfrow</v>
      </c>
      <c r="F190" s="16" t="str">
        <f>IFERROR(__xludf.DUMMYFUNCTION("REGEXEXTRACT(B190,""[A-Z]{2,}"")"),"WR")</f>
        <v>WR</v>
      </c>
      <c r="G190" s="16" t="str">
        <f t="shared" si="2"/>
        <v>Raiders</v>
      </c>
      <c r="H190" s="33">
        <v>65.0</v>
      </c>
      <c r="I190" s="19" t="str">
        <f t="shared" si="3"/>
        <v>0126</v>
      </c>
      <c r="J190" s="5" t="str">
        <f t="shared" si="4"/>
        <v>#REF!</v>
      </c>
      <c r="K190" s="5">
        <f>vlookup(E190,proj_fantasy_pts!D:P,13,)</f>
        <v>76.4</v>
      </c>
    </row>
    <row r="191">
      <c r="A191" s="50"/>
      <c r="B191" s="51" t="s">
        <v>2243</v>
      </c>
      <c r="C191" s="19" t="str">
        <f>vlookup(E191,'Player Codes'!A:D,4,)</f>
        <v>0116</v>
      </c>
      <c r="D191" s="33">
        <v>190.0</v>
      </c>
      <c r="E191" s="16" t="str">
        <f t="shared" si="7"/>
        <v>Graham Gano</v>
      </c>
      <c r="F191" s="33" t="s">
        <v>516</v>
      </c>
      <c r="G191" s="16" t="str">
        <f t="shared" si="2"/>
        <v>Giants</v>
      </c>
      <c r="H191" s="33">
        <v>9.0</v>
      </c>
      <c r="I191" s="19" t="str">
        <f t="shared" si="3"/>
        <v>0116</v>
      </c>
      <c r="J191" s="5" t="str">
        <f t="shared" si="4"/>
        <v>#REF!</v>
      </c>
      <c r="K191" s="5">
        <f>vlookup(E191,proj_fantasy_pts!D:P,13,)</f>
        <v>126</v>
      </c>
    </row>
    <row r="192">
      <c r="A192" s="50"/>
      <c r="B192" s="51" t="s">
        <v>2244</v>
      </c>
      <c r="C192" s="19" t="str">
        <f>vlookup(E192,'Player Codes'!A:D,4,)</f>
        <v>0304</v>
      </c>
      <c r="D192" s="33">
        <v>191.0</v>
      </c>
      <c r="E192" s="16" t="str">
        <f t="shared" si="7"/>
        <v>Joshua Kelley</v>
      </c>
      <c r="F192" s="33" t="s">
        <v>516</v>
      </c>
      <c r="G192" s="16" t="str">
        <f t="shared" si="2"/>
        <v>Chargers</v>
      </c>
      <c r="H192" s="33">
        <v>59.0</v>
      </c>
      <c r="I192" s="19" t="str">
        <f t="shared" si="3"/>
        <v>0304</v>
      </c>
      <c r="J192" s="5" t="str">
        <f t="shared" si="4"/>
        <v>#REF!</v>
      </c>
      <c r="K192" s="5" t="str">
        <f>vlookup(E192,proj_fantasy_pts!D:P,13,)</f>
        <v>#N/A</v>
      </c>
    </row>
    <row r="193">
      <c r="A193" s="50"/>
      <c r="B193" s="51" t="s">
        <v>2245</v>
      </c>
      <c r="C193" s="19" t="str">
        <f>vlookup(E193,'Player Codes'!A:D,4,)</f>
        <v>0032</v>
      </c>
      <c r="D193" s="33">
        <v>192.0</v>
      </c>
      <c r="E193" s="16" t="str">
        <f t="shared" si="7"/>
        <v>C.J. Stroud</v>
      </c>
      <c r="F193" s="16" t="str">
        <f>IFERROR(__xludf.DUMMYFUNCTION("REGEXEXTRACT(B193,""[A-Z]{2,}"")"),"QB")</f>
        <v>QB</v>
      </c>
      <c r="G193" s="16" t="str">
        <f t="shared" si="2"/>
        <v>Texans</v>
      </c>
      <c r="H193" s="33">
        <v>25.0</v>
      </c>
      <c r="I193" s="19" t="str">
        <f t="shared" si="3"/>
        <v>0032</v>
      </c>
      <c r="J193" s="5" t="str">
        <f t="shared" si="4"/>
        <v>#REF!</v>
      </c>
      <c r="K193" s="5">
        <f>vlookup(E193,proj_fantasy_pts!D:P,13,)</f>
        <v>232</v>
      </c>
    </row>
    <row r="194">
      <c r="A194" s="50"/>
      <c r="B194" s="58" t="s">
        <v>2246</v>
      </c>
      <c r="C194" s="19" t="str">
        <f>vlookup(E194,'Player Codes'!A:D,4,)</f>
        <v>0227</v>
      </c>
      <c r="D194" s="33">
        <v>193.0</v>
      </c>
      <c r="E194" s="16" t="str">
        <f t="shared" si="7"/>
        <v>Jets D/ST</v>
      </c>
      <c r="F194" s="33" t="s">
        <v>1536</v>
      </c>
      <c r="G194" s="16" t="str">
        <f t="shared" si="2"/>
        <v>Jets</v>
      </c>
      <c r="H194" s="33">
        <v>9.0</v>
      </c>
      <c r="I194" s="19" t="str">
        <f t="shared" si="3"/>
        <v>0227</v>
      </c>
      <c r="J194" s="5" t="str">
        <f t="shared" si="4"/>
        <v>#REF!</v>
      </c>
      <c r="K194" s="2">
        <v>115.4</v>
      </c>
    </row>
    <row r="195">
      <c r="A195" s="50"/>
      <c r="B195" s="51" t="s">
        <v>2247</v>
      </c>
      <c r="C195" s="19" t="str">
        <f>vlookup(E195,'Player Codes'!A:D,4,)</f>
        <v>0147</v>
      </c>
      <c r="D195" s="33">
        <v>194.0</v>
      </c>
      <c r="E195" s="16" t="str">
        <f t="shared" si="7"/>
        <v>Jason Myers</v>
      </c>
      <c r="F195" s="33" t="s">
        <v>516</v>
      </c>
      <c r="G195" s="16" t="str">
        <f t="shared" si="2"/>
        <v>Seahawks</v>
      </c>
      <c r="H195" s="33">
        <v>10.0</v>
      </c>
      <c r="I195" s="19" t="str">
        <f t="shared" si="3"/>
        <v>0147</v>
      </c>
      <c r="J195" s="5" t="str">
        <f t="shared" si="4"/>
        <v>#REF!</v>
      </c>
      <c r="K195" s="5">
        <f>vlookup(E195,proj_fantasy_pts!D:P,13,)</f>
        <v>144.7</v>
      </c>
    </row>
    <row r="196">
      <c r="A196" s="50"/>
      <c r="B196" s="51" t="s">
        <v>2248</v>
      </c>
      <c r="C196" s="19" t="str">
        <f>vlookup(E196,'Player Codes'!A:D,4,)</f>
        <v>0066</v>
      </c>
      <c r="D196" s="33">
        <v>195.0</v>
      </c>
      <c r="E196" s="16" t="str">
        <f t="shared" si="7"/>
        <v>Curtis Samuel</v>
      </c>
      <c r="F196" s="16" t="str">
        <f>IFERROR(__xludf.DUMMYFUNCTION("REGEXEXTRACT(B196,""[A-Z]{2,}"")"),"WR")</f>
        <v>WR</v>
      </c>
      <c r="G196" s="16" t="str">
        <f t="shared" si="2"/>
        <v>Commanders</v>
      </c>
      <c r="H196" s="33">
        <v>99.0</v>
      </c>
      <c r="I196" s="19" t="str">
        <f t="shared" si="3"/>
        <v>0066</v>
      </c>
      <c r="J196" s="5" t="str">
        <f t="shared" si="4"/>
        <v>#REF!</v>
      </c>
      <c r="K196" s="5">
        <f>vlookup(E196,proj_fantasy_pts!D:P,13,)</f>
        <v>98.6</v>
      </c>
    </row>
    <row r="197">
      <c r="A197" s="50"/>
      <c r="B197" s="51" t="s">
        <v>2249</v>
      </c>
      <c r="C197" s="19" t="str">
        <f>vlookup(E197,'Player Codes'!A:D,4,)</f>
        <v>0158</v>
      </c>
      <c r="D197" s="33">
        <v>196.0</v>
      </c>
      <c r="E197" s="16" t="str">
        <f t="shared" si="7"/>
        <v>Jimmy Garoppolo</v>
      </c>
      <c r="F197" s="16" t="str">
        <f>IFERROR(__xludf.DUMMYFUNCTION("REGEXEXTRACT(B197,""[A-Z]{2,}"")"),"QB")</f>
        <v>QB</v>
      </c>
      <c r="G197" s="16" t="str">
        <f t="shared" si="2"/>
        <v>Raiders</v>
      </c>
      <c r="H197" s="33">
        <v>26.0</v>
      </c>
      <c r="I197" s="19" t="str">
        <f t="shared" si="3"/>
        <v>0158</v>
      </c>
      <c r="J197" s="5" t="str">
        <f t="shared" si="4"/>
        <v>#REF!</v>
      </c>
      <c r="K197" s="5">
        <f>vlookup(E197,proj_fantasy_pts!D:P,13,)</f>
        <v>222.7</v>
      </c>
    </row>
    <row r="198">
      <c r="A198" s="50"/>
      <c r="B198" s="58" t="s">
        <v>2250</v>
      </c>
      <c r="C198" s="19" t="str">
        <f>vlookup(E198,'Player Codes'!A:D,4,)</f>
        <v>0060</v>
      </c>
      <c r="D198" s="33">
        <v>197.0</v>
      </c>
      <c r="E198" s="16" t="str">
        <f t="shared" si="7"/>
        <v>Clyde EdwarD/ST-Helaire</v>
      </c>
      <c r="F198" s="16" t="str">
        <f>IFERROR(__xludf.DUMMYFUNCTION("REGEXEXTRACT(B198,""[A-Z]{2,}"")"),"ST")</f>
        <v>ST</v>
      </c>
      <c r="G198" s="16" t="str">
        <f t="shared" si="2"/>
        <v>Chiefs</v>
      </c>
      <c r="H198" s="33">
        <v>60.0</v>
      </c>
      <c r="I198" s="19" t="str">
        <f t="shared" si="3"/>
        <v>0060</v>
      </c>
      <c r="J198" s="5" t="str">
        <f t="shared" si="4"/>
        <v>#REF!</v>
      </c>
      <c r="K198" s="5" t="str">
        <f>vlookup(E198,proj_fantasy_pts!D:P,13,)</f>
        <v>#N/A</v>
      </c>
    </row>
    <row r="199">
      <c r="A199" s="50"/>
      <c r="B199" s="58" t="s">
        <v>2251</v>
      </c>
      <c r="C199" s="19" t="str">
        <f>vlookup(E199,'Player Codes'!A:D,4,)</f>
        <v>0249</v>
      </c>
      <c r="D199" s="33">
        <v>198.0</v>
      </c>
      <c r="E199" s="16" t="str">
        <f t="shared" si="7"/>
        <v>Robert WooD/ST</v>
      </c>
      <c r="F199" s="16" t="str">
        <f>IFERROR(__xludf.DUMMYFUNCTION("REGEXEXTRACT(B199,""[A-Z]{2,}"")"),"ST")</f>
        <v>ST</v>
      </c>
      <c r="G199" s="16" t="str">
        <f t="shared" si="2"/>
        <v>Texans</v>
      </c>
      <c r="H199" s="33">
        <v>67.0</v>
      </c>
      <c r="I199" s="19" t="str">
        <f t="shared" si="3"/>
        <v>0249</v>
      </c>
      <c r="J199" s="5" t="str">
        <f t="shared" si="4"/>
        <v>#REF!</v>
      </c>
      <c r="K199" s="5" t="str">
        <f>vlookup(E199,proj_fantasy_pts!D:P,13,)</f>
        <v>#N/A</v>
      </c>
    </row>
    <row r="200">
      <c r="A200" s="50"/>
      <c r="B200" s="58" t="s">
        <v>2252</v>
      </c>
      <c r="C200" s="19" t="str">
        <f>vlookup(E200,'Player Codes'!A:D,4,)</f>
        <v>0212</v>
      </c>
      <c r="D200" s="33">
        <v>199.0</v>
      </c>
      <c r="E200" s="16" t="str">
        <f t="shared" si="7"/>
        <v>Dolphins D/ST</v>
      </c>
      <c r="F200" s="16" t="str">
        <f>IFERROR(__xludf.DUMMYFUNCTION("REGEXEXTRACT(B200,""[A-Z]{2,}"")"),"ST")</f>
        <v>ST</v>
      </c>
      <c r="G200" s="16" t="str">
        <f t="shared" si="2"/>
        <v>Dolphins</v>
      </c>
      <c r="H200" s="33">
        <v>10.0</v>
      </c>
      <c r="I200" s="19" t="str">
        <f t="shared" si="3"/>
        <v>0212</v>
      </c>
      <c r="J200" s="5" t="str">
        <f t="shared" si="4"/>
        <v>#REF!</v>
      </c>
      <c r="K200" s="2">
        <v>99.8</v>
      </c>
    </row>
    <row r="201">
      <c r="A201" s="50"/>
      <c r="B201" s="51" t="s">
        <v>2253</v>
      </c>
      <c r="C201" s="19" t="str">
        <f>vlookup(E201,'Player Codes'!A:D,4,)</f>
        <v>0194</v>
      </c>
      <c r="D201" s="33">
        <v>200.0</v>
      </c>
      <c r="E201" s="16" t="str">
        <f t="shared" si="7"/>
        <v>Kyren Williams</v>
      </c>
      <c r="F201" s="16" t="str">
        <f>IFERROR(__xludf.DUMMYFUNCTION("REGEXEXTRACT(B201,""[A-Z]{2,}"")"),"RB")</f>
        <v>RB</v>
      </c>
      <c r="G201" s="33" t="s">
        <v>2254</v>
      </c>
      <c r="H201" s="33">
        <v>61.0</v>
      </c>
      <c r="I201" s="19" t="str">
        <f t="shared" si="3"/>
        <v>0194</v>
      </c>
      <c r="J201" s="5" t="str">
        <f t="shared" si="4"/>
        <v>#REF!</v>
      </c>
      <c r="K201" s="5">
        <f>vlookup(E201,proj_fantasy_pts!D:P,13,)</f>
        <v>104.9</v>
      </c>
    </row>
    <row r="202">
      <c r="D202" s="16"/>
      <c r="E202" s="16"/>
      <c r="F202" s="16"/>
      <c r="G202" s="16"/>
      <c r="H202" s="16"/>
    </row>
    <row r="203">
      <c r="D203" s="16"/>
      <c r="E203" s="16"/>
      <c r="F203" s="16"/>
      <c r="G203" s="16"/>
      <c r="H203" s="16"/>
    </row>
    <row r="204">
      <c r="D204" s="16"/>
      <c r="E204" s="16"/>
      <c r="F204" s="16"/>
      <c r="G204" s="16"/>
      <c r="H204" s="16"/>
    </row>
    <row r="205">
      <c r="D205" s="16"/>
      <c r="E205" s="16"/>
      <c r="F205" s="16"/>
      <c r="G205" s="16"/>
      <c r="H205" s="16"/>
    </row>
    <row r="206">
      <c r="D206" s="16"/>
      <c r="E206" s="16"/>
      <c r="F206" s="16"/>
      <c r="G206" s="16"/>
      <c r="H206" s="16"/>
    </row>
    <row r="207">
      <c r="D207" s="16"/>
      <c r="E207" s="16"/>
      <c r="F207" s="16"/>
      <c r="G207" s="16"/>
      <c r="H207" s="16"/>
    </row>
    <row r="208">
      <c r="D208" s="16"/>
      <c r="E208" s="16"/>
      <c r="F208" s="16"/>
      <c r="G208" s="16"/>
      <c r="H208" s="16"/>
    </row>
    <row r="209">
      <c r="D209" s="16"/>
      <c r="E209" s="16"/>
      <c r="F209" s="16"/>
      <c r="G209" s="16"/>
      <c r="H209" s="16"/>
    </row>
    <row r="210">
      <c r="D210" s="16"/>
      <c r="E210" s="16"/>
      <c r="F210" s="16"/>
      <c r="G210" s="16"/>
      <c r="H210" s="16"/>
    </row>
    <row r="211">
      <c r="D211" s="16"/>
      <c r="E211" s="16"/>
      <c r="F211" s="16"/>
      <c r="G211" s="16"/>
      <c r="H211" s="16"/>
    </row>
    <row r="212">
      <c r="D212" s="16"/>
      <c r="E212" s="16"/>
      <c r="F212" s="16"/>
      <c r="G212" s="16"/>
      <c r="H212" s="16"/>
    </row>
    <row r="213">
      <c r="D213" s="16"/>
      <c r="E213" s="16"/>
      <c r="F213" s="16"/>
      <c r="G213" s="16"/>
      <c r="H213" s="16"/>
    </row>
    <row r="214">
      <c r="D214" s="16"/>
      <c r="E214" s="16"/>
      <c r="F214" s="16"/>
      <c r="G214" s="16"/>
      <c r="H214" s="16"/>
    </row>
    <row r="215">
      <c r="D215" s="16"/>
      <c r="E215" s="16"/>
      <c r="F215" s="16"/>
      <c r="G215" s="16"/>
      <c r="H215" s="16"/>
    </row>
    <row r="216">
      <c r="D216" s="16"/>
      <c r="E216" s="16"/>
      <c r="F216" s="16"/>
      <c r="G216" s="16"/>
      <c r="H216" s="16"/>
    </row>
    <row r="217">
      <c r="D217" s="16"/>
      <c r="E217" s="16"/>
      <c r="F217" s="16"/>
      <c r="G217" s="16"/>
      <c r="H217" s="16"/>
    </row>
    <row r="218">
      <c r="D218" s="16"/>
      <c r="E218" s="16"/>
      <c r="F218" s="16"/>
      <c r="G218" s="16"/>
      <c r="H218" s="16"/>
    </row>
    <row r="219">
      <c r="D219" s="16"/>
      <c r="E219" s="16"/>
      <c r="F219" s="16"/>
      <c r="G219" s="16"/>
      <c r="H219" s="16"/>
    </row>
    <row r="220">
      <c r="D220" s="16"/>
      <c r="E220" s="16"/>
      <c r="F220" s="16"/>
      <c r="G220" s="16"/>
      <c r="H220" s="16"/>
    </row>
    <row r="221">
      <c r="D221" s="16"/>
      <c r="E221" s="16"/>
      <c r="F221" s="16"/>
      <c r="G221" s="16"/>
      <c r="H221" s="16"/>
    </row>
    <row r="222">
      <c r="D222" s="16"/>
      <c r="E222" s="16"/>
      <c r="F222" s="16"/>
      <c r="G222" s="16"/>
      <c r="H222" s="16"/>
    </row>
    <row r="223">
      <c r="D223" s="16"/>
      <c r="E223" s="16"/>
      <c r="F223" s="16"/>
      <c r="G223" s="16"/>
      <c r="H223" s="16"/>
    </row>
    <row r="224">
      <c r="D224" s="16"/>
      <c r="E224" s="16"/>
      <c r="F224" s="16"/>
      <c r="G224" s="16"/>
      <c r="H224" s="16"/>
    </row>
    <row r="225">
      <c r="D225" s="16"/>
      <c r="E225" s="16"/>
      <c r="F225" s="16"/>
      <c r="G225" s="16"/>
      <c r="H225" s="16"/>
    </row>
    <row r="226">
      <c r="D226" s="16"/>
      <c r="E226" s="16"/>
      <c r="F226" s="16"/>
      <c r="G226" s="16"/>
      <c r="H226" s="16"/>
    </row>
    <row r="227">
      <c r="D227" s="16"/>
      <c r="E227" s="16"/>
      <c r="F227" s="16"/>
      <c r="G227" s="16"/>
      <c r="H227" s="16"/>
    </row>
    <row r="228">
      <c r="D228" s="16"/>
      <c r="E228" s="16"/>
      <c r="F228" s="16"/>
      <c r="G228" s="16"/>
      <c r="H228" s="16"/>
    </row>
    <row r="229">
      <c r="D229" s="16"/>
      <c r="E229" s="16"/>
      <c r="F229" s="16"/>
      <c r="G229" s="16"/>
      <c r="H229" s="16"/>
    </row>
    <row r="230">
      <c r="D230" s="16"/>
      <c r="E230" s="16"/>
      <c r="F230" s="16"/>
      <c r="G230" s="16"/>
      <c r="H230" s="16"/>
    </row>
    <row r="231">
      <c r="D231" s="16"/>
      <c r="E231" s="16"/>
      <c r="F231" s="16"/>
      <c r="G231" s="16"/>
      <c r="H231" s="16"/>
    </row>
    <row r="232">
      <c r="D232" s="16"/>
      <c r="E232" s="16"/>
      <c r="F232" s="16"/>
      <c r="G232" s="16"/>
      <c r="H232" s="16"/>
    </row>
    <row r="233">
      <c r="D233" s="16"/>
      <c r="E233" s="16"/>
      <c r="F233" s="16"/>
      <c r="G233" s="16"/>
      <c r="H233" s="16"/>
    </row>
    <row r="234">
      <c r="D234" s="16"/>
      <c r="E234" s="16"/>
      <c r="F234" s="16"/>
      <c r="G234" s="16"/>
      <c r="H234" s="16"/>
    </row>
    <row r="235">
      <c r="D235" s="16"/>
      <c r="E235" s="16"/>
      <c r="F235" s="16"/>
      <c r="G235" s="16"/>
      <c r="H235" s="16"/>
    </row>
    <row r="236">
      <c r="D236" s="16"/>
      <c r="E236" s="16"/>
      <c r="F236" s="16"/>
      <c r="G236" s="16"/>
      <c r="H236" s="16"/>
    </row>
    <row r="237">
      <c r="D237" s="16"/>
      <c r="E237" s="16"/>
      <c r="F237" s="16"/>
      <c r="G237" s="16"/>
      <c r="H237" s="16"/>
    </row>
    <row r="238">
      <c r="D238" s="16"/>
      <c r="E238" s="16"/>
      <c r="F238" s="16"/>
      <c r="G238" s="16"/>
      <c r="H238" s="16"/>
    </row>
    <row r="239">
      <c r="D239" s="16"/>
      <c r="E239" s="16"/>
      <c r="F239" s="16"/>
      <c r="G239" s="16"/>
      <c r="H239" s="16"/>
    </row>
    <row r="240">
      <c r="D240" s="16"/>
      <c r="E240" s="16"/>
      <c r="F240" s="16"/>
      <c r="G240" s="16"/>
      <c r="H240" s="16"/>
    </row>
    <row r="241">
      <c r="D241" s="16"/>
      <c r="E241" s="16"/>
      <c r="F241" s="16"/>
      <c r="G241" s="16"/>
      <c r="H241" s="16"/>
    </row>
    <row r="242">
      <c r="D242" s="16"/>
      <c r="E242" s="16"/>
      <c r="F242" s="16"/>
      <c r="G242" s="16"/>
      <c r="H242" s="16"/>
    </row>
    <row r="243">
      <c r="D243" s="16"/>
      <c r="E243" s="16"/>
      <c r="F243" s="16"/>
      <c r="G243" s="16"/>
      <c r="H243" s="16"/>
    </row>
    <row r="244">
      <c r="D244" s="16"/>
      <c r="E244" s="16"/>
      <c r="F244" s="16"/>
      <c r="G244" s="16"/>
      <c r="H244" s="16"/>
    </row>
    <row r="245">
      <c r="D245" s="16"/>
      <c r="E245" s="16"/>
      <c r="F245" s="16"/>
      <c r="G245" s="16"/>
      <c r="H245" s="16"/>
    </row>
    <row r="246">
      <c r="D246" s="16"/>
      <c r="E246" s="16"/>
      <c r="F246" s="16"/>
      <c r="G246" s="16"/>
      <c r="H246" s="16"/>
    </row>
    <row r="247">
      <c r="D247" s="16"/>
      <c r="E247" s="16"/>
      <c r="F247" s="16"/>
      <c r="G247" s="16"/>
      <c r="H247" s="16"/>
    </row>
    <row r="248">
      <c r="D248" s="16"/>
      <c r="E248" s="16"/>
      <c r="F248" s="16"/>
      <c r="G248" s="16"/>
      <c r="H248" s="16"/>
    </row>
    <row r="249">
      <c r="D249" s="16"/>
      <c r="E249" s="16"/>
      <c r="F249" s="16"/>
      <c r="G249" s="16"/>
      <c r="H249" s="16"/>
    </row>
    <row r="250">
      <c r="D250" s="16"/>
      <c r="E250" s="16"/>
      <c r="F250" s="16"/>
      <c r="G250" s="16"/>
      <c r="H250" s="16"/>
    </row>
    <row r="251">
      <c r="D251" s="16"/>
      <c r="E251" s="16"/>
      <c r="F251" s="16"/>
      <c r="G251" s="16"/>
      <c r="H251" s="16"/>
    </row>
    <row r="252">
      <c r="D252" s="16"/>
      <c r="E252" s="16"/>
      <c r="F252" s="16"/>
      <c r="G252" s="16"/>
      <c r="H252" s="16"/>
    </row>
    <row r="253">
      <c r="D253" s="16"/>
      <c r="E253" s="16"/>
      <c r="F253" s="16"/>
      <c r="G253" s="16"/>
      <c r="H253" s="16"/>
    </row>
    <row r="254">
      <c r="D254" s="16"/>
      <c r="E254" s="16"/>
      <c r="F254" s="16"/>
      <c r="G254" s="16"/>
      <c r="H254" s="16"/>
    </row>
    <row r="255">
      <c r="D255" s="16"/>
      <c r="E255" s="16"/>
      <c r="F255" s="16"/>
      <c r="G255" s="16"/>
      <c r="H255" s="16"/>
    </row>
    <row r="256">
      <c r="D256" s="16"/>
      <c r="E256" s="16"/>
      <c r="F256" s="16"/>
      <c r="G256" s="16"/>
      <c r="H256" s="16"/>
    </row>
    <row r="257">
      <c r="D257" s="16"/>
      <c r="E257" s="16"/>
      <c r="F257" s="16"/>
      <c r="G257" s="16"/>
      <c r="H257" s="16"/>
    </row>
    <row r="258">
      <c r="D258" s="16"/>
      <c r="E258" s="16"/>
      <c r="F258" s="16"/>
      <c r="G258" s="16"/>
      <c r="H258" s="16"/>
    </row>
    <row r="259">
      <c r="D259" s="16"/>
      <c r="E259" s="16"/>
      <c r="F259" s="16"/>
      <c r="G259" s="16"/>
      <c r="H259" s="16"/>
    </row>
    <row r="260">
      <c r="D260" s="16"/>
      <c r="E260" s="16"/>
      <c r="F260" s="16"/>
      <c r="G260" s="16"/>
      <c r="H260" s="16"/>
    </row>
    <row r="261">
      <c r="D261" s="16"/>
      <c r="E261" s="16"/>
      <c r="F261" s="16"/>
      <c r="G261" s="16"/>
      <c r="H261" s="16"/>
    </row>
    <row r="262">
      <c r="D262" s="16"/>
      <c r="E262" s="16"/>
      <c r="F262" s="16"/>
      <c r="G262" s="16"/>
      <c r="H262" s="16"/>
    </row>
    <row r="263">
      <c r="D263" s="16"/>
      <c r="E263" s="16"/>
      <c r="F263" s="16"/>
      <c r="G263" s="16"/>
      <c r="H263" s="16"/>
    </row>
    <row r="264">
      <c r="D264" s="16"/>
      <c r="E264" s="16"/>
      <c r="F264" s="16"/>
      <c r="G264" s="16"/>
      <c r="H264" s="16"/>
    </row>
    <row r="265">
      <c r="D265" s="16"/>
      <c r="E265" s="16"/>
      <c r="F265" s="16"/>
      <c r="G265" s="16"/>
      <c r="H265" s="16"/>
    </row>
    <row r="266">
      <c r="D266" s="16"/>
      <c r="E266" s="16"/>
      <c r="F266" s="16"/>
      <c r="G266" s="16"/>
      <c r="H266" s="16"/>
    </row>
    <row r="267">
      <c r="D267" s="16"/>
      <c r="E267" s="16"/>
      <c r="F267" s="16"/>
      <c r="G267" s="16"/>
      <c r="H267" s="16"/>
    </row>
    <row r="268">
      <c r="D268" s="16"/>
      <c r="E268" s="16"/>
      <c r="F268" s="16"/>
      <c r="G268" s="16"/>
      <c r="H268" s="16"/>
    </row>
    <row r="269">
      <c r="D269" s="16"/>
      <c r="E269" s="16"/>
      <c r="F269" s="16"/>
      <c r="G269" s="16"/>
      <c r="H269" s="16"/>
    </row>
    <row r="270">
      <c r="D270" s="16"/>
      <c r="E270" s="16"/>
      <c r="F270" s="16"/>
      <c r="G270" s="16"/>
      <c r="H270" s="16"/>
    </row>
    <row r="271">
      <c r="D271" s="16"/>
      <c r="E271" s="16"/>
      <c r="F271" s="16"/>
      <c r="G271" s="16"/>
      <c r="H271" s="16"/>
    </row>
    <row r="272">
      <c r="D272" s="16"/>
      <c r="E272" s="16"/>
      <c r="F272" s="16"/>
      <c r="G272" s="16"/>
      <c r="H272" s="16"/>
    </row>
    <row r="273">
      <c r="D273" s="16"/>
      <c r="E273" s="16"/>
      <c r="F273" s="16"/>
      <c r="G273" s="16"/>
      <c r="H273" s="16"/>
    </row>
    <row r="274">
      <c r="D274" s="16"/>
      <c r="E274" s="16"/>
      <c r="F274" s="16"/>
      <c r="G274" s="16"/>
      <c r="H274" s="16"/>
    </row>
    <row r="275">
      <c r="D275" s="16"/>
      <c r="E275" s="16"/>
      <c r="F275" s="16"/>
      <c r="G275" s="16"/>
      <c r="H275" s="16"/>
    </row>
    <row r="276">
      <c r="D276" s="16"/>
      <c r="E276" s="16"/>
      <c r="F276" s="16"/>
      <c r="G276" s="16"/>
      <c r="H276" s="16"/>
    </row>
    <row r="277">
      <c r="D277" s="16"/>
      <c r="E277" s="16"/>
      <c r="F277" s="16"/>
      <c r="G277" s="16"/>
      <c r="H277" s="16"/>
    </row>
    <row r="278">
      <c r="D278" s="16"/>
      <c r="E278" s="16"/>
      <c r="F278" s="16"/>
      <c r="G278" s="16"/>
      <c r="H278" s="16"/>
    </row>
    <row r="279">
      <c r="D279" s="16"/>
      <c r="E279" s="16"/>
      <c r="F279" s="16"/>
      <c r="G279" s="16"/>
      <c r="H279" s="16"/>
    </row>
    <row r="280">
      <c r="D280" s="16"/>
      <c r="E280" s="16"/>
      <c r="F280" s="16"/>
      <c r="G280" s="16"/>
      <c r="H280" s="16"/>
    </row>
    <row r="281">
      <c r="D281" s="16"/>
      <c r="E281" s="16"/>
      <c r="F281" s="16"/>
      <c r="G281" s="16"/>
      <c r="H281" s="16"/>
    </row>
    <row r="282">
      <c r="D282" s="16"/>
      <c r="E282" s="16"/>
      <c r="F282" s="16"/>
      <c r="G282" s="16"/>
      <c r="H282" s="16"/>
    </row>
    <row r="283">
      <c r="D283" s="16"/>
      <c r="E283" s="16"/>
      <c r="F283" s="16"/>
      <c r="G283" s="16"/>
      <c r="H283" s="16"/>
    </row>
    <row r="284">
      <c r="D284" s="16"/>
      <c r="E284" s="16"/>
      <c r="F284" s="16"/>
      <c r="G284" s="16"/>
      <c r="H284" s="16"/>
    </row>
    <row r="285">
      <c r="D285" s="16"/>
      <c r="E285" s="16"/>
      <c r="F285" s="16"/>
      <c r="G285" s="16"/>
      <c r="H285" s="16"/>
    </row>
    <row r="286">
      <c r="D286" s="16"/>
      <c r="E286" s="16"/>
      <c r="F286" s="16"/>
      <c r="G286" s="16"/>
      <c r="H286" s="16"/>
    </row>
    <row r="287">
      <c r="D287" s="16"/>
      <c r="E287" s="16"/>
      <c r="F287" s="16"/>
      <c r="G287" s="16"/>
      <c r="H287" s="16"/>
    </row>
    <row r="288">
      <c r="D288" s="16"/>
      <c r="E288" s="16"/>
      <c r="F288" s="16"/>
      <c r="G288" s="16"/>
      <c r="H288" s="16"/>
    </row>
    <row r="289">
      <c r="D289" s="16"/>
      <c r="E289" s="16"/>
      <c r="F289" s="16"/>
      <c r="G289" s="16"/>
      <c r="H289" s="16"/>
    </row>
    <row r="290">
      <c r="D290" s="16"/>
      <c r="E290" s="16"/>
      <c r="F290" s="16"/>
      <c r="G290" s="16"/>
      <c r="H290" s="16"/>
    </row>
    <row r="291">
      <c r="D291" s="16"/>
      <c r="E291" s="16"/>
      <c r="F291" s="16"/>
      <c r="G291" s="16"/>
      <c r="H291" s="16"/>
    </row>
    <row r="292">
      <c r="D292" s="16"/>
      <c r="E292" s="16"/>
      <c r="F292" s="16"/>
      <c r="G292" s="16"/>
      <c r="H292" s="16"/>
    </row>
    <row r="293">
      <c r="D293" s="16"/>
      <c r="E293" s="16"/>
      <c r="F293" s="16"/>
      <c r="G293" s="16"/>
      <c r="H293" s="16"/>
    </row>
    <row r="294">
      <c r="D294" s="16"/>
      <c r="E294" s="16"/>
      <c r="F294" s="16"/>
      <c r="G294" s="16"/>
      <c r="H294" s="16"/>
    </row>
    <row r="295">
      <c r="D295" s="16"/>
      <c r="E295" s="16"/>
      <c r="F295" s="16"/>
      <c r="G295" s="16"/>
      <c r="H295" s="16"/>
    </row>
    <row r="296">
      <c r="D296" s="16"/>
      <c r="E296" s="16"/>
      <c r="F296" s="16"/>
      <c r="G296" s="16"/>
      <c r="H296" s="16"/>
    </row>
    <row r="297">
      <c r="D297" s="16"/>
      <c r="E297" s="16"/>
      <c r="F297" s="16"/>
      <c r="G297" s="16"/>
      <c r="H297" s="16"/>
    </row>
    <row r="298">
      <c r="D298" s="16"/>
      <c r="E298" s="16"/>
      <c r="F298" s="16"/>
      <c r="G298" s="16"/>
      <c r="H298" s="16"/>
    </row>
    <row r="299">
      <c r="D299" s="16"/>
      <c r="E299" s="16"/>
      <c r="F299" s="16"/>
      <c r="G299" s="16"/>
      <c r="H299" s="16"/>
    </row>
    <row r="300">
      <c r="D300" s="16"/>
      <c r="E300" s="16"/>
      <c r="F300" s="16"/>
      <c r="G300" s="16"/>
      <c r="H300" s="16"/>
    </row>
    <row r="301">
      <c r="D301" s="16"/>
      <c r="E301" s="16"/>
      <c r="F301" s="16"/>
      <c r="G301" s="16"/>
      <c r="H301" s="16"/>
    </row>
    <row r="302">
      <c r="D302" s="16"/>
      <c r="E302" s="16"/>
      <c r="F302" s="16"/>
      <c r="G302" s="16"/>
      <c r="H302" s="16"/>
    </row>
    <row r="303">
      <c r="D303" s="16"/>
      <c r="E303" s="16"/>
      <c r="F303" s="16"/>
      <c r="G303" s="16"/>
      <c r="H303" s="16"/>
    </row>
    <row r="304">
      <c r="D304" s="16"/>
      <c r="E304" s="16"/>
      <c r="F304" s="16"/>
      <c r="G304" s="16"/>
      <c r="H304" s="16"/>
    </row>
    <row r="305">
      <c r="D305" s="16"/>
      <c r="E305" s="16"/>
      <c r="F305" s="16"/>
      <c r="G305" s="16"/>
      <c r="H305" s="16"/>
    </row>
    <row r="306">
      <c r="D306" s="16"/>
      <c r="E306" s="16"/>
      <c r="F306" s="16"/>
      <c r="G306" s="16"/>
      <c r="H306" s="16"/>
    </row>
    <row r="307">
      <c r="D307" s="16"/>
      <c r="E307" s="16"/>
      <c r="F307" s="16"/>
      <c r="G307" s="16"/>
      <c r="H307" s="16"/>
    </row>
    <row r="308">
      <c r="D308" s="16"/>
      <c r="E308" s="16"/>
      <c r="F308" s="16"/>
      <c r="G308" s="16"/>
      <c r="H308" s="16"/>
    </row>
    <row r="309">
      <c r="D309" s="16"/>
      <c r="E309" s="16"/>
      <c r="F309" s="16"/>
      <c r="G309" s="16"/>
      <c r="H309" s="16"/>
    </row>
    <row r="310">
      <c r="D310" s="16"/>
      <c r="E310" s="16"/>
      <c r="F310" s="16"/>
      <c r="G310" s="16"/>
      <c r="H310" s="16"/>
    </row>
    <row r="311">
      <c r="D311" s="16"/>
      <c r="E311" s="16"/>
      <c r="F311" s="16"/>
      <c r="G311" s="16"/>
      <c r="H311" s="16"/>
    </row>
    <row r="312">
      <c r="D312" s="16"/>
      <c r="E312" s="16"/>
      <c r="F312" s="16"/>
      <c r="G312" s="16"/>
      <c r="H312" s="16"/>
    </row>
    <row r="313">
      <c r="D313" s="16"/>
      <c r="E313" s="16"/>
      <c r="F313" s="16"/>
      <c r="G313" s="16"/>
      <c r="H313" s="16"/>
    </row>
    <row r="314">
      <c r="D314" s="16"/>
      <c r="E314" s="16"/>
      <c r="F314" s="16"/>
      <c r="G314" s="16"/>
      <c r="H314" s="16"/>
    </row>
    <row r="315">
      <c r="D315" s="16"/>
      <c r="E315" s="16"/>
      <c r="F315" s="16"/>
      <c r="G315" s="16"/>
      <c r="H315" s="16"/>
    </row>
    <row r="316">
      <c r="D316" s="16"/>
      <c r="E316" s="16"/>
      <c r="F316" s="16"/>
      <c r="G316" s="16"/>
      <c r="H316" s="16"/>
    </row>
    <row r="317">
      <c r="D317" s="16"/>
      <c r="E317" s="16"/>
      <c r="F317" s="16"/>
      <c r="G317" s="16"/>
      <c r="H317" s="16"/>
    </row>
    <row r="318">
      <c r="D318" s="16"/>
      <c r="E318" s="16"/>
      <c r="F318" s="16"/>
      <c r="G318" s="16"/>
      <c r="H318" s="16"/>
    </row>
    <row r="319">
      <c r="D319" s="16"/>
      <c r="E319" s="16"/>
      <c r="F319" s="16"/>
      <c r="G319" s="16"/>
      <c r="H319" s="16"/>
    </row>
    <row r="320">
      <c r="D320" s="16"/>
      <c r="E320" s="16"/>
      <c r="F320" s="16"/>
      <c r="G320" s="16"/>
      <c r="H320" s="16"/>
    </row>
    <row r="321">
      <c r="D321" s="16"/>
      <c r="E321" s="16"/>
      <c r="F321" s="16"/>
      <c r="G321" s="16"/>
      <c r="H321" s="16"/>
    </row>
    <row r="322">
      <c r="D322" s="16"/>
      <c r="E322" s="16"/>
      <c r="F322" s="16"/>
      <c r="G322" s="16"/>
      <c r="H322" s="16"/>
    </row>
    <row r="323">
      <c r="D323" s="16"/>
      <c r="E323" s="16"/>
      <c r="F323" s="16"/>
      <c r="G323" s="16"/>
      <c r="H323" s="16"/>
    </row>
    <row r="324">
      <c r="D324" s="16"/>
      <c r="E324" s="16"/>
      <c r="F324" s="16"/>
      <c r="G324" s="16"/>
      <c r="H324" s="16"/>
    </row>
    <row r="325">
      <c r="D325" s="16"/>
      <c r="E325" s="16"/>
      <c r="F325" s="16"/>
      <c r="G325" s="16"/>
      <c r="H325" s="16"/>
    </row>
    <row r="326">
      <c r="D326" s="16"/>
      <c r="E326" s="16"/>
      <c r="F326" s="16"/>
      <c r="G326" s="16"/>
      <c r="H326" s="16"/>
    </row>
    <row r="327">
      <c r="D327" s="16"/>
      <c r="E327" s="16"/>
      <c r="F327" s="16"/>
      <c r="G327" s="16"/>
      <c r="H327" s="16"/>
    </row>
    <row r="328">
      <c r="D328" s="16"/>
      <c r="E328" s="16"/>
      <c r="F328" s="16"/>
      <c r="G328" s="16"/>
      <c r="H328" s="16"/>
    </row>
    <row r="329">
      <c r="D329" s="16"/>
      <c r="E329" s="16"/>
      <c r="F329" s="16"/>
      <c r="G329" s="16"/>
      <c r="H329" s="16"/>
    </row>
    <row r="330">
      <c r="D330" s="16"/>
      <c r="E330" s="16"/>
      <c r="F330" s="16"/>
      <c r="G330" s="16"/>
      <c r="H330" s="16"/>
    </row>
    <row r="331">
      <c r="D331" s="16"/>
      <c r="E331" s="16"/>
      <c r="F331" s="16"/>
      <c r="G331" s="16"/>
      <c r="H331" s="16"/>
    </row>
    <row r="332">
      <c r="D332" s="16"/>
      <c r="E332" s="16"/>
      <c r="F332" s="16"/>
      <c r="G332" s="16"/>
      <c r="H332" s="16"/>
    </row>
    <row r="333">
      <c r="D333" s="16"/>
      <c r="E333" s="16"/>
      <c r="F333" s="16"/>
      <c r="G333" s="16"/>
      <c r="H333" s="16"/>
    </row>
    <row r="334">
      <c r="D334" s="16"/>
      <c r="E334" s="16"/>
      <c r="F334" s="16"/>
      <c r="G334" s="16"/>
      <c r="H334" s="16"/>
    </row>
    <row r="335">
      <c r="D335" s="16"/>
      <c r="E335" s="16"/>
      <c r="F335" s="16"/>
      <c r="G335" s="16"/>
      <c r="H335" s="16"/>
    </row>
    <row r="336">
      <c r="D336" s="16"/>
      <c r="E336" s="16"/>
      <c r="F336" s="16"/>
      <c r="G336" s="16"/>
      <c r="H336" s="16"/>
    </row>
    <row r="337">
      <c r="D337" s="16"/>
      <c r="E337" s="16"/>
      <c r="F337" s="16"/>
      <c r="G337" s="16"/>
      <c r="H337" s="16"/>
    </row>
    <row r="338">
      <c r="D338" s="16"/>
      <c r="E338" s="16"/>
      <c r="F338" s="16"/>
      <c r="G338" s="16"/>
      <c r="H338" s="16"/>
    </row>
    <row r="339">
      <c r="D339" s="16"/>
      <c r="E339" s="16"/>
      <c r="F339" s="16"/>
      <c r="G339" s="16"/>
      <c r="H339" s="16"/>
    </row>
    <row r="340">
      <c r="D340" s="16"/>
      <c r="E340" s="16"/>
      <c r="F340" s="16"/>
      <c r="G340" s="16"/>
      <c r="H340" s="16"/>
    </row>
    <row r="341">
      <c r="D341" s="16"/>
      <c r="E341" s="16"/>
      <c r="F341" s="16"/>
      <c r="G341" s="16"/>
      <c r="H341" s="16"/>
    </row>
    <row r="342">
      <c r="D342" s="16"/>
      <c r="E342" s="16"/>
      <c r="F342" s="16"/>
      <c r="G342" s="16"/>
      <c r="H342" s="16"/>
    </row>
    <row r="343">
      <c r="D343" s="16"/>
      <c r="E343" s="16"/>
      <c r="F343" s="16"/>
      <c r="G343" s="16"/>
      <c r="H343" s="16"/>
    </row>
    <row r="344">
      <c r="D344" s="16"/>
      <c r="E344" s="16"/>
      <c r="F344" s="16"/>
      <c r="G344" s="16"/>
      <c r="H344" s="16"/>
    </row>
    <row r="345">
      <c r="D345" s="16"/>
      <c r="E345" s="16"/>
      <c r="F345" s="16"/>
      <c r="G345" s="16"/>
      <c r="H345" s="16"/>
    </row>
    <row r="346">
      <c r="D346" s="16"/>
      <c r="E346" s="16"/>
      <c r="F346" s="16"/>
      <c r="G346" s="16"/>
      <c r="H346" s="16"/>
    </row>
    <row r="347">
      <c r="D347" s="16"/>
      <c r="E347" s="16"/>
      <c r="F347" s="16"/>
      <c r="G347" s="16"/>
      <c r="H347" s="16"/>
    </row>
    <row r="348">
      <c r="D348" s="16"/>
      <c r="E348" s="16"/>
      <c r="F348" s="16"/>
      <c r="G348" s="16"/>
      <c r="H348" s="16"/>
    </row>
    <row r="349">
      <c r="D349" s="16"/>
      <c r="E349" s="16"/>
      <c r="F349" s="16"/>
      <c r="G349" s="16"/>
      <c r="H349" s="16"/>
    </row>
    <row r="350">
      <c r="D350" s="16"/>
      <c r="E350" s="16"/>
      <c r="F350" s="16"/>
      <c r="G350" s="16"/>
      <c r="H350" s="16"/>
    </row>
    <row r="351">
      <c r="D351" s="16"/>
      <c r="E351" s="16"/>
      <c r="F351" s="16"/>
      <c r="G351" s="16"/>
      <c r="H351" s="16"/>
    </row>
    <row r="352">
      <c r="D352" s="16"/>
      <c r="E352" s="16"/>
      <c r="F352" s="16"/>
      <c r="G352" s="16"/>
      <c r="H352" s="16"/>
    </row>
    <row r="353">
      <c r="D353" s="16"/>
      <c r="E353" s="16"/>
      <c r="F353" s="16"/>
      <c r="G353" s="16"/>
      <c r="H353" s="16"/>
    </row>
    <row r="354">
      <c r="D354" s="16"/>
      <c r="E354" s="16"/>
      <c r="F354" s="16"/>
      <c r="G354" s="16"/>
      <c r="H354" s="16"/>
    </row>
    <row r="355">
      <c r="D355" s="16"/>
      <c r="E355" s="16"/>
      <c r="F355" s="16"/>
      <c r="G355" s="16"/>
      <c r="H355" s="16"/>
    </row>
    <row r="356">
      <c r="D356" s="16"/>
      <c r="E356" s="16"/>
      <c r="F356" s="16"/>
      <c r="G356" s="16"/>
      <c r="H356" s="16"/>
    </row>
    <row r="357">
      <c r="D357" s="16"/>
      <c r="E357" s="16"/>
      <c r="F357" s="16"/>
      <c r="G357" s="16"/>
      <c r="H357" s="16"/>
    </row>
    <row r="358">
      <c r="D358" s="16"/>
      <c r="E358" s="16"/>
      <c r="F358" s="16"/>
      <c r="G358" s="16"/>
      <c r="H358" s="16"/>
    </row>
    <row r="359">
      <c r="D359" s="16"/>
      <c r="E359" s="16"/>
      <c r="F359" s="16"/>
      <c r="G359" s="16"/>
      <c r="H359" s="16"/>
    </row>
    <row r="360">
      <c r="D360" s="16"/>
      <c r="E360" s="16"/>
      <c r="F360" s="16"/>
      <c r="G360" s="16"/>
      <c r="H360" s="16"/>
    </row>
    <row r="361">
      <c r="D361" s="16"/>
      <c r="E361" s="16"/>
      <c r="F361" s="16"/>
      <c r="G361" s="16"/>
      <c r="H361" s="16"/>
    </row>
    <row r="362">
      <c r="D362" s="16"/>
      <c r="E362" s="16"/>
      <c r="F362" s="16"/>
      <c r="G362" s="16"/>
      <c r="H362" s="16"/>
    </row>
    <row r="363">
      <c r="D363" s="16"/>
      <c r="E363" s="16"/>
      <c r="F363" s="16"/>
      <c r="G363" s="16"/>
      <c r="H363" s="16"/>
    </row>
    <row r="364">
      <c r="D364" s="16"/>
      <c r="E364" s="16"/>
      <c r="F364" s="16"/>
      <c r="G364" s="16"/>
      <c r="H364" s="16"/>
    </row>
    <row r="365">
      <c r="D365" s="16"/>
      <c r="E365" s="16"/>
      <c r="F365" s="16"/>
      <c r="G365" s="16"/>
      <c r="H365" s="16"/>
    </row>
    <row r="366">
      <c r="D366" s="16"/>
      <c r="E366" s="16"/>
      <c r="F366" s="16"/>
      <c r="G366" s="16"/>
      <c r="H366" s="16"/>
    </row>
    <row r="367">
      <c r="D367" s="16"/>
      <c r="E367" s="16"/>
      <c r="F367" s="16"/>
      <c r="G367" s="16"/>
      <c r="H367" s="16"/>
    </row>
    <row r="368">
      <c r="D368" s="16"/>
      <c r="E368" s="16"/>
      <c r="F368" s="16"/>
      <c r="G368" s="16"/>
      <c r="H368" s="16"/>
    </row>
    <row r="369">
      <c r="D369" s="16"/>
      <c r="E369" s="16"/>
      <c r="F369" s="16"/>
      <c r="G369" s="16"/>
      <c r="H369" s="16"/>
    </row>
    <row r="370">
      <c r="D370" s="16"/>
      <c r="E370" s="16"/>
      <c r="F370" s="16"/>
      <c r="G370" s="16"/>
      <c r="H370" s="16"/>
    </row>
    <row r="371">
      <c r="D371" s="16"/>
      <c r="E371" s="16"/>
      <c r="F371" s="16"/>
      <c r="G371" s="16"/>
      <c r="H371" s="16"/>
    </row>
    <row r="372">
      <c r="D372" s="16"/>
      <c r="E372" s="16"/>
      <c r="F372" s="16"/>
      <c r="G372" s="16"/>
      <c r="H372" s="16"/>
    </row>
    <row r="373">
      <c r="D373" s="16"/>
      <c r="E373" s="16"/>
      <c r="F373" s="16"/>
      <c r="G373" s="16"/>
      <c r="H373" s="16"/>
    </row>
    <row r="374">
      <c r="D374" s="16"/>
      <c r="E374" s="16"/>
      <c r="F374" s="16"/>
      <c r="G374" s="16"/>
      <c r="H374" s="16"/>
    </row>
    <row r="375">
      <c r="D375" s="16"/>
      <c r="E375" s="16"/>
      <c r="F375" s="16"/>
      <c r="G375" s="16"/>
      <c r="H375" s="16"/>
    </row>
    <row r="376">
      <c r="D376" s="16"/>
      <c r="E376" s="16"/>
      <c r="F376" s="16"/>
      <c r="G376" s="16"/>
      <c r="H376" s="16"/>
    </row>
    <row r="377">
      <c r="D377" s="16"/>
      <c r="E377" s="16"/>
      <c r="F377" s="16"/>
      <c r="G377" s="16"/>
      <c r="H377" s="16"/>
    </row>
    <row r="378">
      <c r="D378" s="16"/>
      <c r="E378" s="16"/>
      <c r="F378" s="16"/>
      <c r="G378" s="16"/>
      <c r="H378" s="16"/>
    </row>
    <row r="379">
      <c r="D379" s="16"/>
      <c r="E379" s="16"/>
      <c r="F379" s="16"/>
      <c r="G379" s="16"/>
      <c r="H379" s="16"/>
    </row>
    <row r="380">
      <c r="D380" s="16"/>
      <c r="E380" s="16"/>
      <c r="F380" s="16"/>
      <c r="G380" s="16"/>
      <c r="H380" s="16"/>
    </row>
    <row r="381">
      <c r="D381" s="16"/>
      <c r="E381" s="16"/>
      <c r="F381" s="16"/>
      <c r="G381" s="16"/>
      <c r="H381" s="16"/>
    </row>
    <row r="382">
      <c r="D382" s="16"/>
      <c r="E382" s="16"/>
      <c r="F382" s="16"/>
      <c r="G382" s="16"/>
      <c r="H382" s="16"/>
    </row>
    <row r="383">
      <c r="D383" s="16"/>
      <c r="E383" s="16"/>
      <c r="F383" s="16"/>
      <c r="G383" s="16"/>
      <c r="H383" s="16"/>
    </row>
    <row r="384">
      <c r="D384" s="16"/>
      <c r="E384" s="16"/>
      <c r="F384" s="16"/>
      <c r="G384" s="16"/>
      <c r="H384" s="16"/>
    </row>
    <row r="385">
      <c r="D385" s="16"/>
      <c r="E385" s="16"/>
      <c r="F385" s="16"/>
      <c r="G385" s="16"/>
      <c r="H385" s="16"/>
    </row>
    <row r="386">
      <c r="D386" s="16"/>
      <c r="E386" s="16"/>
      <c r="F386" s="16"/>
      <c r="G386" s="16"/>
      <c r="H386" s="16"/>
    </row>
    <row r="387">
      <c r="D387" s="16"/>
      <c r="E387" s="16"/>
      <c r="F387" s="16"/>
      <c r="G387" s="16"/>
      <c r="H387" s="16"/>
    </row>
    <row r="388">
      <c r="D388" s="16"/>
      <c r="E388" s="16"/>
      <c r="F388" s="16"/>
      <c r="G388" s="16"/>
      <c r="H388" s="16"/>
    </row>
    <row r="389">
      <c r="D389" s="16"/>
      <c r="E389" s="16"/>
      <c r="F389" s="16"/>
      <c r="G389" s="16"/>
      <c r="H389" s="16"/>
    </row>
    <row r="390">
      <c r="D390" s="16"/>
      <c r="E390" s="16"/>
      <c r="F390" s="16"/>
      <c r="G390" s="16"/>
      <c r="H390" s="16"/>
    </row>
    <row r="391">
      <c r="D391" s="16"/>
      <c r="E391" s="16"/>
      <c r="F391" s="16"/>
      <c r="G391" s="16"/>
      <c r="H391" s="16"/>
    </row>
    <row r="392">
      <c r="D392" s="16"/>
      <c r="E392" s="16"/>
      <c r="F392" s="16"/>
      <c r="G392" s="16"/>
      <c r="H392" s="16"/>
    </row>
    <row r="393">
      <c r="D393" s="16"/>
      <c r="E393" s="16"/>
      <c r="F393" s="16"/>
      <c r="G393" s="16"/>
      <c r="H393" s="16"/>
    </row>
    <row r="394">
      <c r="D394" s="16"/>
      <c r="E394" s="16"/>
      <c r="F394" s="16"/>
      <c r="G394" s="16"/>
      <c r="H394" s="16"/>
    </row>
    <row r="395">
      <c r="D395" s="16"/>
      <c r="E395" s="16"/>
      <c r="F395" s="16"/>
      <c r="G395" s="16"/>
      <c r="H395" s="16"/>
    </row>
    <row r="396">
      <c r="D396" s="16"/>
      <c r="E396" s="16"/>
      <c r="F396" s="16"/>
      <c r="G396" s="16"/>
      <c r="H396" s="16"/>
    </row>
    <row r="397">
      <c r="D397" s="16"/>
      <c r="E397" s="16"/>
      <c r="F397" s="16"/>
      <c r="G397" s="16"/>
      <c r="H397" s="16"/>
    </row>
    <row r="398">
      <c r="D398" s="16"/>
      <c r="E398" s="16"/>
      <c r="F398" s="16"/>
      <c r="G398" s="16"/>
      <c r="H398" s="16"/>
    </row>
    <row r="399">
      <c r="D399" s="16"/>
      <c r="E399" s="16"/>
      <c r="F399" s="16"/>
      <c r="G399" s="16"/>
      <c r="H399" s="16"/>
    </row>
    <row r="400">
      <c r="D400" s="16"/>
      <c r="E400" s="16"/>
      <c r="F400" s="16"/>
      <c r="G400" s="16"/>
      <c r="H400" s="16"/>
    </row>
    <row r="401">
      <c r="D401" s="16"/>
      <c r="E401" s="16"/>
      <c r="F401" s="16"/>
      <c r="G401" s="16"/>
      <c r="H401" s="16"/>
    </row>
    <row r="402">
      <c r="D402" s="16"/>
      <c r="E402" s="16"/>
      <c r="F402" s="16"/>
      <c r="G402" s="16"/>
      <c r="H402" s="16"/>
    </row>
    <row r="403">
      <c r="D403" s="16"/>
      <c r="E403" s="16"/>
      <c r="F403" s="16"/>
      <c r="G403" s="16"/>
      <c r="H403" s="16"/>
    </row>
    <row r="404">
      <c r="D404" s="16"/>
      <c r="E404" s="16"/>
      <c r="F404" s="16"/>
      <c r="G404" s="16"/>
      <c r="H404" s="16"/>
    </row>
    <row r="405">
      <c r="D405" s="16"/>
      <c r="E405" s="16"/>
      <c r="F405" s="16"/>
      <c r="G405" s="16"/>
      <c r="H405" s="16"/>
    </row>
    <row r="406">
      <c r="D406" s="16"/>
      <c r="E406" s="16"/>
      <c r="F406" s="16"/>
      <c r="G406" s="16"/>
      <c r="H406" s="16"/>
    </row>
    <row r="407">
      <c r="D407" s="16"/>
      <c r="E407" s="16"/>
      <c r="F407" s="16"/>
      <c r="G407" s="16"/>
      <c r="H407" s="16"/>
    </row>
    <row r="408">
      <c r="D408" s="16"/>
      <c r="E408" s="16"/>
      <c r="F408" s="16"/>
      <c r="G408" s="16"/>
      <c r="H408" s="16"/>
    </row>
    <row r="409">
      <c r="D409" s="16"/>
      <c r="E409" s="16"/>
      <c r="F409" s="16"/>
      <c r="G409" s="16"/>
      <c r="H409" s="16"/>
    </row>
    <row r="410">
      <c r="D410" s="16"/>
      <c r="E410" s="16"/>
      <c r="F410" s="16"/>
      <c r="G410" s="16"/>
      <c r="H410" s="16"/>
    </row>
    <row r="411">
      <c r="D411" s="16"/>
      <c r="E411" s="16"/>
      <c r="F411" s="16"/>
      <c r="G411" s="16"/>
      <c r="H411" s="16"/>
    </row>
    <row r="412">
      <c r="D412" s="16"/>
      <c r="E412" s="16"/>
      <c r="F412" s="16"/>
      <c r="G412" s="16"/>
      <c r="H412" s="16"/>
    </row>
    <row r="413">
      <c r="D413" s="16"/>
      <c r="E413" s="16"/>
      <c r="F413" s="16"/>
      <c r="G413" s="16"/>
      <c r="H413" s="16"/>
    </row>
    <row r="414">
      <c r="D414" s="16"/>
      <c r="E414" s="16"/>
      <c r="F414" s="16"/>
      <c r="G414" s="16"/>
      <c r="H414" s="16"/>
    </row>
    <row r="415">
      <c r="D415" s="16"/>
      <c r="E415" s="16"/>
      <c r="F415" s="16"/>
      <c r="G415" s="16"/>
      <c r="H415" s="16"/>
    </row>
    <row r="416">
      <c r="D416" s="16"/>
      <c r="E416" s="16"/>
      <c r="F416" s="16"/>
      <c r="G416" s="16"/>
      <c r="H416" s="16"/>
    </row>
    <row r="417">
      <c r="D417" s="16"/>
      <c r="E417" s="16"/>
      <c r="F417" s="16"/>
      <c r="G417" s="16"/>
      <c r="H417" s="16"/>
    </row>
    <row r="418">
      <c r="D418" s="16"/>
      <c r="E418" s="16"/>
      <c r="F418" s="16"/>
      <c r="G418" s="16"/>
      <c r="H418" s="16"/>
    </row>
    <row r="419">
      <c r="D419" s="16"/>
      <c r="E419" s="16"/>
      <c r="F419" s="16"/>
      <c r="G419" s="16"/>
      <c r="H419" s="16"/>
    </row>
    <row r="420">
      <c r="D420" s="16"/>
      <c r="E420" s="16"/>
      <c r="F420" s="16"/>
      <c r="G420" s="16"/>
      <c r="H420" s="16"/>
    </row>
    <row r="421">
      <c r="D421" s="16"/>
      <c r="E421" s="16"/>
      <c r="F421" s="16"/>
      <c r="G421" s="16"/>
      <c r="H421" s="16"/>
    </row>
    <row r="422">
      <c r="D422" s="16"/>
      <c r="E422" s="16"/>
      <c r="F422" s="16"/>
      <c r="G422" s="16"/>
      <c r="H422" s="16"/>
    </row>
    <row r="423">
      <c r="D423" s="16"/>
      <c r="E423" s="16"/>
      <c r="F423" s="16"/>
      <c r="G423" s="16"/>
      <c r="H423" s="16"/>
    </row>
    <row r="424">
      <c r="D424" s="16"/>
      <c r="E424" s="16"/>
      <c r="F424" s="16"/>
      <c r="G424" s="16"/>
      <c r="H424" s="16"/>
    </row>
    <row r="425">
      <c r="D425" s="16"/>
      <c r="E425" s="16"/>
      <c r="F425" s="16"/>
      <c r="G425" s="16"/>
      <c r="H425" s="16"/>
    </row>
    <row r="426">
      <c r="D426" s="16"/>
      <c r="E426" s="16"/>
      <c r="F426" s="16"/>
      <c r="G426" s="16"/>
      <c r="H426" s="16"/>
    </row>
    <row r="427">
      <c r="D427" s="16"/>
      <c r="E427" s="16"/>
      <c r="F427" s="16"/>
      <c r="G427" s="16"/>
      <c r="H427" s="16"/>
    </row>
    <row r="428">
      <c r="D428" s="16"/>
      <c r="E428" s="16"/>
      <c r="F428" s="16"/>
      <c r="G428" s="16"/>
      <c r="H428" s="16"/>
    </row>
    <row r="429">
      <c r="D429" s="16"/>
      <c r="E429" s="16"/>
      <c r="F429" s="16"/>
      <c r="G429" s="16"/>
      <c r="H429" s="16"/>
    </row>
    <row r="430">
      <c r="D430" s="16"/>
      <c r="E430" s="16"/>
      <c r="F430" s="16"/>
      <c r="G430" s="16"/>
      <c r="H430" s="16"/>
    </row>
    <row r="431">
      <c r="D431" s="16"/>
      <c r="E431" s="16"/>
      <c r="F431" s="16"/>
      <c r="G431" s="16"/>
      <c r="H431" s="16"/>
    </row>
    <row r="432">
      <c r="D432" s="16"/>
      <c r="E432" s="16"/>
      <c r="F432" s="16"/>
      <c r="G432" s="16"/>
      <c r="H432" s="16"/>
    </row>
    <row r="433">
      <c r="D433" s="16"/>
      <c r="E433" s="16"/>
      <c r="F433" s="16"/>
      <c r="G433" s="16"/>
      <c r="H433" s="16"/>
    </row>
    <row r="434">
      <c r="D434" s="16"/>
      <c r="E434" s="16"/>
      <c r="F434" s="16"/>
      <c r="G434" s="16"/>
      <c r="H434" s="16"/>
    </row>
    <row r="435">
      <c r="D435" s="16"/>
      <c r="E435" s="16"/>
      <c r="F435" s="16"/>
      <c r="G435" s="16"/>
      <c r="H435" s="16"/>
    </row>
    <row r="436">
      <c r="D436" s="16"/>
      <c r="E436" s="16"/>
      <c r="F436" s="16"/>
      <c r="G436" s="16"/>
      <c r="H436" s="16"/>
    </row>
    <row r="437">
      <c r="D437" s="16"/>
      <c r="E437" s="16"/>
      <c r="F437" s="16"/>
      <c r="G437" s="16"/>
      <c r="H437" s="16"/>
    </row>
    <row r="438">
      <c r="D438" s="16"/>
      <c r="E438" s="16"/>
      <c r="F438" s="16"/>
      <c r="G438" s="16"/>
      <c r="H438" s="16"/>
    </row>
    <row r="439">
      <c r="D439" s="16"/>
      <c r="E439" s="16"/>
      <c r="F439" s="16"/>
      <c r="G439" s="16"/>
      <c r="H439" s="16"/>
    </row>
    <row r="440">
      <c r="D440" s="16"/>
      <c r="E440" s="16"/>
      <c r="F440" s="16"/>
      <c r="G440" s="16"/>
      <c r="H440" s="16"/>
    </row>
    <row r="441">
      <c r="D441" s="16"/>
      <c r="E441" s="16"/>
      <c r="F441" s="16"/>
      <c r="G441" s="16"/>
      <c r="H441" s="16"/>
    </row>
    <row r="442">
      <c r="D442" s="16"/>
      <c r="E442" s="16"/>
      <c r="F442" s="16"/>
      <c r="G442" s="16"/>
      <c r="H442" s="16"/>
    </row>
    <row r="443">
      <c r="D443" s="16"/>
      <c r="E443" s="16"/>
      <c r="F443" s="16"/>
      <c r="G443" s="16"/>
      <c r="H443" s="16"/>
    </row>
    <row r="444">
      <c r="D444" s="16"/>
      <c r="E444" s="16"/>
      <c r="F444" s="16"/>
      <c r="G444" s="16"/>
      <c r="H444" s="16"/>
    </row>
    <row r="445">
      <c r="D445" s="16"/>
      <c r="E445" s="16"/>
      <c r="F445" s="16"/>
      <c r="G445" s="16"/>
      <c r="H445" s="16"/>
    </row>
    <row r="446">
      <c r="D446" s="16"/>
      <c r="E446" s="16"/>
      <c r="F446" s="16"/>
      <c r="G446" s="16"/>
      <c r="H446" s="16"/>
    </row>
    <row r="447">
      <c r="D447" s="16"/>
      <c r="E447" s="16"/>
      <c r="F447" s="16"/>
      <c r="G447" s="16"/>
      <c r="H447" s="16"/>
    </row>
    <row r="448">
      <c r="D448" s="16"/>
      <c r="E448" s="16"/>
      <c r="F448" s="16"/>
      <c r="G448" s="16"/>
      <c r="H448" s="16"/>
    </row>
    <row r="449">
      <c r="D449" s="16"/>
      <c r="E449" s="16"/>
      <c r="F449" s="16"/>
      <c r="G449" s="16"/>
      <c r="H449" s="16"/>
    </row>
    <row r="450">
      <c r="D450" s="16"/>
      <c r="E450" s="16"/>
      <c r="F450" s="16"/>
      <c r="G450" s="16"/>
      <c r="H450" s="16"/>
    </row>
    <row r="451">
      <c r="D451" s="16"/>
      <c r="E451" s="16"/>
      <c r="F451" s="16"/>
      <c r="G451" s="16"/>
      <c r="H451" s="16"/>
    </row>
    <row r="452">
      <c r="D452" s="16"/>
      <c r="E452" s="16"/>
      <c r="F452" s="16"/>
      <c r="G452" s="16"/>
      <c r="H452" s="16"/>
    </row>
    <row r="453">
      <c r="D453" s="16"/>
      <c r="E453" s="16"/>
      <c r="F453" s="16"/>
      <c r="G453" s="16"/>
      <c r="H453" s="16"/>
    </row>
    <row r="454">
      <c r="D454" s="16"/>
      <c r="E454" s="16"/>
      <c r="F454" s="16"/>
      <c r="G454" s="16"/>
      <c r="H454" s="16"/>
    </row>
    <row r="455">
      <c r="D455" s="16"/>
      <c r="E455" s="16"/>
      <c r="F455" s="16"/>
      <c r="G455" s="16"/>
      <c r="H455" s="16"/>
    </row>
    <row r="456">
      <c r="D456" s="16"/>
      <c r="E456" s="16"/>
      <c r="F456" s="16"/>
      <c r="G456" s="16"/>
      <c r="H456" s="16"/>
    </row>
    <row r="457">
      <c r="D457" s="16"/>
      <c r="E457" s="16"/>
      <c r="F457" s="16"/>
      <c r="G457" s="16"/>
      <c r="H457" s="16"/>
    </row>
    <row r="458">
      <c r="D458" s="16"/>
      <c r="E458" s="16"/>
      <c r="F458" s="16"/>
      <c r="G458" s="16"/>
      <c r="H458" s="16"/>
    </row>
    <row r="459">
      <c r="D459" s="16"/>
      <c r="E459" s="16"/>
      <c r="F459" s="16"/>
      <c r="G459" s="16"/>
      <c r="H459" s="16"/>
    </row>
    <row r="460">
      <c r="D460" s="16"/>
      <c r="E460" s="16"/>
      <c r="F460" s="16"/>
      <c r="G460" s="16"/>
      <c r="H460" s="16"/>
    </row>
    <row r="461">
      <c r="D461" s="16"/>
      <c r="E461" s="16"/>
      <c r="F461" s="16"/>
      <c r="G461" s="16"/>
      <c r="H461" s="16"/>
    </row>
    <row r="462">
      <c r="D462" s="16"/>
      <c r="E462" s="16"/>
      <c r="F462" s="16"/>
      <c r="G462" s="16"/>
      <c r="H462" s="16"/>
    </row>
    <row r="463">
      <c r="D463" s="16"/>
      <c r="E463" s="16"/>
      <c r="F463" s="16"/>
      <c r="G463" s="16"/>
      <c r="H463" s="16"/>
    </row>
    <row r="464">
      <c r="D464" s="16"/>
      <c r="E464" s="16"/>
      <c r="F464" s="16"/>
      <c r="G464" s="16"/>
      <c r="H464" s="16"/>
    </row>
    <row r="465">
      <c r="D465" s="16"/>
      <c r="E465" s="16"/>
      <c r="F465" s="16"/>
      <c r="G465" s="16"/>
      <c r="H465" s="16"/>
    </row>
    <row r="466">
      <c r="D466" s="16"/>
      <c r="E466" s="16"/>
      <c r="F466" s="16"/>
      <c r="G466" s="16"/>
      <c r="H466" s="16"/>
    </row>
    <row r="467">
      <c r="D467" s="16"/>
      <c r="E467" s="16"/>
      <c r="F467" s="16"/>
      <c r="G467" s="16"/>
      <c r="H467" s="16"/>
    </row>
    <row r="468">
      <c r="D468" s="16"/>
      <c r="E468" s="16"/>
      <c r="F468" s="16"/>
      <c r="G468" s="16"/>
      <c r="H468" s="16"/>
    </row>
    <row r="469">
      <c r="D469" s="16"/>
      <c r="E469" s="16"/>
      <c r="F469" s="16"/>
      <c r="G469" s="16"/>
      <c r="H469" s="16"/>
    </row>
    <row r="470">
      <c r="D470" s="16"/>
      <c r="E470" s="16"/>
      <c r="F470" s="16"/>
      <c r="G470" s="16"/>
      <c r="H470" s="16"/>
    </row>
    <row r="471">
      <c r="D471" s="16"/>
      <c r="E471" s="16"/>
      <c r="F471" s="16"/>
      <c r="G471" s="16"/>
      <c r="H471" s="16"/>
    </row>
    <row r="472">
      <c r="D472" s="16"/>
      <c r="E472" s="16"/>
      <c r="F472" s="16"/>
      <c r="G472" s="16"/>
      <c r="H472" s="16"/>
    </row>
    <row r="473">
      <c r="D473" s="16"/>
      <c r="E473" s="16"/>
      <c r="F473" s="16"/>
      <c r="G473" s="16"/>
      <c r="H473" s="16"/>
    </row>
    <row r="474">
      <c r="D474" s="16"/>
      <c r="E474" s="16"/>
      <c r="F474" s="16"/>
      <c r="G474" s="16"/>
      <c r="H474" s="16"/>
    </row>
    <row r="475">
      <c r="D475" s="16"/>
      <c r="E475" s="16"/>
      <c r="F475" s="16"/>
      <c r="G475" s="16"/>
      <c r="H475" s="16"/>
    </row>
    <row r="476">
      <c r="D476" s="16"/>
      <c r="E476" s="16"/>
      <c r="F476" s="16"/>
      <c r="G476" s="16"/>
      <c r="H476" s="16"/>
    </row>
    <row r="477">
      <c r="D477" s="16"/>
      <c r="E477" s="16"/>
      <c r="F477" s="16"/>
      <c r="G477" s="16"/>
      <c r="H477" s="16"/>
    </row>
    <row r="478">
      <c r="D478" s="16"/>
      <c r="E478" s="16"/>
      <c r="F478" s="16"/>
      <c r="G478" s="16"/>
      <c r="H478" s="16"/>
    </row>
    <row r="479">
      <c r="D479" s="16"/>
      <c r="E479" s="16"/>
      <c r="F479" s="16"/>
      <c r="G479" s="16"/>
      <c r="H479" s="16"/>
    </row>
    <row r="480">
      <c r="D480" s="16"/>
      <c r="E480" s="16"/>
      <c r="F480" s="16"/>
      <c r="G480" s="16"/>
      <c r="H480" s="16"/>
    </row>
    <row r="481">
      <c r="D481" s="16"/>
      <c r="E481" s="16"/>
      <c r="F481" s="16"/>
      <c r="G481" s="16"/>
      <c r="H481" s="16"/>
    </row>
    <row r="482">
      <c r="D482" s="16"/>
      <c r="E482" s="16"/>
      <c r="F482" s="16"/>
      <c r="G482" s="16"/>
      <c r="H482" s="16"/>
    </row>
    <row r="483">
      <c r="D483" s="16"/>
      <c r="E483" s="16"/>
      <c r="F483" s="16"/>
      <c r="G483" s="16"/>
      <c r="H483" s="16"/>
    </row>
    <row r="484">
      <c r="D484" s="16"/>
      <c r="E484" s="16"/>
      <c r="F484" s="16"/>
      <c r="G484" s="16"/>
      <c r="H484" s="16"/>
    </row>
    <row r="485">
      <c r="D485" s="16"/>
      <c r="E485" s="16"/>
      <c r="F485" s="16"/>
      <c r="G485" s="16"/>
      <c r="H485" s="16"/>
    </row>
    <row r="486">
      <c r="D486" s="16"/>
      <c r="E486" s="16"/>
      <c r="F486" s="16"/>
      <c r="G486" s="16"/>
      <c r="H486" s="16"/>
    </row>
    <row r="487">
      <c r="D487" s="16"/>
      <c r="E487" s="16"/>
      <c r="F487" s="16"/>
      <c r="G487" s="16"/>
      <c r="H487" s="16"/>
    </row>
    <row r="488">
      <c r="D488" s="16"/>
      <c r="E488" s="16"/>
      <c r="F488" s="16"/>
      <c r="G488" s="16"/>
      <c r="H488" s="16"/>
    </row>
    <row r="489">
      <c r="D489" s="16"/>
      <c r="E489" s="16"/>
      <c r="F489" s="16"/>
      <c r="G489" s="16"/>
      <c r="H489" s="16"/>
    </row>
    <row r="490">
      <c r="D490" s="16"/>
      <c r="E490" s="16"/>
      <c r="F490" s="16"/>
      <c r="G490" s="16"/>
      <c r="H490" s="16"/>
    </row>
    <row r="491">
      <c r="D491" s="16"/>
      <c r="E491" s="16"/>
      <c r="F491" s="16"/>
      <c r="G491" s="16"/>
      <c r="H491" s="16"/>
    </row>
    <row r="492">
      <c r="D492" s="16"/>
      <c r="E492" s="16"/>
      <c r="F492" s="16"/>
      <c r="G492" s="16"/>
      <c r="H492" s="16"/>
    </row>
    <row r="493">
      <c r="D493" s="16"/>
      <c r="E493" s="16"/>
      <c r="F493" s="16"/>
      <c r="G493" s="16"/>
      <c r="H493" s="16"/>
    </row>
    <row r="494">
      <c r="D494" s="16"/>
      <c r="E494" s="16"/>
      <c r="F494" s="16"/>
      <c r="G494" s="16"/>
      <c r="H494" s="16"/>
    </row>
    <row r="495">
      <c r="D495" s="16"/>
      <c r="E495" s="16"/>
      <c r="F495" s="16"/>
      <c r="G495" s="16"/>
      <c r="H495" s="16"/>
    </row>
    <row r="496">
      <c r="D496" s="16"/>
      <c r="E496" s="16"/>
      <c r="F496" s="16"/>
      <c r="G496" s="16"/>
      <c r="H496" s="16"/>
    </row>
    <row r="497">
      <c r="D497" s="16"/>
      <c r="E497" s="16"/>
      <c r="F497" s="16"/>
      <c r="G497" s="16"/>
      <c r="H497" s="16"/>
    </row>
    <row r="498">
      <c r="D498" s="16"/>
      <c r="E498" s="16"/>
      <c r="F498" s="16"/>
      <c r="G498" s="16"/>
      <c r="H498" s="16"/>
    </row>
    <row r="499">
      <c r="D499" s="16"/>
      <c r="E499" s="16"/>
      <c r="F499" s="16"/>
      <c r="G499" s="16"/>
      <c r="H499" s="16"/>
    </row>
    <row r="500">
      <c r="D500" s="16"/>
      <c r="E500" s="16"/>
      <c r="F500" s="16"/>
      <c r="G500" s="16"/>
      <c r="H500" s="16"/>
    </row>
    <row r="501">
      <c r="D501" s="16"/>
      <c r="E501" s="16"/>
      <c r="F501" s="16"/>
      <c r="G501" s="16"/>
      <c r="H501" s="16"/>
    </row>
    <row r="502">
      <c r="D502" s="16"/>
      <c r="E502" s="16"/>
      <c r="F502" s="16"/>
      <c r="G502" s="16"/>
      <c r="H502" s="16"/>
    </row>
    <row r="503">
      <c r="D503" s="16"/>
      <c r="E503" s="16"/>
      <c r="F503" s="16"/>
      <c r="G503" s="16"/>
      <c r="H503" s="16"/>
    </row>
    <row r="504">
      <c r="D504" s="16"/>
      <c r="E504" s="16"/>
      <c r="F504" s="16"/>
      <c r="G504" s="16"/>
      <c r="H504" s="16"/>
    </row>
    <row r="505">
      <c r="D505" s="16"/>
      <c r="E505" s="16"/>
      <c r="F505" s="16"/>
      <c r="G505" s="16"/>
      <c r="H505" s="16"/>
    </row>
    <row r="506">
      <c r="D506" s="16"/>
      <c r="E506" s="16"/>
      <c r="F506" s="16"/>
      <c r="G506" s="16"/>
      <c r="H506" s="16"/>
    </row>
    <row r="507">
      <c r="D507" s="16"/>
      <c r="E507" s="16"/>
      <c r="F507" s="16"/>
      <c r="G507" s="16"/>
      <c r="H507" s="16"/>
    </row>
    <row r="508">
      <c r="D508" s="16"/>
      <c r="E508" s="16"/>
      <c r="F508" s="16"/>
      <c r="G508" s="16"/>
      <c r="H508" s="16"/>
    </row>
    <row r="509">
      <c r="D509" s="16"/>
      <c r="E509" s="16"/>
      <c r="F509" s="16"/>
      <c r="G509" s="16"/>
      <c r="H509" s="16"/>
    </row>
    <row r="510">
      <c r="D510" s="16"/>
      <c r="E510" s="16"/>
      <c r="F510" s="16"/>
      <c r="G510" s="16"/>
      <c r="H510" s="16"/>
    </row>
    <row r="511">
      <c r="D511" s="16"/>
      <c r="E511" s="16"/>
      <c r="F511" s="16"/>
      <c r="G511" s="16"/>
      <c r="H511" s="16"/>
    </row>
    <row r="512">
      <c r="D512" s="16"/>
      <c r="E512" s="16"/>
      <c r="F512" s="16"/>
      <c r="G512" s="16"/>
      <c r="H512" s="16"/>
    </row>
    <row r="513">
      <c r="D513" s="16"/>
      <c r="E513" s="16"/>
      <c r="F513" s="16"/>
      <c r="G513" s="16"/>
      <c r="H513" s="16"/>
    </row>
    <row r="514">
      <c r="D514" s="16"/>
      <c r="E514" s="16"/>
      <c r="F514" s="16"/>
      <c r="G514" s="16"/>
      <c r="H514" s="16"/>
    </row>
    <row r="515">
      <c r="D515" s="16"/>
      <c r="E515" s="16"/>
      <c r="F515" s="16"/>
      <c r="G515" s="16"/>
      <c r="H515" s="16"/>
    </row>
    <row r="516">
      <c r="D516" s="16"/>
      <c r="E516" s="16"/>
      <c r="F516" s="16"/>
      <c r="G516" s="16"/>
      <c r="H516" s="16"/>
    </row>
    <row r="517">
      <c r="D517" s="16"/>
      <c r="E517" s="16"/>
      <c r="F517" s="16"/>
      <c r="G517" s="16"/>
      <c r="H517" s="16"/>
    </row>
    <row r="518">
      <c r="D518" s="16"/>
      <c r="E518" s="16"/>
      <c r="F518" s="16"/>
      <c r="G518" s="16"/>
      <c r="H518" s="16"/>
    </row>
    <row r="519">
      <c r="D519" s="16"/>
      <c r="E519" s="16"/>
      <c r="F519" s="16"/>
      <c r="G519" s="16"/>
      <c r="H519" s="16"/>
    </row>
    <row r="520">
      <c r="D520" s="16"/>
      <c r="E520" s="16"/>
      <c r="F520" s="16"/>
      <c r="G520" s="16"/>
      <c r="H520" s="16"/>
    </row>
    <row r="521">
      <c r="D521" s="16"/>
      <c r="E521" s="16"/>
      <c r="F521" s="16"/>
      <c r="G521" s="16"/>
      <c r="H521" s="16"/>
    </row>
    <row r="522">
      <c r="D522" s="16"/>
      <c r="E522" s="16"/>
      <c r="F522" s="16"/>
      <c r="G522" s="16"/>
      <c r="H522" s="16"/>
    </row>
    <row r="523">
      <c r="D523" s="16"/>
      <c r="E523" s="16"/>
      <c r="F523" s="16"/>
      <c r="G523" s="16"/>
      <c r="H523" s="16"/>
    </row>
    <row r="524">
      <c r="D524" s="16"/>
      <c r="E524" s="16"/>
      <c r="F524" s="16"/>
      <c r="G524" s="16"/>
      <c r="H524" s="16"/>
    </row>
    <row r="525">
      <c r="D525" s="16"/>
      <c r="E525" s="16"/>
      <c r="F525" s="16"/>
      <c r="G525" s="16"/>
      <c r="H525" s="16"/>
    </row>
    <row r="526">
      <c r="D526" s="16"/>
      <c r="E526" s="16"/>
      <c r="F526" s="16"/>
      <c r="G526" s="16"/>
      <c r="H526" s="16"/>
    </row>
    <row r="527">
      <c r="D527" s="16"/>
      <c r="E527" s="16"/>
      <c r="F527" s="16"/>
      <c r="G527" s="16"/>
      <c r="H527" s="16"/>
    </row>
    <row r="528">
      <c r="D528" s="16"/>
      <c r="E528" s="16"/>
      <c r="F528" s="16"/>
      <c r="G528" s="16"/>
      <c r="H528" s="16"/>
    </row>
    <row r="529">
      <c r="D529" s="16"/>
      <c r="E529" s="16"/>
      <c r="F529" s="16"/>
      <c r="G529" s="16"/>
      <c r="H529" s="16"/>
    </row>
    <row r="530">
      <c r="D530" s="16"/>
      <c r="E530" s="16"/>
      <c r="F530" s="16"/>
      <c r="G530" s="16"/>
      <c r="H530" s="16"/>
    </row>
    <row r="531">
      <c r="D531" s="16"/>
      <c r="E531" s="16"/>
      <c r="F531" s="16"/>
      <c r="G531" s="16"/>
      <c r="H531" s="16"/>
    </row>
    <row r="532">
      <c r="D532" s="16"/>
      <c r="E532" s="16"/>
      <c r="F532" s="16"/>
      <c r="G532" s="16"/>
      <c r="H532" s="16"/>
    </row>
    <row r="533">
      <c r="D533" s="16"/>
      <c r="E533" s="16"/>
      <c r="F533" s="16"/>
      <c r="G533" s="16"/>
      <c r="H533" s="16"/>
    </row>
    <row r="534">
      <c r="D534" s="16"/>
      <c r="E534" s="16"/>
      <c r="F534" s="16"/>
      <c r="G534" s="16"/>
      <c r="H534" s="16"/>
    </row>
    <row r="535">
      <c r="D535" s="16"/>
      <c r="E535" s="16"/>
      <c r="F535" s="16"/>
      <c r="G535" s="16"/>
      <c r="H535" s="16"/>
    </row>
    <row r="536">
      <c r="D536" s="16"/>
      <c r="E536" s="16"/>
      <c r="F536" s="16"/>
      <c r="G536" s="16"/>
      <c r="H536" s="16"/>
    </row>
    <row r="537">
      <c r="D537" s="16"/>
      <c r="E537" s="16"/>
      <c r="F537" s="16"/>
      <c r="G537" s="16"/>
      <c r="H537" s="16"/>
    </row>
    <row r="538">
      <c r="D538" s="16"/>
      <c r="E538" s="16"/>
      <c r="F538" s="16"/>
      <c r="G538" s="16"/>
      <c r="H538" s="16"/>
    </row>
    <row r="539">
      <c r="D539" s="16"/>
      <c r="E539" s="16"/>
      <c r="F539" s="16"/>
      <c r="G539" s="16"/>
      <c r="H539" s="16"/>
    </row>
    <row r="540">
      <c r="D540" s="16"/>
      <c r="E540" s="16"/>
      <c r="F540" s="16"/>
      <c r="G540" s="16"/>
      <c r="H540" s="16"/>
    </row>
    <row r="541">
      <c r="D541" s="16"/>
      <c r="E541" s="16"/>
      <c r="F541" s="16"/>
      <c r="G541" s="16"/>
      <c r="H541" s="16"/>
    </row>
    <row r="542">
      <c r="D542" s="16"/>
      <c r="E542" s="16"/>
      <c r="F542" s="16"/>
      <c r="G542" s="16"/>
      <c r="H542" s="16"/>
    </row>
    <row r="543">
      <c r="D543" s="16"/>
      <c r="E543" s="16"/>
      <c r="F543" s="16"/>
      <c r="G543" s="16"/>
      <c r="H543" s="16"/>
    </row>
    <row r="544">
      <c r="D544" s="16"/>
      <c r="E544" s="16"/>
      <c r="F544" s="16"/>
      <c r="G544" s="16"/>
      <c r="H544" s="16"/>
    </row>
    <row r="545">
      <c r="D545" s="16"/>
      <c r="E545" s="16"/>
      <c r="F545" s="16"/>
      <c r="G545" s="16"/>
      <c r="H545" s="16"/>
    </row>
    <row r="546">
      <c r="D546" s="16"/>
      <c r="E546" s="16"/>
      <c r="F546" s="16"/>
      <c r="G546" s="16"/>
      <c r="H546" s="16"/>
    </row>
    <row r="547">
      <c r="D547" s="16"/>
      <c r="E547" s="16"/>
      <c r="F547" s="16"/>
      <c r="G547" s="16"/>
      <c r="H547" s="16"/>
    </row>
    <row r="548">
      <c r="D548" s="16"/>
      <c r="E548" s="16"/>
      <c r="F548" s="16"/>
      <c r="G548" s="16"/>
      <c r="H548" s="16"/>
    </row>
    <row r="549">
      <c r="D549" s="16"/>
      <c r="E549" s="16"/>
      <c r="F549" s="16"/>
      <c r="G549" s="16"/>
      <c r="H549" s="16"/>
    </row>
    <row r="550">
      <c r="D550" s="16"/>
      <c r="E550" s="16"/>
      <c r="F550" s="16"/>
      <c r="G550" s="16"/>
      <c r="H550" s="16"/>
    </row>
    <row r="551">
      <c r="D551" s="16"/>
      <c r="E551" s="16"/>
      <c r="F551" s="16"/>
      <c r="G551" s="16"/>
      <c r="H551" s="16"/>
    </row>
    <row r="552">
      <c r="D552" s="16"/>
      <c r="E552" s="16"/>
      <c r="F552" s="16"/>
      <c r="G552" s="16"/>
      <c r="H552" s="16"/>
    </row>
    <row r="553">
      <c r="D553" s="16"/>
      <c r="E553" s="16"/>
      <c r="F553" s="16"/>
      <c r="G553" s="16"/>
      <c r="H553" s="16"/>
    </row>
    <row r="554">
      <c r="D554" s="16"/>
      <c r="E554" s="16"/>
      <c r="F554" s="16"/>
      <c r="G554" s="16"/>
      <c r="H554" s="16"/>
    </row>
    <row r="555">
      <c r="D555" s="16"/>
      <c r="E555" s="16"/>
      <c r="F555" s="16"/>
      <c r="G555" s="16"/>
      <c r="H555" s="16"/>
    </row>
    <row r="556">
      <c r="D556" s="16"/>
      <c r="E556" s="16"/>
      <c r="F556" s="16"/>
      <c r="G556" s="16"/>
      <c r="H556" s="16"/>
    </row>
    <row r="557">
      <c r="D557" s="16"/>
      <c r="E557" s="16"/>
      <c r="F557" s="16"/>
      <c r="G557" s="16"/>
      <c r="H557" s="16"/>
    </row>
    <row r="558">
      <c r="D558" s="16"/>
      <c r="E558" s="16"/>
      <c r="F558" s="16"/>
      <c r="G558" s="16"/>
      <c r="H558" s="16"/>
    </row>
    <row r="559">
      <c r="D559" s="16"/>
      <c r="E559" s="16"/>
      <c r="F559" s="16"/>
      <c r="G559" s="16"/>
      <c r="H559" s="16"/>
    </row>
    <row r="560">
      <c r="D560" s="16"/>
      <c r="E560" s="16"/>
      <c r="F560" s="16"/>
      <c r="G560" s="16"/>
      <c r="H560" s="16"/>
    </row>
    <row r="561">
      <c r="D561" s="16"/>
      <c r="E561" s="16"/>
      <c r="F561" s="16"/>
      <c r="G561" s="16"/>
      <c r="H561" s="16"/>
    </row>
    <row r="562">
      <c r="D562" s="16"/>
      <c r="E562" s="16"/>
      <c r="F562" s="16"/>
      <c r="G562" s="16"/>
      <c r="H562" s="16"/>
    </row>
    <row r="563">
      <c r="D563" s="16"/>
      <c r="E563" s="16"/>
      <c r="F563" s="16"/>
      <c r="G563" s="16"/>
      <c r="H563" s="16"/>
    </row>
    <row r="564">
      <c r="D564" s="16"/>
      <c r="E564" s="16"/>
      <c r="F564" s="16"/>
      <c r="G564" s="16"/>
      <c r="H564" s="16"/>
    </row>
    <row r="565">
      <c r="D565" s="16"/>
      <c r="E565" s="16"/>
      <c r="F565" s="16"/>
      <c r="G565" s="16"/>
      <c r="H565" s="16"/>
    </row>
    <row r="566">
      <c r="D566" s="16"/>
      <c r="E566" s="16"/>
      <c r="F566" s="16"/>
      <c r="G566" s="16"/>
      <c r="H566" s="16"/>
    </row>
    <row r="567">
      <c r="D567" s="16"/>
      <c r="E567" s="16"/>
      <c r="F567" s="16"/>
      <c r="G567" s="16"/>
      <c r="H567" s="16"/>
    </row>
    <row r="568">
      <c r="D568" s="16"/>
      <c r="E568" s="16"/>
      <c r="F568" s="16"/>
      <c r="G568" s="16"/>
      <c r="H568" s="16"/>
    </row>
    <row r="569">
      <c r="D569" s="16"/>
      <c r="E569" s="16"/>
      <c r="F569" s="16"/>
      <c r="G569" s="16"/>
      <c r="H569" s="16"/>
    </row>
    <row r="570">
      <c r="D570" s="16"/>
      <c r="E570" s="16"/>
      <c r="F570" s="16"/>
      <c r="G570" s="16"/>
      <c r="H570" s="16"/>
    </row>
    <row r="571">
      <c r="D571" s="16"/>
      <c r="E571" s="16"/>
      <c r="F571" s="16"/>
      <c r="G571" s="16"/>
      <c r="H571" s="16"/>
    </row>
    <row r="572">
      <c r="D572" s="16"/>
      <c r="E572" s="16"/>
      <c r="F572" s="16"/>
      <c r="G572" s="16"/>
      <c r="H572" s="16"/>
    </row>
    <row r="573">
      <c r="D573" s="16"/>
      <c r="E573" s="16"/>
      <c r="F573" s="16"/>
      <c r="G573" s="16"/>
      <c r="H573" s="16"/>
    </row>
    <row r="574">
      <c r="D574" s="16"/>
      <c r="E574" s="16"/>
      <c r="F574" s="16"/>
      <c r="G574" s="16"/>
      <c r="H574" s="16"/>
    </row>
    <row r="575">
      <c r="D575" s="16"/>
      <c r="E575" s="16"/>
      <c r="F575" s="16"/>
      <c r="G575" s="16"/>
      <c r="H575" s="16"/>
    </row>
    <row r="576">
      <c r="D576" s="16"/>
      <c r="E576" s="16"/>
      <c r="F576" s="16"/>
      <c r="G576" s="16"/>
      <c r="H576" s="16"/>
    </row>
    <row r="577">
      <c r="D577" s="16"/>
      <c r="E577" s="16"/>
      <c r="F577" s="16"/>
      <c r="G577" s="16"/>
      <c r="H577" s="16"/>
    </row>
    <row r="578">
      <c r="D578" s="16"/>
      <c r="E578" s="16"/>
      <c r="F578" s="16"/>
      <c r="G578" s="16"/>
      <c r="H578" s="16"/>
    </row>
    <row r="579">
      <c r="D579" s="16"/>
      <c r="E579" s="16"/>
      <c r="F579" s="16"/>
      <c r="G579" s="16"/>
      <c r="H579" s="16"/>
    </row>
    <row r="580">
      <c r="D580" s="16"/>
      <c r="E580" s="16"/>
      <c r="F580" s="16"/>
      <c r="G580" s="16"/>
      <c r="H580" s="16"/>
    </row>
    <row r="581">
      <c r="D581" s="16"/>
      <c r="E581" s="16"/>
      <c r="F581" s="16"/>
      <c r="G581" s="16"/>
      <c r="H581" s="16"/>
    </row>
    <row r="582">
      <c r="D582" s="16"/>
      <c r="E582" s="16"/>
      <c r="F582" s="16"/>
      <c r="G582" s="16"/>
      <c r="H582" s="16"/>
    </row>
    <row r="583">
      <c r="D583" s="16"/>
      <c r="E583" s="16"/>
      <c r="F583" s="16"/>
      <c r="G583" s="16"/>
      <c r="H583" s="16"/>
    </row>
    <row r="584">
      <c r="D584" s="16"/>
      <c r="E584" s="16"/>
      <c r="F584" s="16"/>
      <c r="G584" s="16"/>
      <c r="H584" s="16"/>
    </row>
    <row r="585">
      <c r="D585" s="16"/>
      <c r="E585" s="16"/>
      <c r="F585" s="16"/>
      <c r="G585" s="16"/>
      <c r="H585" s="16"/>
    </row>
    <row r="586">
      <c r="D586" s="16"/>
      <c r="E586" s="16"/>
      <c r="F586" s="16"/>
      <c r="G586" s="16"/>
      <c r="H586" s="16"/>
    </row>
    <row r="587">
      <c r="D587" s="16"/>
      <c r="E587" s="16"/>
      <c r="F587" s="16"/>
      <c r="G587" s="16"/>
      <c r="H587" s="16"/>
    </row>
    <row r="588">
      <c r="D588" s="16"/>
      <c r="E588" s="16"/>
      <c r="F588" s="16"/>
      <c r="G588" s="16"/>
      <c r="H588" s="16"/>
    </row>
    <row r="589">
      <c r="D589" s="16"/>
      <c r="E589" s="16"/>
      <c r="F589" s="16"/>
      <c r="G589" s="16"/>
      <c r="H589" s="16"/>
    </row>
    <row r="590">
      <c r="D590" s="16"/>
      <c r="E590" s="16"/>
      <c r="F590" s="16"/>
      <c r="G590" s="16"/>
      <c r="H590" s="16"/>
    </row>
    <row r="591">
      <c r="D591" s="16"/>
      <c r="E591" s="16"/>
      <c r="F591" s="16"/>
      <c r="G591" s="16"/>
      <c r="H591" s="16"/>
    </row>
    <row r="592">
      <c r="D592" s="16"/>
      <c r="E592" s="16"/>
      <c r="F592" s="16"/>
      <c r="G592" s="16"/>
      <c r="H592" s="16"/>
    </row>
    <row r="593">
      <c r="D593" s="16"/>
      <c r="E593" s="16"/>
      <c r="F593" s="16"/>
      <c r="G593" s="16"/>
      <c r="H593" s="16"/>
    </row>
    <row r="594">
      <c r="D594" s="16"/>
      <c r="E594" s="16"/>
      <c r="F594" s="16"/>
      <c r="G594" s="16"/>
      <c r="H594" s="16"/>
    </row>
    <row r="595">
      <c r="D595" s="16"/>
      <c r="E595" s="16"/>
      <c r="F595" s="16"/>
      <c r="G595" s="16"/>
      <c r="H595" s="16"/>
    </row>
    <row r="596">
      <c r="D596" s="16"/>
      <c r="E596" s="16"/>
      <c r="F596" s="16"/>
      <c r="G596" s="16"/>
      <c r="H596" s="16"/>
    </row>
    <row r="597">
      <c r="D597" s="16"/>
      <c r="E597" s="16"/>
      <c r="F597" s="16"/>
      <c r="G597" s="16"/>
      <c r="H597" s="16"/>
    </row>
    <row r="598">
      <c r="D598" s="16"/>
      <c r="E598" s="16"/>
      <c r="F598" s="16"/>
      <c r="G598" s="16"/>
      <c r="H598" s="16"/>
    </row>
    <row r="599">
      <c r="D599" s="16"/>
      <c r="E599" s="16"/>
      <c r="F599" s="16"/>
      <c r="G599" s="16"/>
      <c r="H599" s="16"/>
    </row>
    <row r="600">
      <c r="D600" s="16"/>
      <c r="E600" s="16"/>
      <c r="F600" s="16"/>
      <c r="G600" s="16"/>
      <c r="H600" s="16"/>
    </row>
    <row r="601">
      <c r="D601" s="16"/>
      <c r="E601" s="16"/>
      <c r="F601" s="16"/>
      <c r="G601" s="16"/>
      <c r="H601" s="16"/>
    </row>
    <row r="602">
      <c r="D602" s="16"/>
      <c r="E602" s="16"/>
      <c r="F602" s="16"/>
      <c r="G602" s="16"/>
      <c r="H602" s="16"/>
    </row>
    <row r="603">
      <c r="D603" s="16"/>
      <c r="E603" s="16"/>
      <c r="F603" s="16"/>
      <c r="G603" s="16"/>
      <c r="H603" s="16"/>
    </row>
    <row r="604">
      <c r="D604" s="16"/>
      <c r="E604" s="16"/>
      <c r="F604" s="16"/>
      <c r="G604" s="16"/>
      <c r="H604" s="16"/>
    </row>
    <row r="605">
      <c r="D605" s="16"/>
      <c r="E605" s="16"/>
      <c r="F605" s="16"/>
      <c r="G605" s="16"/>
      <c r="H605" s="16"/>
    </row>
    <row r="606">
      <c r="D606" s="16"/>
      <c r="E606" s="16"/>
      <c r="F606" s="16"/>
      <c r="G606" s="16"/>
      <c r="H606" s="16"/>
    </row>
    <row r="607">
      <c r="D607" s="16"/>
      <c r="E607" s="16"/>
      <c r="F607" s="16"/>
      <c r="G607" s="16"/>
      <c r="H607" s="16"/>
    </row>
    <row r="608">
      <c r="D608" s="16"/>
      <c r="E608" s="16"/>
      <c r="F608" s="16"/>
      <c r="G608" s="16"/>
      <c r="H608" s="16"/>
    </row>
    <row r="609">
      <c r="D609" s="16"/>
      <c r="E609" s="16"/>
      <c r="F609" s="16"/>
      <c r="G609" s="16"/>
      <c r="H609" s="16"/>
    </row>
    <row r="610">
      <c r="D610" s="16"/>
      <c r="E610" s="16"/>
      <c r="F610" s="16"/>
      <c r="G610" s="16"/>
      <c r="H610" s="16"/>
    </row>
    <row r="611">
      <c r="D611" s="16"/>
      <c r="E611" s="16"/>
      <c r="F611" s="16"/>
      <c r="G611" s="16"/>
      <c r="H611" s="16"/>
    </row>
    <row r="612">
      <c r="D612" s="16"/>
      <c r="E612" s="16"/>
      <c r="F612" s="16"/>
      <c r="G612" s="16"/>
      <c r="H612" s="16"/>
    </row>
    <row r="613">
      <c r="D613" s="16"/>
      <c r="E613" s="16"/>
      <c r="F613" s="16"/>
      <c r="G613" s="16"/>
      <c r="H613" s="16"/>
    </row>
    <row r="614">
      <c r="D614" s="16"/>
      <c r="E614" s="16"/>
      <c r="F614" s="16"/>
      <c r="G614" s="16"/>
      <c r="H614" s="16"/>
    </row>
    <row r="615">
      <c r="D615" s="16"/>
      <c r="E615" s="16"/>
      <c r="F615" s="16"/>
      <c r="G615" s="16"/>
      <c r="H615" s="16"/>
    </row>
    <row r="616">
      <c r="D616" s="16"/>
      <c r="E616" s="16"/>
      <c r="F616" s="16"/>
      <c r="G616" s="16"/>
      <c r="H616" s="16"/>
    </row>
    <row r="617">
      <c r="D617" s="16"/>
      <c r="E617" s="16"/>
      <c r="F617" s="16"/>
      <c r="G617" s="16"/>
      <c r="H617" s="16"/>
    </row>
    <row r="618">
      <c r="D618" s="16"/>
      <c r="E618" s="16"/>
      <c r="F618" s="16"/>
      <c r="G618" s="16"/>
      <c r="H618" s="16"/>
    </row>
    <row r="619">
      <c r="D619" s="16"/>
      <c r="E619" s="16"/>
      <c r="F619" s="16"/>
      <c r="G619" s="16"/>
      <c r="H619" s="16"/>
    </row>
    <row r="620">
      <c r="D620" s="16"/>
      <c r="E620" s="16"/>
      <c r="F620" s="16"/>
      <c r="G620" s="16"/>
      <c r="H620" s="16"/>
    </row>
    <row r="621">
      <c r="D621" s="16"/>
      <c r="E621" s="16"/>
      <c r="F621" s="16"/>
      <c r="G621" s="16"/>
      <c r="H621" s="16"/>
    </row>
    <row r="622">
      <c r="D622" s="16"/>
      <c r="E622" s="16"/>
      <c r="F622" s="16"/>
      <c r="G622" s="16"/>
      <c r="H622" s="16"/>
    </row>
    <row r="623">
      <c r="D623" s="16"/>
      <c r="E623" s="16"/>
      <c r="F623" s="16"/>
      <c r="G623" s="16"/>
      <c r="H623" s="16"/>
    </row>
    <row r="624">
      <c r="D624" s="16"/>
      <c r="E624" s="16"/>
      <c r="F624" s="16"/>
      <c r="G624" s="16"/>
      <c r="H624" s="16"/>
    </row>
    <row r="625">
      <c r="D625" s="16"/>
      <c r="E625" s="16"/>
      <c r="F625" s="16"/>
      <c r="G625" s="16"/>
      <c r="H625" s="16"/>
    </row>
    <row r="626">
      <c r="D626" s="16"/>
      <c r="E626" s="16"/>
      <c r="F626" s="16"/>
      <c r="G626" s="16"/>
      <c r="H626" s="16"/>
    </row>
    <row r="627">
      <c r="D627" s="16"/>
      <c r="E627" s="16"/>
      <c r="F627" s="16"/>
      <c r="G627" s="16"/>
      <c r="H627" s="16"/>
    </row>
    <row r="628">
      <c r="D628" s="16"/>
      <c r="E628" s="16"/>
      <c r="F628" s="16"/>
      <c r="G628" s="16"/>
      <c r="H628" s="16"/>
    </row>
    <row r="629">
      <c r="D629" s="16"/>
      <c r="E629" s="16"/>
      <c r="F629" s="16"/>
      <c r="G629" s="16"/>
      <c r="H629" s="16"/>
    </row>
    <row r="630">
      <c r="D630" s="16"/>
      <c r="E630" s="16"/>
      <c r="F630" s="16"/>
      <c r="G630" s="16"/>
      <c r="H630" s="16"/>
    </row>
    <row r="631">
      <c r="D631" s="16"/>
      <c r="E631" s="16"/>
      <c r="F631" s="16"/>
      <c r="G631" s="16"/>
      <c r="H631" s="16"/>
    </row>
    <row r="632">
      <c r="D632" s="16"/>
      <c r="E632" s="16"/>
      <c r="F632" s="16"/>
      <c r="G632" s="16"/>
      <c r="H632" s="16"/>
    </row>
    <row r="633">
      <c r="D633" s="16"/>
      <c r="E633" s="16"/>
      <c r="F633" s="16"/>
      <c r="G633" s="16"/>
      <c r="H633" s="16"/>
    </row>
    <row r="634">
      <c r="D634" s="16"/>
      <c r="E634" s="16"/>
      <c r="F634" s="16"/>
      <c r="G634" s="16"/>
      <c r="H634" s="16"/>
    </row>
    <row r="635">
      <c r="D635" s="16"/>
      <c r="E635" s="16"/>
      <c r="F635" s="16"/>
      <c r="G635" s="16"/>
      <c r="H635" s="16"/>
    </row>
    <row r="636">
      <c r="D636" s="16"/>
      <c r="E636" s="16"/>
      <c r="F636" s="16"/>
      <c r="G636" s="16"/>
      <c r="H636" s="16"/>
    </row>
    <row r="637">
      <c r="D637" s="16"/>
      <c r="E637" s="16"/>
      <c r="F637" s="16"/>
      <c r="G637" s="16"/>
      <c r="H637" s="16"/>
    </row>
    <row r="638">
      <c r="D638" s="16"/>
      <c r="E638" s="16"/>
      <c r="F638" s="16"/>
      <c r="G638" s="16"/>
      <c r="H638" s="16"/>
    </row>
    <row r="639">
      <c r="D639" s="16"/>
      <c r="E639" s="16"/>
      <c r="F639" s="16"/>
      <c r="G639" s="16"/>
      <c r="H639" s="16"/>
    </row>
    <row r="640">
      <c r="D640" s="16"/>
      <c r="E640" s="16"/>
      <c r="F640" s="16"/>
      <c r="G640" s="16"/>
      <c r="H640" s="16"/>
    </row>
    <row r="641">
      <c r="D641" s="16"/>
      <c r="E641" s="16"/>
      <c r="F641" s="16"/>
      <c r="G641" s="16"/>
      <c r="H641" s="16"/>
    </row>
    <row r="642">
      <c r="D642" s="16"/>
      <c r="E642" s="16"/>
      <c r="F642" s="16"/>
      <c r="G642" s="16"/>
      <c r="H642" s="16"/>
    </row>
    <row r="643">
      <c r="D643" s="16"/>
      <c r="E643" s="16"/>
      <c r="F643" s="16"/>
      <c r="G643" s="16"/>
      <c r="H643" s="16"/>
    </row>
    <row r="644">
      <c r="D644" s="16"/>
      <c r="E644" s="16"/>
      <c r="F644" s="16"/>
      <c r="G644" s="16"/>
      <c r="H644" s="16"/>
    </row>
    <row r="645">
      <c r="D645" s="16"/>
      <c r="E645" s="16"/>
      <c r="F645" s="16"/>
      <c r="G645" s="16"/>
      <c r="H645" s="16"/>
    </row>
    <row r="646">
      <c r="D646" s="16"/>
      <c r="E646" s="16"/>
      <c r="F646" s="16"/>
      <c r="G646" s="16"/>
      <c r="H646" s="16"/>
    </row>
    <row r="647">
      <c r="D647" s="16"/>
      <c r="E647" s="16"/>
      <c r="F647" s="16"/>
      <c r="G647" s="16"/>
      <c r="H647" s="16"/>
    </row>
    <row r="648">
      <c r="D648" s="16"/>
      <c r="E648" s="16"/>
      <c r="F648" s="16"/>
      <c r="G648" s="16"/>
      <c r="H648" s="16"/>
    </row>
    <row r="649">
      <c r="D649" s="16"/>
      <c r="E649" s="16"/>
      <c r="F649" s="16"/>
      <c r="G649" s="16"/>
      <c r="H649" s="16"/>
    </row>
    <row r="650">
      <c r="D650" s="16"/>
      <c r="E650" s="16"/>
      <c r="F650" s="16"/>
      <c r="G650" s="16"/>
      <c r="H650" s="16"/>
    </row>
    <row r="651">
      <c r="D651" s="16"/>
      <c r="E651" s="16"/>
      <c r="F651" s="16"/>
      <c r="G651" s="16"/>
      <c r="H651" s="16"/>
    </row>
    <row r="652">
      <c r="D652" s="16"/>
      <c r="E652" s="16"/>
      <c r="F652" s="16"/>
      <c r="G652" s="16"/>
      <c r="H652" s="16"/>
    </row>
    <row r="653">
      <c r="D653" s="16"/>
      <c r="E653" s="16"/>
      <c r="F653" s="16"/>
      <c r="G653" s="16"/>
      <c r="H653" s="16"/>
    </row>
    <row r="654">
      <c r="D654" s="16"/>
      <c r="E654" s="16"/>
      <c r="F654" s="16"/>
      <c r="G654" s="16"/>
      <c r="H654" s="16"/>
    </row>
    <row r="655">
      <c r="D655" s="16"/>
      <c r="E655" s="16"/>
      <c r="F655" s="16"/>
      <c r="G655" s="16"/>
      <c r="H655" s="16"/>
    </row>
    <row r="656">
      <c r="D656" s="16"/>
      <c r="E656" s="16"/>
      <c r="F656" s="16"/>
      <c r="G656" s="16"/>
      <c r="H656" s="16"/>
    </row>
    <row r="657">
      <c r="D657" s="16"/>
      <c r="E657" s="16"/>
      <c r="F657" s="16"/>
      <c r="G657" s="16"/>
      <c r="H657" s="16"/>
    </row>
    <row r="658">
      <c r="D658" s="16"/>
      <c r="E658" s="16"/>
      <c r="F658" s="16"/>
      <c r="G658" s="16"/>
      <c r="H658" s="16"/>
    </row>
    <row r="659">
      <c r="D659" s="16"/>
      <c r="E659" s="16"/>
      <c r="F659" s="16"/>
      <c r="G659" s="16"/>
      <c r="H659" s="16"/>
    </row>
    <row r="660">
      <c r="D660" s="16"/>
      <c r="E660" s="16"/>
      <c r="F660" s="16"/>
      <c r="G660" s="16"/>
      <c r="H660" s="16"/>
    </row>
    <row r="661">
      <c r="D661" s="16"/>
      <c r="E661" s="16"/>
      <c r="F661" s="16"/>
      <c r="G661" s="16"/>
      <c r="H661" s="16"/>
    </row>
    <row r="662">
      <c r="D662" s="16"/>
      <c r="E662" s="16"/>
      <c r="F662" s="16"/>
      <c r="G662" s="16"/>
      <c r="H662" s="16"/>
    </row>
    <row r="663">
      <c r="D663" s="16"/>
      <c r="E663" s="16"/>
      <c r="F663" s="16"/>
      <c r="G663" s="16"/>
      <c r="H663" s="16"/>
    </row>
    <row r="664">
      <c r="D664" s="16"/>
      <c r="E664" s="16"/>
      <c r="F664" s="16"/>
      <c r="G664" s="16"/>
      <c r="H664" s="16"/>
    </row>
    <row r="665">
      <c r="D665" s="16"/>
      <c r="E665" s="16"/>
      <c r="F665" s="16"/>
      <c r="G665" s="16"/>
      <c r="H665" s="16"/>
    </row>
    <row r="666">
      <c r="D666" s="16"/>
      <c r="E666" s="16"/>
      <c r="F666" s="16"/>
      <c r="G666" s="16"/>
      <c r="H666" s="16"/>
    </row>
    <row r="667">
      <c r="D667" s="16"/>
      <c r="E667" s="16"/>
      <c r="F667" s="16"/>
      <c r="G667" s="16"/>
      <c r="H667" s="16"/>
    </row>
    <row r="668">
      <c r="D668" s="16"/>
      <c r="E668" s="16"/>
      <c r="F668" s="16"/>
      <c r="G668" s="16"/>
      <c r="H668" s="16"/>
    </row>
    <row r="669">
      <c r="D669" s="16"/>
      <c r="E669" s="16"/>
      <c r="F669" s="16"/>
      <c r="G669" s="16"/>
      <c r="H669" s="16"/>
    </row>
    <row r="670">
      <c r="D670" s="16"/>
      <c r="E670" s="16"/>
      <c r="F670" s="16"/>
      <c r="G670" s="16"/>
      <c r="H670" s="16"/>
    </row>
    <row r="671">
      <c r="D671" s="16"/>
      <c r="E671" s="16"/>
      <c r="F671" s="16"/>
      <c r="G671" s="16"/>
      <c r="H671" s="16"/>
    </row>
    <row r="672">
      <c r="D672" s="16"/>
      <c r="E672" s="16"/>
      <c r="F672" s="16"/>
      <c r="G672" s="16"/>
      <c r="H672" s="16"/>
    </row>
    <row r="673">
      <c r="D673" s="16"/>
      <c r="E673" s="16"/>
      <c r="F673" s="16"/>
      <c r="G673" s="16"/>
      <c r="H673" s="16"/>
    </row>
    <row r="674">
      <c r="D674" s="16"/>
      <c r="E674" s="16"/>
      <c r="F674" s="16"/>
      <c r="G674" s="16"/>
      <c r="H674" s="16"/>
    </row>
    <row r="675">
      <c r="D675" s="16"/>
      <c r="E675" s="16"/>
      <c r="F675" s="16"/>
      <c r="G675" s="16"/>
      <c r="H675" s="16"/>
    </row>
    <row r="676">
      <c r="D676" s="16"/>
      <c r="E676" s="16"/>
      <c r="F676" s="16"/>
      <c r="G676" s="16"/>
      <c r="H676" s="16"/>
    </row>
    <row r="677">
      <c r="D677" s="16"/>
      <c r="E677" s="16"/>
      <c r="F677" s="16"/>
      <c r="G677" s="16"/>
      <c r="H677" s="16"/>
    </row>
    <row r="678">
      <c r="D678" s="16"/>
      <c r="E678" s="16"/>
      <c r="F678" s="16"/>
      <c r="G678" s="16"/>
      <c r="H678" s="16"/>
    </row>
    <row r="679">
      <c r="D679" s="16"/>
      <c r="E679" s="16"/>
      <c r="F679" s="16"/>
      <c r="G679" s="16"/>
      <c r="H679" s="16"/>
    </row>
    <row r="680">
      <c r="D680" s="16"/>
      <c r="E680" s="16"/>
      <c r="F680" s="16"/>
      <c r="G680" s="16"/>
      <c r="H680" s="16"/>
    </row>
    <row r="681">
      <c r="D681" s="16"/>
      <c r="E681" s="16"/>
      <c r="F681" s="16"/>
      <c r="G681" s="16"/>
      <c r="H681" s="16"/>
    </row>
    <row r="682">
      <c r="D682" s="16"/>
      <c r="E682" s="16"/>
      <c r="F682" s="16"/>
      <c r="G682" s="16"/>
      <c r="H682" s="16"/>
    </row>
    <row r="683">
      <c r="D683" s="16"/>
      <c r="E683" s="16"/>
      <c r="F683" s="16"/>
      <c r="G683" s="16"/>
      <c r="H683" s="16"/>
    </row>
    <row r="684">
      <c r="D684" s="16"/>
      <c r="E684" s="16"/>
      <c r="F684" s="16"/>
      <c r="G684" s="16"/>
      <c r="H684" s="16"/>
    </row>
    <row r="685">
      <c r="D685" s="16"/>
      <c r="E685" s="16"/>
      <c r="F685" s="16"/>
      <c r="G685" s="16"/>
      <c r="H685" s="16"/>
    </row>
    <row r="686">
      <c r="D686" s="16"/>
      <c r="E686" s="16"/>
      <c r="F686" s="16"/>
      <c r="G686" s="16"/>
      <c r="H686" s="16"/>
    </row>
    <row r="687">
      <c r="D687" s="16"/>
      <c r="E687" s="16"/>
      <c r="F687" s="16"/>
      <c r="G687" s="16"/>
      <c r="H687" s="16"/>
    </row>
    <row r="688">
      <c r="D688" s="16"/>
      <c r="E688" s="16"/>
      <c r="F688" s="16"/>
      <c r="G688" s="16"/>
      <c r="H688" s="16"/>
    </row>
    <row r="689">
      <c r="D689" s="16"/>
      <c r="E689" s="16"/>
      <c r="F689" s="16"/>
      <c r="G689" s="16"/>
      <c r="H689" s="16"/>
    </row>
    <row r="690">
      <c r="D690" s="16"/>
      <c r="E690" s="16"/>
      <c r="F690" s="16"/>
      <c r="G690" s="16"/>
      <c r="H690" s="16"/>
    </row>
    <row r="691">
      <c r="D691" s="16"/>
      <c r="E691" s="16"/>
      <c r="F691" s="16"/>
      <c r="G691" s="16"/>
      <c r="H691" s="16"/>
    </row>
    <row r="692">
      <c r="D692" s="16"/>
      <c r="E692" s="16"/>
      <c r="F692" s="16"/>
      <c r="G692" s="16"/>
      <c r="H692" s="16"/>
    </row>
    <row r="693">
      <c r="D693" s="16"/>
      <c r="E693" s="16"/>
      <c r="F693" s="16"/>
      <c r="G693" s="16"/>
      <c r="H693" s="16"/>
    </row>
    <row r="694">
      <c r="D694" s="16"/>
      <c r="E694" s="16"/>
      <c r="F694" s="16"/>
      <c r="G694" s="16"/>
      <c r="H694" s="16"/>
    </row>
    <row r="695">
      <c r="D695" s="16"/>
      <c r="E695" s="16"/>
      <c r="F695" s="16"/>
      <c r="G695" s="16"/>
      <c r="H695" s="16"/>
    </row>
    <row r="696">
      <c r="D696" s="16"/>
      <c r="E696" s="16"/>
      <c r="F696" s="16"/>
      <c r="G696" s="16"/>
      <c r="H696" s="16"/>
    </row>
    <row r="697">
      <c r="D697" s="16"/>
      <c r="E697" s="16"/>
      <c r="F697" s="16"/>
      <c r="G697" s="16"/>
      <c r="H697" s="16"/>
    </row>
    <row r="698">
      <c r="D698" s="16"/>
      <c r="E698" s="16"/>
      <c r="F698" s="16"/>
      <c r="G698" s="16"/>
      <c r="H698" s="16"/>
    </row>
    <row r="699">
      <c r="D699" s="16"/>
      <c r="E699" s="16"/>
      <c r="F699" s="16"/>
      <c r="G699" s="16"/>
      <c r="H699" s="16"/>
    </row>
    <row r="700">
      <c r="D700" s="16"/>
      <c r="E700" s="16"/>
      <c r="F700" s="16"/>
      <c r="G700" s="16"/>
      <c r="H700" s="16"/>
    </row>
    <row r="701">
      <c r="D701" s="16"/>
      <c r="E701" s="16"/>
      <c r="F701" s="16"/>
      <c r="G701" s="16"/>
      <c r="H701" s="16"/>
    </row>
    <row r="702">
      <c r="D702" s="16"/>
      <c r="E702" s="16"/>
      <c r="F702" s="16"/>
      <c r="G702" s="16"/>
      <c r="H702" s="16"/>
    </row>
    <row r="703">
      <c r="D703" s="16"/>
      <c r="E703" s="16"/>
      <c r="F703" s="16"/>
      <c r="G703" s="16"/>
      <c r="H703" s="16"/>
    </row>
    <row r="704">
      <c r="D704" s="16"/>
      <c r="E704" s="16"/>
      <c r="F704" s="16"/>
      <c r="G704" s="16"/>
      <c r="H704" s="16"/>
    </row>
    <row r="705">
      <c r="D705" s="16"/>
      <c r="E705" s="16"/>
      <c r="F705" s="16"/>
      <c r="G705" s="16"/>
      <c r="H705" s="16"/>
    </row>
    <row r="706">
      <c r="D706" s="16"/>
      <c r="E706" s="16"/>
      <c r="F706" s="16"/>
      <c r="G706" s="16"/>
      <c r="H706" s="16"/>
    </row>
    <row r="707">
      <c r="D707" s="16"/>
      <c r="E707" s="16"/>
      <c r="F707" s="16"/>
      <c r="G707" s="16"/>
      <c r="H707" s="16"/>
    </row>
    <row r="708">
      <c r="D708" s="16"/>
      <c r="E708" s="16"/>
      <c r="F708" s="16"/>
      <c r="G708" s="16"/>
      <c r="H708" s="16"/>
    </row>
    <row r="709">
      <c r="D709" s="16"/>
      <c r="E709" s="16"/>
      <c r="F709" s="16"/>
      <c r="G709" s="16"/>
      <c r="H709" s="16"/>
    </row>
    <row r="710">
      <c r="D710" s="16"/>
      <c r="E710" s="16"/>
      <c r="F710" s="16"/>
      <c r="G710" s="16"/>
      <c r="H710" s="16"/>
    </row>
    <row r="711">
      <c r="D711" s="16"/>
      <c r="E711" s="16"/>
      <c r="F711" s="16"/>
      <c r="G711" s="16"/>
      <c r="H711" s="16"/>
    </row>
    <row r="712">
      <c r="D712" s="16"/>
      <c r="E712" s="16"/>
      <c r="F712" s="16"/>
      <c r="G712" s="16"/>
      <c r="H712" s="16"/>
    </row>
    <row r="713">
      <c r="D713" s="16"/>
      <c r="E713" s="16"/>
      <c r="F713" s="16"/>
      <c r="G713" s="16"/>
      <c r="H713" s="16"/>
    </row>
    <row r="714">
      <c r="D714" s="16"/>
      <c r="E714" s="16"/>
      <c r="F714" s="16"/>
      <c r="G714" s="16"/>
      <c r="H714" s="16"/>
    </row>
    <row r="715">
      <c r="D715" s="16"/>
      <c r="E715" s="16"/>
      <c r="F715" s="16"/>
      <c r="G715" s="16"/>
      <c r="H715" s="16"/>
    </row>
    <row r="716">
      <c r="D716" s="16"/>
      <c r="E716" s="16"/>
      <c r="F716" s="16"/>
      <c r="G716" s="16"/>
      <c r="H716" s="16"/>
    </row>
    <row r="717">
      <c r="D717" s="16"/>
      <c r="E717" s="16"/>
      <c r="F717" s="16"/>
      <c r="G717" s="16"/>
      <c r="H717" s="16"/>
    </row>
    <row r="718">
      <c r="D718" s="16"/>
      <c r="E718" s="16"/>
      <c r="F718" s="16"/>
      <c r="G718" s="16"/>
      <c r="H718" s="16"/>
    </row>
    <row r="719">
      <c r="D719" s="16"/>
      <c r="E719" s="16"/>
      <c r="F719" s="16"/>
      <c r="G719" s="16"/>
      <c r="H719" s="16"/>
    </row>
    <row r="720">
      <c r="D720" s="16"/>
      <c r="E720" s="16"/>
      <c r="F720" s="16"/>
      <c r="G720" s="16"/>
      <c r="H720" s="16"/>
    </row>
    <row r="721">
      <c r="D721" s="16"/>
      <c r="E721" s="16"/>
      <c r="F721" s="16"/>
      <c r="G721" s="16"/>
      <c r="H721" s="16"/>
    </row>
    <row r="722">
      <c r="D722" s="16"/>
      <c r="E722" s="16"/>
      <c r="F722" s="16"/>
      <c r="G722" s="16"/>
      <c r="H722" s="16"/>
    </row>
    <row r="723">
      <c r="D723" s="16"/>
      <c r="E723" s="16"/>
      <c r="F723" s="16"/>
      <c r="G723" s="16"/>
      <c r="H723" s="16"/>
    </row>
    <row r="724">
      <c r="D724" s="16"/>
      <c r="E724" s="16"/>
      <c r="F724" s="16"/>
      <c r="G724" s="16"/>
      <c r="H724" s="16"/>
    </row>
    <row r="725">
      <c r="D725" s="16"/>
      <c r="E725" s="16"/>
      <c r="F725" s="16"/>
      <c r="G725" s="16"/>
      <c r="H725" s="16"/>
    </row>
    <row r="726">
      <c r="D726" s="16"/>
      <c r="E726" s="16"/>
      <c r="F726" s="16"/>
      <c r="G726" s="16"/>
      <c r="H726" s="16"/>
    </row>
    <row r="727">
      <c r="D727" s="16"/>
      <c r="E727" s="16"/>
      <c r="F727" s="16"/>
      <c r="G727" s="16"/>
      <c r="H727" s="16"/>
    </row>
    <row r="728">
      <c r="D728" s="16"/>
      <c r="E728" s="16"/>
      <c r="F728" s="16"/>
      <c r="G728" s="16"/>
      <c r="H728" s="16"/>
    </row>
    <row r="729">
      <c r="D729" s="16"/>
      <c r="E729" s="16"/>
      <c r="F729" s="16"/>
      <c r="G729" s="16"/>
      <c r="H729" s="16"/>
    </row>
    <row r="730">
      <c r="D730" s="16"/>
      <c r="E730" s="16"/>
      <c r="F730" s="16"/>
      <c r="G730" s="16"/>
      <c r="H730" s="16"/>
    </row>
    <row r="731">
      <c r="D731" s="16"/>
      <c r="E731" s="16"/>
      <c r="F731" s="16"/>
      <c r="G731" s="16"/>
      <c r="H731" s="16"/>
    </row>
    <row r="732">
      <c r="D732" s="16"/>
      <c r="E732" s="16"/>
      <c r="F732" s="16"/>
      <c r="G732" s="16"/>
      <c r="H732" s="16"/>
    </row>
    <row r="733">
      <c r="D733" s="16"/>
      <c r="E733" s="16"/>
      <c r="F733" s="16"/>
      <c r="G733" s="16"/>
      <c r="H733" s="16"/>
    </row>
    <row r="734">
      <c r="D734" s="16"/>
      <c r="E734" s="16"/>
      <c r="F734" s="16"/>
      <c r="G734" s="16"/>
      <c r="H734" s="16"/>
    </row>
    <row r="735">
      <c r="D735" s="16"/>
      <c r="E735" s="16"/>
      <c r="F735" s="16"/>
      <c r="G735" s="16"/>
      <c r="H735" s="16"/>
    </row>
    <row r="736">
      <c r="D736" s="16"/>
      <c r="E736" s="16"/>
      <c r="F736" s="16"/>
      <c r="G736" s="16"/>
      <c r="H736" s="16"/>
    </row>
    <row r="737">
      <c r="D737" s="16"/>
      <c r="E737" s="16"/>
      <c r="F737" s="16"/>
      <c r="G737" s="16"/>
      <c r="H737" s="16"/>
    </row>
    <row r="738">
      <c r="D738" s="16"/>
      <c r="E738" s="16"/>
      <c r="F738" s="16"/>
      <c r="G738" s="16"/>
      <c r="H738" s="16"/>
    </row>
    <row r="739">
      <c r="D739" s="16"/>
      <c r="E739" s="16"/>
      <c r="F739" s="16"/>
      <c r="G739" s="16"/>
      <c r="H739" s="16"/>
    </row>
    <row r="740">
      <c r="D740" s="16"/>
      <c r="E740" s="16"/>
      <c r="F740" s="16"/>
      <c r="G740" s="16"/>
      <c r="H740" s="16"/>
    </row>
    <row r="741">
      <c r="D741" s="16"/>
      <c r="E741" s="16"/>
      <c r="F741" s="16"/>
      <c r="G741" s="16"/>
      <c r="H741" s="16"/>
    </row>
    <row r="742">
      <c r="D742" s="16"/>
      <c r="E742" s="16"/>
      <c r="F742" s="16"/>
      <c r="G742" s="16"/>
      <c r="H742" s="16"/>
    </row>
    <row r="743">
      <c r="D743" s="16"/>
      <c r="E743" s="16"/>
      <c r="F743" s="16"/>
      <c r="G743" s="16"/>
      <c r="H743" s="16"/>
    </row>
    <row r="744">
      <c r="D744" s="16"/>
      <c r="E744" s="16"/>
      <c r="F744" s="16"/>
      <c r="G744" s="16"/>
      <c r="H744" s="16"/>
    </row>
    <row r="745">
      <c r="D745" s="16"/>
      <c r="E745" s="16"/>
      <c r="F745" s="16"/>
      <c r="G745" s="16"/>
      <c r="H745" s="16"/>
    </row>
    <row r="746">
      <c r="D746" s="16"/>
      <c r="E746" s="16"/>
      <c r="F746" s="16"/>
      <c r="G746" s="16"/>
      <c r="H746" s="16"/>
    </row>
    <row r="747">
      <c r="D747" s="16"/>
      <c r="E747" s="16"/>
      <c r="F747" s="16"/>
      <c r="G747" s="16"/>
      <c r="H747" s="16"/>
    </row>
    <row r="748">
      <c r="D748" s="16"/>
      <c r="E748" s="16"/>
      <c r="F748" s="16"/>
      <c r="G748" s="16"/>
      <c r="H748" s="16"/>
    </row>
    <row r="749">
      <c r="D749" s="16"/>
      <c r="E749" s="16"/>
      <c r="F749" s="16"/>
      <c r="G749" s="16"/>
      <c r="H749" s="16"/>
    </row>
    <row r="750">
      <c r="D750" s="16"/>
      <c r="E750" s="16"/>
      <c r="F750" s="16"/>
      <c r="G750" s="16"/>
      <c r="H750" s="16"/>
    </row>
    <row r="751">
      <c r="D751" s="16"/>
      <c r="E751" s="16"/>
      <c r="F751" s="16"/>
      <c r="G751" s="16"/>
      <c r="H751" s="16"/>
    </row>
    <row r="752">
      <c r="D752" s="16"/>
      <c r="E752" s="16"/>
      <c r="F752" s="16"/>
      <c r="G752" s="16"/>
      <c r="H752" s="16"/>
    </row>
    <row r="753">
      <c r="D753" s="16"/>
      <c r="E753" s="16"/>
      <c r="F753" s="16"/>
      <c r="G753" s="16"/>
      <c r="H753" s="16"/>
    </row>
    <row r="754">
      <c r="D754" s="16"/>
      <c r="E754" s="16"/>
      <c r="F754" s="16"/>
      <c r="G754" s="16"/>
      <c r="H754" s="16"/>
    </row>
    <row r="755">
      <c r="D755" s="16"/>
      <c r="E755" s="16"/>
      <c r="F755" s="16"/>
      <c r="G755" s="16"/>
      <c r="H755" s="16"/>
    </row>
    <row r="756">
      <c r="D756" s="16"/>
      <c r="E756" s="16"/>
      <c r="F756" s="16"/>
      <c r="G756" s="16"/>
      <c r="H756" s="16"/>
    </row>
    <row r="757">
      <c r="D757" s="16"/>
      <c r="E757" s="16"/>
      <c r="F757" s="16"/>
      <c r="G757" s="16"/>
      <c r="H757" s="16"/>
    </row>
    <row r="758">
      <c r="D758" s="16"/>
      <c r="E758" s="16"/>
      <c r="F758" s="16"/>
      <c r="G758" s="16"/>
      <c r="H758" s="16"/>
    </row>
    <row r="759">
      <c r="D759" s="16"/>
      <c r="E759" s="16"/>
      <c r="F759" s="16"/>
      <c r="G759" s="16"/>
      <c r="H759" s="16"/>
    </row>
    <row r="760">
      <c r="D760" s="16"/>
      <c r="E760" s="16"/>
      <c r="F760" s="16"/>
      <c r="G760" s="16"/>
      <c r="H760" s="16"/>
    </row>
    <row r="761">
      <c r="D761" s="16"/>
      <c r="E761" s="16"/>
      <c r="F761" s="16"/>
      <c r="G761" s="16"/>
      <c r="H761" s="16"/>
    </row>
    <row r="762">
      <c r="D762" s="16"/>
      <c r="E762" s="16"/>
      <c r="F762" s="16"/>
      <c r="G762" s="16"/>
      <c r="H762" s="16"/>
    </row>
    <row r="763">
      <c r="D763" s="16"/>
      <c r="E763" s="16"/>
      <c r="F763" s="16"/>
      <c r="G763" s="16"/>
      <c r="H763" s="16"/>
    </row>
    <row r="764">
      <c r="D764" s="16"/>
      <c r="E764" s="16"/>
      <c r="F764" s="16"/>
      <c r="G764" s="16"/>
      <c r="H764" s="16"/>
    </row>
    <row r="765">
      <c r="D765" s="16"/>
      <c r="E765" s="16"/>
      <c r="F765" s="16"/>
      <c r="G765" s="16"/>
      <c r="H765" s="16"/>
    </row>
    <row r="766">
      <c r="D766" s="16"/>
      <c r="E766" s="16"/>
      <c r="F766" s="16"/>
      <c r="G766" s="16"/>
      <c r="H766" s="16"/>
    </row>
    <row r="767">
      <c r="D767" s="16"/>
      <c r="E767" s="16"/>
      <c r="F767" s="16"/>
      <c r="G767" s="16"/>
      <c r="H767" s="16"/>
    </row>
    <row r="768">
      <c r="D768" s="16"/>
      <c r="E768" s="16"/>
      <c r="F768" s="16"/>
      <c r="G768" s="16"/>
      <c r="H768" s="16"/>
    </row>
    <row r="769">
      <c r="D769" s="16"/>
      <c r="E769" s="16"/>
      <c r="F769" s="16"/>
      <c r="G769" s="16"/>
      <c r="H769" s="16"/>
    </row>
    <row r="770">
      <c r="D770" s="16"/>
      <c r="E770" s="16"/>
      <c r="F770" s="16"/>
      <c r="G770" s="16"/>
      <c r="H770" s="16"/>
    </row>
    <row r="771">
      <c r="D771" s="16"/>
      <c r="E771" s="16"/>
      <c r="F771" s="16"/>
      <c r="G771" s="16"/>
      <c r="H771" s="16"/>
    </row>
    <row r="772">
      <c r="D772" s="16"/>
      <c r="E772" s="16"/>
      <c r="F772" s="16"/>
      <c r="G772" s="16"/>
      <c r="H772" s="16"/>
    </row>
    <row r="773">
      <c r="D773" s="16"/>
      <c r="E773" s="16"/>
      <c r="F773" s="16"/>
      <c r="G773" s="16"/>
      <c r="H773" s="16"/>
    </row>
    <row r="774">
      <c r="D774" s="16"/>
      <c r="E774" s="16"/>
      <c r="F774" s="16"/>
      <c r="G774" s="16"/>
      <c r="H774" s="16"/>
    </row>
    <row r="775">
      <c r="D775" s="16"/>
      <c r="E775" s="16"/>
      <c r="F775" s="16"/>
      <c r="G775" s="16"/>
      <c r="H775" s="16"/>
    </row>
    <row r="776">
      <c r="D776" s="16"/>
      <c r="E776" s="16"/>
      <c r="F776" s="16"/>
      <c r="G776" s="16"/>
      <c r="H776" s="16"/>
    </row>
    <row r="777">
      <c r="D777" s="16"/>
      <c r="E777" s="16"/>
      <c r="F777" s="16"/>
      <c r="G777" s="16"/>
      <c r="H777" s="16"/>
    </row>
    <row r="778">
      <c r="D778" s="16"/>
      <c r="E778" s="16"/>
      <c r="F778" s="16"/>
      <c r="G778" s="16"/>
      <c r="H778" s="16"/>
    </row>
    <row r="779">
      <c r="D779" s="16"/>
      <c r="E779" s="16"/>
      <c r="F779" s="16"/>
      <c r="G779" s="16"/>
      <c r="H779" s="16"/>
    </row>
    <row r="780">
      <c r="D780" s="16"/>
      <c r="E780" s="16"/>
      <c r="F780" s="16"/>
      <c r="G780" s="16"/>
      <c r="H780" s="16"/>
    </row>
    <row r="781">
      <c r="D781" s="16"/>
      <c r="E781" s="16"/>
      <c r="F781" s="16"/>
      <c r="G781" s="16"/>
      <c r="H781" s="16"/>
    </row>
    <row r="782">
      <c r="D782" s="16"/>
      <c r="E782" s="16"/>
      <c r="F782" s="16"/>
      <c r="G782" s="16"/>
      <c r="H782" s="16"/>
    </row>
    <row r="783">
      <c r="D783" s="16"/>
      <c r="E783" s="16"/>
      <c r="F783" s="16"/>
      <c r="G783" s="16"/>
      <c r="H783" s="16"/>
    </row>
    <row r="784">
      <c r="D784" s="16"/>
      <c r="E784" s="16"/>
      <c r="F784" s="16"/>
      <c r="G784" s="16"/>
      <c r="H784" s="16"/>
    </row>
    <row r="785">
      <c r="D785" s="16"/>
      <c r="E785" s="16"/>
      <c r="F785" s="16"/>
      <c r="G785" s="16"/>
      <c r="H785" s="16"/>
    </row>
    <row r="786">
      <c r="D786" s="16"/>
      <c r="E786" s="16"/>
      <c r="F786" s="16"/>
      <c r="G786" s="16"/>
      <c r="H786" s="16"/>
    </row>
    <row r="787">
      <c r="D787" s="16"/>
      <c r="E787" s="16"/>
      <c r="F787" s="16"/>
      <c r="G787" s="16"/>
      <c r="H787" s="16"/>
    </row>
    <row r="788">
      <c r="D788" s="16"/>
      <c r="E788" s="16"/>
      <c r="F788" s="16"/>
      <c r="G788" s="16"/>
      <c r="H788" s="16"/>
    </row>
    <row r="789">
      <c r="D789" s="16"/>
      <c r="E789" s="16"/>
      <c r="F789" s="16"/>
      <c r="G789" s="16"/>
      <c r="H789" s="16"/>
    </row>
    <row r="790">
      <c r="D790" s="16"/>
      <c r="E790" s="16"/>
      <c r="F790" s="16"/>
      <c r="G790" s="16"/>
      <c r="H790" s="16"/>
    </row>
    <row r="791">
      <c r="D791" s="16"/>
      <c r="E791" s="16"/>
      <c r="F791" s="16"/>
      <c r="G791" s="16"/>
      <c r="H791" s="16"/>
    </row>
    <row r="792">
      <c r="D792" s="16"/>
      <c r="E792" s="16"/>
      <c r="F792" s="16"/>
      <c r="G792" s="16"/>
      <c r="H792" s="16"/>
    </row>
    <row r="793">
      <c r="D793" s="16"/>
      <c r="E793" s="16"/>
      <c r="F793" s="16"/>
      <c r="G793" s="16"/>
      <c r="H793" s="16"/>
    </row>
    <row r="794">
      <c r="D794" s="16"/>
      <c r="E794" s="16"/>
      <c r="F794" s="16"/>
      <c r="G794" s="16"/>
      <c r="H794" s="16"/>
    </row>
    <row r="795">
      <c r="D795" s="16"/>
      <c r="E795" s="16"/>
      <c r="F795" s="16"/>
      <c r="G795" s="16"/>
      <c r="H795" s="16"/>
    </row>
    <row r="796">
      <c r="D796" s="16"/>
      <c r="E796" s="16"/>
      <c r="F796" s="16"/>
      <c r="G796" s="16"/>
      <c r="H796" s="16"/>
    </row>
    <row r="797">
      <c r="D797" s="16"/>
      <c r="E797" s="16"/>
      <c r="F797" s="16"/>
      <c r="G797" s="16"/>
      <c r="H797" s="16"/>
    </row>
    <row r="798">
      <c r="D798" s="16"/>
      <c r="E798" s="16"/>
      <c r="F798" s="16"/>
      <c r="G798" s="16"/>
      <c r="H798" s="16"/>
    </row>
    <row r="799">
      <c r="D799" s="16"/>
      <c r="E799" s="16"/>
      <c r="F799" s="16"/>
      <c r="G799" s="16"/>
      <c r="H799" s="16"/>
    </row>
    <row r="800">
      <c r="D800" s="16"/>
      <c r="E800" s="16"/>
      <c r="F800" s="16"/>
      <c r="G800" s="16"/>
      <c r="H800" s="16"/>
    </row>
    <row r="801">
      <c r="D801" s="16"/>
      <c r="E801" s="16"/>
      <c r="F801" s="16"/>
      <c r="G801" s="16"/>
      <c r="H801" s="16"/>
    </row>
    <row r="802">
      <c r="D802" s="16"/>
      <c r="E802" s="16"/>
      <c r="F802" s="16"/>
      <c r="G802" s="16"/>
      <c r="H802" s="16"/>
    </row>
    <row r="803">
      <c r="D803" s="16"/>
      <c r="E803" s="16"/>
      <c r="F803" s="16"/>
      <c r="G803" s="16"/>
      <c r="H803" s="16"/>
    </row>
    <row r="804">
      <c r="D804" s="16"/>
      <c r="E804" s="16"/>
      <c r="F804" s="16"/>
      <c r="G804" s="16"/>
      <c r="H804" s="16"/>
    </row>
    <row r="805">
      <c r="D805" s="16"/>
      <c r="E805" s="16"/>
      <c r="F805" s="16"/>
      <c r="G805" s="16"/>
      <c r="H805" s="16"/>
    </row>
    <row r="806">
      <c r="D806" s="16"/>
      <c r="E806" s="16"/>
      <c r="F806" s="16"/>
      <c r="G806" s="16"/>
      <c r="H806" s="16"/>
    </row>
    <row r="807">
      <c r="D807" s="16"/>
      <c r="E807" s="16"/>
      <c r="F807" s="16"/>
      <c r="G807" s="16"/>
      <c r="H807" s="16"/>
    </row>
    <row r="808">
      <c r="D808" s="16"/>
      <c r="E808" s="16"/>
      <c r="F808" s="16"/>
      <c r="G808" s="16"/>
      <c r="H808" s="16"/>
    </row>
    <row r="809">
      <c r="D809" s="16"/>
      <c r="E809" s="16"/>
      <c r="F809" s="16"/>
      <c r="G809" s="16"/>
      <c r="H809" s="16"/>
    </row>
    <row r="810">
      <c r="D810" s="16"/>
      <c r="E810" s="16"/>
      <c r="F810" s="16"/>
      <c r="G810" s="16"/>
      <c r="H810" s="16"/>
    </row>
    <row r="811">
      <c r="D811" s="16"/>
      <c r="E811" s="16"/>
      <c r="F811" s="16"/>
      <c r="G811" s="16"/>
      <c r="H811" s="16"/>
    </row>
    <row r="812">
      <c r="D812" s="16"/>
      <c r="E812" s="16"/>
      <c r="F812" s="16"/>
      <c r="G812" s="16"/>
      <c r="H812" s="16"/>
    </row>
    <row r="813">
      <c r="D813" s="16"/>
      <c r="E813" s="16"/>
      <c r="F813" s="16"/>
      <c r="G813" s="16"/>
      <c r="H813" s="16"/>
    </row>
    <row r="814">
      <c r="D814" s="16"/>
      <c r="E814" s="16"/>
      <c r="F814" s="16"/>
      <c r="G814" s="16"/>
      <c r="H814" s="16"/>
    </row>
    <row r="815">
      <c r="D815" s="16"/>
      <c r="E815" s="16"/>
      <c r="F815" s="16"/>
      <c r="G815" s="16"/>
      <c r="H815" s="16"/>
    </row>
    <row r="816">
      <c r="D816" s="16"/>
      <c r="E816" s="16"/>
      <c r="F816" s="16"/>
      <c r="G816" s="16"/>
      <c r="H816" s="16"/>
    </row>
    <row r="817">
      <c r="D817" s="16"/>
      <c r="E817" s="16"/>
      <c r="F817" s="16"/>
      <c r="G817" s="16"/>
      <c r="H817" s="16"/>
    </row>
    <row r="818">
      <c r="D818" s="16"/>
      <c r="E818" s="16"/>
      <c r="F818" s="16"/>
      <c r="G818" s="16"/>
      <c r="H818" s="16"/>
    </row>
    <row r="819">
      <c r="D819" s="16"/>
      <c r="E819" s="16"/>
      <c r="F819" s="16"/>
      <c r="G819" s="16"/>
      <c r="H819" s="16"/>
    </row>
    <row r="820">
      <c r="D820" s="16"/>
      <c r="E820" s="16"/>
      <c r="F820" s="16"/>
      <c r="G820" s="16"/>
      <c r="H820" s="16"/>
    </row>
    <row r="821">
      <c r="D821" s="16"/>
      <c r="E821" s="16"/>
      <c r="F821" s="16"/>
      <c r="G821" s="16"/>
      <c r="H821" s="16"/>
    </row>
    <row r="822">
      <c r="D822" s="16"/>
      <c r="E822" s="16"/>
      <c r="F822" s="16"/>
      <c r="G822" s="16"/>
      <c r="H822" s="16"/>
    </row>
    <row r="823">
      <c r="D823" s="16"/>
      <c r="E823" s="16"/>
      <c r="F823" s="16"/>
      <c r="G823" s="16"/>
      <c r="H823" s="16"/>
    </row>
    <row r="824">
      <c r="D824" s="16"/>
      <c r="E824" s="16"/>
      <c r="F824" s="16"/>
      <c r="G824" s="16"/>
      <c r="H824" s="16"/>
    </row>
    <row r="825">
      <c r="D825" s="16"/>
      <c r="E825" s="16"/>
      <c r="F825" s="16"/>
      <c r="G825" s="16"/>
      <c r="H825" s="16"/>
    </row>
    <row r="826">
      <c r="D826" s="16"/>
      <c r="E826" s="16"/>
      <c r="F826" s="16"/>
      <c r="G826" s="16"/>
      <c r="H826" s="16"/>
    </row>
    <row r="827">
      <c r="D827" s="16"/>
      <c r="E827" s="16"/>
      <c r="F827" s="16"/>
      <c r="G827" s="16"/>
      <c r="H827" s="16"/>
    </row>
    <row r="828">
      <c r="D828" s="16"/>
      <c r="E828" s="16"/>
      <c r="F828" s="16"/>
      <c r="G828" s="16"/>
      <c r="H828" s="16"/>
    </row>
    <row r="829">
      <c r="D829" s="16"/>
      <c r="E829" s="16"/>
      <c r="F829" s="16"/>
      <c r="G829" s="16"/>
      <c r="H829" s="16"/>
    </row>
    <row r="830">
      <c r="D830" s="16"/>
      <c r="E830" s="16"/>
      <c r="F830" s="16"/>
      <c r="G830" s="16"/>
      <c r="H830" s="16"/>
    </row>
    <row r="831">
      <c r="D831" s="16"/>
      <c r="E831" s="16"/>
      <c r="F831" s="16"/>
      <c r="G831" s="16"/>
      <c r="H831" s="16"/>
    </row>
    <row r="832">
      <c r="D832" s="16"/>
      <c r="E832" s="16"/>
      <c r="F832" s="16"/>
      <c r="G832" s="16"/>
      <c r="H832" s="16"/>
    </row>
    <row r="833">
      <c r="D833" s="16"/>
      <c r="E833" s="16"/>
      <c r="F833" s="16"/>
      <c r="G833" s="16"/>
      <c r="H833" s="16"/>
    </row>
    <row r="834">
      <c r="D834" s="16"/>
      <c r="E834" s="16"/>
      <c r="F834" s="16"/>
      <c r="G834" s="16"/>
      <c r="H834" s="16"/>
    </row>
    <row r="835">
      <c r="D835" s="16"/>
      <c r="E835" s="16"/>
      <c r="F835" s="16"/>
      <c r="G835" s="16"/>
      <c r="H835" s="16"/>
    </row>
    <row r="836">
      <c r="D836" s="16"/>
      <c r="E836" s="16"/>
      <c r="F836" s="16"/>
      <c r="G836" s="16"/>
      <c r="H836" s="16"/>
    </row>
    <row r="837">
      <c r="D837" s="16"/>
      <c r="E837" s="16"/>
      <c r="F837" s="16"/>
      <c r="G837" s="16"/>
      <c r="H837" s="16"/>
    </row>
    <row r="838">
      <c r="D838" s="16"/>
      <c r="E838" s="16"/>
      <c r="F838" s="16"/>
      <c r="G838" s="16"/>
      <c r="H838" s="16"/>
    </row>
    <row r="839">
      <c r="D839" s="16"/>
      <c r="E839" s="16"/>
      <c r="F839" s="16"/>
      <c r="G839" s="16"/>
      <c r="H839" s="16"/>
    </row>
    <row r="840">
      <c r="D840" s="16"/>
      <c r="E840" s="16"/>
      <c r="F840" s="16"/>
      <c r="G840" s="16"/>
      <c r="H840" s="16"/>
    </row>
    <row r="841">
      <c r="D841" s="16"/>
      <c r="E841" s="16"/>
      <c r="F841" s="16"/>
      <c r="G841" s="16"/>
      <c r="H841" s="16"/>
    </row>
    <row r="842">
      <c r="D842" s="16"/>
      <c r="E842" s="16"/>
      <c r="F842" s="16"/>
      <c r="G842" s="16"/>
      <c r="H842" s="16"/>
    </row>
    <row r="843">
      <c r="D843" s="16"/>
      <c r="E843" s="16"/>
      <c r="F843" s="16"/>
      <c r="G843" s="16"/>
      <c r="H843" s="16"/>
    </row>
    <row r="844">
      <c r="D844" s="16"/>
      <c r="E844" s="16"/>
      <c r="F844" s="16"/>
      <c r="G844" s="16"/>
      <c r="H844" s="16"/>
    </row>
    <row r="845">
      <c r="D845" s="16"/>
      <c r="E845" s="16"/>
      <c r="F845" s="16"/>
      <c r="G845" s="16"/>
      <c r="H845" s="16"/>
    </row>
    <row r="846">
      <c r="D846" s="16"/>
      <c r="E846" s="16"/>
      <c r="F846" s="16"/>
      <c r="G846" s="16"/>
      <c r="H846" s="16"/>
    </row>
    <row r="847">
      <c r="D847" s="16"/>
      <c r="E847" s="16"/>
      <c r="F847" s="16"/>
      <c r="G847" s="16"/>
      <c r="H847" s="16"/>
    </row>
    <row r="848">
      <c r="D848" s="16"/>
      <c r="E848" s="16"/>
      <c r="F848" s="16"/>
      <c r="G848" s="16"/>
      <c r="H848" s="16"/>
    </row>
    <row r="849">
      <c r="D849" s="16"/>
      <c r="E849" s="16"/>
      <c r="F849" s="16"/>
      <c r="G849" s="16"/>
      <c r="H849" s="16"/>
    </row>
    <row r="850">
      <c r="D850" s="16"/>
      <c r="E850" s="16"/>
      <c r="F850" s="16"/>
      <c r="G850" s="16"/>
      <c r="H850" s="16"/>
    </row>
    <row r="851">
      <c r="D851" s="16"/>
      <c r="E851" s="16"/>
      <c r="F851" s="16"/>
      <c r="G851" s="16"/>
      <c r="H851" s="16"/>
    </row>
    <row r="852">
      <c r="D852" s="16"/>
      <c r="E852" s="16"/>
      <c r="F852" s="16"/>
      <c r="G852" s="16"/>
      <c r="H852" s="16"/>
    </row>
    <row r="853">
      <c r="D853" s="16"/>
      <c r="E853" s="16"/>
      <c r="F853" s="16"/>
      <c r="G853" s="16"/>
      <c r="H853" s="16"/>
    </row>
    <row r="854">
      <c r="D854" s="16"/>
      <c r="E854" s="16"/>
      <c r="F854" s="16"/>
      <c r="G854" s="16"/>
      <c r="H854" s="16"/>
    </row>
    <row r="855">
      <c r="D855" s="16"/>
      <c r="E855" s="16"/>
      <c r="F855" s="16"/>
      <c r="G855" s="16"/>
      <c r="H855" s="16"/>
    </row>
    <row r="856">
      <c r="D856" s="16"/>
      <c r="E856" s="16"/>
      <c r="F856" s="16"/>
      <c r="G856" s="16"/>
      <c r="H856" s="16"/>
    </row>
    <row r="857">
      <c r="D857" s="16"/>
      <c r="E857" s="16"/>
      <c r="F857" s="16"/>
      <c r="G857" s="16"/>
      <c r="H857" s="16"/>
    </row>
    <row r="858">
      <c r="D858" s="16"/>
      <c r="E858" s="16"/>
      <c r="F858" s="16"/>
      <c r="G858" s="16"/>
      <c r="H858" s="16"/>
    </row>
    <row r="859">
      <c r="D859" s="16"/>
      <c r="E859" s="16"/>
      <c r="F859" s="16"/>
      <c r="G859" s="16"/>
      <c r="H859" s="16"/>
    </row>
    <row r="860">
      <c r="D860" s="16"/>
      <c r="E860" s="16"/>
      <c r="F860" s="16"/>
      <c r="G860" s="16"/>
      <c r="H860" s="16"/>
    </row>
    <row r="861">
      <c r="D861" s="16"/>
      <c r="E861" s="16"/>
      <c r="F861" s="16"/>
      <c r="G861" s="16"/>
      <c r="H861" s="16"/>
    </row>
    <row r="862">
      <c r="D862" s="16"/>
      <c r="E862" s="16"/>
      <c r="F862" s="16"/>
      <c r="G862" s="16"/>
      <c r="H862" s="16"/>
    </row>
    <row r="863">
      <c r="D863" s="16"/>
      <c r="E863" s="16"/>
      <c r="F863" s="16"/>
      <c r="G863" s="16"/>
      <c r="H863" s="16"/>
    </row>
    <row r="864">
      <c r="D864" s="16"/>
      <c r="E864" s="16"/>
      <c r="F864" s="16"/>
      <c r="G864" s="16"/>
      <c r="H864" s="16"/>
    </row>
    <row r="865">
      <c r="D865" s="16"/>
      <c r="E865" s="16"/>
      <c r="F865" s="16"/>
      <c r="G865" s="16"/>
      <c r="H865" s="16"/>
    </row>
    <row r="866">
      <c r="D866" s="16"/>
      <c r="E866" s="16"/>
      <c r="F866" s="16"/>
      <c r="G866" s="16"/>
      <c r="H866" s="16"/>
    </row>
    <row r="867">
      <c r="D867" s="16"/>
      <c r="E867" s="16"/>
      <c r="F867" s="16"/>
      <c r="G867" s="16"/>
      <c r="H867" s="16"/>
    </row>
    <row r="868">
      <c r="D868" s="16"/>
      <c r="E868" s="16"/>
      <c r="F868" s="16"/>
      <c r="G868" s="16"/>
      <c r="H868" s="16"/>
    </row>
    <row r="869">
      <c r="D869" s="16"/>
      <c r="E869" s="16"/>
      <c r="F869" s="16"/>
      <c r="G869" s="16"/>
      <c r="H869" s="16"/>
    </row>
    <row r="870">
      <c r="D870" s="16"/>
      <c r="E870" s="16"/>
      <c r="F870" s="16"/>
      <c r="G870" s="16"/>
      <c r="H870" s="16"/>
    </row>
    <row r="871">
      <c r="D871" s="16"/>
      <c r="E871" s="16"/>
      <c r="F871" s="16"/>
      <c r="G871" s="16"/>
      <c r="H871" s="16"/>
    </row>
    <row r="872">
      <c r="D872" s="16"/>
      <c r="E872" s="16"/>
      <c r="F872" s="16"/>
      <c r="G872" s="16"/>
      <c r="H872" s="16"/>
    </row>
    <row r="873">
      <c r="D873" s="16"/>
      <c r="E873" s="16"/>
      <c r="F873" s="16"/>
      <c r="G873" s="16"/>
      <c r="H873" s="16"/>
    </row>
    <row r="874">
      <c r="D874" s="16"/>
      <c r="E874" s="16"/>
      <c r="F874" s="16"/>
      <c r="G874" s="16"/>
      <c r="H874" s="16"/>
    </row>
    <row r="875">
      <c r="D875" s="16"/>
      <c r="E875" s="16"/>
      <c r="F875" s="16"/>
      <c r="G875" s="16"/>
      <c r="H875" s="16"/>
    </row>
    <row r="876">
      <c r="D876" s="16"/>
      <c r="E876" s="16"/>
      <c r="F876" s="16"/>
      <c r="G876" s="16"/>
      <c r="H876" s="16"/>
    </row>
    <row r="877">
      <c r="D877" s="16"/>
      <c r="E877" s="16"/>
      <c r="F877" s="16"/>
      <c r="G877" s="16"/>
      <c r="H877" s="16"/>
    </row>
    <row r="878">
      <c r="D878" s="16"/>
      <c r="E878" s="16"/>
      <c r="F878" s="16"/>
      <c r="G878" s="16"/>
      <c r="H878" s="16"/>
    </row>
    <row r="879">
      <c r="D879" s="16"/>
      <c r="E879" s="16"/>
      <c r="F879" s="16"/>
      <c r="G879" s="16"/>
      <c r="H879" s="16"/>
    </row>
    <row r="880">
      <c r="D880" s="16"/>
      <c r="E880" s="16"/>
      <c r="F880" s="16"/>
      <c r="G880" s="16"/>
      <c r="H880" s="16"/>
    </row>
    <row r="881">
      <c r="D881" s="16"/>
      <c r="E881" s="16"/>
      <c r="F881" s="16"/>
      <c r="G881" s="16"/>
      <c r="H881" s="16"/>
    </row>
    <row r="882">
      <c r="D882" s="16"/>
      <c r="E882" s="16"/>
      <c r="F882" s="16"/>
      <c r="G882" s="16"/>
      <c r="H882" s="16"/>
    </row>
    <row r="883">
      <c r="D883" s="16"/>
      <c r="E883" s="16"/>
      <c r="F883" s="16"/>
      <c r="G883" s="16"/>
      <c r="H883" s="16"/>
    </row>
    <row r="884">
      <c r="D884" s="16"/>
      <c r="E884" s="16"/>
      <c r="F884" s="16"/>
      <c r="G884" s="16"/>
      <c r="H884" s="16"/>
    </row>
    <row r="885">
      <c r="D885" s="16"/>
      <c r="E885" s="16"/>
      <c r="F885" s="16"/>
      <c r="G885" s="16"/>
      <c r="H885" s="16"/>
    </row>
    <row r="886">
      <c r="D886" s="16"/>
      <c r="E886" s="16"/>
      <c r="F886" s="16"/>
      <c r="G886" s="16"/>
      <c r="H886" s="16"/>
    </row>
    <row r="887">
      <c r="D887" s="16"/>
      <c r="E887" s="16"/>
      <c r="F887" s="16"/>
      <c r="G887" s="16"/>
      <c r="H887" s="16"/>
    </row>
    <row r="888">
      <c r="D888" s="16"/>
      <c r="E888" s="16"/>
      <c r="F888" s="16"/>
      <c r="G888" s="16"/>
      <c r="H888" s="16"/>
    </row>
    <row r="889">
      <c r="D889" s="16"/>
      <c r="E889" s="16"/>
      <c r="F889" s="16"/>
      <c r="G889" s="16"/>
      <c r="H889" s="16"/>
    </row>
    <row r="890">
      <c r="D890" s="16"/>
      <c r="E890" s="16"/>
      <c r="F890" s="16"/>
      <c r="G890" s="16"/>
      <c r="H890" s="16"/>
    </row>
    <row r="891">
      <c r="D891" s="16"/>
      <c r="E891" s="16"/>
      <c r="F891" s="16"/>
      <c r="G891" s="16"/>
      <c r="H891" s="16"/>
    </row>
    <row r="892">
      <c r="D892" s="16"/>
      <c r="E892" s="16"/>
      <c r="F892" s="16"/>
      <c r="G892" s="16"/>
      <c r="H892" s="16"/>
    </row>
    <row r="893">
      <c r="D893" s="16"/>
      <c r="E893" s="16"/>
      <c r="F893" s="16"/>
      <c r="G893" s="16"/>
      <c r="H893" s="16"/>
    </row>
    <row r="894">
      <c r="D894" s="16"/>
      <c r="E894" s="16"/>
      <c r="F894" s="16"/>
      <c r="G894" s="16"/>
      <c r="H894" s="16"/>
    </row>
    <row r="895">
      <c r="D895" s="16"/>
      <c r="E895" s="16"/>
      <c r="F895" s="16"/>
      <c r="G895" s="16"/>
      <c r="H895" s="16"/>
    </row>
    <row r="896">
      <c r="D896" s="16"/>
      <c r="E896" s="16"/>
      <c r="F896" s="16"/>
      <c r="G896" s="16"/>
      <c r="H896" s="16"/>
    </row>
    <row r="897">
      <c r="D897" s="16"/>
      <c r="E897" s="16"/>
      <c r="F897" s="16"/>
      <c r="G897" s="16"/>
      <c r="H897" s="16"/>
    </row>
    <row r="898">
      <c r="D898" s="16"/>
      <c r="E898" s="16"/>
      <c r="F898" s="16"/>
      <c r="G898" s="16"/>
      <c r="H898" s="16"/>
    </row>
    <row r="899">
      <c r="D899" s="16"/>
      <c r="E899" s="16"/>
      <c r="F899" s="16"/>
      <c r="G899" s="16"/>
      <c r="H899" s="16"/>
    </row>
    <row r="900">
      <c r="D900" s="16"/>
      <c r="E900" s="16"/>
      <c r="F900" s="16"/>
      <c r="G900" s="16"/>
      <c r="H900" s="16"/>
    </row>
    <row r="901">
      <c r="D901" s="16"/>
      <c r="E901" s="16"/>
      <c r="F901" s="16"/>
      <c r="G901" s="16"/>
      <c r="H901" s="16"/>
    </row>
    <row r="902">
      <c r="D902" s="16"/>
      <c r="E902" s="16"/>
      <c r="F902" s="16"/>
      <c r="G902" s="16"/>
      <c r="H902" s="16"/>
    </row>
    <row r="903">
      <c r="D903" s="16"/>
      <c r="E903" s="16"/>
      <c r="F903" s="16"/>
      <c r="G903" s="16"/>
      <c r="H903" s="16"/>
    </row>
    <row r="904">
      <c r="D904" s="16"/>
      <c r="E904" s="16"/>
      <c r="F904" s="16"/>
      <c r="G904" s="16"/>
      <c r="H904" s="16"/>
    </row>
    <row r="905">
      <c r="D905" s="16"/>
      <c r="E905" s="16"/>
      <c r="F905" s="16"/>
      <c r="G905" s="16"/>
      <c r="H905" s="16"/>
    </row>
    <row r="906">
      <c r="D906" s="16"/>
      <c r="E906" s="16"/>
      <c r="F906" s="16"/>
      <c r="G906" s="16"/>
      <c r="H906" s="16"/>
    </row>
    <row r="907">
      <c r="D907" s="16"/>
      <c r="E907" s="16"/>
      <c r="F907" s="16"/>
      <c r="G907" s="16"/>
      <c r="H907" s="16"/>
    </row>
    <row r="908">
      <c r="D908" s="16"/>
      <c r="E908" s="16"/>
      <c r="F908" s="16"/>
      <c r="G908" s="16"/>
      <c r="H908" s="16"/>
    </row>
    <row r="909">
      <c r="D909" s="16"/>
      <c r="E909" s="16"/>
      <c r="F909" s="16"/>
      <c r="G909" s="16"/>
      <c r="H909" s="16"/>
    </row>
    <row r="910">
      <c r="D910" s="16"/>
      <c r="E910" s="16"/>
      <c r="F910" s="16"/>
      <c r="G910" s="16"/>
      <c r="H910" s="16"/>
    </row>
    <row r="911">
      <c r="D911" s="16"/>
      <c r="E911" s="16"/>
      <c r="F911" s="16"/>
      <c r="G911" s="16"/>
      <c r="H911" s="16"/>
    </row>
    <row r="912">
      <c r="D912" s="16"/>
      <c r="E912" s="16"/>
      <c r="F912" s="16"/>
      <c r="G912" s="16"/>
      <c r="H912" s="16"/>
    </row>
    <row r="913">
      <c r="D913" s="16"/>
      <c r="E913" s="16"/>
      <c r="F913" s="16"/>
      <c r="G913" s="16"/>
      <c r="H913" s="16"/>
    </row>
    <row r="914">
      <c r="D914" s="16"/>
      <c r="E914" s="16"/>
      <c r="F914" s="16"/>
      <c r="G914" s="16"/>
      <c r="H914" s="16"/>
    </row>
    <row r="915">
      <c r="D915" s="16"/>
      <c r="E915" s="16"/>
      <c r="F915" s="16"/>
      <c r="G915" s="16"/>
      <c r="H915" s="16"/>
    </row>
    <row r="916">
      <c r="D916" s="16"/>
      <c r="E916" s="16"/>
      <c r="F916" s="16"/>
      <c r="G916" s="16"/>
      <c r="H916" s="16"/>
    </row>
    <row r="917">
      <c r="D917" s="16"/>
      <c r="E917" s="16"/>
      <c r="F917" s="16"/>
      <c r="G917" s="16"/>
      <c r="H917" s="16"/>
    </row>
    <row r="918">
      <c r="D918" s="16"/>
      <c r="E918" s="16"/>
      <c r="F918" s="16"/>
      <c r="G918" s="16"/>
      <c r="H918" s="16"/>
    </row>
    <row r="919">
      <c r="D919" s="16"/>
      <c r="E919" s="16"/>
      <c r="F919" s="16"/>
      <c r="G919" s="16"/>
      <c r="H919" s="16"/>
    </row>
    <row r="920">
      <c r="D920" s="16"/>
      <c r="E920" s="16"/>
      <c r="F920" s="16"/>
      <c r="G920" s="16"/>
      <c r="H920" s="16"/>
    </row>
    <row r="921">
      <c r="D921" s="16"/>
      <c r="E921" s="16"/>
      <c r="F921" s="16"/>
      <c r="G921" s="16"/>
      <c r="H921" s="16"/>
    </row>
    <row r="922">
      <c r="D922" s="16"/>
      <c r="E922" s="16"/>
      <c r="F922" s="16"/>
      <c r="G922" s="16"/>
      <c r="H922" s="16"/>
    </row>
    <row r="923">
      <c r="D923" s="16"/>
      <c r="E923" s="16"/>
      <c r="F923" s="16"/>
      <c r="G923" s="16"/>
      <c r="H923" s="16"/>
    </row>
    <row r="924">
      <c r="D924" s="16"/>
      <c r="E924" s="16"/>
      <c r="F924" s="16"/>
      <c r="G924" s="16"/>
      <c r="H924" s="16"/>
    </row>
    <row r="925">
      <c r="D925" s="16"/>
      <c r="E925" s="16"/>
      <c r="F925" s="16"/>
      <c r="G925" s="16"/>
      <c r="H925" s="16"/>
    </row>
    <row r="926">
      <c r="D926" s="16"/>
      <c r="E926" s="16"/>
      <c r="F926" s="16"/>
      <c r="G926" s="16"/>
      <c r="H926" s="16"/>
    </row>
    <row r="927">
      <c r="D927" s="16"/>
      <c r="E927" s="16"/>
      <c r="F927" s="16"/>
      <c r="G927" s="16"/>
      <c r="H927" s="16"/>
    </row>
    <row r="928">
      <c r="D928" s="16"/>
      <c r="E928" s="16"/>
      <c r="F928" s="16"/>
      <c r="G928" s="16"/>
      <c r="H928" s="16"/>
    </row>
    <row r="929">
      <c r="D929" s="16"/>
      <c r="E929" s="16"/>
      <c r="F929" s="16"/>
      <c r="G929" s="16"/>
      <c r="H929" s="16"/>
    </row>
    <row r="930">
      <c r="D930" s="16"/>
      <c r="E930" s="16"/>
      <c r="F930" s="16"/>
      <c r="G930" s="16"/>
      <c r="H930" s="16"/>
    </row>
    <row r="931">
      <c r="D931" s="16"/>
      <c r="E931" s="16"/>
      <c r="F931" s="16"/>
      <c r="G931" s="16"/>
      <c r="H931" s="16"/>
    </row>
    <row r="932">
      <c r="D932" s="16"/>
      <c r="E932" s="16"/>
      <c r="F932" s="16"/>
      <c r="G932" s="16"/>
      <c r="H932" s="16"/>
    </row>
    <row r="933">
      <c r="D933" s="16"/>
      <c r="E933" s="16"/>
      <c r="F933" s="16"/>
      <c r="G933" s="16"/>
      <c r="H933" s="16"/>
    </row>
    <row r="934">
      <c r="D934" s="16"/>
      <c r="E934" s="16"/>
      <c r="F934" s="16"/>
      <c r="G934" s="16"/>
      <c r="H934" s="16"/>
    </row>
    <row r="935">
      <c r="D935" s="16"/>
      <c r="E935" s="16"/>
      <c r="F935" s="16"/>
      <c r="G935" s="16"/>
      <c r="H935" s="16"/>
    </row>
    <row r="936">
      <c r="D936" s="16"/>
      <c r="E936" s="16"/>
      <c r="F936" s="16"/>
      <c r="G936" s="16"/>
      <c r="H936" s="16"/>
    </row>
    <row r="937">
      <c r="D937" s="16"/>
      <c r="E937" s="16"/>
      <c r="F937" s="16"/>
      <c r="G937" s="16"/>
      <c r="H937" s="16"/>
    </row>
    <row r="938">
      <c r="D938" s="16"/>
      <c r="E938" s="16"/>
      <c r="F938" s="16"/>
      <c r="G938" s="16"/>
      <c r="H938" s="16"/>
    </row>
    <row r="939">
      <c r="D939" s="16"/>
      <c r="E939" s="16"/>
      <c r="F939" s="16"/>
      <c r="G939" s="16"/>
      <c r="H939" s="16"/>
    </row>
    <row r="940">
      <c r="D940" s="16"/>
      <c r="E940" s="16"/>
      <c r="F940" s="16"/>
      <c r="G940" s="16"/>
      <c r="H940" s="16"/>
    </row>
    <row r="941">
      <c r="D941" s="16"/>
      <c r="E941" s="16"/>
      <c r="F941" s="16"/>
      <c r="G941" s="16"/>
      <c r="H941" s="16"/>
    </row>
    <row r="942">
      <c r="D942" s="16"/>
      <c r="E942" s="16"/>
      <c r="F942" s="16"/>
      <c r="G942" s="16"/>
      <c r="H942" s="16"/>
    </row>
    <row r="943">
      <c r="D943" s="16"/>
      <c r="E943" s="16"/>
      <c r="F943" s="16"/>
      <c r="G943" s="16"/>
      <c r="H943" s="16"/>
    </row>
    <row r="944">
      <c r="D944" s="16"/>
      <c r="E944" s="16"/>
      <c r="F944" s="16"/>
      <c r="G944" s="16"/>
      <c r="H944" s="16"/>
    </row>
    <row r="945">
      <c r="D945" s="16"/>
      <c r="E945" s="16"/>
      <c r="F945" s="16"/>
      <c r="G945" s="16"/>
      <c r="H945" s="16"/>
    </row>
    <row r="946">
      <c r="D946" s="16"/>
      <c r="E946" s="16"/>
      <c r="F946" s="16"/>
      <c r="G946" s="16"/>
      <c r="H946" s="16"/>
    </row>
    <row r="947">
      <c r="D947" s="16"/>
      <c r="E947" s="16"/>
      <c r="F947" s="16"/>
      <c r="G947" s="16"/>
      <c r="H947" s="16"/>
    </row>
    <row r="948">
      <c r="D948" s="16"/>
      <c r="E948" s="16"/>
      <c r="F948" s="16"/>
      <c r="G948" s="16"/>
      <c r="H948" s="16"/>
    </row>
    <row r="949">
      <c r="D949" s="16"/>
      <c r="E949" s="16"/>
      <c r="F949" s="16"/>
      <c r="G949" s="16"/>
      <c r="H949" s="16"/>
    </row>
    <row r="950">
      <c r="D950" s="16"/>
      <c r="E950" s="16"/>
      <c r="F950" s="16"/>
      <c r="G950" s="16"/>
      <c r="H950" s="16"/>
    </row>
    <row r="951">
      <c r="D951" s="16"/>
      <c r="E951" s="16"/>
      <c r="F951" s="16"/>
      <c r="G951" s="16"/>
      <c r="H951" s="16"/>
    </row>
    <row r="952">
      <c r="D952" s="16"/>
      <c r="E952" s="16"/>
      <c r="F952" s="16"/>
      <c r="G952" s="16"/>
      <c r="H952" s="16"/>
    </row>
    <row r="953">
      <c r="D953" s="16"/>
      <c r="E953" s="16"/>
      <c r="F953" s="16"/>
      <c r="G953" s="16"/>
      <c r="H953" s="16"/>
    </row>
    <row r="954">
      <c r="D954" s="16"/>
      <c r="E954" s="16"/>
      <c r="F954" s="16"/>
      <c r="G954" s="16"/>
      <c r="H954" s="16"/>
    </row>
    <row r="955">
      <c r="D955" s="16"/>
      <c r="E955" s="16"/>
      <c r="F955" s="16"/>
      <c r="G955" s="16"/>
      <c r="H955" s="16"/>
    </row>
    <row r="956">
      <c r="D956" s="16"/>
      <c r="E956" s="16"/>
      <c r="F956" s="16"/>
      <c r="G956" s="16"/>
      <c r="H956" s="16"/>
    </row>
    <row r="957">
      <c r="D957" s="16"/>
      <c r="E957" s="16"/>
      <c r="F957" s="16"/>
      <c r="G957" s="16"/>
      <c r="H957" s="16"/>
    </row>
    <row r="958">
      <c r="D958" s="16"/>
      <c r="E958" s="16"/>
      <c r="F958" s="16"/>
      <c r="G958" s="16"/>
      <c r="H958" s="16"/>
    </row>
    <row r="959">
      <c r="D959" s="16"/>
      <c r="E959" s="16"/>
      <c r="F959" s="16"/>
      <c r="G959" s="16"/>
      <c r="H959" s="16"/>
    </row>
    <row r="960">
      <c r="D960" s="16"/>
      <c r="E960" s="16"/>
      <c r="F960" s="16"/>
      <c r="G960" s="16"/>
      <c r="H960" s="16"/>
    </row>
    <row r="961">
      <c r="D961" s="16"/>
      <c r="E961" s="16"/>
      <c r="F961" s="16"/>
      <c r="G961" s="16"/>
      <c r="H961" s="16"/>
    </row>
    <row r="962">
      <c r="D962" s="16"/>
      <c r="E962" s="16"/>
      <c r="F962" s="16"/>
      <c r="G962" s="16"/>
      <c r="H962" s="16"/>
    </row>
    <row r="963">
      <c r="D963" s="16"/>
      <c r="E963" s="16"/>
      <c r="F963" s="16"/>
      <c r="G963" s="16"/>
      <c r="H963" s="16"/>
    </row>
    <row r="964">
      <c r="D964" s="16"/>
      <c r="E964" s="16"/>
      <c r="F964" s="16"/>
      <c r="G964" s="16"/>
      <c r="H964" s="16"/>
    </row>
    <row r="965">
      <c r="D965" s="16"/>
      <c r="E965" s="16"/>
      <c r="F965" s="16"/>
      <c r="G965" s="16"/>
      <c r="H965" s="16"/>
    </row>
    <row r="966">
      <c r="D966" s="16"/>
      <c r="E966" s="16"/>
      <c r="F966" s="16"/>
      <c r="G966" s="16"/>
      <c r="H966" s="16"/>
    </row>
    <row r="967">
      <c r="D967" s="16"/>
      <c r="E967" s="16"/>
      <c r="F967" s="16"/>
      <c r="G967" s="16"/>
      <c r="H967" s="16"/>
    </row>
    <row r="968">
      <c r="D968" s="16"/>
      <c r="E968" s="16"/>
      <c r="F968" s="16"/>
      <c r="G968" s="16"/>
      <c r="H968" s="16"/>
    </row>
    <row r="969">
      <c r="D969" s="16"/>
      <c r="E969" s="16"/>
      <c r="F969" s="16"/>
      <c r="G969" s="16"/>
      <c r="H969" s="16"/>
    </row>
    <row r="970">
      <c r="D970" s="16"/>
      <c r="E970" s="16"/>
      <c r="F970" s="16"/>
      <c r="G970" s="16"/>
      <c r="H970" s="16"/>
    </row>
    <row r="971">
      <c r="D971" s="16"/>
      <c r="E971" s="16"/>
      <c r="F971" s="16"/>
      <c r="G971" s="16"/>
      <c r="H971" s="16"/>
    </row>
    <row r="972">
      <c r="D972" s="16"/>
      <c r="E972" s="16"/>
      <c r="F972" s="16"/>
      <c r="G972" s="16"/>
      <c r="H972" s="16"/>
    </row>
    <row r="973">
      <c r="D973" s="16"/>
      <c r="E973" s="16"/>
      <c r="F973" s="16"/>
      <c r="G973" s="16"/>
      <c r="H973" s="16"/>
    </row>
    <row r="974">
      <c r="D974" s="16"/>
      <c r="E974" s="16"/>
      <c r="F974" s="16"/>
      <c r="G974" s="16"/>
      <c r="H974" s="16"/>
    </row>
    <row r="975">
      <c r="D975" s="16"/>
      <c r="E975" s="16"/>
      <c r="F975" s="16"/>
      <c r="G975" s="16"/>
      <c r="H975" s="16"/>
    </row>
    <row r="976">
      <c r="D976" s="16"/>
      <c r="E976" s="16"/>
      <c r="F976" s="16"/>
      <c r="G976" s="16"/>
      <c r="H976" s="16"/>
    </row>
    <row r="977">
      <c r="D977" s="16"/>
      <c r="E977" s="16"/>
      <c r="F977" s="16"/>
      <c r="G977" s="16"/>
      <c r="H977" s="16"/>
    </row>
    <row r="978">
      <c r="D978" s="16"/>
      <c r="E978" s="16"/>
      <c r="F978" s="16"/>
      <c r="G978" s="16"/>
      <c r="H978" s="16"/>
    </row>
    <row r="979">
      <c r="D979" s="16"/>
      <c r="E979" s="16"/>
      <c r="F979" s="16"/>
      <c r="G979" s="16"/>
      <c r="H979" s="16"/>
    </row>
    <row r="980">
      <c r="D980" s="16"/>
      <c r="E980" s="16"/>
      <c r="F980" s="16"/>
      <c r="G980" s="16"/>
      <c r="H980" s="16"/>
    </row>
    <row r="981">
      <c r="D981" s="16"/>
      <c r="E981" s="16"/>
      <c r="F981" s="16"/>
      <c r="G981" s="16"/>
      <c r="H981" s="16"/>
    </row>
    <row r="982">
      <c r="D982" s="16"/>
      <c r="E982" s="16"/>
      <c r="F982" s="16"/>
      <c r="G982" s="16"/>
      <c r="H982" s="16"/>
    </row>
    <row r="983">
      <c r="D983" s="16"/>
      <c r="E983" s="16"/>
      <c r="F983" s="16"/>
      <c r="G983" s="16"/>
      <c r="H983" s="16"/>
    </row>
    <row r="984">
      <c r="D984" s="16"/>
      <c r="E984" s="16"/>
      <c r="F984" s="16"/>
      <c r="G984" s="16"/>
      <c r="H984" s="16"/>
    </row>
    <row r="985">
      <c r="D985" s="16"/>
      <c r="E985" s="16"/>
      <c r="F985" s="16"/>
      <c r="G985" s="16"/>
      <c r="H985" s="16"/>
    </row>
    <row r="986">
      <c r="D986" s="16"/>
      <c r="E986" s="16"/>
      <c r="F986" s="16"/>
      <c r="G986" s="16"/>
      <c r="H986" s="16"/>
    </row>
    <row r="987">
      <c r="D987" s="16"/>
      <c r="E987" s="16"/>
      <c r="F987" s="16"/>
      <c r="G987" s="16"/>
      <c r="H987" s="16"/>
    </row>
    <row r="988">
      <c r="D988" s="16"/>
      <c r="E988" s="16"/>
      <c r="F988" s="16"/>
      <c r="G988" s="16"/>
      <c r="H988" s="16"/>
    </row>
    <row r="989">
      <c r="D989" s="16"/>
      <c r="E989" s="16"/>
      <c r="F989" s="16"/>
      <c r="G989" s="16"/>
      <c r="H989" s="16"/>
    </row>
    <row r="990">
      <c r="D990" s="16"/>
      <c r="E990" s="16"/>
      <c r="F990" s="16"/>
      <c r="G990" s="16"/>
      <c r="H990" s="16"/>
    </row>
    <row r="991">
      <c r="D991" s="16"/>
      <c r="E991" s="16"/>
      <c r="F991" s="16"/>
      <c r="G991" s="16"/>
      <c r="H991" s="16"/>
    </row>
    <row r="992">
      <c r="D992" s="16"/>
      <c r="E992" s="16"/>
      <c r="F992" s="16"/>
      <c r="G992" s="16"/>
      <c r="H992" s="16"/>
    </row>
    <row r="993">
      <c r="D993" s="16"/>
      <c r="E993" s="16"/>
      <c r="F993" s="16"/>
      <c r="G993" s="16"/>
      <c r="H993" s="16"/>
    </row>
    <row r="994">
      <c r="D994" s="16"/>
      <c r="E994" s="16"/>
      <c r="F994" s="16"/>
      <c r="G994" s="16"/>
      <c r="H994" s="16"/>
    </row>
    <row r="995">
      <c r="D995" s="16"/>
      <c r="E995" s="16"/>
      <c r="F995" s="16"/>
      <c r="G995" s="16"/>
      <c r="H995" s="16"/>
    </row>
    <row r="996">
      <c r="D996" s="16"/>
      <c r="E996" s="16"/>
      <c r="F996" s="16"/>
      <c r="G996" s="16"/>
      <c r="H996" s="16"/>
    </row>
    <row r="997">
      <c r="D997" s="16"/>
      <c r="E997" s="16"/>
      <c r="F997" s="16"/>
      <c r="G997" s="16"/>
      <c r="H997" s="16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</hyperlinks>
  <drawing r:id="rId202"/>
  <legacyDrawing r:id="rId203"/>
</worksheet>
</file>